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Tax Advisor\Supporting\"/>
    </mc:Choice>
  </mc:AlternateContent>
  <bookViews>
    <workbookView xWindow="0" yWindow="0" windowWidth="18840" windowHeight="7830" tabRatio="853" firstSheet="1" activeTab="8"/>
  </bookViews>
  <sheets>
    <sheet name="Return" sheetId="1" r:id="rId1"/>
    <sheet name="Schedule 1" sheetId="2" r:id="rId2"/>
    <sheet name="Schedule 2" sheetId="3" r:id="rId3"/>
    <sheet name="Schedule 3" sheetId="4" r:id="rId4"/>
    <sheet name="Schedule 4,5,6,7" sheetId="5" r:id="rId5"/>
    <sheet name="Schedule 8" sheetId="9" r:id="rId6"/>
    <sheet name="Schedule 9" sheetId="10" r:id="rId7"/>
    <sheet name="Schedule 10" sheetId="11" r:id="rId8"/>
    <sheet name="Schedule 11" sheetId="12" r:id="rId9"/>
    <sheet name="Schedule 12" sheetId="17" r:id="rId10"/>
    <sheet name="Legend" sheetId="15" r:id="rId11"/>
  </sheets>
  <definedNames>
    <definedName name="_">'Schedule 4,5,6,7'!$J$9</definedName>
    <definedName name="Rates" localSheetId="9">#REF!</definedName>
    <definedName name="Rates">#REF!</definedName>
    <definedName name="SecSch">Legend!$C:$C</definedName>
    <definedName name="YearSvc">Legend!$A:$A</definedName>
  </definedNames>
  <calcPr calcId="152511"/>
  <customWorkbookViews>
    <customWorkbookView name="Ong Kiam Min Samuel  (NCS) - Personal View" guid="{12504DBE-41C2-4FD3-9D8E-D9B684050204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7" l="1"/>
  <c r="B2" i="12"/>
  <c r="B2" i="11"/>
  <c r="B2" i="10"/>
  <c r="B2" i="9"/>
  <c r="B2" i="5"/>
  <c r="B2" i="4"/>
  <c r="B2" i="3"/>
  <c r="B2" i="2"/>
  <c r="I6" i="17" l="1"/>
  <c r="H13" i="3"/>
  <c r="I18" i="2"/>
  <c r="N3" i="17" l="1"/>
  <c r="H76" i="17" l="1"/>
  <c r="O51" i="17" l="1"/>
  <c r="O50" i="17"/>
  <c r="O49" i="17"/>
  <c r="O48" i="17"/>
  <c r="O47" i="17"/>
  <c r="O66" i="17" s="1"/>
  <c r="O45" i="17"/>
  <c r="O44" i="17"/>
  <c r="O43" i="17"/>
  <c r="O34" i="17"/>
  <c r="F31" i="17"/>
  <c r="P51" i="17" s="1"/>
  <c r="E31" i="17"/>
  <c r="Q51" i="17" s="1"/>
  <c r="O28" i="17"/>
  <c r="F29" i="17"/>
  <c r="P50" i="17" s="1"/>
  <c r="E29" i="17"/>
  <c r="Q50" i="17" s="1"/>
  <c r="E68" i="17" s="1"/>
  <c r="O26" i="17"/>
  <c r="F27" i="17"/>
  <c r="P49" i="17" s="1"/>
  <c r="E27" i="17"/>
  <c r="Q49" i="17" s="1"/>
  <c r="O24" i="17"/>
  <c r="O18" i="17"/>
  <c r="O16" i="17"/>
  <c r="K10" i="17"/>
  <c r="I11" i="17" s="1"/>
  <c r="O9" i="17"/>
  <c r="O7" i="17"/>
  <c r="G75" i="17" l="1"/>
  <c r="G74" i="17"/>
  <c r="G73" i="17"/>
  <c r="B71" i="17"/>
  <c r="H71" i="17" s="1"/>
  <c r="B72" i="17"/>
  <c r="H72" i="17" s="1"/>
  <c r="F70" i="17"/>
  <c r="E70" i="17"/>
  <c r="B69" i="17"/>
  <c r="H69" i="17" s="1"/>
  <c r="O70" i="17"/>
  <c r="F66" i="17"/>
  <c r="O67" i="17"/>
  <c r="B67" i="17"/>
  <c r="O64" i="17"/>
  <c r="O69" i="17"/>
  <c r="O68" i="17"/>
  <c r="B65" i="17"/>
  <c r="B64" i="17"/>
  <c r="S53" i="17"/>
  <c r="R58" i="17"/>
  <c r="O46" i="17"/>
  <c r="Q58" i="17"/>
  <c r="O11" i="17"/>
  <c r="Q53" i="17"/>
  <c r="S54" i="17"/>
  <c r="S55" i="17"/>
  <c r="S56" i="17"/>
  <c r="S57" i="17"/>
  <c r="S58" i="17"/>
  <c r="R53" i="17"/>
  <c r="R49" i="17"/>
  <c r="R50" i="17"/>
  <c r="R51" i="17"/>
  <c r="Q54" i="17"/>
  <c r="Q55" i="17"/>
  <c r="Q56" i="17"/>
  <c r="Q57" i="17"/>
  <c r="R54" i="17"/>
  <c r="R55" i="17"/>
  <c r="R56" i="17"/>
  <c r="R57" i="17"/>
  <c r="I43" i="11"/>
  <c r="I39" i="11"/>
  <c r="G67" i="17" l="1"/>
  <c r="E66" i="17"/>
  <c r="C70" i="17"/>
  <c r="H74" i="17"/>
  <c r="N73" i="17"/>
  <c r="H73" i="17"/>
  <c r="H75" i="17"/>
  <c r="D70" i="17"/>
  <c r="G64" i="17"/>
  <c r="D68" i="17"/>
  <c r="F67" i="17"/>
  <c r="F68" i="17" s="1"/>
  <c r="E67" i="17"/>
  <c r="D66" i="17"/>
  <c r="D67" i="17"/>
  <c r="C67" i="17"/>
  <c r="O65" i="17"/>
  <c r="F65" i="17"/>
  <c r="D65" i="17"/>
  <c r="C65" i="17"/>
  <c r="G65" i="17"/>
  <c r="E65" i="17"/>
  <c r="E64" i="17"/>
  <c r="F64" i="17"/>
  <c r="D64" i="17"/>
  <c r="C64" i="17"/>
  <c r="O53" i="17"/>
  <c r="O58" i="17"/>
  <c r="O57" i="17"/>
  <c r="O56" i="17"/>
  <c r="O59" i="17"/>
  <c r="O60" i="17"/>
  <c r="O61" i="17"/>
  <c r="O54" i="17"/>
  <c r="O55" i="17"/>
  <c r="H70" i="17" l="1"/>
  <c r="H68" i="17"/>
  <c r="H67" i="17"/>
  <c r="H66" i="17"/>
  <c r="D77" i="17" l="1"/>
  <c r="E50" i="17" s="1"/>
  <c r="I27" i="17" s="1"/>
  <c r="H65" i="17"/>
  <c r="C77" i="17"/>
  <c r="E48" i="17" s="1"/>
  <c r="E77" i="17"/>
  <c r="E51" i="17" s="1"/>
  <c r="I29" i="17" s="1"/>
  <c r="B77" i="17"/>
  <c r="E45" i="17" s="1"/>
  <c r="I38" i="17" s="1"/>
  <c r="E46" i="17" l="1"/>
  <c r="I17" i="17" s="1"/>
  <c r="E47" i="17"/>
  <c r="I8" i="17" s="1"/>
  <c r="I12" i="17" s="1"/>
  <c r="F77" i="17"/>
  <c r="E52" i="17" s="1"/>
  <c r="I31" i="17" s="1"/>
  <c r="I33" i="17" s="1"/>
  <c r="G77" i="17" l="1"/>
  <c r="E49" i="17" s="1"/>
  <c r="I19" i="17" s="1"/>
  <c r="O12" i="17"/>
  <c r="G28" i="1"/>
  <c r="H64" i="17" l="1"/>
  <c r="H77" i="17" s="1"/>
  <c r="I39" i="17" l="1"/>
  <c r="G29" i="1" s="1"/>
  <c r="I70" i="11"/>
  <c r="I62" i="12" l="1"/>
  <c r="I85" i="11"/>
  <c r="I79" i="11"/>
  <c r="I54" i="11"/>
  <c r="I63" i="12" l="1"/>
  <c r="I64" i="12" s="1"/>
  <c r="I38" i="12"/>
  <c r="I21" i="12"/>
  <c r="I14" i="12"/>
  <c r="I8" i="11" l="1"/>
  <c r="I17" i="11"/>
  <c r="I18" i="11" s="1"/>
  <c r="I24" i="11"/>
  <c r="I29" i="11"/>
  <c r="I34" i="11"/>
  <c r="I23" i="12"/>
  <c r="I25" i="12" s="1"/>
  <c r="I60" i="11" l="1"/>
  <c r="I55" i="11"/>
  <c r="I48" i="11"/>
  <c r="I49" i="11" s="1"/>
  <c r="H19" i="10" l="1"/>
  <c r="H10" i="10"/>
  <c r="J9" i="9"/>
  <c r="J11" i="9" s="1"/>
  <c r="J30" i="5"/>
  <c r="J23" i="5"/>
  <c r="J16" i="5"/>
  <c r="J9" i="5"/>
  <c r="H19" i="4"/>
  <c r="H10" i="4"/>
  <c r="H7" i="3"/>
  <c r="I10" i="2"/>
  <c r="O6" i="17"/>
  <c r="H21" i="10" l="1"/>
  <c r="G19" i="1" s="1"/>
  <c r="G13" i="1"/>
  <c r="G12" i="1"/>
  <c r="G11" i="1"/>
  <c r="G10" i="1"/>
  <c r="H23" i="4"/>
  <c r="I20" i="2" l="1"/>
  <c r="H24" i="4"/>
  <c r="G9" i="1" s="1"/>
  <c r="H16" i="3"/>
  <c r="G8" i="1" s="1"/>
  <c r="G7" i="1" l="1"/>
  <c r="G15" i="1" l="1"/>
  <c r="J12" i="9" s="1"/>
  <c r="J13" i="9" l="1"/>
  <c r="J14" i="9" s="1"/>
  <c r="G18" i="1" l="1"/>
  <c r="G20" i="1" s="1"/>
  <c r="G21" i="1" s="1"/>
  <c r="I65" i="11" l="1"/>
  <c r="I66" i="11" s="1"/>
  <c r="I96" i="11" l="1"/>
  <c r="G23" i="1" s="1"/>
  <c r="G24" i="1" s="1"/>
  <c r="O39" i="17" s="1"/>
  <c r="G25" i="1" l="1"/>
  <c r="I5" i="17" s="1"/>
  <c r="G30" i="1"/>
  <c r="I28" i="12" s="1"/>
  <c r="I68" i="12" s="1"/>
  <c r="G31" i="1" s="1"/>
  <c r="G32" i="1" s="1"/>
  <c r="O41" i="17" l="1"/>
  <c r="H2" i="17"/>
  <c r="O5" i="17"/>
  <c r="I27" i="12"/>
  <c r="G33" i="1"/>
</calcChain>
</file>

<file path=xl/sharedStrings.xml><?xml version="1.0" encoding="utf-8"?>
<sst xmlns="http://schemas.openxmlformats.org/spreadsheetml/2006/main" count="627" uniqueCount="342">
  <si>
    <t>Part 1 – DECLARATION OF PROFITS AND INCOME</t>
  </si>
  <si>
    <t>(Schedule 1)</t>
  </si>
  <si>
    <t>(Schedule 2)</t>
  </si>
  <si>
    <t>(Schedule 3)</t>
  </si>
  <si>
    <t>(Schedule 4)</t>
  </si>
  <si>
    <t>(Schedule 5)</t>
  </si>
  <si>
    <t>(Schedule 6)</t>
  </si>
  <si>
    <t>(Schedule 7)</t>
  </si>
  <si>
    <t>Cage 655</t>
  </si>
  <si>
    <t>Part 2 – DEDUCTIONS FROM TOTAL STATUTORY INCOME</t>
  </si>
  <si>
    <t>(Schedule 8)</t>
  </si>
  <si>
    <t>(Schedule 9)</t>
  </si>
  <si>
    <t>Qualifying Payment</t>
  </si>
  <si>
    <t>(Schedule 10)</t>
  </si>
  <si>
    <t>Part 3 – CALCULATION OF INCOME TAX PAYABLE</t>
  </si>
  <si>
    <t>(Schedule 11)</t>
  </si>
  <si>
    <t>(Schedule 12)</t>
  </si>
  <si>
    <t>For Employment</t>
  </si>
  <si>
    <t>Total Employment Income</t>
  </si>
  <si>
    <t>Total Once-and-for-all Income</t>
  </si>
  <si>
    <t>A. Profit from Sole Proprietorship</t>
  </si>
  <si>
    <t>Total Income from Sole Proprietorship</t>
  </si>
  <si>
    <t>B. Profit from Partnership</t>
  </si>
  <si>
    <t>Total Income from Partnership</t>
  </si>
  <si>
    <t>A. Rent</t>
  </si>
  <si>
    <t>121F</t>
  </si>
  <si>
    <t>B. Net Annual Value</t>
  </si>
  <si>
    <t>123C</t>
  </si>
  <si>
    <t>SCHEDULE 4 – DIVIDEND</t>
  </si>
  <si>
    <t>SCHEDULE 5 – INTEREST</t>
  </si>
  <si>
    <t>SCHEDULE 6 – ANNUITIES &amp; ROYALTIES ETC.</t>
  </si>
  <si>
    <t>SCHEDULE 7 – INCOME FROM ANY OTHER SOURCE</t>
  </si>
  <si>
    <t>SCHEDULE 8 – LOSS FROM TRADE, BUSINESS, PROFESSION OR VOCATION</t>
  </si>
  <si>
    <t>219A</t>
  </si>
  <si>
    <t>SCHEDULE 9 – INTEREST, ANNUITIES &amp; ROYALTIES AND GROUND RENT PAID</t>
  </si>
  <si>
    <t>A. Interest</t>
  </si>
  <si>
    <t>B. Annuities &amp; Royalties and Ground Rent Paid</t>
  </si>
  <si>
    <t>Sub Total of Annuities &amp; Royalties and Ground</t>
  </si>
  <si>
    <t>Rent Paid (Sum of Amount Paid, 232)</t>
  </si>
  <si>
    <t>SCHEDULE 10 – QUALIFYING PAYMENT</t>
  </si>
  <si>
    <t>A.</t>
  </si>
  <si>
    <t>Donation to Government</t>
  </si>
  <si>
    <t>306A</t>
  </si>
  <si>
    <t>B.</t>
  </si>
  <si>
    <t>Insurance Premium</t>
  </si>
  <si>
    <t xml:space="preserve">   Donation made during the year</t>
  </si>
  <si>
    <t xml:space="preserve">   Aggregate of Cages 302 and 304</t>
  </si>
  <si>
    <t xml:space="preserve">   Income from Employment </t>
  </si>
  <si>
    <t xml:space="preserve">   Profits from Trade, Business, Profession or Vocation</t>
  </si>
  <si>
    <t xml:space="preserve">   Net Annual Value and/or Rent</t>
  </si>
  <si>
    <t xml:space="preserve">   Dividend</t>
  </si>
  <si>
    <t xml:space="preserve">   Interest</t>
  </si>
  <si>
    <t xml:space="preserve">   Annuities and Royalties Etc.</t>
  </si>
  <si>
    <t xml:space="preserve">   Income from any other source</t>
  </si>
  <si>
    <t xml:space="preserve">   Child Income</t>
  </si>
  <si>
    <t xml:space="preserve">   Deductible losses from Trade, Business, Profession or Vocation</t>
  </si>
  <si>
    <t xml:space="preserve">   Interest, Annuities &amp; Royalties, Ground Rent Paid</t>
  </si>
  <si>
    <t xml:space="preserve">   Tax on Once-and-for-all receipts from Employment</t>
  </si>
  <si>
    <t xml:space="preserve">   Tax on balance Taxable Income</t>
  </si>
  <si>
    <t xml:space="preserve">   Tax Credit</t>
  </si>
  <si>
    <t>Insurance premium paid on special insurance policy which covers incurable diseases</t>
  </si>
  <si>
    <t>C.</t>
  </si>
  <si>
    <t>Investment made in a Project of Government’s Development Plan</t>
  </si>
  <si>
    <t>Balance brought forward from previous year (if any)</t>
  </si>
  <si>
    <t>312A</t>
  </si>
  <si>
    <t>Investment made during the year</t>
  </si>
  <si>
    <t>Aggregate of cages 308 &amp; 310 or 25,000 LKR whichever is lesser</t>
  </si>
  <si>
    <t>D.</t>
  </si>
  <si>
    <t>Donation made to Approved Charities</t>
  </si>
  <si>
    <t>E.</t>
  </si>
  <si>
    <t>Insurance Premium paid (life &amp; medical insurance policy)</t>
  </si>
  <si>
    <t>*Subjected to 1/3 of the amount in Cage 250, “Accessible Income” of the Main Return</t>
  </si>
  <si>
    <t>F.</t>
  </si>
  <si>
    <t>Investment in Production of Films</t>
  </si>
  <si>
    <t>Balance B/F from previous year, of films produced on or after 01.04.2007 but before 31.03.2008</t>
  </si>
  <si>
    <t>Amount in cage 322 or 25 Million LKR, whichever is lesser</t>
  </si>
  <si>
    <t>324A</t>
  </si>
  <si>
    <t>G.</t>
  </si>
  <si>
    <t>F1.</t>
  </si>
  <si>
    <t>Balance B/F from previous year, of films produced on/after 01.04.2008</t>
  </si>
  <si>
    <t>Expenditure incurred during the year</t>
  </si>
  <si>
    <t>Aggregate amount in cage 326 &amp; 328 or 35 Million LKR, whichever is lesser</t>
  </si>
  <si>
    <t>330A</t>
  </si>
  <si>
    <t>50% of investment in shares of Venture Capital companies enjoying Tax holidays</t>
  </si>
  <si>
    <t>Amount invested during the year</t>
  </si>
  <si>
    <t>Amount in cage 332 subject to 1/3 of amount in cage 250 of the Return</t>
  </si>
  <si>
    <t>H.</t>
  </si>
  <si>
    <t>Un-deducted balance of investment in the purchase of shares, prior to 01.04.2000 in</t>
  </si>
  <si>
    <t xml:space="preserve"> a BOI company referred to in Section 31(2)(s) of the Inland Revenue Act No.28 of 1979 </t>
  </si>
  <si>
    <t>not exceeding 1/3rd of the figure in cage 250 of the Return</t>
  </si>
  <si>
    <t>I.</t>
  </si>
  <si>
    <t>Expenditure on construction &amp; equipping of a cinema</t>
  </si>
  <si>
    <t>Aggregate amount in cage 338 &amp; 340 or 25 Million LKR whichever is lesser</t>
  </si>
  <si>
    <t>342A</t>
  </si>
  <si>
    <t>J.</t>
  </si>
  <si>
    <t>Expenditure on upgrading of a cinema</t>
  </si>
  <si>
    <t>Aggregate amount in cage 344 &amp; 346 or 10 Million LKR whichever is lesser</t>
  </si>
  <si>
    <t>348A</t>
  </si>
  <si>
    <t>K.</t>
  </si>
  <si>
    <t>Expenditure on construction of houses for low income families</t>
  </si>
  <si>
    <t>Aggregate amount in cage 350 &amp; 352</t>
  </si>
  <si>
    <t>354A</t>
  </si>
  <si>
    <t>L.</t>
  </si>
  <si>
    <t xml:space="preserve">Balance B/F of any expenditure incurred prior to 01.04.2011 in either construction or </t>
  </si>
  <si>
    <t>purchase of a house otherwise than out of a loan</t>
  </si>
  <si>
    <t>100,000 LKR or 1/3 of the figure in cage 250 of the Return whichever is lesser</t>
  </si>
  <si>
    <t>358A</t>
  </si>
  <si>
    <t>M.</t>
  </si>
  <si>
    <t xml:space="preserve">Expenditure on any Community Development Project carried on in any economically </t>
  </si>
  <si>
    <t>marginalized village</t>
  </si>
  <si>
    <t>Amount in cage 360 or 1 Million LKR whichever is lesser</t>
  </si>
  <si>
    <t>N.</t>
  </si>
  <si>
    <t>Investment made (not less than 50 Million LKR) during the period on/after 01.04.2011</t>
  </si>
  <si>
    <t xml:space="preserve">new undertaking which is qualified for exemption  under Section 16 C or </t>
  </si>
  <si>
    <t>investment in high tech</t>
  </si>
  <si>
    <t xml:space="preserve">but before 01.04.2014 or 01.04.2015 as the case may be in the expansion of </t>
  </si>
  <si>
    <t>Aggregate amount in cage 364 &amp; 365 or 25% of the payment whichever is lesser</t>
  </si>
  <si>
    <t>366A</t>
  </si>
  <si>
    <t>O.</t>
  </si>
  <si>
    <t xml:space="preserve">Investment made (not less than sum referred to in Column ii of Section 16 D in </t>
  </si>
  <si>
    <t>undertaking engaged in manufacture of any product commenced on /</t>
  </si>
  <si>
    <t>after 01.04.2014</t>
  </si>
  <si>
    <t>Amount in cage 368 or 25% of the payment whichever is lesser</t>
  </si>
  <si>
    <t>369A</t>
  </si>
  <si>
    <t>P.</t>
  </si>
  <si>
    <t>Allowance on Employment Income (Other than referred to in Section 4(1)(C) )</t>
  </si>
  <si>
    <t>Lower of Employment Income over 500,000 LKR or 250,000 LKR</t>
  </si>
  <si>
    <t>Q.</t>
  </si>
  <si>
    <t>apartment by a professional, 600,000 LKR or actual expenditure whichever is lesser</t>
  </si>
  <si>
    <t>GRAND TOTAL</t>
  </si>
  <si>
    <t>SCHEDULE 11 – TAX CREDIT</t>
  </si>
  <si>
    <t>Credit for ESC Paid</t>
  </si>
  <si>
    <t>ESC Credit brought forward from previous years</t>
  </si>
  <si>
    <t>2013/2014</t>
  </si>
  <si>
    <t>2014/2015</t>
  </si>
  <si>
    <t>2015/2016</t>
  </si>
  <si>
    <t>ESC Paid for the current year</t>
  </si>
  <si>
    <t>C1.</t>
  </si>
  <si>
    <t>C2.</t>
  </si>
  <si>
    <t>C3.</t>
  </si>
  <si>
    <t>Share of ESC Paid by Partnership</t>
  </si>
  <si>
    <t>C4.</t>
  </si>
  <si>
    <t>C5.</t>
  </si>
  <si>
    <t>Final Payment</t>
  </si>
  <si>
    <t>SCHEDULE 12 – TAX CALCULATION</t>
  </si>
  <si>
    <t>Enter Total Taxable Income from Cage 410 of the Main Return</t>
  </si>
  <si>
    <t>Enter Amount in yellow cages only. The white cages will be automatically sum</t>
  </si>
  <si>
    <t>.1</t>
  </si>
  <si>
    <t>.2</t>
  </si>
  <si>
    <t>.3</t>
  </si>
  <si>
    <t>.4</t>
  </si>
  <si>
    <t>.5</t>
  </si>
  <si>
    <t>.6</t>
  </si>
  <si>
    <t>Rs.</t>
  </si>
  <si>
    <t>Employment Income</t>
  </si>
  <si>
    <t>(Including director fees and employment income)</t>
  </si>
  <si>
    <r>
      <t xml:space="preserve">Total Income from Employment </t>
    </r>
    <r>
      <rPr>
        <sz val="11"/>
        <color theme="1"/>
        <rFont val="Times New Roman"/>
        <family val="1"/>
      </rPr>
      <t>(105 + 106)</t>
    </r>
  </si>
  <si>
    <t>Once-and-for-all Receipts</t>
  </si>
  <si>
    <t>(Including directorship and employment )</t>
  </si>
  <si>
    <t>Income</t>
  </si>
  <si>
    <t xml:space="preserve">Total Income from Sole Proprietorship </t>
  </si>
  <si>
    <r>
      <t xml:space="preserve">and Partnership </t>
    </r>
    <r>
      <rPr>
        <sz val="11"/>
        <color theme="1"/>
        <rFont val="Times New Roman"/>
        <family val="1"/>
      </rPr>
      <t>(115 + 118)</t>
    </r>
  </si>
  <si>
    <t>Property 1</t>
  </si>
  <si>
    <t>Property 2</t>
  </si>
  <si>
    <t>Property 3</t>
  </si>
  <si>
    <t>Sub Total of Rent</t>
  </si>
  <si>
    <t>Property 4</t>
  </si>
  <si>
    <t>Property 5</t>
  </si>
  <si>
    <t>Property 6</t>
  </si>
  <si>
    <t>Net Income</t>
  </si>
  <si>
    <t>Sub Total of Net Annual Value</t>
  </si>
  <si>
    <r>
      <t xml:space="preserve">Less Net Annual Value of One Residence </t>
    </r>
    <r>
      <rPr>
        <sz val="11"/>
        <color theme="1"/>
        <rFont val="Times New Roman"/>
        <family val="1"/>
      </rPr>
      <t>(which you resides in)</t>
    </r>
  </si>
  <si>
    <r>
      <t xml:space="preserve">Balance Net Annual Value </t>
    </r>
    <r>
      <rPr>
        <sz val="11"/>
        <color theme="1"/>
        <rFont val="Times New Roman"/>
        <family val="1"/>
      </rPr>
      <t>(124 - 125)</t>
    </r>
  </si>
  <si>
    <r>
      <t xml:space="preserve">Total Rent and Net Annual Value </t>
    </r>
    <r>
      <rPr>
        <sz val="11"/>
        <color theme="1"/>
        <rFont val="Times New Roman"/>
        <family val="1"/>
      </rPr>
      <t>(122 + 126)</t>
    </r>
  </si>
  <si>
    <t>Dividend Income (LKR)</t>
  </si>
  <si>
    <t>Interest Income (LKR)</t>
  </si>
  <si>
    <t>Income (LKR)</t>
  </si>
  <si>
    <t>Please enter the amount in yellow box below</t>
  </si>
  <si>
    <t>IIT - Tax Calculator</t>
  </si>
  <si>
    <r>
      <t xml:space="preserve">TOTAL STATUTORY INCOME </t>
    </r>
    <r>
      <rPr>
        <sz val="11"/>
        <color theme="1"/>
        <rFont val="Times New Roman"/>
        <family val="1"/>
      </rPr>
      <t>(100+110+120+130+140+150+160+170)</t>
    </r>
  </si>
  <si>
    <r>
      <t>Total Deductions from Total Statutory Income</t>
    </r>
    <r>
      <rPr>
        <sz val="11"/>
        <color theme="1"/>
        <rFont val="Times New Roman"/>
        <family val="1"/>
      </rPr>
      <t xml:space="preserve"> (210 + 220)</t>
    </r>
  </si>
  <si>
    <r>
      <t>Assessable Income</t>
    </r>
    <r>
      <rPr>
        <sz val="11"/>
        <color theme="1"/>
        <rFont val="Times New Roman"/>
        <family val="1"/>
      </rPr>
      <t xml:space="preserve"> (200 - 240)</t>
    </r>
  </si>
  <si>
    <r>
      <t>Tax Free Allowance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only applicable to citizens</t>
    </r>
    <r>
      <rPr>
        <sz val="11"/>
        <color theme="1"/>
        <rFont val="Times New Roman"/>
        <family val="1"/>
      </rPr>
      <t>)</t>
    </r>
  </si>
  <si>
    <r>
      <t>Total Deduction From Assessable Income</t>
    </r>
    <r>
      <rPr>
        <sz val="11"/>
        <color theme="1"/>
        <rFont val="Times New Roman"/>
        <family val="1"/>
      </rPr>
      <t xml:space="preserve"> (260 + 300)</t>
    </r>
  </si>
  <si>
    <r>
      <t>TAXABLE INCOME</t>
    </r>
    <r>
      <rPr>
        <sz val="11"/>
        <color theme="1"/>
        <rFont val="Times New Roman"/>
        <family val="1"/>
      </rPr>
      <t xml:space="preserve"> (250-400)</t>
    </r>
  </si>
  <si>
    <r>
      <t>Gross Income Tax Payable</t>
    </r>
    <r>
      <rPr>
        <sz val="11"/>
        <color theme="1"/>
        <rFont val="Times New Roman"/>
        <family val="1"/>
      </rPr>
      <t xml:space="preserve"> (500+520)</t>
    </r>
  </si>
  <si>
    <r>
      <t>Tax Payable</t>
    </r>
    <r>
      <rPr>
        <sz val="11"/>
        <color theme="1"/>
        <rFont val="Times New Roman"/>
        <family val="1"/>
      </rPr>
      <t xml:space="preserve"> (if 530 &gt; 540, = 530 – 540)</t>
    </r>
  </si>
  <si>
    <r>
      <t>Refund Claimed</t>
    </r>
    <r>
      <rPr>
        <sz val="11"/>
        <color theme="1"/>
        <rFont val="Times New Roman"/>
        <family val="1"/>
      </rPr>
      <t xml:space="preserve"> (if 530 &lt; 540, = 540 – 530)</t>
    </r>
  </si>
  <si>
    <t>Amount of Deductible Loss (LKR)</t>
  </si>
  <si>
    <r>
      <t xml:space="preserve">Total Loss Incurred During the year </t>
    </r>
    <r>
      <rPr>
        <sz val="11"/>
        <color theme="1"/>
        <rFont val="Times New Roman"/>
        <family val="1"/>
      </rPr>
      <t>(Sum of Amount of Deductible Loss, 214)</t>
    </r>
  </si>
  <si>
    <r>
      <t xml:space="preserve">Deductible Loss Brought Forward from previous year  </t>
    </r>
    <r>
      <rPr>
        <sz val="11"/>
        <color theme="1"/>
        <rFont val="Times New Roman"/>
        <family val="1"/>
      </rPr>
      <t>(if any)</t>
    </r>
  </si>
  <si>
    <r>
      <t xml:space="preserve">Total Loss </t>
    </r>
    <r>
      <rPr>
        <sz val="11"/>
        <color theme="1"/>
        <rFont val="Times New Roman"/>
        <family val="1"/>
      </rPr>
      <t>(215 + 216)</t>
    </r>
  </si>
  <si>
    <r>
      <t xml:space="preserve">35% of Statutory Income </t>
    </r>
    <r>
      <rPr>
        <sz val="11"/>
        <color theme="1"/>
        <rFont val="Times New Roman"/>
        <family val="1"/>
      </rPr>
      <t xml:space="preserve">(35% of </t>
    </r>
    <r>
      <rPr>
        <b/>
        <sz val="11"/>
        <color theme="1"/>
        <rFont val="Times New Roman"/>
        <family val="1"/>
      </rPr>
      <t>Cage 200</t>
    </r>
    <r>
      <rPr>
        <sz val="11"/>
        <color theme="1"/>
        <rFont val="Times New Roman"/>
        <family val="1"/>
      </rPr>
      <t xml:space="preserve"> from Main Return)</t>
    </r>
  </si>
  <si>
    <r>
      <t xml:space="preserve">Lesser Amount of Cage 217 or Cage 218 </t>
    </r>
    <r>
      <rPr>
        <sz val="11"/>
        <color theme="1"/>
        <rFont val="Times New Roman"/>
        <family val="1"/>
      </rPr>
      <t xml:space="preserve">(Enter amount into </t>
    </r>
    <r>
      <rPr>
        <b/>
        <sz val="11"/>
        <color theme="1"/>
        <rFont val="Times New Roman"/>
        <family val="1"/>
      </rPr>
      <t>Cage 210</t>
    </r>
    <r>
      <rPr>
        <sz val="11"/>
        <color theme="1"/>
        <rFont val="Times New Roman"/>
        <family val="1"/>
      </rPr>
      <t xml:space="preserve"> of the Main Return)</t>
    </r>
  </si>
  <si>
    <r>
      <t xml:space="preserve">Balance Deductible Losses Carried Forward to next year </t>
    </r>
    <r>
      <rPr>
        <sz val="11"/>
        <color theme="1"/>
        <rFont val="Times New Roman"/>
        <family val="1"/>
      </rPr>
      <t>(217 - 219)</t>
    </r>
  </si>
  <si>
    <t>Interest Paid (LKR)</t>
  </si>
  <si>
    <r>
      <t xml:space="preserve">Sub Total of Interest Paid </t>
    </r>
    <r>
      <rPr>
        <sz val="11"/>
        <color theme="1"/>
        <rFont val="Times New Roman"/>
        <family val="1"/>
      </rPr>
      <t>(Sum of Interest Paid, 226)</t>
    </r>
  </si>
  <si>
    <t>Amount Paid (LKR)</t>
  </si>
  <si>
    <r>
      <t xml:space="preserve">Total Interest, Annuities &amp; Royalties and Ground Rent Paid </t>
    </r>
    <r>
      <rPr>
        <sz val="11"/>
        <color theme="1"/>
        <rFont val="Times New Roman"/>
        <family val="1"/>
      </rPr>
      <t>(227 + 233)</t>
    </r>
  </si>
  <si>
    <t xml:space="preserve">   Balance brought forward from previous year (if any)</t>
  </si>
  <si>
    <t xml:space="preserve">   Amount C/F to next Y/A (if any)</t>
  </si>
  <si>
    <t>Amount C/F to next Y/A (if any) “(308 + 310) – 312 = 312A”</t>
  </si>
  <si>
    <t>Insurance Premium Paid (life &amp; medical insurance policy)</t>
  </si>
  <si>
    <t>Aggregate of cages 314 &amp; 316 or 75,000 LKR whichever is lesser*</t>
  </si>
  <si>
    <t>Amount C/F to next Y/A (if any)</t>
  </si>
  <si>
    <t>Balance B/F from previous year (if any)</t>
  </si>
  <si>
    <t>Amount C/F to next Y/A (if any) “(338 + 340) – 342 = 342A”</t>
  </si>
  <si>
    <t>Amount C/F to next Y/A (if any) “(344 + 346) – 348 = 348A”</t>
  </si>
  <si>
    <t>Amount C/F to next Y/A (if any) (Maximum carry forward for 10 years)</t>
  </si>
  <si>
    <t>Amount C/F to next Y/A (if any) “364 – 366 = 366A” (Maximum carry forward for 3 years)</t>
  </si>
  <si>
    <t>Amount C/F to next Y/A (if any) “368 – 369 = 369A” (Maximum carry forward for 3 years)</t>
  </si>
  <si>
    <r>
      <t>Repayment of Capital Loan</t>
    </r>
    <r>
      <rPr>
        <sz val="11"/>
        <color theme="1"/>
        <rFont val="Times New Roman"/>
        <family val="1"/>
      </rPr>
      <t xml:space="preserve"> obtained to construction a house/purchase of a partition of an </t>
    </r>
  </si>
  <si>
    <r>
      <t>Relief for Double Tax</t>
    </r>
    <r>
      <rPr>
        <sz val="11"/>
        <color theme="1"/>
        <rFont val="Times New Roman"/>
        <family val="1"/>
      </rPr>
      <t xml:space="preserve"> (if any)</t>
    </r>
  </si>
  <si>
    <r>
      <t>Share of Partnership Tax</t>
    </r>
    <r>
      <rPr>
        <sz val="11"/>
        <color theme="1"/>
        <rFont val="Times New Roman"/>
        <family val="1"/>
      </rPr>
      <t xml:space="preserve"> at 8%</t>
    </r>
  </si>
  <si>
    <r>
      <t xml:space="preserve">Total </t>
    </r>
    <r>
      <rPr>
        <sz val="11"/>
        <color theme="1"/>
        <rFont val="Times New Roman"/>
        <family val="1"/>
      </rPr>
      <t>(550.1 + 550.2 + 550.3)</t>
    </r>
  </si>
  <si>
    <r>
      <t>1</t>
    </r>
    <r>
      <rPr>
        <b/>
        <vertAlign val="superscript"/>
        <sz val="11"/>
        <color theme="1"/>
        <rFont val="Times New Roman"/>
        <family val="1"/>
      </rPr>
      <t>st</t>
    </r>
    <r>
      <rPr>
        <b/>
        <sz val="11"/>
        <color theme="1"/>
        <rFont val="Times New Roman"/>
        <family val="1"/>
      </rPr>
      <t xml:space="preserve"> Quarter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</si>
  <si>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Quarter</t>
    </r>
  </si>
  <si>
    <r>
      <t>3</t>
    </r>
    <r>
      <rPr>
        <b/>
        <vertAlign val="superscript"/>
        <sz val="11"/>
        <color theme="1"/>
        <rFont val="Times New Roman"/>
        <family val="1"/>
      </rPr>
      <t>rd</t>
    </r>
    <r>
      <rPr>
        <b/>
        <sz val="11"/>
        <color theme="1"/>
        <rFont val="Times New Roman"/>
        <family val="1"/>
      </rPr>
      <t xml:space="preserve"> Quarter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</si>
  <si>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Quarter</t>
    </r>
  </si>
  <si>
    <r>
      <t>Total ESC Paid for the current year</t>
    </r>
    <r>
      <rPr>
        <sz val="11"/>
        <color theme="1"/>
        <rFont val="Times New Roman"/>
        <family val="1"/>
      </rPr>
      <t xml:space="preserve"> (552.1 + 552.2 + 552.3 + 552.4)</t>
    </r>
  </si>
  <si>
    <r>
      <t>Total Previous 3 years and current year</t>
    </r>
    <r>
      <rPr>
        <sz val="11"/>
        <color theme="1"/>
        <rFont val="Times New Roman"/>
        <family val="1"/>
      </rPr>
      <t xml:space="preserve"> (551 + 553)</t>
    </r>
  </si>
  <si>
    <r>
      <t xml:space="preserve">Total ESC Credit </t>
    </r>
    <r>
      <rPr>
        <sz val="11"/>
        <color theme="1"/>
        <rFont val="Times New Roman"/>
        <family val="1"/>
      </rPr>
      <t>(554 + 555)</t>
    </r>
  </si>
  <si>
    <r>
      <t xml:space="preserve">If amount in Cage 556 is greater than the Income Tax Payable </t>
    </r>
    <r>
      <rPr>
        <sz val="11"/>
        <color theme="1"/>
        <rFont val="Times New Roman"/>
        <family val="1"/>
      </rPr>
      <t>(Cage 530 of the Main Return)</t>
    </r>
  </si>
  <si>
    <r>
      <t xml:space="preserve">Balance ESC carried forward to the next year </t>
    </r>
    <r>
      <rPr>
        <sz val="11"/>
        <color theme="1"/>
        <rFont val="Times New Roman"/>
        <family val="1"/>
      </rPr>
      <t>(Cage 556 – Cage 530 of the Main Return)</t>
    </r>
  </si>
  <si>
    <r>
      <t xml:space="preserve">ESC Deductible </t>
    </r>
    <r>
      <rPr>
        <sz val="11"/>
        <color theme="1"/>
        <rFont val="Times New Roman"/>
        <family val="1"/>
      </rPr>
      <t>(Cage 556 or Cage 530 of the Main Return, whichever is lesser)</t>
    </r>
  </si>
  <si>
    <r>
      <t xml:space="preserve">PAYE Deductions </t>
    </r>
    <r>
      <rPr>
        <sz val="11"/>
        <color theme="1"/>
        <rFont val="Times New Roman"/>
        <family val="1"/>
      </rPr>
      <t>(Attach PAYE T10 Certificate)</t>
    </r>
  </si>
  <si>
    <r>
      <t xml:space="preserve">10% or 16% tax deducted as the case may be from Director Fee and 10% or 16% tax deducted by the second employer on remuneration </t>
    </r>
    <r>
      <rPr>
        <sz val="11"/>
        <color theme="1"/>
        <rFont val="Times New Roman"/>
        <family val="1"/>
      </rPr>
      <t>(Attach PAYE T-10/D Certificate)</t>
    </r>
  </si>
  <si>
    <r>
      <t xml:space="preserve">Total PAYE Deductions </t>
    </r>
    <r>
      <rPr>
        <sz val="11"/>
        <color theme="1"/>
        <rFont val="Times New Roman"/>
        <family val="1"/>
      </rPr>
      <t>(563.1 + 563.2 + 563.3 + 563.4 + 563.5)</t>
    </r>
  </si>
  <si>
    <r>
      <t xml:space="preserve">Income Tax paid in installment </t>
    </r>
    <r>
      <rPr>
        <sz val="11"/>
        <color theme="1"/>
        <rFont val="Times New Roman"/>
        <family val="1"/>
      </rPr>
      <t>(Attach copies of all Paying-in slips)</t>
    </r>
  </si>
  <si>
    <r>
      <t>1</t>
    </r>
    <r>
      <rPr>
        <b/>
        <u/>
        <vertAlign val="superscript"/>
        <sz val="11"/>
        <color theme="1"/>
        <rFont val="Times New Roman"/>
        <family val="1"/>
      </rPr>
      <t>st</t>
    </r>
    <r>
      <rPr>
        <b/>
        <u/>
        <sz val="11"/>
        <color theme="1"/>
        <rFont val="Times New Roman"/>
        <family val="1"/>
      </rPr>
      <t xml:space="preserve"> Installment</t>
    </r>
  </si>
  <si>
    <t>Discount Amount (LKR)</t>
  </si>
  <si>
    <r>
      <t>2</t>
    </r>
    <r>
      <rPr>
        <b/>
        <u/>
        <vertAlign val="superscript"/>
        <sz val="11"/>
        <color theme="1"/>
        <rFont val="Times New Roman"/>
        <family val="1"/>
      </rPr>
      <t>nd</t>
    </r>
    <r>
      <rPr>
        <b/>
        <u/>
        <sz val="11"/>
        <color theme="1"/>
        <rFont val="Times New Roman"/>
        <family val="1"/>
      </rPr>
      <t xml:space="preserve"> Installment</t>
    </r>
  </si>
  <si>
    <r>
      <t>3</t>
    </r>
    <r>
      <rPr>
        <b/>
        <u/>
        <vertAlign val="superscript"/>
        <sz val="11"/>
        <color theme="1"/>
        <rFont val="Times New Roman"/>
        <family val="1"/>
      </rPr>
      <t>rd</t>
    </r>
    <r>
      <rPr>
        <b/>
        <u/>
        <sz val="11"/>
        <color theme="1"/>
        <rFont val="Times New Roman"/>
        <family val="1"/>
      </rPr>
      <t xml:space="preserve"> Installment</t>
    </r>
  </si>
  <si>
    <r>
      <t>4</t>
    </r>
    <r>
      <rPr>
        <b/>
        <u/>
        <vertAlign val="superscript"/>
        <sz val="11"/>
        <color theme="1"/>
        <rFont val="Times New Roman"/>
        <family val="1"/>
      </rPr>
      <t>th</t>
    </r>
    <r>
      <rPr>
        <b/>
        <u/>
        <sz val="11"/>
        <color theme="1"/>
        <rFont val="Times New Roman"/>
        <family val="1"/>
      </rPr>
      <t xml:space="preserve"> Installment</t>
    </r>
  </si>
  <si>
    <r>
      <t xml:space="preserve">Total Paid </t>
    </r>
    <r>
      <rPr>
        <sz val="11"/>
        <color theme="1"/>
        <rFont val="Times New Roman"/>
        <family val="1"/>
      </rPr>
      <t>(570.2 + 571.2 + 572.2 + 573.2 + 574)</t>
    </r>
  </si>
  <si>
    <r>
      <t xml:space="preserve">Total Discount </t>
    </r>
    <r>
      <rPr>
        <sz val="11"/>
        <color theme="1"/>
        <rFont val="Times New Roman"/>
        <family val="1"/>
      </rPr>
      <t>(570.3 + 571.3 + 572.3 + 573.3)</t>
    </r>
  </si>
  <si>
    <r>
      <t xml:space="preserve">Total </t>
    </r>
    <r>
      <rPr>
        <sz val="11"/>
        <color theme="1"/>
        <rFont val="Times New Roman"/>
        <family val="1"/>
      </rPr>
      <t>(575 + 581)</t>
    </r>
  </si>
  <si>
    <r>
      <t xml:space="preserve">Refund brought forward from previous year </t>
    </r>
    <r>
      <rPr>
        <sz val="11"/>
        <color theme="1"/>
        <rFont val="Times New Roman"/>
        <family val="1"/>
      </rPr>
      <t>(if any)</t>
    </r>
  </si>
  <si>
    <r>
      <t xml:space="preserve">Any other credits </t>
    </r>
    <r>
      <rPr>
        <sz val="11"/>
        <color theme="1"/>
        <rFont val="Times New Roman"/>
        <family val="1"/>
      </rPr>
      <t>(if any)</t>
    </r>
  </si>
  <si>
    <r>
      <t xml:space="preserve">Grand Total </t>
    </r>
    <r>
      <rPr>
        <sz val="11"/>
        <color theme="1"/>
        <rFont val="Times New Roman"/>
        <family val="1"/>
      </rPr>
      <t>(542 + 543 + 560 + 562 + 563 + 582 + 583 + 584)</t>
    </r>
  </si>
  <si>
    <t>(306 + 307 + 312 + 320 + 324 + 330 + 334 + 336 + 342 + 348 + 354 + 358 + 362 + 366 +</t>
  </si>
  <si>
    <t xml:space="preserve"> 369 + 370 + 380)</t>
  </si>
  <si>
    <r>
      <rPr>
        <b/>
        <sz val="12"/>
        <color theme="1"/>
        <rFont val="Times New Roman"/>
        <family val="1"/>
      </rPr>
      <t>Instructions:</t>
    </r>
    <r>
      <rPr>
        <sz val="12"/>
        <color theme="1"/>
        <rFont val="Times New Roman"/>
        <family val="1"/>
      </rPr>
      <t xml:space="preserve"> Please only fill in the box that is yellow</t>
    </r>
  </si>
  <si>
    <r>
      <t xml:space="preserve">Total Dividend Income </t>
    </r>
    <r>
      <rPr>
        <sz val="11"/>
        <color theme="1"/>
        <rFont val="Times New Roman"/>
        <family val="1"/>
      </rPr>
      <t>(Sum of Dividend Income, 133)</t>
    </r>
  </si>
  <si>
    <r>
      <t xml:space="preserve">Total Dividend Income </t>
    </r>
    <r>
      <rPr>
        <sz val="11"/>
        <color theme="1"/>
        <rFont val="Times New Roman"/>
        <family val="1"/>
      </rPr>
      <t>(Sum of Interest Income, 145)</t>
    </r>
  </si>
  <si>
    <r>
      <t xml:space="preserve">Total Annuities &amp; Royalties etc. Income </t>
    </r>
    <r>
      <rPr>
        <sz val="11"/>
        <color theme="1"/>
        <rFont val="Times New Roman"/>
        <family val="1"/>
      </rPr>
      <t xml:space="preserve">(Sum of Income, 153) </t>
    </r>
  </si>
  <si>
    <r>
      <t xml:space="preserve">Total Income from any other source </t>
    </r>
    <r>
      <rPr>
        <sz val="11"/>
        <color theme="1"/>
        <rFont val="Times New Roman"/>
        <family val="1"/>
      </rPr>
      <t xml:space="preserve">(Sum of Income, 163) </t>
    </r>
  </si>
  <si>
    <t>PAYE for Pnce-and-for-all-receipts</t>
  </si>
  <si>
    <t>Employment 1</t>
  </si>
  <si>
    <t>Employment 2</t>
  </si>
  <si>
    <t>Employment 3</t>
  </si>
  <si>
    <t>Employment 4</t>
  </si>
  <si>
    <t>Enter Once-and-for-all receipts from Cage 106 of Schedule 1</t>
  </si>
  <si>
    <t>Once-and-for-all receipts under normal rates</t>
  </si>
  <si>
    <t>Tax on Once-and-for-all receipts at normal rate</t>
  </si>
  <si>
    <t>Once-and-for-all receipts under special rates</t>
  </si>
  <si>
    <t>Tax on Balance Taxable Income</t>
  </si>
  <si>
    <t>I. Tax on Special Rates</t>
  </si>
  <si>
    <t>Taxable income from regular Employment</t>
  </si>
  <si>
    <t>Tax on Employment income</t>
  </si>
  <si>
    <t>Taxable income from Professional service (Section 59F)</t>
  </si>
  <si>
    <t>Tax on Professional service (Section 59F)</t>
  </si>
  <si>
    <t>Any other taxable income on special rates’( please specify Section/schedule No of the ACT)</t>
  </si>
  <si>
    <t>Section/Schedule No:</t>
  </si>
  <si>
    <t>More than 20 years</t>
  </si>
  <si>
    <t>20 years or below</t>
  </si>
  <si>
    <t>Income amount:</t>
  </si>
  <si>
    <t>Total tax payable on taxable income on special rates (862.2 + 862.4 + 862.6)</t>
  </si>
  <si>
    <t xml:space="preserve">Years of service: </t>
  </si>
  <si>
    <t>Tax on Once-and-for-all receipts special rates</t>
  </si>
  <si>
    <t>Total tax from Once-and-for-all receipts (Total of 854+856)</t>
  </si>
  <si>
    <t>862.1a</t>
  </si>
  <si>
    <t>862.3a</t>
  </si>
  <si>
    <t>862.5a</t>
  </si>
  <si>
    <t>II. Tax on Standard Rates</t>
  </si>
  <si>
    <t>Taxable income on standard rates</t>
  </si>
  <si>
    <t>Tax on taxable income on standard rates</t>
  </si>
  <si>
    <t>Total tax on balance taxable income (859+861+863+867)</t>
  </si>
  <si>
    <t xml:space="preserve">Tax rate at 0% for Once-and-for-all-receipt special rate = </t>
  </si>
  <si>
    <t>Total</t>
  </si>
  <si>
    <t>OAFA Normal</t>
  </si>
  <si>
    <t>59F</t>
  </si>
  <si>
    <t>59B2</t>
  </si>
  <si>
    <t>59B3</t>
  </si>
  <si>
    <t>OAFA</t>
  </si>
  <si>
    <t>OAFA SP</t>
  </si>
  <si>
    <t>Employment</t>
  </si>
  <si>
    <t>Standard</t>
  </si>
  <si>
    <t>48A</t>
  </si>
  <si>
    <t>56C</t>
  </si>
  <si>
    <t>48B</t>
  </si>
  <si>
    <t>59E</t>
  </si>
  <si>
    <t>56B</t>
  </si>
  <si>
    <t>46A</t>
  </si>
  <si>
    <t>59A</t>
  </si>
  <si>
    <t>59B</t>
  </si>
  <si>
    <t>59C</t>
  </si>
  <si>
    <t>Please note that all other income, and business income which does not falls in the rate table in "IIT Tax Rates" tab is standard rates</t>
  </si>
  <si>
    <t>Details found in "IIT Tax Rates" tab</t>
  </si>
  <si>
    <t>OAFA SP Tax</t>
  </si>
  <si>
    <t>Total OAFA</t>
  </si>
  <si>
    <t>59B1</t>
  </si>
  <si>
    <t>Background Calculation</t>
  </si>
  <si>
    <t>Total Income</t>
  </si>
  <si>
    <t>OAFA Special</t>
  </si>
  <si>
    <t>Inc #</t>
  </si>
  <si>
    <t>Total employment</t>
  </si>
  <si>
    <t>Total Stand,Emp,59F,59B</t>
  </si>
  <si>
    <t>Total 59B Max 10</t>
  </si>
  <si>
    <t>Total 59B Max 12</t>
  </si>
  <si>
    <t>Total 59B Max 16</t>
  </si>
  <si>
    <t>Total 59B Flat 10</t>
  </si>
  <si>
    <t>Total 59B Flat 12</t>
  </si>
  <si>
    <t>Total 59B Flat 40</t>
  </si>
  <si>
    <t>Total Stand,Emp,59F</t>
  </si>
  <si>
    <t>Total Stand,Emp</t>
  </si>
  <si>
    <t>If Max,for use in O52 total</t>
  </si>
  <si>
    <t>If you have more than one professional service income, please sum them together in cage 860</t>
  </si>
  <si>
    <t xml:space="preserve">59F tax rate based on table found in "IIT Tax Rates" tab. </t>
  </si>
  <si>
    <t>4a</t>
  </si>
  <si>
    <t>Deduction</t>
  </si>
  <si>
    <t>2a</t>
  </si>
  <si>
    <t>3a</t>
  </si>
  <si>
    <t>Tax Distribution</t>
  </si>
  <si>
    <t xml:space="preserve">  Employment</t>
  </si>
  <si>
    <t xml:space="preserve">  OAFA Normal</t>
  </si>
  <si>
    <t>Emp</t>
  </si>
  <si>
    <r>
      <t xml:space="preserve">To check if your business is listed, go to </t>
    </r>
    <r>
      <rPr>
        <b/>
        <i/>
        <sz val="10"/>
        <color theme="1"/>
        <rFont val="Times New Roman"/>
        <family val="1"/>
      </rPr>
      <t>IIT Tax Rates</t>
    </r>
    <r>
      <rPr>
        <i/>
        <sz val="10"/>
        <color theme="1"/>
        <rFont val="Times New Roman"/>
        <family val="1"/>
      </rPr>
      <t xml:space="preserve"> tab. If your business is not listed, it should go to standard rates.</t>
    </r>
  </si>
  <si>
    <r>
      <t xml:space="preserve">Please fill in 862.1 first if you have one business that falls in any of the category in the </t>
    </r>
    <r>
      <rPr>
        <i/>
        <u/>
        <sz val="10"/>
        <color theme="1"/>
        <rFont val="Times New Roman"/>
        <family val="1"/>
      </rPr>
      <t>dropdown</t>
    </r>
    <r>
      <rPr>
        <i/>
        <sz val="10"/>
        <color theme="1"/>
        <rFont val="Times New Roman"/>
        <family val="1"/>
      </rPr>
      <t>, follow by 862.3, then 862.5.</t>
    </r>
  </si>
  <si>
    <t>O43 = total standard</t>
  </si>
  <si>
    <t>O46 = Total Employment</t>
  </si>
  <si>
    <t>Max Tax</t>
  </si>
  <si>
    <t>Tier Income</t>
  </si>
  <si>
    <t>Tax Rate</t>
  </si>
  <si>
    <t>Tier Accum.</t>
  </si>
  <si>
    <t>O47 = OAFA Special</t>
  </si>
  <si>
    <t>O48 = 59F</t>
  </si>
  <si>
    <t>O49 = 59B1</t>
  </si>
  <si>
    <t>O50 = 59B2</t>
  </si>
  <si>
    <t>O51 = 59B3</t>
  </si>
  <si>
    <t>Cage 851 should be = 853 + 855 + 858 + 860 + 862.1 + 862.3 + 862.5 + 866</t>
  </si>
  <si>
    <t>YEAR OF ASSESSMENT : 2016/2017 and 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</si>
</sst>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theme="0"/>
      <name val="Times New Roman"/>
      <family val="1"/>
    </font>
    <font>
      <b/>
      <sz val="11"/>
      <color rgb="FF2F5496"/>
      <name val="Times New Roman"/>
      <family val="1"/>
    </font>
    <font>
      <i/>
      <sz val="11"/>
      <color theme="1"/>
      <name val="Times New Roman"/>
      <family val="1"/>
    </font>
    <font>
      <b/>
      <sz val="14"/>
      <color rgb="FF2F5496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</font>
    <font>
      <b/>
      <vertAlign val="superscript"/>
      <sz val="11"/>
      <color theme="1"/>
      <name val="Times New Roman"/>
      <family val="1"/>
    </font>
    <font>
      <b/>
      <u/>
      <vertAlign val="superscript"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i/>
      <sz val="9"/>
      <color rgb="FFFF0000"/>
      <name val="Times New Roman"/>
      <family val="1"/>
    </font>
    <font>
      <sz val="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u/>
      <sz val="10"/>
      <color theme="1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53">
    <xf numFmtId="0" fontId="0" fillId="0" borderId="0" xfId="0"/>
    <xf numFmtId="4" fontId="2" fillId="3" borderId="2" xfId="0" applyNumberFormat="1" applyFont="1" applyFill="1" applyBorder="1" applyProtection="1">
      <protection hidden="1"/>
    </xf>
    <xf numFmtId="4" fontId="2" fillId="2" borderId="1" xfId="0" applyNumberFormat="1" applyFont="1" applyFill="1" applyBorder="1" applyProtection="1">
      <protection locked="0"/>
    </xf>
    <xf numFmtId="4" fontId="2" fillId="2" borderId="2" xfId="0" applyNumberFormat="1" applyFont="1" applyFill="1" applyBorder="1" applyProtection="1">
      <protection locked="0"/>
    </xf>
    <xf numFmtId="4" fontId="2" fillId="3" borderId="3" xfId="0" applyNumberFormat="1" applyFont="1" applyFill="1" applyBorder="1" applyProtection="1">
      <protection hidden="1"/>
    </xf>
    <xf numFmtId="2" fontId="2" fillId="2" borderId="1" xfId="0" applyNumberFormat="1" applyFont="1" applyFill="1" applyBorder="1" applyProtection="1">
      <protection locked="0"/>
    </xf>
    <xf numFmtId="2" fontId="2" fillId="2" borderId="2" xfId="0" applyNumberFormat="1" applyFont="1" applyFill="1" applyBorder="1" applyProtection="1">
      <protection locked="0"/>
    </xf>
    <xf numFmtId="2" fontId="2" fillId="3" borderId="1" xfId="0" applyNumberFormat="1" applyFont="1" applyFill="1" applyBorder="1" applyProtection="1">
      <protection hidden="1"/>
    </xf>
    <xf numFmtId="0" fontId="5" fillId="0" borderId="0" xfId="0" applyFont="1" applyProtection="1"/>
    <xf numFmtId="0" fontId="2" fillId="0" borderId="0" xfId="0" applyFont="1" applyProtection="1"/>
    <xf numFmtId="0" fontId="1" fillId="0" borderId="0" xfId="0" applyFont="1" applyProtection="1"/>
    <xf numFmtId="0" fontId="3" fillId="4" borderId="0" xfId="0" applyFont="1" applyFill="1" applyAlignment="1" applyProtection="1">
      <alignment horizontal="center"/>
    </xf>
    <xf numFmtId="4" fontId="2" fillId="0" borderId="0" xfId="0" applyNumberFormat="1" applyFont="1" applyProtection="1"/>
    <xf numFmtId="0" fontId="1" fillId="0" borderId="0" xfId="0" applyFont="1" applyAlignment="1" applyProtection="1">
      <alignment horizontal="left"/>
    </xf>
    <xf numFmtId="4" fontId="2" fillId="3" borderId="0" xfId="0" applyNumberFormat="1" applyFont="1" applyFill="1" applyBorder="1" applyProtection="1"/>
    <xf numFmtId="0" fontId="2" fillId="0" borderId="0" xfId="0" applyFont="1" applyProtection="1">
      <protection hidden="1"/>
    </xf>
    <xf numFmtId="2" fontId="2" fillId="3" borderId="0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4" fontId="2" fillId="3" borderId="1" xfId="0" applyNumberFormat="1" applyFont="1" applyFill="1" applyBorder="1" applyProtection="1">
      <protection hidden="1"/>
    </xf>
    <xf numFmtId="4" fontId="2" fillId="0" borderId="2" xfId="0" applyNumberFormat="1" applyFont="1" applyBorder="1" applyProtection="1">
      <protection hidden="1"/>
    </xf>
    <xf numFmtId="0" fontId="2" fillId="5" borderId="0" xfId="0" applyFont="1" applyFill="1" applyProtection="1">
      <protection hidden="1"/>
    </xf>
    <xf numFmtId="4" fontId="2" fillId="0" borderId="0" xfId="0" applyNumberFormat="1" applyFont="1" applyProtection="1">
      <protection hidden="1"/>
    </xf>
    <xf numFmtId="4" fontId="2" fillId="3" borderId="0" xfId="0" applyNumberFormat="1" applyFont="1" applyFill="1" applyBorder="1" applyProtection="1">
      <protection hidden="1"/>
    </xf>
    <xf numFmtId="4" fontId="2" fillId="0" borderId="1" xfId="0" applyNumberFormat="1" applyFont="1" applyFill="1" applyBorder="1" applyProtection="1">
      <protection hidden="1"/>
    </xf>
    <xf numFmtId="0" fontId="7" fillId="3" borderId="0" xfId="0" applyFont="1" applyFill="1" applyProtection="1"/>
    <xf numFmtId="0" fontId="8" fillId="0" borderId="0" xfId="1" applyFont="1" applyProtection="1"/>
    <xf numFmtId="0" fontId="2" fillId="0" borderId="0" xfId="0" applyFont="1" applyAlignment="1" applyProtection="1">
      <alignment horizontal="right"/>
    </xf>
    <xf numFmtId="0" fontId="9" fillId="3" borderId="0" xfId="0" applyFont="1" applyFill="1" applyAlignment="1" applyProtection="1">
      <alignment horizontal="center"/>
    </xf>
    <xf numFmtId="0" fontId="8" fillId="0" borderId="0" xfId="1" applyFont="1" applyBorder="1" applyAlignment="1" applyProtection="1">
      <alignment vertical="center" wrapText="1"/>
    </xf>
    <xf numFmtId="0" fontId="2" fillId="0" borderId="0" xfId="0" applyFont="1" applyBorder="1" applyProtection="1"/>
    <xf numFmtId="0" fontId="3" fillId="4" borderId="0" xfId="0" applyFont="1" applyFill="1" applyBorder="1" applyAlignment="1" applyProtection="1">
      <alignment horizontal="center" vertical="center" wrapText="1"/>
    </xf>
    <xf numFmtId="0" fontId="12" fillId="0" borderId="0" xfId="0" applyFont="1" applyProtection="1"/>
    <xf numFmtId="0" fontId="10" fillId="0" borderId="0" xfId="0" applyFont="1" applyProtection="1">
      <protection hidden="1"/>
    </xf>
    <xf numFmtId="4" fontId="1" fillId="0" borderId="0" xfId="0" applyNumberFormat="1" applyFont="1" applyAlignment="1" applyProtection="1">
      <alignment horizontal="left"/>
      <protection hidden="1"/>
    </xf>
    <xf numFmtId="0" fontId="3" fillId="4" borderId="0" xfId="0" applyFont="1" applyFill="1" applyProtection="1">
      <protection hidden="1"/>
    </xf>
    <xf numFmtId="0" fontId="1" fillId="0" borderId="0" xfId="0" applyFont="1" applyProtection="1">
      <protection hidden="1"/>
    </xf>
    <xf numFmtId="0" fontId="3" fillId="4" borderId="0" xfId="0" applyFont="1" applyFill="1" applyAlignment="1" applyProtection="1">
      <alignment horizontal="center"/>
      <protection hidden="1"/>
    </xf>
    <xf numFmtId="0" fontId="14" fillId="3" borderId="0" xfId="1" applyFont="1" applyFill="1" applyBorder="1" applyAlignment="1" applyProtection="1">
      <alignment horizontal="center" vertical="center" wrapText="1"/>
      <protection hidden="1"/>
    </xf>
    <xf numFmtId="0" fontId="14" fillId="0" borderId="0" xfId="1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15" fontId="0" fillId="0" borderId="0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2" fontId="0" fillId="0" borderId="0" xfId="0" applyNumberFormat="1" applyFont="1" applyProtection="1"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3" fillId="3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3" fillId="0" borderId="0" xfId="0" applyFont="1" applyProtection="1">
      <protection hidden="1"/>
    </xf>
    <xf numFmtId="0" fontId="2" fillId="3" borderId="0" xfId="0" applyFont="1" applyFill="1" applyProtection="1">
      <protection hidden="1"/>
    </xf>
    <xf numFmtId="4" fontId="18" fillId="2" borderId="1" xfId="0" applyNumberFormat="1" applyFont="1" applyFill="1" applyBorder="1" applyProtection="1">
      <protection locked="0"/>
    </xf>
    <xf numFmtId="4" fontId="2" fillId="0" borderId="2" xfId="0" applyNumberFormat="1" applyFont="1" applyFill="1" applyBorder="1" applyProtection="1">
      <protection hidden="1"/>
    </xf>
    <xf numFmtId="4" fontId="2" fillId="2" borderId="3" xfId="0" applyNumberFormat="1" applyFont="1" applyFill="1" applyBorder="1" applyProtection="1">
      <protection locked="0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2" fillId="0" borderId="0" xfId="0" quotePrefix="1" applyFont="1" applyProtection="1"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3" borderId="0" xfId="0" quotePrefix="1" applyFont="1" applyFill="1" applyBorder="1" applyProtection="1">
      <protection hidden="1"/>
    </xf>
    <xf numFmtId="0" fontId="2" fillId="3" borderId="0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3" borderId="0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vertical="top"/>
      <protection hidden="1"/>
    </xf>
    <xf numFmtId="0" fontId="11" fillId="0" borderId="0" xfId="0" applyFont="1" applyProtection="1">
      <protection hidden="1"/>
    </xf>
    <xf numFmtId="0" fontId="2" fillId="0" borderId="0" xfId="0" applyFont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2" fillId="0" borderId="0" xfId="0" applyNumberFormat="1" applyFont="1" applyProtection="1">
      <protection hidden="1"/>
    </xf>
    <xf numFmtId="2" fontId="2" fillId="6" borderId="0" xfId="0" applyNumberFormat="1" applyFont="1" applyFill="1" applyProtection="1">
      <protection hidden="1"/>
    </xf>
    <xf numFmtId="0" fontId="22" fillId="0" borderId="0" xfId="0" quotePrefix="1" applyNumberFormat="1" applyFont="1" applyFill="1" applyBorder="1" applyAlignment="1">
      <alignment horizontal="center" vertical="top" wrapText="1"/>
    </xf>
    <xf numFmtId="0" fontId="2" fillId="0" borderId="0" xfId="0" applyFont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5" fillId="0" borderId="0" xfId="0" applyFont="1" applyProtection="1">
      <protection hidden="1"/>
    </xf>
    <xf numFmtId="4" fontId="2" fillId="6" borderId="0" xfId="0" applyNumberFormat="1" applyFont="1" applyFill="1" applyProtection="1">
      <protection hidden="1"/>
    </xf>
    <xf numFmtId="0" fontId="23" fillId="7" borderId="0" xfId="0" applyFont="1" applyFill="1" applyBorder="1" applyAlignment="1">
      <alignment vertical="top" wrapText="1"/>
    </xf>
    <xf numFmtId="4" fontId="2" fillId="0" borderId="3" xfId="0" applyNumberFormat="1" applyFont="1" applyBorder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10" fontId="2" fillId="0" borderId="0" xfId="0" applyNumberFormat="1" applyFont="1" applyProtection="1">
      <protection hidden="1"/>
    </xf>
    <xf numFmtId="9" fontId="2" fillId="0" borderId="0" xfId="3" applyFont="1" applyProtection="1">
      <protection hidden="1"/>
    </xf>
    <xf numFmtId="4" fontId="23" fillId="7" borderId="0" xfId="0" applyNumberFormat="1" applyFont="1" applyFill="1" applyBorder="1" applyAlignment="1">
      <alignment horizontal="right" vertical="top" wrapText="1"/>
    </xf>
    <xf numFmtId="4" fontId="2" fillId="2" borderId="5" xfId="0" applyNumberFormat="1" applyFont="1" applyFill="1" applyBorder="1" applyProtection="1">
      <protection locked="0"/>
    </xf>
    <xf numFmtId="0" fontId="1" fillId="0" borderId="3" xfId="0" applyFont="1" applyBorder="1" applyProtection="1">
      <protection hidden="1"/>
    </xf>
    <xf numFmtId="0" fontId="28" fillId="0" borderId="0" xfId="0" applyFont="1" applyProtection="1">
      <protection hidden="1"/>
    </xf>
    <xf numFmtId="4" fontId="2" fillId="0" borderId="3" xfId="2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left" vertical="top"/>
      <protection hidden="1"/>
    </xf>
    <xf numFmtId="3" fontId="2" fillId="0" borderId="0" xfId="0" applyNumberFormat="1" applyFont="1" applyBorder="1" applyProtection="1">
      <protection hidden="1"/>
    </xf>
    <xf numFmtId="9" fontId="2" fillId="0" borderId="0" xfId="0" applyNumberFormat="1" applyFont="1" applyBorder="1" applyProtection="1">
      <protection hidden="1"/>
    </xf>
    <xf numFmtId="4" fontId="2" fillId="0" borderId="0" xfId="0" applyNumberFormat="1" applyFont="1" applyBorder="1" applyProtection="1">
      <protection hidden="1"/>
    </xf>
    <xf numFmtId="0" fontId="27" fillId="0" borderId="0" xfId="0" applyFont="1" applyBorder="1" applyAlignment="1" applyProtection="1">
      <alignment vertical="top"/>
      <protection hidden="1"/>
    </xf>
    <xf numFmtId="3" fontId="2" fillId="0" borderId="0" xfId="0" applyNumberFormat="1" applyFont="1" applyBorder="1" applyAlignment="1" applyProtection="1">
      <alignment horizontal="right"/>
      <protection hidden="1"/>
    </xf>
    <xf numFmtId="0" fontId="2" fillId="0" borderId="0" xfId="0" applyFont="1" applyBorder="1" applyAlignment="1" applyProtection="1">
      <protection hidden="1"/>
    </xf>
    <xf numFmtId="0" fontId="2" fillId="0" borderId="2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0" xfId="0" applyFont="1" applyFill="1" applyProtection="1">
      <protection hidden="1"/>
    </xf>
    <xf numFmtId="2" fontId="2" fillId="0" borderId="0" xfId="0" applyNumberFormat="1" applyFont="1" applyFill="1" applyProtection="1">
      <protection hidden="1"/>
    </xf>
    <xf numFmtId="4" fontId="2" fillId="0" borderId="0" xfId="0" applyNumberFormat="1" applyFont="1" applyFill="1" applyProtection="1">
      <protection hidden="1"/>
    </xf>
    <xf numFmtId="0" fontId="23" fillId="0" borderId="0" xfId="0" applyFont="1" applyFill="1" applyBorder="1" applyAlignment="1">
      <alignment vertical="top" wrapText="1"/>
    </xf>
    <xf numFmtId="10" fontId="23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Protection="1">
      <protection hidden="1"/>
    </xf>
    <xf numFmtId="9" fontId="2" fillId="0" borderId="0" xfId="0" applyNumberFormat="1" applyFont="1" applyFill="1" applyBorder="1" applyProtection="1">
      <protection hidden="1"/>
    </xf>
    <xf numFmtId="0" fontId="26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4" fontId="1" fillId="0" borderId="0" xfId="0" applyNumberFormat="1" applyFont="1" applyFill="1" applyBorder="1" applyAlignment="1" applyProtection="1">
      <alignment horizontal="right"/>
      <protection hidden="1"/>
    </xf>
    <xf numFmtId="4" fontId="2" fillId="0" borderId="0" xfId="0" applyNumberFormat="1" applyFont="1" applyFill="1" applyBorder="1" applyAlignment="1" applyProtection="1">
      <alignment horizontal="right"/>
      <protection hidden="1"/>
    </xf>
    <xf numFmtId="4" fontId="2" fillId="0" borderId="0" xfId="0" applyNumberFormat="1" applyFont="1" applyFill="1" applyBorder="1" applyProtection="1">
      <protection hidden="1"/>
    </xf>
    <xf numFmtId="0" fontId="28" fillId="0" borderId="0" xfId="0" applyFont="1" applyBorder="1" applyAlignment="1" applyProtection="1">
      <alignment horizontal="left" vertical="top"/>
      <protection hidden="1"/>
    </xf>
    <xf numFmtId="0" fontId="2" fillId="2" borderId="3" xfId="0" applyNumberFormat="1" applyFont="1" applyFill="1" applyBorder="1" applyAlignment="1" applyProtection="1">
      <alignment horizontal="right"/>
      <protection locked="0"/>
    </xf>
    <xf numFmtId="0" fontId="1" fillId="0" borderId="3" xfId="0" applyFont="1" applyBorder="1" applyAlignment="1" applyProtection="1">
      <alignment horizontal="left" vertical="top"/>
      <protection hidden="1"/>
    </xf>
    <xf numFmtId="4" fontId="2" fillId="0" borderId="3" xfId="0" applyNumberFormat="1" applyFont="1" applyBorder="1" applyAlignment="1" applyProtection="1">
      <alignment vertical="top"/>
      <protection hidden="1"/>
    </xf>
    <xf numFmtId="4" fontId="2" fillId="0" borderId="3" xfId="0" applyNumberFormat="1" applyFont="1" applyBorder="1" applyAlignment="1" applyProtection="1">
      <alignment horizontal="left" vertical="top"/>
      <protection hidden="1"/>
    </xf>
    <xf numFmtId="3" fontId="1" fillId="0" borderId="3" xfId="0" applyNumberFormat="1" applyFont="1" applyBorder="1" applyProtection="1">
      <protection hidden="1"/>
    </xf>
    <xf numFmtId="9" fontId="1" fillId="0" borderId="3" xfId="0" applyNumberFormat="1" applyFont="1" applyBorder="1" applyProtection="1">
      <protection hidden="1"/>
    </xf>
    <xf numFmtId="4" fontId="1" fillId="0" borderId="3" xfId="0" applyNumberFormat="1" applyFont="1" applyBorder="1" applyProtection="1">
      <protection hidden="1"/>
    </xf>
    <xf numFmtId="0" fontId="1" fillId="0" borderId="3" xfId="0" applyFont="1" applyBorder="1" applyAlignment="1" applyProtection="1">
      <alignment vertical="top"/>
      <protection hidden="1"/>
    </xf>
    <xf numFmtId="0" fontId="1" fillId="8" borderId="3" xfId="0" applyFont="1" applyFill="1" applyBorder="1" applyProtection="1">
      <protection hidden="1"/>
    </xf>
    <xf numFmtId="4" fontId="1" fillId="8" borderId="3" xfId="0" applyNumberFormat="1" applyFont="1" applyFill="1" applyBorder="1" applyProtection="1">
      <protection hidden="1"/>
    </xf>
    <xf numFmtId="4" fontId="2" fillId="8" borderId="3" xfId="0" applyNumberFormat="1" applyFont="1" applyFill="1" applyBorder="1" applyProtection="1">
      <protection hidden="1"/>
    </xf>
    <xf numFmtId="0" fontId="2" fillId="8" borderId="3" xfId="0" applyFont="1" applyFill="1" applyBorder="1" applyProtection="1">
      <protection hidden="1"/>
    </xf>
    <xf numFmtId="9" fontId="1" fillId="8" borderId="3" xfId="0" applyNumberFormat="1" applyFont="1" applyFill="1" applyBorder="1" applyProtection="1">
      <protection hidden="1"/>
    </xf>
    <xf numFmtId="0" fontId="1" fillId="0" borderId="0" xfId="0" applyFont="1" applyBorder="1" applyAlignment="1" applyProtection="1">
      <alignment horizontal="left" vertical="top"/>
      <protection hidden="1"/>
    </xf>
    <xf numFmtId="3" fontId="1" fillId="0" borderId="0" xfId="0" applyNumberFormat="1" applyFont="1" applyBorder="1" applyProtection="1">
      <protection hidden="1"/>
    </xf>
    <xf numFmtId="9" fontId="1" fillId="0" borderId="0" xfId="0" applyNumberFormat="1" applyFont="1" applyBorder="1" applyProtection="1">
      <protection hidden="1"/>
    </xf>
    <xf numFmtId="4" fontId="1" fillId="0" borderId="0" xfId="0" applyNumberFormat="1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vertical="top"/>
      <protection hidden="1"/>
    </xf>
    <xf numFmtId="43" fontId="1" fillId="8" borderId="3" xfId="0" applyNumberFormat="1" applyFont="1" applyFill="1" applyBorder="1" applyProtection="1">
      <protection hidden="1"/>
    </xf>
    <xf numFmtId="4" fontId="2" fillId="9" borderId="3" xfId="0" applyNumberFormat="1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left" vertical="top"/>
      <protection hidden="1"/>
    </xf>
    <xf numFmtId="3" fontId="2" fillId="0" borderId="0" xfId="0" applyNumberFormat="1" applyFont="1" applyFill="1" applyBorder="1" applyProtection="1">
      <protection hidden="1"/>
    </xf>
    <xf numFmtId="0" fontId="2" fillId="0" borderId="0" xfId="0" applyFont="1" applyFill="1" applyBorder="1" applyAlignment="1" applyProtection="1">
      <alignment vertical="top"/>
      <protection hidden="1"/>
    </xf>
    <xf numFmtId="0" fontId="2" fillId="0" borderId="0" xfId="0" applyFont="1" applyFill="1" applyBorder="1" applyAlignment="1" applyProtection="1">
      <alignment vertical="top" wrapText="1"/>
      <protection hidden="1"/>
    </xf>
    <xf numFmtId="3" fontId="2" fillId="0" borderId="0" xfId="0" applyNumberFormat="1" applyFont="1" applyFill="1" applyBorder="1" applyAlignment="1" applyProtection="1">
      <alignment horizontal="right"/>
      <protection hidden="1"/>
    </xf>
    <xf numFmtId="0" fontId="2" fillId="0" borderId="0" xfId="0" applyFont="1" applyFill="1" applyBorder="1" applyAlignment="1" applyProtection="1">
      <protection hidden="1"/>
    </xf>
    <xf numFmtId="0" fontId="28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Fill="1" applyBorder="1" applyAlignment="1" applyProtection="1">
      <alignment horizontal="left" vertical="top"/>
      <protection hidden="1"/>
    </xf>
    <xf numFmtId="3" fontId="1" fillId="0" borderId="0" xfId="0" applyNumberFormat="1" applyFont="1" applyFill="1" applyBorder="1" applyProtection="1">
      <protection hidden="1"/>
    </xf>
    <xf numFmtId="9" fontId="1" fillId="0" borderId="0" xfId="0" applyNumberFormat="1" applyFont="1" applyFill="1" applyBorder="1" applyProtection="1">
      <protection hidden="1"/>
    </xf>
    <xf numFmtId="4" fontId="1" fillId="0" borderId="0" xfId="0" applyNumberFormat="1" applyFont="1" applyFill="1" applyBorder="1" applyProtection="1">
      <protection hidden="1"/>
    </xf>
    <xf numFmtId="0" fontId="1" fillId="0" borderId="0" xfId="0" applyFont="1" applyFill="1" applyBorder="1" applyAlignment="1" applyProtection="1">
      <alignment vertical="top"/>
      <protection hidden="1"/>
    </xf>
    <xf numFmtId="4" fontId="2" fillId="0" borderId="3" xfId="0" applyNumberFormat="1" applyFont="1" applyFill="1" applyBorder="1" applyProtection="1">
      <protection hidden="1"/>
    </xf>
    <xf numFmtId="4" fontId="1" fillId="0" borderId="0" xfId="0" applyNumberFormat="1" applyFont="1" applyBorder="1" applyAlignment="1" applyProtection="1">
      <protection hidden="1"/>
    </xf>
    <xf numFmtId="0" fontId="31" fillId="0" borderId="0" xfId="0" applyFont="1" applyProtection="1">
      <protection hidden="1"/>
    </xf>
    <xf numFmtId="4" fontId="2" fillId="0" borderId="5" xfId="0" applyNumberFormat="1" applyFont="1" applyFill="1" applyBorder="1" applyProtection="1">
      <protection hidden="1"/>
    </xf>
    <xf numFmtId="0" fontId="19" fillId="2" borderId="3" xfId="0" applyFont="1" applyFill="1" applyBorder="1" applyAlignment="1" applyProtection="1"/>
    <xf numFmtId="4" fontId="1" fillId="0" borderId="8" xfId="0" applyNumberFormat="1" applyFont="1" applyBorder="1" applyAlignment="1" applyProtection="1">
      <alignment horizontal="center"/>
      <protection hidden="1"/>
    </xf>
    <xf numFmtId="4" fontId="1" fillId="0" borderId="9" xfId="0" applyNumberFormat="1" applyFont="1" applyBorder="1" applyAlignment="1" applyProtection="1">
      <alignment horizontal="center"/>
      <protection hidden="1"/>
    </xf>
    <xf numFmtId="4" fontId="1" fillId="0" borderId="7" xfId="0" applyNumberFormat="1" applyFont="1" applyBorder="1" applyAlignment="1" applyProtection="1">
      <alignment horizontal="center"/>
      <protection hidden="1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showGridLines="0" zoomScaleNormal="100" workbookViewId="0">
      <selection activeCell="B3" sqref="B3"/>
    </sheetView>
  </sheetViews>
  <sheetFormatPr defaultRowHeight="15" x14ac:dyDescent="0.25"/>
  <cols>
    <col min="1" max="1" width="3.7109375" style="9" customWidth="1"/>
    <col min="2" max="2" width="52.7109375" style="9" customWidth="1"/>
    <col min="3" max="3" width="2.140625" style="9" customWidth="1"/>
    <col min="4" max="4" width="1.85546875" style="9" customWidth="1"/>
    <col min="5" max="5" width="12.28515625" style="9" customWidth="1"/>
    <col min="6" max="6" width="6.5703125" style="9" customWidth="1"/>
    <col min="7" max="7" width="36.7109375" style="12" customWidth="1"/>
    <col min="8" max="16384" width="9.140625" style="9"/>
  </cols>
  <sheetData>
    <row r="1" spans="2:10" ht="18.75" x14ac:dyDescent="0.3">
      <c r="B1" s="32" t="s">
        <v>178</v>
      </c>
    </row>
    <row r="2" spans="2:10" ht="16.5" customHeight="1" x14ac:dyDescent="0.3">
      <c r="B2" s="8" t="s">
        <v>341</v>
      </c>
    </row>
    <row r="3" spans="2:10" ht="16.5" customHeight="1" x14ac:dyDescent="0.3">
      <c r="B3" s="8"/>
    </row>
    <row r="4" spans="2:10" ht="16.5" customHeight="1" x14ac:dyDescent="0.25">
      <c r="B4" s="149" t="s">
        <v>242</v>
      </c>
      <c r="C4" s="149"/>
      <c r="D4" s="149"/>
      <c r="E4" s="149"/>
      <c r="F4" s="149"/>
      <c r="G4" s="149"/>
    </row>
    <row r="6" spans="2:10" x14ac:dyDescent="0.25">
      <c r="B6" s="10" t="s">
        <v>0</v>
      </c>
      <c r="H6" s="25"/>
      <c r="I6" s="25"/>
      <c r="J6" s="25"/>
    </row>
    <row r="7" spans="2:10" x14ac:dyDescent="0.25">
      <c r="B7" s="26" t="s">
        <v>47</v>
      </c>
      <c r="E7" s="9" t="s">
        <v>1</v>
      </c>
      <c r="F7" s="11">
        <v>100</v>
      </c>
      <c r="G7" s="145">
        <f>'Schedule 1'!$I$20</f>
        <v>50000</v>
      </c>
    </row>
    <row r="8" spans="2:10" x14ac:dyDescent="0.25">
      <c r="B8" s="26" t="s">
        <v>48</v>
      </c>
      <c r="E8" s="9" t="s">
        <v>2</v>
      </c>
      <c r="F8" s="11">
        <v>110</v>
      </c>
      <c r="G8" s="145">
        <f>'Schedule 2'!$H$16</f>
        <v>0</v>
      </c>
    </row>
    <row r="9" spans="2:10" ht="15" customHeight="1" x14ac:dyDescent="0.25">
      <c r="B9" s="26" t="s">
        <v>49</v>
      </c>
      <c r="E9" s="9" t="s">
        <v>3</v>
      </c>
      <c r="F9" s="11">
        <v>120</v>
      </c>
      <c r="G9" s="145">
        <f>'Schedule 3'!$H$24</f>
        <v>0</v>
      </c>
    </row>
    <row r="10" spans="2:10" x14ac:dyDescent="0.25">
      <c r="B10" s="26" t="s">
        <v>50</v>
      </c>
      <c r="E10" s="9" t="s">
        <v>4</v>
      </c>
      <c r="F10" s="11">
        <v>130</v>
      </c>
      <c r="G10" s="145">
        <f>'Schedule 4,5,6,7'!$J$9</f>
        <v>0</v>
      </c>
    </row>
    <row r="11" spans="2:10" x14ac:dyDescent="0.25">
      <c r="B11" s="26" t="s">
        <v>51</v>
      </c>
      <c r="E11" s="9" t="s">
        <v>5</v>
      </c>
      <c r="F11" s="11">
        <v>140</v>
      </c>
      <c r="G11" s="145">
        <f>'Schedule 4,5,6,7'!$J$16</f>
        <v>0</v>
      </c>
    </row>
    <row r="12" spans="2:10" x14ac:dyDescent="0.25">
      <c r="B12" s="26" t="s">
        <v>52</v>
      </c>
      <c r="E12" s="9" t="s">
        <v>6</v>
      </c>
      <c r="F12" s="11">
        <v>150</v>
      </c>
      <c r="G12" s="145">
        <f>'Schedule 4,5,6,7'!$J$23</f>
        <v>0</v>
      </c>
    </row>
    <row r="13" spans="2:10" x14ac:dyDescent="0.25">
      <c r="B13" s="26" t="s">
        <v>53</v>
      </c>
      <c r="E13" s="9" t="s">
        <v>7</v>
      </c>
      <c r="F13" s="11">
        <v>160</v>
      </c>
      <c r="G13" s="145">
        <f>'Schedule 4,5,6,7'!$J$30</f>
        <v>0</v>
      </c>
    </row>
    <row r="14" spans="2:10" x14ac:dyDescent="0.25">
      <c r="B14" s="26" t="s">
        <v>54</v>
      </c>
      <c r="E14" s="27" t="s">
        <v>8</v>
      </c>
      <c r="F14" s="11">
        <v>170</v>
      </c>
      <c r="G14" s="52"/>
    </row>
    <row r="15" spans="2:10" x14ac:dyDescent="0.25">
      <c r="B15" s="10" t="s">
        <v>179</v>
      </c>
      <c r="F15" s="11">
        <v>200</v>
      </c>
      <c r="G15" s="145">
        <f>IF(AND(G7:G14)="","",SUM(G7:G14))</f>
        <v>50000</v>
      </c>
    </row>
    <row r="16" spans="2:10" x14ac:dyDescent="0.25">
      <c r="F16" s="28"/>
    </row>
    <row r="17" spans="2:7" x14ac:dyDescent="0.25">
      <c r="B17" s="10" t="s">
        <v>9</v>
      </c>
      <c r="F17" s="28"/>
    </row>
    <row r="18" spans="2:7" x14ac:dyDescent="0.25">
      <c r="B18" s="26" t="s">
        <v>55</v>
      </c>
      <c r="E18" s="9" t="s">
        <v>10</v>
      </c>
      <c r="F18" s="31">
        <v>210</v>
      </c>
      <c r="G18" s="145">
        <f>'Schedule 8'!$J$13</f>
        <v>0</v>
      </c>
    </row>
    <row r="19" spans="2:7" x14ac:dyDescent="0.25">
      <c r="B19" s="26" t="s">
        <v>56</v>
      </c>
      <c r="E19" s="9" t="s">
        <v>11</v>
      </c>
      <c r="F19" s="31">
        <v>220</v>
      </c>
      <c r="G19" s="145">
        <f>'Schedule 9'!$H$21</f>
        <v>0</v>
      </c>
    </row>
    <row r="20" spans="2:7" x14ac:dyDescent="0.25">
      <c r="B20" s="10" t="s">
        <v>180</v>
      </c>
      <c r="F20" s="31">
        <v>240</v>
      </c>
      <c r="G20" s="145">
        <f>IF(AND(G18="",G19=""),"",SUM(G18,G19))</f>
        <v>0</v>
      </c>
    </row>
    <row r="21" spans="2:7" x14ac:dyDescent="0.25">
      <c r="B21" s="10" t="s">
        <v>181</v>
      </c>
      <c r="F21" s="31">
        <v>250</v>
      </c>
      <c r="G21" s="145">
        <f>IF(G15="","",G15-G20)</f>
        <v>50000</v>
      </c>
    </row>
    <row r="22" spans="2:7" x14ac:dyDescent="0.25">
      <c r="B22" s="10" t="s">
        <v>182</v>
      </c>
      <c r="F22" s="31">
        <v>260</v>
      </c>
      <c r="G22" s="52"/>
    </row>
    <row r="23" spans="2:7" x14ac:dyDescent="0.25">
      <c r="B23" s="26" t="s">
        <v>12</v>
      </c>
      <c r="E23" s="9" t="s">
        <v>13</v>
      </c>
      <c r="F23" s="31">
        <v>300</v>
      </c>
      <c r="G23" s="145">
        <f>'Schedule 10'!$I$96</f>
        <v>0</v>
      </c>
    </row>
    <row r="24" spans="2:7" x14ac:dyDescent="0.25">
      <c r="B24" s="10" t="s">
        <v>183</v>
      </c>
      <c r="F24" s="31">
        <v>400</v>
      </c>
      <c r="G24" s="145">
        <f>IF(AND(G22="",G23=""),0,SUM(G22,G23))</f>
        <v>0</v>
      </c>
    </row>
    <row r="25" spans="2:7" x14ac:dyDescent="0.25">
      <c r="B25" s="13" t="s">
        <v>184</v>
      </c>
      <c r="F25" s="31">
        <v>410</v>
      </c>
      <c r="G25" s="145">
        <f>IF(AND(G21="",G24=""),0,G21-G24)</f>
        <v>50000</v>
      </c>
    </row>
    <row r="26" spans="2:7" x14ac:dyDescent="0.25">
      <c r="F26" s="28"/>
      <c r="G26" s="14"/>
    </row>
    <row r="27" spans="2:7" x14ac:dyDescent="0.25">
      <c r="B27" s="10" t="s">
        <v>14</v>
      </c>
      <c r="F27" s="28"/>
    </row>
    <row r="28" spans="2:7" x14ac:dyDescent="0.25">
      <c r="B28" s="29" t="s">
        <v>57</v>
      </c>
      <c r="E28" s="9" t="s">
        <v>16</v>
      </c>
      <c r="F28" s="31">
        <v>500</v>
      </c>
      <c r="G28" s="4">
        <f>'Schedule 12'!I12</f>
        <v>0</v>
      </c>
    </row>
    <row r="29" spans="2:7" x14ac:dyDescent="0.25">
      <c r="B29" s="26" t="s">
        <v>58</v>
      </c>
      <c r="E29" s="9" t="s">
        <v>16</v>
      </c>
      <c r="F29" s="31">
        <v>520</v>
      </c>
      <c r="G29" s="4">
        <f>'Schedule 12'!I39</f>
        <v>0</v>
      </c>
    </row>
    <row r="30" spans="2:7" x14ac:dyDescent="0.25">
      <c r="B30" s="10" t="s">
        <v>185</v>
      </c>
      <c r="F30" s="31">
        <v>530</v>
      </c>
      <c r="G30" s="4">
        <f>IF(AND(G28="",G29=""),"",SUM(G28,G29))</f>
        <v>0</v>
      </c>
    </row>
    <row r="31" spans="2:7" x14ac:dyDescent="0.25">
      <c r="B31" s="26" t="s">
        <v>59</v>
      </c>
      <c r="E31" s="9" t="s">
        <v>15</v>
      </c>
      <c r="F31" s="31">
        <v>540</v>
      </c>
      <c r="G31" s="4">
        <f>'Schedule 11'!$I$68</f>
        <v>0</v>
      </c>
    </row>
    <row r="32" spans="2:7" x14ac:dyDescent="0.25">
      <c r="B32" s="10" t="s">
        <v>186</v>
      </c>
      <c r="F32" s="31">
        <v>590</v>
      </c>
      <c r="G32" s="4">
        <f>IF(G30 &gt; G31,G30 - G31,0)</f>
        <v>0</v>
      </c>
    </row>
    <row r="33" spans="1:7" x14ac:dyDescent="0.25">
      <c r="B33" s="10" t="s">
        <v>187</v>
      </c>
      <c r="F33" s="31">
        <v>595</v>
      </c>
      <c r="G33" s="4" t="str">
        <f>IF(G30 &lt; G31,G31 - G30,"")</f>
        <v/>
      </c>
    </row>
    <row r="34" spans="1:7" x14ac:dyDescent="0.25">
      <c r="F34" s="28"/>
    </row>
    <row r="38" spans="1:7" x14ac:dyDescent="0.25">
      <c r="A38" s="30"/>
      <c r="B38" s="30"/>
    </row>
  </sheetData>
  <sheetProtection algorithmName="SHA-512" hashValue="5pTr6T3Xsc2soE9uHRuc6h7njogzTgNOITu8Cvs+zW3fbmld1DwZ77VM/gueVPuoJBdmEBewtPfKmgZZl4obNA==" saltValue="9JzP3JoSw6rJV/4e0xb4PQ==" spinCount="100000" sheet="1" objects="1" scenarios="1"/>
  <protectedRanges>
    <protectedRange sqref="G14 G22" name="Range1"/>
  </protectedRanges>
  <customSheetViews>
    <customSheetView guid="{12504DBE-41C2-4FD3-9D8E-D9B684050204}" showGridLines="0">
      <selection activeCell="B5" sqref="B5"/>
      <pageMargins left="0.7" right="0.7" top="0.75" bottom="0.75" header="0.3" footer="0.3"/>
      <pageSetup paperSize="9" orientation="portrait" r:id="rId1"/>
    </customSheetView>
  </customSheetViews>
  <mergeCells count="1">
    <mergeCell ref="B4:G4"/>
  </mergeCells>
  <hyperlinks>
    <hyperlink ref="B7" location="'Schedule 1'!A1" display="   Income from Employment "/>
    <hyperlink ref="B8" location="'Schedule 2'!A1" display="   Profits from Trade, Business, Profession or Vocation"/>
    <hyperlink ref="B9" location="'Schedule 3'!A1" display="   Net Annual Value and/or Rent"/>
    <hyperlink ref="B10" location="'Schedule 4,5,6,7'!B4" display="   Dividend"/>
    <hyperlink ref="B11" location="'Schedule 4,5,6,7'!B11" display="   Interest"/>
    <hyperlink ref="B12" location="'Schedule 4,5,6,7'!B18" display="   Annuities and Royalties Etc."/>
    <hyperlink ref="B13" location="'Schedule 4,5,6,7'!B25" display="   Income from any other source"/>
    <hyperlink ref="B18" location="'Schedule 8'!A1" display="   Deductible losses from Trade, Business, Profession or Vocation"/>
    <hyperlink ref="B19" location="'Schedule 9'!A1" display="   Interest, Annuities &amp; Royalties, Ground Rent Paid"/>
    <hyperlink ref="B23" location="'Schedule 10'!A1" display="Qualifying Payment"/>
    <hyperlink ref="B28" location="'Schedule 12'!A1" display="   Tax on Once-and-for-all receipts from Employment"/>
    <hyperlink ref="B29" location="'Schedule 12'!A1" display="   Tax on balance Taxable Income"/>
    <hyperlink ref="B31" location="'Schedule 11'!A1" display="   Tax Credit"/>
    <hyperlink ref="B14" location="'RETURN OF INCOME - INDIVIDUAL'!G41" display="   Child Income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showGridLines="0" zoomScaleNormal="100" workbookViewId="0">
      <selection activeCell="I7" sqref="I7"/>
    </sheetView>
  </sheetViews>
  <sheetFormatPr defaultRowHeight="15" x14ac:dyDescent="0.25"/>
  <cols>
    <col min="1" max="1" width="4.85546875" style="15" customWidth="1"/>
    <col min="2" max="2" width="11" style="15" customWidth="1"/>
    <col min="3" max="3" width="11.7109375" style="15" customWidth="1"/>
    <col min="4" max="4" width="10.7109375" style="15" bestFit="1" customWidth="1"/>
    <col min="5" max="5" width="13" style="15" customWidth="1"/>
    <col min="6" max="6" width="10" style="15" customWidth="1"/>
    <col min="7" max="7" width="14.7109375" style="15" customWidth="1"/>
    <col min="8" max="8" width="12.140625" style="15" bestFit="1" customWidth="1"/>
    <col min="9" max="9" width="15.7109375" style="22" customWidth="1"/>
    <col min="10" max="10" width="15.7109375" style="15" bestFit="1" customWidth="1"/>
    <col min="11" max="11" width="14.7109375" style="15" customWidth="1"/>
    <col min="12" max="12" width="13.140625" style="15" hidden="1" customWidth="1"/>
    <col min="13" max="13" width="0" style="15" hidden="1" customWidth="1"/>
    <col min="14" max="14" width="18.42578125" style="15" hidden="1" customWidth="1"/>
    <col min="15" max="15" width="14.28515625" style="15" hidden="1" customWidth="1"/>
    <col min="16" max="16" width="6.140625" style="15" hidden="1" customWidth="1"/>
    <col min="17" max="17" width="13.5703125" style="15" hidden="1" customWidth="1"/>
    <col min="18" max="18" width="13.7109375" style="15" hidden="1" customWidth="1"/>
    <col min="19" max="19" width="10" style="15" hidden="1" customWidth="1"/>
    <col min="20" max="20" width="18.85546875" style="15" hidden="1" customWidth="1"/>
    <col min="21" max="21" width="20.5703125" style="15" hidden="1" customWidth="1"/>
    <col min="22" max="22" width="30.28515625" style="15" hidden="1" customWidth="1"/>
    <col min="23" max="23" width="20.85546875" style="15" bestFit="1" customWidth="1"/>
    <col min="24" max="24" width="20.42578125" style="15" bestFit="1" customWidth="1"/>
    <col min="25" max="25" width="22" style="15" customWidth="1"/>
    <col min="26" max="26" width="28.42578125" style="15" customWidth="1"/>
    <col min="27" max="27" width="11" style="15" customWidth="1"/>
    <col min="28" max="16384" width="9.140625" style="15"/>
  </cols>
  <sheetData>
    <row r="1" spans="2:29" ht="19.5" thickBot="1" x14ac:dyDescent="0.35">
      <c r="B1" s="53" t="s">
        <v>178</v>
      </c>
      <c r="C1" s="48"/>
      <c r="D1" s="48"/>
      <c r="E1" s="48"/>
      <c r="F1" s="33"/>
    </row>
    <row r="2" spans="2:29" ht="19.5" thickBot="1" x14ac:dyDescent="0.35">
      <c r="B2" s="54" t="str">
        <f>Return!B2</f>
        <v>YEAR OF ASSESSMENT : 2016/2017 and 2017/2018</v>
      </c>
      <c r="C2" s="48"/>
      <c r="D2" s="48"/>
      <c r="E2" s="48"/>
      <c r="H2" s="150" t="str">
        <f>IF(I5=N3,"Cage 851 is tally","Please Tally Cage 851 to all the orange cage")</f>
        <v>Please Tally Cage 851 to all the orange cage</v>
      </c>
      <c r="I2" s="151"/>
      <c r="J2" s="152"/>
      <c r="K2" s="146"/>
    </row>
    <row r="3" spans="2:29" x14ac:dyDescent="0.25">
      <c r="H3" s="147" t="s">
        <v>340</v>
      </c>
      <c r="N3" s="22">
        <f>SUM(I7,I9,I16,I18,I26,I28,,I30,I37)</f>
        <v>0</v>
      </c>
    </row>
    <row r="4" spans="2:29" x14ac:dyDescent="0.25">
      <c r="B4" s="17" t="s">
        <v>144</v>
      </c>
      <c r="Q4" s="96"/>
    </row>
    <row r="5" spans="2:29" x14ac:dyDescent="0.25">
      <c r="B5" s="15" t="s">
        <v>145</v>
      </c>
      <c r="H5" s="37">
        <v>851</v>
      </c>
      <c r="I5" s="24">
        <f>Return!G25</f>
        <v>50000</v>
      </c>
      <c r="J5" s="15" t="s">
        <v>153</v>
      </c>
      <c r="M5" s="15" t="s">
        <v>279</v>
      </c>
      <c r="O5" s="22">
        <f>I5</f>
        <v>50000</v>
      </c>
      <c r="Q5" s="96"/>
    </row>
    <row r="6" spans="2:29" x14ac:dyDescent="0.25">
      <c r="B6" s="15" t="s">
        <v>252</v>
      </c>
      <c r="H6" s="37">
        <v>852</v>
      </c>
      <c r="I6" s="148">
        <f>'Schedule 1'!I18</f>
        <v>0</v>
      </c>
      <c r="J6" s="15" t="s">
        <v>153</v>
      </c>
      <c r="M6" s="15" t="s">
        <v>284</v>
      </c>
      <c r="O6" s="70">
        <f>I6</f>
        <v>0</v>
      </c>
      <c r="Q6" s="97"/>
    </row>
    <row r="7" spans="2:29" x14ac:dyDescent="0.25">
      <c r="B7" s="15" t="s">
        <v>253</v>
      </c>
      <c r="H7" s="37">
        <v>853</v>
      </c>
      <c r="I7" s="82"/>
      <c r="J7" s="15" t="s">
        <v>153</v>
      </c>
      <c r="M7" s="15" t="s">
        <v>280</v>
      </c>
      <c r="O7" s="69">
        <f>I7</f>
        <v>0</v>
      </c>
      <c r="Q7" s="97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</row>
    <row r="8" spans="2:29" x14ac:dyDescent="0.25">
      <c r="B8" s="15" t="s">
        <v>254</v>
      </c>
      <c r="H8" s="37">
        <v>854</v>
      </c>
      <c r="I8" s="24">
        <f>E47</f>
        <v>0</v>
      </c>
      <c r="J8" s="15" t="s">
        <v>153</v>
      </c>
      <c r="O8" s="22"/>
      <c r="Q8" s="98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</row>
    <row r="9" spans="2:29" ht="15.75" thickBot="1" x14ac:dyDescent="0.3">
      <c r="B9" s="15" t="s">
        <v>255</v>
      </c>
      <c r="H9" s="37">
        <v>855</v>
      </c>
      <c r="I9" s="82"/>
      <c r="J9" s="15" t="s">
        <v>153</v>
      </c>
      <c r="M9" s="15" t="s">
        <v>285</v>
      </c>
      <c r="O9" s="69">
        <f>I9</f>
        <v>0</v>
      </c>
      <c r="Q9" s="96"/>
      <c r="S9" s="101"/>
      <c r="T9" s="99"/>
      <c r="U9" s="99"/>
      <c r="V9" s="99"/>
      <c r="W9" s="100"/>
      <c r="X9" s="99"/>
      <c r="Y9" s="100"/>
      <c r="Z9" s="99"/>
      <c r="AA9" s="99"/>
      <c r="AB9" s="101"/>
      <c r="AC9" s="101"/>
    </row>
    <row r="10" spans="2:29" ht="15.75" thickBot="1" x14ac:dyDescent="0.3">
      <c r="C10" s="15" t="s">
        <v>268</v>
      </c>
      <c r="E10" s="68"/>
      <c r="F10" s="67"/>
      <c r="G10" s="66" t="s">
        <v>278</v>
      </c>
      <c r="K10" s="85" t="str">
        <f>IF(E10="","",IF(E10="More than 20 years",5000000,2000000))</f>
        <v/>
      </c>
      <c r="Q10" s="96"/>
      <c r="S10" s="101"/>
      <c r="T10" s="99"/>
      <c r="U10" s="99"/>
      <c r="V10" s="99"/>
      <c r="W10" s="100"/>
      <c r="X10" s="99"/>
      <c r="Y10" s="100"/>
      <c r="Z10" s="99"/>
      <c r="AA10" s="100"/>
      <c r="AB10" s="101"/>
      <c r="AC10" s="101"/>
    </row>
    <row r="11" spans="2:29" x14ac:dyDescent="0.25">
      <c r="B11" s="15" t="s">
        <v>269</v>
      </c>
      <c r="H11" s="37">
        <v>856</v>
      </c>
      <c r="I11" s="24">
        <f>IF(OR(I9="",K10=""),0,(
IF(I9-K10&gt;1000000,(I9-K10-1000000)*10%+50000,
IF(I9-K10&lt;=1000000,(I9-K10)*5%,0))))</f>
        <v>0</v>
      </c>
      <c r="J11" s="15" t="s">
        <v>153</v>
      </c>
      <c r="M11" s="15" t="s">
        <v>299</v>
      </c>
      <c r="O11" s="75">
        <f>I11</f>
        <v>0</v>
      </c>
      <c r="Q11" s="98"/>
      <c r="S11" s="101"/>
      <c r="T11" s="99"/>
      <c r="U11" s="101"/>
      <c r="V11" s="101"/>
      <c r="W11" s="100"/>
      <c r="X11" s="101"/>
      <c r="Y11" s="101"/>
      <c r="Z11" s="101"/>
      <c r="AA11" s="100"/>
      <c r="AB11" s="101"/>
      <c r="AC11" s="101"/>
    </row>
    <row r="12" spans="2:29" x14ac:dyDescent="0.25">
      <c r="B12" s="15" t="s">
        <v>270</v>
      </c>
      <c r="H12" s="37">
        <v>857</v>
      </c>
      <c r="I12" s="24">
        <f>IF(AND(I8="",I11=""),"",I8+I11)</f>
        <v>0</v>
      </c>
      <c r="J12" s="15" t="s">
        <v>153</v>
      </c>
      <c r="M12" s="15" t="s">
        <v>300</v>
      </c>
      <c r="O12" s="22">
        <f>I12</f>
        <v>0</v>
      </c>
      <c r="Q12" s="22"/>
      <c r="S12" s="101"/>
      <c r="T12" s="101"/>
      <c r="U12" s="99"/>
      <c r="V12" s="99"/>
      <c r="W12" s="100"/>
      <c r="X12" s="99"/>
      <c r="Y12" s="100"/>
      <c r="Z12" s="99"/>
      <c r="AA12" s="100"/>
      <c r="AB12" s="101"/>
      <c r="AC12" s="101"/>
    </row>
    <row r="13" spans="2:29" x14ac:dyDescent="0.25">
      <c r="S13" s="101"/>
      <c r="T13" s="101"/>
      <c r="U13" s="101"/>
      <c r="V13" s="99"/>
      <c r="W13" s="100"/>
      <c r="X13" s="99"/>
      <c r="Y13" s="100"/>
      <c r="Z13" s="99"/>
      <c r="AA13" s="100"/>
      <c r="AB13" s="101"/>
      <c r="AC13" s="101"/>
    </row>
    <row r="14" spans="2:29" x14ac:dyDescent="0.25">
      <c r="B14" s="36" t="s">
        <v>256</v>
      </c>
      <c r="S14" s="101"/>
      <c r="T14" s="101"/>
      <c r="U14" s="101"/>
      <c r="V14" s="101"/>
      <c r="W14" s="100"/>
      <c r="X14" s="99"/>
      <c r="Y14" s="100"/>
      <c r="Z14" s="99"/>
      <c r="AA14" s="100"/>
      <c r="AB14" s="101"/>
      <c r="AC14" s="101"/>
    </row>
    <row r="15" spans="2:29" x14ac:dyDescent="0.25">
      <c r="B15" s="74" t="s">
        <v>257</v>
      </c>
      <c r="S15" s="101"/>
      <c r="T15" s="101"/>
      <c r="U15" s="101"/>
      <c r="V15" s="101"/>
      <c r="W15" s="100"/>
      <c r="X15" s="99"/>
      <c r="Y15" s="101"/>
      <c r="Z15" s="101"/>
      <c r="AA15" s="101"/>
      <c r="AB15" s="101"/>
      <c r="AC15" s="101"/>
    </row>
    <row r="16" spans="2:29" x14ac:dyDescent="0.25">
      <c r="B16" s="15" t="s">
        <v>258</v>
      </c>
      <c r="H16" s="37">
        <v>858</v>
      </c>
      <c r="I16" s="82"/>
      <c r="J16" s="15" t="s">
        <v>153</v>
      </c>
      <c r="M16" s="15" t="s">
        <v>286</v>
      </c>
      <c r="O16" s="69">
        <f>I16</f>
        <v>0</v>
      </c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</row>
    <row r="17" spans="2:29" x14ac:dyDescent="0.25">
      <c r="B17" s="15" t="s">
        <v>259</v>
      </c>
      <c r="H17" s="37">
        <v>859</v>
      </c>
      <c r="I17" s="24">
        <f>E46</f>
        <v>0</v>
      </c>
      <c r="J17" s="15" t="s">
        <v>153</v>
      </c>
      <c r="Q17" s="22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</row>
    <row r="18" spans="2:29" x14ac:dyDescent="0.25">
      <c r="B18" s="15" t="s">
        <v>260</v>
      </c>
      <c r="H18" s="37">
        <v>860</v>
      </c>
      <c r="I18" s="82"/>
      <c r="J18" s="15" t="s">
        <v>153</v>
      </c>
      <c r="M18" s="15" t="s">
        <v>281</v>
      </c>
      <c r="O18" s="69">
        <f>I18</f>
        <v>0</v>
      </c>
      <c r="S18" s="101"/>
      <c r="T18" s="102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2:29" x14ac:dyDescent="0.25">
      <c r="B19" s="15" t="s">
        <v>261</v>
      </c>
      <c r="H19" s="37">
        <v>861</v>
      </c>
      <c r="I19" s="24">
        <f>E49</f>
        <v>0</v>
      </c>
      <c r="J19" s="15" t="s">
        <v>153</v>
      </c>
      <c r="Q19" s="22"/>
      <c r="S19" s="101"/>
      <c r="T19" s="102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2:29" x14ac:dyDescent="0.25">
      <c r="B20" s="73" t="s">
        <v>317</v>
      </c>
      <c r="D20" s="67"/>
      <c r="S20" s="101"/>
      <c r="T20" s="102"/>
      <c r="U20" s="101"/>
      <c r="V20" s="101"/>
      <c r="W20" s="101"/>
      <c r="X20" s="101"/>
      <c r="Y20" s="101"/>
      <c r="Z20" s="101"/>
      <c r="AA20" s="101"/>
      <c r="AB20" s="101"/>
      <c r="AC20" s="101"/>
    </row>
    <row r="21" spans="2:29" x14ac:dyDescent="0.25">
      <c r="B21" s="73" t="s">
        <v>318</v>
      </c>
      <c r="D21" s="67"/>
      <c r="S21" s="101"/>
      <c r="T21" s="102"/>
      <c r="U21" s="101"/>
      <c r="V21" s="101"/>
      <c r="W21" s="101"/>
      <c r="X21" s="101"/>
      <c r="Y21" s="101"/>
      <c r="Z21" s="101"/>
      <c r="AA21" s="101"/>
      <c r="AB21" s="101"/>
      <c r="AC21" s="101"/>
    </row>
    <row r="22" spans="2:29" x14ac:dyDescent="0.25">
      <c r="B22" s="73"/>
      <c r="D22" s="67"/>
      <c r="S22" s="101"/>
      <c r="T22" s="102"/>
      <c r="U22" s="101"/>
      <c r="V22" s="101"/>
      <c r="W22" s="101"/>
      <c r="X22" s="101"/>
      <c r="Y22" s="101"/>
      <c r="Z22" s="101"/>
      <c r="AA22" s="101"/>
      <c r="AB22" s="101"/>
      <c r="AC22" s="101"/>
    </row>
    <row r="23" spans="2:29" x14ac:dyDescent="0.25">
      <c r="B23" s="15" t="s">
        <v>262</v>
      </c>
      <c r="D23" s="67"/>
      <c r="S23" s="101"/>
      <c r="T23" s="102"/>
      <c r="U23" s="101"/>
      <c r="V23" s="101"/>
      <c r="W23" s="101"/>
      <c r="X23" s="101"/>
      <c r="Y23" s="101"/>
      <c r="Z23" s="101"/>
      <c r="AA23" s="101"/>
      <c r="AB23" s="101"/>
      <c r="AC23" s="101"/>
    </row>
    <row r="24" spans="2:29" x14ac:dyDescent="0.25">
      <c r="B24" s="73" t="s">
        <v>328</v>
      </c>
      <c r="D24" s="67"/>
      <c r="M24" s="15" t="s">
        <v>301</v>
      </c>
      <c r="O24" s="69">
        <f>I26</f>
        <v>0</v>
      </c>
      <c r="S24" s="101"/>
      <c r="T24" s="102"/>
      <c r="U24" s="101"/>
      <c r="V24" s="101"/>
      <c r="W24" s="101"/>
      <c r="X24" s="101"/>
      <c r="Y24" s="101"/>
      <c r="Z24" s="101"/>
      <c r="AA24" s="101"/>
      <c r="AB24" s="101"/>
      <c r="AC24" s="101"/>
    </row>
    <row r="25" spans="2:29" x14ac:dyDescent="0.25">
      <c r="B25" s="73" t="s">
        <v>327</v>
      </c>
      <c r="D25" s="67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</row>
    <row r="26" spans="2:29" x14ac:dyDescent="0.25">
      <c r="B26" s="15" t="s">
        <v>263</v>
      </c>
      <c r="D26" s="37" t="s">
        <v>271</v>
      </c>
      <c r="E26" s="109"/>
      <c r="G26" s="72" t="s">
        <v>266</v>
      </c>
      <c r="H26" s="37">
        <v>862.1</v>
      </c>
      <c r="I26" s="82"/>
      <c r="J26" s="15" t="s">
        <v>153</v>
      </c>
      <c r="M26" s="15" t="s">
        <v>282</v>
      </c>
      <c r="O26" s="69">
        <f>I28</f>
        <v>0</v>
      </c>
      <c r="S26" s="101"/>
      <c r="T26" s="101"/>
      <c r="U26" s="103"/>
      <c r="V26" s="101"/>
      <c r="W26" s="103"/>
      <c r="X26" s="103"/>
      <c r="Y26" s="101"/>
      <c r="Z26" s="101"/>
      <c r="AA26" s="101"/>
      <c r="AB26" s="101"/>
      <c r="AC26" s="101"/>
    </row>
    <row r="27" spans="2:29" x14ac:dyDescent="0.25">
      <c r="B27" s="73" t="s">
        <v>298</v>
      </c>
      <c r="D27" s="67"/>
      <c r="E27" s="79" t="str">
        <f>IF(E26=29,40%,
IF(E26=31,10%,
IF(E26=32,10%,
IF(E26=36,10%,
IF(E26=37,16%,
IF(E26=38,12%,
IF(E26=39,12%,
IF(E26=40,12%,
IF(E26=43,10%,
IF(E26=45,12%,
IF(E26=50,12%,
IF(E26=56,12%,
IF(E26=58,12%,
IF(E26=59,12%,
IF(E26=96,12%,
IF(E26=105,12%,
IF(E26=159,40%,
IF(E26="46A",10%,
IF(E26="48A",10%,
IF(E26="48B",12%,
IF(E26="56B",12%,
IF(E26="56C",12%,
IF(E26="59A",10%,
IF(E26="59B",12%,
IF(E26="59C",12%,
IF(E26="59E",12%,""))))))))))))))))))))))))))</f>
        <v/>
      </c>
      <c r="F27" s="15" t="str">
        <f>IF(E26=29,"Flat",
IF(E26=31,"Max",
IF(E26=32,"Max",
IF(E26=36,"Flat",
IF(E26=37,"Max",
IF(E26=38,"Max",
IF(E26=39,"Flat",
IF(E26=40,"Max",
IF(E26=43,"Flat",
IF(E26=45,"Max",
IF(E26=50,"Max",
IF(E26=56,"Max",
IF(E26=58,"Max",
IF(E26=59,"Flat",
IF(E26=96,"Flat",
IF(E26=105,"Flat",
IF(E26=159,"Flat",
IF(E26="46A","Max",
IF(E26="48A","Max",
IF(E26="48B","Max",
IF(E26="56B","Max",
IF(E26="56C","Max",
IF(E26="59A","Max",
IF(E26="59B","Max",
IF(E26="59C","Max",
IF(E26="59E","Max",""))))))))))))))))))))))))))</f>
        <v/>
      </c>
      <c r="H27" s="37">
        <v>862.2</v>
      </c>
      <c r="I27" s="24">
        <f>E50</f>
        <v>0</v>
      </c>
      <c r="J27" s="15" t="s">
        <v>153</v>
      </c>
      <c r="S27" s="101"/>
      <c r="T27" s="104"/>
      <c r="U27" s="104"/>
      <c r="V27" s="104"/>
      <c r="W27" s="104"/>
      <c r="X27" s="104"/>
      <c r="Y27" s="104"/>
      <c r="Z27" s="104"/>
      <c r="AA27" s="104"/>
      <c r="AB27" s="104"/>
      <c r="AC27" s="101"/>
    </row>
    <row r="28" spans="2:29" x14ac:dyDescent="0.25">
      <c r="B28" s="15" t="s">
        <v>263</v>
      </c>
      <c r="D28" s="37" t="s">
        <v>272</v>
      </c>
      <c r="E28" s="109"/>
      <c r="G28" s="72" t="s">
        <v>266</v>
      </c>
      <c r="H28" s="37">
        <v>862.3</v>
      </c>
      <c r="I28" s="82"/>
      <c r="J28" s="15" t="s">
        <v>153</v>
      </c>
      <c r="M28" s="15" t="s">
        <v>283</v>
      </c>
      <c r="O28" s="69">
        <f>I30</f>
        <v>0</v>
      </c>
      <c r="S28" s="101"/>
      <c r="T28" s="105"/>
      <c r="U28" s="105"/>
      <c r="V28" s="105"/>
      <c r="W28" s="105"/>
      <c r="X28" s="105"/>
      <c r="Y28" s="105"/>
      <c r="Z28" s="105"/>
      <c r="AA28" s="105"/>
      <c r="AB28" s="105"/>
      <c r="AC28" s="101"/>
    </row>
    <row r="29" spans="2:29" x14ac:dyDescent="0.25">
      <c r="B29" s="73" t="s">
        <v>298</v>
      </c>
      <c r="D29" s="67"/>
      <c r="E29" s="79" t="str">
        <f>IF(E28=29,40%,
IF(E28=31,10%,
IF(E28=32,10%,
IF(E28=36,10%,
IF(E28=37,16%,
IF(E28=38,12%,
IF(E28=39,12%,
IF(E28=40,12%,
IF(E28=43,10%,
IF(E28=45,12%,
IF(E28=50,12%,
IF(E28=56,12%,
IF(E28=58,12%,
IF(E28=59,12%,
IF(E28=96,12%,
IF(E28=105,12%,
IF(E28=159,40%,
IF(E28="46A",10%,
IF(E28="48A",10%,
IF(E28="48B",12%,
IF(E28="56B",12%,
IF(E28="56C",12%,
IF(E28="59A",10%,
IF(E28="59B",12%,
IF(E28="59C",12%,
IF(E28="59E",12%,""))))))))))))))))))))))))))</f>
        <v/>
      </c>
      <c r="F29" s="15" t="str">
        <f>IF(E28=29,"Flat",
IF(E28=31,"Max",
IF(E28=32,"Max",
IF(E28=36,"Flat",
IF(E28=37,"Max",
IF(E28=38,"Max",
IF(E28=39,"Flat",
IF(E28=40,"Max",
IF(E28=43,"Flat",
IF(E28=45,"Max",
IF(E28=50,"Max",
IF(E28=56,"Max",
IF(E28=58,"Max",
IF(E28=59,"Flat",
IF(E28=96,"Flat",
IF(E28=105,"Flat",
IF(E28=159,"Flat",
IF(E28="46A","Max",
IF(E28="48A","Max",
IF(E28="48B","Max",
IF(E28="56B","Max",
IF(E28="56C","Max",
IF(E28="59A","Max",
IF(E28="59B","Max",
IF(E28="59C","Max",
IF(E28="59E","Max",""))))))))))))))))))))))))))</f>
        <v/>
      </c>
      <c r="H29" s="37">
        <v>862.4</v>
      </c>
      <c r="I29" s="24">
        <f>E51</f>
        <v>0</v>
      </c>
      <c r="J29" s="15" t="s">
        <v>153</v>
      </c>
      <c r="S29" s="101"/>
      <c r="T29" s="106"/>
      <c r="U29" s="106"/>
      <c r="V29" s="106"/>
      <c r="W29" s="106"/>
      <c r="X29" s="106"/>
      <c r="Y29" s="106"/>
      <c r="Z29" s="106"/>
      <c r="AA29" s="106"/>
      <c r="AB29" s="106"/>
      <c r="AC29" s="101"/>
    </row>
    <row r="30" spans="2:29" x14ac:dyDescent="0.25">
      <c r="B30" s="15" t="s">
        <v>263</v>
      </c>
      <c r="D30" s="37" t="s">
        <v>273</v>
      </c>
      <c r="E30" s="109"/>
      <c r="G30" s="72" t="s">
        <v>266</v>
      </c>
      <c r="H30" s="37">
        <v>862.5</v>
      </c>
      <c r="I30" s="82"/>
      <c r="J30" s="15" t="s">
        <v>153</v>
      </c>
      <c r="S30" s="101"/>
      <c r="T30" s="107"/>
      <c r="U30" s="107"/>
      <c r="V30" s="107"/>
      <c r="W30" s="107"/>
      <c r="X30" s="107"/>
      <c r="Y30" s="107"/>
      <c r="Z30" s="107"/>
      <c r="AA30" s="107"/>
      <c r="AB30" s="107"/>
      <c r="AC30" s="101"/>
    </row>
    <row r="31" spans="2:29" x14ac:dyDescent="0.25">
      <c r="D31" s="67"/>
      <c r="E31" s="79" t="str">
        <f>IF(E30=29,40%,
IF(E30=31,10%,
IF(E30=32,10%,
IF(E30=36,10%,
IF(E30=37,16%,
IF(E30=38,12%,
IF(E30=39,12%,
IF(E30=40,12%,
IF(E30=43,10%,
IF(E30=45,12%,
IF(E30=50,12%,
IF(E30=56,12%,
IF(E30=58,12%,
IF(E30=59,12%,
IF(E30=96,12%,
IF(E30=105,12%,
IF(E30=159,40%,
IF(E30="46A",10%,
IF(E30="48A",10%,
IF(E30="48B",12%,
IF(E30="56B",12%,
IF(E30="56C",12%,
IF(E30="59A",10%,
IF(E30="59B",12%,
IF(E30="59C",12%,
IF(E30="59E",12%,""))))))))))))))))))))))))))</f>
        <v/>
      </c>
      <c r="F31" s="15" t="str">
        <f>IF(E30=29,"Flat",
IF(E30=31,"Max",
IF(E30=32,"Max",
IF(E30=36,"Flat",
IF(E30=37,"Max",
IF(E30=38,"Max",
IF(E30=39,"Flat",
IF(E30=40,"Max",
IF(E30=43,"Flat",
IF(E30=45,"Max",
IF(E30=50,"Max",
IF(E30=56,"Max",
IF(E30=58,"Max",
IF(E30=59,"Flat",
IF(E30=96,"Flat",
IF(E30=105,"Flat",
IF(E30=159,"Flat",
IF(E30="46A","Max",
IF(E30="48A","Max",
IF(E30="48B","Max",
IF(E30="56B","Max",
IF(E30="56C","Max",
IF(E30="59A","Max",
IF(E30="59B","Max",
IF(E30="59C","Max",
IF(E30="59E","Max",""))))))))))))))))))))))))))</f>
        <v/>
      </c>
      <c r="H31" s="37">
        <v>862.6</v>
      </c>
      <c r="I31" s="24">
        <f>E52</f>
        <v>0</v>
      </c>
      <c r="J31" s="15" t="s">
        <v>153</v>
      </c>
      <c r="S31" s="101"/>
      <c r="T31" s="107"/>
      <c r="U31" s="107"/>
      <c r="V31" s="107"/>
      <c r="W31" s="107"/>
      <c r="X31" s="107"/>
      <c r="Y31" s="107"/>
      <c r="Z31" s="107"/>
      <c r="AA31" s="107"/>
      <c r="AB31" s="107"/>
      <c r="AC31" s="101"/>
    </row>
    <row r="32" spans="2:29" x14ac:dyDescent="0.25">
      <c r="B32" s="73" t="s">
        <v>298</v>
      </c>
      <c r="S32" s="101"/>
      <c r="T32" s="107"/>
      <c r="U32" s="107"/>
      <c r="V32" s="107"/>
      <c r="W32" s="107"/>
      <c r="X32" s="107"/>
      <c r="Y32" s="107"/>
      <c r="Z32" s="107"/>
      <c r="AA32" s="107"/>
      <c r="AB32" s="107"/>
      <c r="AC32" s="101"/>
    </row>
    <row r="33" spans="1:29" x14ac:dyDescent="0.25">
      <c r="B33" s="65" t="s">
        <v>267</v>
      </c>
      <c r="H33" s="37">
        <v>863</v>
      </c>
      <c r="I33" s="24">
        <f>SUM(I27,I29,I31)</f>
        <v>0</v>
      </c>
      <c r="J33" s="15" t="s">
        <v>153</v>
      </c>
      <c r="S33" s="101"/>
      <c r="T33" s="107"/>
      <c r="U33" s="107"/>
      <c r="V33" s="107"/>
      <c r="W33" s="107"/>
      <c r="X33" s="107"/>
      <c r="Y33" s="107"/>
      <c r="Z33" s="107"/>
      <c r="AA33" s="107"/>
      <c r="AB33" s="107"/>
      <c r="AC33" s="101"/>
    </row>
    <row r="34" spans="1:29" x14ac:dyDescent="0.25">
      <c r="M34" s="15" t="s">
        <v>287</v>
      </c>
      <c r="O34" s="69">
        <f>I37</f>
        <v>0</v>
      </c>
      <c r="S34" s="101"/>
      <c r="T34" s="107"/>
      <c r="U34" s="107"/>
      <c r="V34" s="107"/>
      <c r="W34" s="107"/>
      <c r="X34" s="107"/>
      <c r="Y34" s="107"/>
      <c r="Z34" s="107"/>
      <c r="AA34" s="107"/>
      <c r="AB34" s="107"/>
      <c r="AC34" s="101"/>
    </row>
    <row r="35" spans="1:29" x14ac:dyDescent="0.25">
      <c r="B35" s="74" t="s">
        <v>274</v>
      </c>
      <c r="S35" s="101"/>
      <c r="T35" s="107"/>
      <c r="U35" s="107"/>
      <c r="V35" s="107"/>
      <c r="W35" s="107"/>
      <c r="X35" s="107"/>
      <c r="Y35" s="107"/>
      <c r="Z35" s="107"/>
      <c r="AA35" s="107"/>
      <c r="AB35" s="107"/>
      <c r="AC35" s="101"/>
    </row>
    <row r="36" spans="1:29" x14ac:dyDescent="0.25">
      <c r="B36" s="73" t="s">
        <v>297</v>
      </c>
    </row>
    <row r="37" spans="1:29" x14ac:dyDescent="0.25">
      <c r="B37" s="15" t="s">
        <v>275</v>
      </c>
      <c r="H37" s="37">
        <v>866</v>
      </c>
      <c r="I37" s="82"/>
      <c r="J37" s="15" t="s">
        <v>153</v>
      </c>
    </row>
    <row r="38" spans="1:29" x14ac:dyDescent="0.25">
      <c r="B38" s="15" t="s">
        <v>276</v>
      </c>
      <c r="H38" s="37">
        <v>867</v>
      </c>
      <c r="I38" s="24">
        <f>E45</f>
        <v>0</v>
      </c>
      <c r="J38" s="15" t="s">
        <v>153</v>
      </c>
    </row>
    <row r="39" spans="1:29" x14ac:dyDescent="0.25">
      <c r="B39" s="15" t="s">
        <v>277</v>
      </c>
      <c r="H39" s="37">
        <v>868</v>
      </c>
      <c r="I39" s="24">
        <f>SUM(I17,I19,I33,I38)</f>
        <v>0</v>
      </c>
      <c r="J39" s="15" t="s">
        <v>153</v>
      </c>
      <c r="M39" s="15" t="s">
        <v>320</v>
      </c>
      <c r="N39" s="76"/>
      <c r="O39" s="81">
        <f>SUM(Return!G24,Return!G20)</f>
        <v>0</v>
      </c>
    </row>
    <row r="41" spans="1:29" ht="15" customHeight="1" x14ac:dyDescent="0.25">
      <c r="L41" s="15" t="s">
        <v>305</v>
      </c>
      <c r="M41" s="15" t="s">
        <v>303</v>
      </c>
      <c r="O41" s="22">
        <f>I5</f>
        <v>50000</v>
      </c>
    </row>
    <row r="42" spans="1:29" x14ac:dyDescent="0.25">
      <c r="A42" s="84" t="s">
        <v>302</v>
      </c>
      <c r="O42" s="22"/>
    </row>
    <row r="43" spans="1:29" x14ac:dyDescent="0.25">
      <c r="A43" s="130"/>
      <c r="B43" s="130"/>
      <c r="C43" s="130"/>
      <c r="D43" s="130"/>
      <c r="E43" s="130"/>
      <c r="F43" s="130"/>
      <c r="G43" s="130"/>
      <c r="H43" s="130"/>
      <c r="I43" s="131"/>
      <c r="J43" s="101"/>
      <c r="L43" s="78">
        <v>1</v>
      </c>
      <c r="M43" s="15" t="s">
        <v>287</v>
      </c>
      <c r="O43" s="22">
        <f>I37</f>
        <v>0</v>
      </c>
    </row>
    <row r="44" spans="1:29" x14ac:dyDescent="0.25">
      <c r="A44" s="108" t="s">
        <v>323</v>
      </c>
      <c r="B44" s="87"/>
      <c r="C44" s="91"/>
      <c r="D44" s="88"/>
      <c r="E44" s="89"/>
      <c r="F44" s="101"/>
      <c r="G44" s="107"/>
      <c r="H44" s="107"/>
      <c r="I44" s="134"/>
      <c r="J44" s="101"/>
      <c r="L44" s="78"/>
      <c r="M44" s="15" t="s">
        <v>286</v>
      </c>
      <c r="O44" s="22">
        <f>I16</f>
        <v>0</v>
      </c>
    </row>
    <row r="45" spans="1:29" x14ac:dyDescent="0.25">
      <c r="A45" s="94" t="s">
        <v>287</v>
      </c>
      <c r="B45" s="93"/>
      <c r="C45" s="93"/>
      <c r="D45" s="95"/>
      <c r="E45" s="77">
        <f>B77</f>
        <v>0</v>
      </c>
      <c r="F45" s="101"/>
      <c r="G45" s="107"/>
      <c r="H45" s="107"/>
      <c r="I45" s="135"/>
      <c r="J45" s="101"/>
      <c r="L45" s="78"/>
      <c r="M45" s="15" t="s">
        <v>280</v>
      </c>
      <c r="O45" s="22">
        <f>I7</f>
        <v>0</v>
      </c>
    </row>
    <row r="46" spans="1:29" x14ac:dyDescent="0.25">
      <c r="A46" s="94" t="s">
        <v>324</v>
      </c>
      <c r="B46" s="93"/>
      <c r="C46" s="93"/>
      <c r="D46" s="95"/>
      <c r="E46" s="77">
        <f>IF(AND(O44&lt;&gt;0,O46&lt;&gt;0),ROUND((O44/O46)*E48,0),0)</f>
        <v>0</v>
      </c>
      <c r="F46" s="101"/>
      <c r="G46" s="107"/>
      <c r="H46" s="107"/>
      <c r="I46" s="134"/>
      <c r="J46" s="101"/>
      <c r="L46" s="78">
        <v>2</v>
      </c>
      <c r="M46" s="15" t="s">
        <v>306</v>
      </c>
      <c r="O46" s="22">
        <f>SUM(O44:O45)</f>
        <v>0</v>
      </c>
    </row>
    <row r="47" spans="1:29" x14ac:dyDescent="0.25">
      <c r="A47" s="94" t="s">
        <v>325</v>
      </c>
      <c r="B47" s="93"/>
      <c r="C47" s="93"/>
      <c r="D47" s="95"/>
      <c r="E47" s="77">
        <f>IF(AND(O45&lt;&gt;0,O46&lt;&gt;0),ROUND((O45/O46)*E48,0),0)</f>
        <v>0</v>
      </c>
      <c r="F47" s="101"/>
      <c r="G47" s="107"/>
      <c r="H47" s="107"/>
      <c r="I47" s="134"/>
      <c r="J47" s="101"/>
      <c r="L47" s="78">
        <v>3</v>
      </c>
      <c r="M47" s="15" t="s">
        <v>304</v>
      </c>
      <c r="O47" s="22">
        <f>I9</f>
        <v>0</v>
      </c>
    </row>
    <row r="48" spans="1:29" x14ac:dyDescent="0.25">
      <c r="A48" s="94" t="s">
        <v>306</v>
      </c>
      <c r="B48" s="93"/>
      <c r="C48" s="93"/>
      <c r="D48" s="95"/>
      <c r="E48" s="77">
        <f>C77</f>
        <v>0</v>
      </c>
      <c r="F48" s="101"/>
      <c r="G48" s="107"/>
      <c r="H48" s="107"/>
      <c r="I48" s="134"/>
      <c r="J48" s="101"/>
      <c r="L48" s="78">
        <v>4</v>
      </c>
      <c r="M48" s="15" t="s">
        <v>281</v>
      </c>
      <c r="O48" s="22">
        <f>I18</f>
        <v>0</v>
      </c>
      <c r="R48" s="15" t="s">
        <v>316</v>
      </c>
    </row>
    <row r="49" spans="1:19" x14ac:dyDescent="0.25">
      <c r="A49" s="94" t="s">
        <v>281</v>
      </c>
      <c r="B49" s="93"/>
      <c r="C49" s="93"/>
      <c r="D49" s="95"/>
      <c r="E49" s="77">
        <f>G77</f>
        <v>0</v>
      </c>
      <c r="F49" s="101"/>
      <c r="G49" s="107"/>
      <c r="H49" s="107"/>
      <c r="I49" s="137"/>
      <c r="J49" s="101"/>
      <c r="L49" s="78">
        <v>5</v>
      </c>
      <c r="M49" s="15" t="s">
        <v>301</v>
      </c>
      <c r="O49" s="22">
        <f>I26</f>
        <v>0</v>
      </c>
      <c r="P49" s="15" t="str">
        <f>F27</f>
        <v/>
      </c>
      <c r="Q49" s="80" t="str">
        <f>E27</f>
        <v/>
      </c>
      <c r="R49" s="22">
        <f>IF(P49="Max",O49,0)</f>
        <v>0</v>
      </c>
    </row>
    <row r="50" spans="1:19" x14ac:dyDescent="0.25">
      <c r="A50" s="94" t="s">
        <v>301</v>
      </c>
      <c r="B50" s="93"/>
      <c r="C50" s="93"/>
      <c r="D50" s="95"/>
      <c r="E50" s="77">
        <f>D77</f>
        <v>0</v>
      </c>
      <c r="F50" s="101"/>
      <c r="G50" s="107"/>
      <c r="H50" s="107"/>
      <c r="I50" s="134"/>
      <c r="J50" s="101"/>
      <c r="L50" s="78">
        <v>6</v>
      </c>
      <c r="M50" s="15" t="s">
        <v>282</v>
      </c>
      <c r="O50" s="22">
        <f>I28</f>
        <v>0</v>
      </c>
      <c r="P50" s="15" t="str">
        <f>F29</f>
        <v/>
      </c>
      <c r="Q50" s="80" t="str">
        <f>E29</f>
        <v/>
      </c>
      <c r="R50" s="22">
        <f>IF(P50="Max",O50,0)</f>
        <v>0</v>
      </c>
    </row>
    <row r="51" spans="1:19" x14ac:dyDescent="0.25">
      <c r="A51" s="94" t="s">
        <v>282</v>
      </c>
      <c r="B51" s="93"/>
      <c r="C51" s="93"/>
      <c r="D51" s="95"/>
      <c r="E51" s="77">
        <f>E77</f>
        <v>0</v>
      </c>
      <c r="F51" s="101"/>
      <c r="G51" s="107"/>
      <c r="H51" s="107"/>
      <c r="I51" s="137"/>
      <c r="J51" s="101"/>
      <c r="L51" s="78">
        <v>7</v>
      </c>
      <c r="M51" s="15" t="s">
        <v>283</v>
      </c>
      <c r="O51" s="22">
        <f>I30</f>
        <v>0</v>
      </c>
      <c r="P51" s="15" t="str">
        <f>F31</f>
        <v/>
      </c>
      <c r="Q51" s="80" t="str">
        <f>E31</f>
        <v/>
      </c>
      <c r="R51" s="22">
        <f>IF(P51="Max",O51,0)</f>
        <v>0</v>
      </c>
    </row>
    <row r="52" spans="1:19" x14ac:dyDescent="0.25">
      <c r="A52" s="94" t="s">
        <v>283</v>
      </c>
      <c r="B52" s="93"/>
      <c r="C52" s="93"/>
      <c r="D52" s="95"/>
      <c r="E52" s="77">
        <f>F77</f>
        <v>0</v>
      </c>
      <c r="F52" s="101"/>
      <c r="G52" s="107"/>
      <c r="H52" s="107"/>
      <c r="I52" s="137"/>
      <c r="J52" s="101"/>
    </row>
    <row r="53" spans="1:19" hidden="1" x14ac:dyDescent="0.25">
      <c r="A53" s="138"/>
      <c r="B53" s="101"/>
      <c r="C53" s="101"/>
      <c r="D53" s="101"/>
      <c r="E53" s="107"/>
      <c r="F53" s="101"/>
      <c r="G53" s="107"/>
      <c r="H53" s="107"/>
      <c r="I53" s="107"/>
      <c r="J53" s="101"/>
      <c r="M53" s="15" t="s">
        <v>307</v>
      </c>
      <c r="O53" s="22">
        <f>SUM(O43,O46,O48,R49,R50,R51)</f>
        <v>0</v>
      </c>
      <c r="P53" s="22"/>
      <c r="Q53" s="22">
        <f>IF(AND(P49="Max",Q49=10%),O49,0)</f>
        <v>0</v>
      </c>
      <c r="R53" s="22">
        <f>IF(AND(P50="Max",Q50=10%),O50,0)</f>
        <v>0</v>
      </c>
      <c r="S53" s="22">
        <f>IF(AND(P51="Max",Q51=10%),O51,0)</f>
        <v>0</v>
      </c>
    </row>
    <row r="54" spans="1:19" hidden="1" x14ac:dyDescent="0.25">
      <c r="A54" s="132"/>
      <c r="B54" s="133"/>
      <c r="C54" s="133"/>
      <c r="D54" s="102"/>
      <c r="E54" s="107"/>
      <c r="F54" s="101"/>
      <c r="G54" s="107"/>
      <c r="H54" s="107"/>
      <c r="I54" s="134"/>
      <c r="J54" s="101"/>
      <c r="M54" s="15" t="s">
        <v>308</v>
      </c>
      <c r="O54" s="22">
        <f t="shared" ref="O54:O59" si="0">SUM(Q53:S53)</f>
        <v>0</v>
      </c>
      <c r="P54" s="22"/>
      <c r="Q54" s="22">
        <f>IF(AND(P49="Max",Q49=12%),O49,0)</f>
        <v>0</v>
      </c>
      <c r="R54" s="22">
        <f>IF(AND(P50="Max",Q50=12%),O50,0)</f>
        <v>0</v>
      </c>
      <c r="S54" s="22">
        <f>IF(AND(P51="Max",Q51=12%),O51,0)</f>
        <v>0</v>
      </c>
    </row>
    <row r="55" spans="1:19" hidden="1" x14ac:dyDescent="0.25">
      <c r="A55" s="132"/>
      <c r="B55" s="133"/>
      <c r="C55" s="133"/>
      <c r="D55" s="102"/>
      <c r="E55" s="107"/>
      <c r="F55" s="101"/>
      <c r="G55" s="107"/>
      <c r="H55" s="107"/>
      <c r="I55" s="134"/>
      <c r="J55" s="101"/>
      <c r="M55" s="15" t="s">
        <v>309</v>
      </c>
      <c r="O55" s="22">
        <f t="shared" si="0"/>
        <v>0</v>
      </c>
      <c r="P55" s="22"/>
      <c r="Q55" s="22">
        <f>IF(AND(P49="Max",Q49=16%),O49,0)</f>
        <v>0</v>
      </c>
      <c r="R55" s="22">
        <f>IF(AND(P50="Max",Q50=16%),O50,0)</f>
        <v>0</v>
      </c>
      <c r="S55" s="22">
        <f>IF(AND(P51="Max",Q51=16%),O51,0)</f>
        <v>0</v>
      </c>
    </row>
    <row r="56" spans="1:19" hidden="1" x14ac:dyDescent="0.25">
      <c r="A56" s="132"/>
      <c r="B56" s="133"/>
      <c r="C56" s="136"/>
      <c r="D56" s="102"/>
      <c r="E56" s="107"/>
      <c r="F56" s="101"/>
      <c r="G56" s="107"/>
      <c r="H56" s="107"/>
      <c r="I56" s="137"/>
      <c r="J56" s="101"/>
      <c r="M56" s="15" t="s">
        <v>310</v>
      </c>
      <c r="O56" s="22">
        <f>SUM(Q55:S55)</f>
        <v>0</v>
      </c>
      <c r="P56" s="22"/>
      <c r="Q56" s="22">
        <f>IF(AND(P49="Flat",Q49=10%),O49,0)</f>
        <v>0</v>
      </c>
      <c r="R56" s="22">
        <f>IF(AND(P50="Flat",Q50=10%),O50,0)</f>
        <v>0</v>
      </c>
      <c r="S56" s="22">
        <f>IF(AND(P51="Flat",Q51=10%),O51,0)</f>
        <v>0</v>
      </c>
    </row>
    <row r="57" spans="1:19" hidden="1" x14ac:dyDescent="0.25">
      <c r="A57" s="138"/>
      <c r="B57" s="101"/>
      <c r="C57" s="101"/>
      <c r="D57" s="101"/>
      <c r="E57" s="101"/>
      <c r="F57" s="107"/>
      <c r="G57" s="101"/>
      <c r="H57" s="101"/>
      <c r="I57" s="107"/>
      <c r="J57" s="101"/>
      <c r="M57" s="15" t="s">
        <v>311</v>
      </c>
      <c r="O57" s="22">
        <f t="shared" si="0"/>
        <v>0</v>
      </c>
      <c r="P57" s="22"/>
      <c r="Q57" s="22">
        <f>IF(AND(P49="Flat",Q49=12%),O49,0)</f>
        <v>0</v>
      </c>
      <c r="R57" s="22">
        <f>IF(AND(P50="Flat",Q50=12%),O50,0)</f>
        <v>0</v>
      </c>
      <c r="S57" s="22">
        <f>IF(AND(P51="Flat",Q51=12%),O51,0)</f>
        <v>0</v>
      </c>
    </row>
    <row r="58" spans="1:19" hidden="1" x14ac:dyDescent="0.25">
      <c r="A58" s="139"/>
      <c r="B58" s="101"/>
      <c r="C58" s="101"/>
      <c r="D58" s="102"/>
      <c r="E58" s="107"/>
      <c r="F58" s="107"/>
      <c r="G58" s="107"/>
      <c r="H58" s="101"/>
      <c r="I58" s="107"/>
      <c r="J58" s="101"/>
      <c r="M58" s="15" t="s">
        <v>312</v>
      </c>
      <c r="O58" s="22">
        <f t="shared" si="0"/>
        <v>0</v>
      </c>
      <c r="P58" s="22"/>
      <c r="Q58" s="22">
        <f>IF(AND(P49="Flat",Q49=40%),O49,0)</f>
        <v>0</v>
      </c>
      <c r="R58" s="22">
        <f>IF(AND(P50="Flat",Q50=40%),O50,0)</f>
        <v>0</v>
      </c>
      <c r="S58" s="22">
        <f>IF(AND(P51="Flat",Q51=40%),O51,0)</f>
        <v>0</v>
      </c>
    </row>
    <row r="59" spans="1:19" hidden="1" x14ac:dyDescent="0.25">
      <c r="A59" s="138"/>
      <c r="B59" s="101"/>
      <c r="C59" s="101"/>
      <c r="D59" s="101"/>
      <c r="E59" s="101"/>
      <c r="F59" s="107"/>
      <c r="G59" s="101"/>
      <c r="H59" s="101"/>
      <c r="I59" s="107"/>
      <c r="J59" s="101"/>
      <c r="M59" s="15" t="s">
        <v>313</v>
      </c>
      <c r="O59" s="22">
        <f t="shared" si="0"/>
        <v>0</v>
      </c>
    </row>
    <row r="60" spans="1:19" hidden="1" x14ac:dyDescent="0.25">
      <c r="A60" s="140"/>
      <c r="B60" s="141"/>
      <c r="C60" s="141"/>
      <c r="D60" s="142"/>
      <c r="E60" s="143"/>
      <c r="F60" s="130"/>
      <c r="G60" s="143"/>
      <c r="H60" s="143"/>
      <c r="I60" s="144"/>
      <c r="J60" s="101"/>
      <c r="M60" s="15" t="s">
        <v>314</v>
      </c>
      <c r="O60" s="22">
        <f>SUM(O43,O46,O48)</f>
        <v>0</v>
      </c>
    </row>
    <row r="61" spans="1:19" hidden="1" x14ac:dyDescent="0.25">
      <c r="A61" s="122"/>
      <c r="B61" s="123"/>
      <c r="C61" s="123"/>
      <c r="D61" s="124"/>
      <c r="E61" s="125"/>
      <c r="F61" s="126"/>
      <c r="G61" s="125"/>
      <c r="H61" s="125"/>
      <c r="I61" s="127"/>
      <c r="M61" s="15" t="s">
        <v>315</v>
      </c>
      <c r="O61" s="22">
        <f>SUM(O43,O46)</f>
        <v>0</v>
      </c>
    </row>
    <row r="62" spans="1:19" hidden="1" x14ac:dyDescent="0.25">
      <c r="A62" s="86"/>
      <c r="B62" s="87"/>
      <c r="C62" s="87"/>
      <c r="D62" s="88"/>
      <c r="E62" s="89"/>
      <c r="F62" s="67"/>
      <c r="G62" s="89"/>
      <c r="H62" s="89"/>
      <c r="I62" s="90"/>
    </row>
    <row r="63" spans="1:19" hidden="1" x14ac:dyDescent="0.25">
      <c r="A63" s="110"/>
      <c r="B63" s="113" t="s">
        <v>287</v>
      </c>
      <c r="C63" s="113" t="s">
        <v>326</v>
      </c>
      <c r="D63" s="114" t="s">
        <v>301</v>
      </c>
      <c r="E63" s="115" t="s">
        <v>282</v>
      </c>
      <c r="F63" s="83" t="s">
        <v>283</v>
      </c>
      <c r="G63" s="115" t="s">
        <v>281</v>
      </c>
      <c r="H63" s="116" t="s">
        <v>279</v>
      </c>
      <c r="I63" s="117" t="s">
        <v>332</v>
      </c>
      <c r="J63" s="117" t="s">
        <v>334</v>
      </c>
      <c r="K63" s="117" t="s">
        <v>333</v>
      </c>
      <c r="L63" s="118" t="s">
        <v>331</v>
      </c>
    </row>
    <row r="64" spans="1:19" hidden="1" x14ac:dyDescent="0.25">
      <c r="A64" s="110">
        <v>1</v>
      </c>
      <c r="B64" s="77">
        <f>IF(O43=0,0,
IF(O43&lt;=J64,O43*K64,L64)
)</f>
        <v>0</v>
      </c>
      <c r="C64" s="77">
        <f>IF(O46=0,0,
IF(O43=0,
IF(O46&lt;=J64,O46*K64,L64),
IF(O43&gt;=J64,0,
IF(O46&lt;=(J64-O43),O46*K64,(J64-O43)*K64)
)))</f>
        <v>0</v>
      </c>
      <c r="D64" s="77">
        <f>IF(OR(O49=0,P49="Flat"),0,
IF(AND(O43=0,O46=0),
IF(O49&lt;=J64,O49*K64,L64),
IF((O43+O46)&gt;=J64,0,
IF(O49&lt;=(J64-(O43+O46)),O49*K64,(J64-(O43+O46))*K64)
)))</f>
        <v>0</v>
      </c>
      <c r="E64" s="77">
        <f>IF(OR(O50=0,P50="Flat"),0,
IF(AND(O43=0,O46=0,O49=0),
IF(O50&lt;=J64,O50*K64,L64),
IF((O43+O46+O49)&gt;=J64,0,
IF(O50&lt;=(J64-(O43+O46+O49)),O50*K64,(J64-(O43+O46+O49))*K64)
)))</f>
        <v>0</v>
      </c>
      <c r="F64" s="77">
        <f>IF(OR(O51=0,P51="Flat"),0,
IF(AND(O43=0,O46=0,O49=0,O50=0),
IF(O51&lt;=J64,O51*K64,L64),
IF((O43+O46+O49+O50)&gt;=J64,0,
IF(O51&lt;=(J64-(O43+O46+O49+O50)),O51*K64,(J64-(O43+O46+O49+O50))*K64)
)))</f>
        <v>0</v>
      </c>
      <c r="G64" s="77">
        <f>IF(OR(O48=0),0,
IF(AND(O43=0,O46=0,O49=0,O50=0,O51=0),
IF(O48&lt;=J64,O48*K64,L64),
IF((O43+O46+O49+O50+O51)&gt;=J64,0,
IF(O48&lt;=(J64-(O43+O46+O49+O50+O51)),O48*K64,(J64-(O43+O46+O49+O50+O51))*K64)
)))</f>
        <v>0</v>
      </c>
      <c r="H64" s="111">
        <f>SUM(B64:G64)</f>
        <v>0</v>
      </c>
      <c r="I64" s="118">
        <v>500000</v>
      </c>
      <c r="J64" s="128">
        <v>500000</v>
      </c>
      <c r="K64" s="121">
        <v>0.04</v>
      </c>
      <c r="L64" s="118">
        <v>20000</v>
      </c>
      <c r="N64" s="15" t="s">
        <v>329</v>
      </c>
      <c r="O64" s="22">
        <f>O43</f>
        <v>0</v>
      </c>
    </row>
    <row r="65" spans="1:15" hidden="1" x14ac:dyDescent="0.25">
      <c r="A65" s="110">
        <v>2</v>
      </c>
      <c r="B65" s="77">
        <f>IF(O43&lt;=J64,0,
IF((O43-J64)&lt;=I65,
 (O43-J64)*K65,
 L65
 )
)</f>
        <v>0</v>
      </c>
      <c r="C65" s="77">
        <f>IF(OR(O46=0,O43&gt;J65),0,
 IF(O43=0,
  IF(O46&gt;J64,
   IF((O46-J64)&gt;I65,L65,(O46-J64)*K65),
   0
  ),
  IF(O43&lt;=J64,
   IF((O43+O46)&lt;=J64,0,
    IF(((O43+O46)-J64)&gt;=I65,L65,((O43+O46)-J64)*K65)
   ),
   IF(O46&gt;(J65-O43),(J65-O43)*K65,O46*K65)
  )
 )
)</f>
        <v>0</v>
      </c>
      <c r="D65" s="77">
        <f>IF(OR(O49=0,P49="Flat",(O43+O46)&gt;J65),0,
 IF((O43+O46)=0,
  IF(O49&gt;J64,
   IF((O49-J64)&gt;I65,L65,(O49-J64)*K65),
   0
  ),
  IF((O43+O46)&lt;=J64,
   IF((O43+O46+O49)&lt;=J64,0,
    IF(((O43+O46+O49)-J64)&gt;=I65,L65,((O43+O46+O49)-J64)*K65)
   ),
   IF((O43+O46)&lt;J64,
    IF((O49-(J64-(O43+O46)))&gt;J65,L65,(O49-(J64-(O43+O46)))*K65),
    IF(O49&gt;(J65-(O43+O46)),(J65-(O43+O46))*K65,O49*K65)
   )
  )
 )
)</f>
        <v>0</v>
      </c>
      <c r="E65" s="77">
        <f>IF(OR(O50=0,P50="Flat",(O43+O46+IF(P49="Flat",0,O49))&gt;J65),0,
 IF((O43+O46+IF(P49="Flat",0,O49))=0,
  IF(O50&gt;J64,
   IF((O50-J64)&gt;I65,L65,(O50-J64)*K65),
   0
  ),
  IF((O43+O46+IF(P49="Flat",0,O49))&lt;=J64,
   IF((O43+O46+IF(P49="Flat",0,O49)+O50)&lt;=J64,0,
    IF(((O43+O46+IF(P49="Flat",0,O49)+O50)-J64)&gt;=I65,L65,((O43+O46+IF(P49="Flat",0,O49)+O50)-J64)*K65)
   ),
   IF((O43+O46+IF(P49="Flat",0,O49))&lt;J64,
    IF((O50-(J64-(O43+O46+IF(P49="Flat",0,O49))))&gt;J65,L65,(O50-(J64-(O43+O46+IF(P49="Flat",0,O49))))*K65),
    IF(O50&gt;(J65-(O43+O46+IF(P49="Flat",0,O49))),(J65-(O43+O46+IF(P49="Flat",0,O49)))*K65,O50*K65)
   )
  )
 )
)</f>
        <v>0</v>
      </c>
      <c r="F65" s="77">
        <f>IF(OR(O51=0,P51="Flat",(O43+O46+IF(P49="Flat",0,O49)+IF(P50="Flat",0,O50)&gt;J65)),0,
 IF((O43+O46+IF(P49="Flat",0,O49)+IF(P50="Flat",0,O50))=0,
  IF(O51&gt;J64,
   IF((O51-J64)&gt;I65,L65,(O51-J64)*K65),
   0
  ),
  IF((O43+O46+IF(P49="Flat",0,O49)+IF(P50="Flat",0,O50))&lt;=J64,
   IF((O43+O46+IF(P49="Flat",0,O49)+IF(P50="Flat",0,O50)+O51)&lt;=J64,0,
    IF(((O43+O46+IF(P49="Flat",0,O49)+IF(P50="Flat",0,O50)+O51)-J64)&gt;=I65,L65,((O43+O46+IF(P49="Flat",0,O49)+IF(P50="Flat",0,O50)+O51)-J64)*K65)
   ),
   IF((O43+O46+IF(P49="Flat",0,O49)+IF(P50="Flat",0,O50))&lt;J64,
    IF((O51-(J64-(O43+O46+IF(P49="Flat",0,O49)+IF(P50="Flat",0,O50))))&gt;J65,L65,(O51-(J64-(O43+O46+IF(P49="Flat",0,O49)+IF(P50="Flat",0,O50))))*K65),
    IF(O51&gt;(J65-(O43+O46+IF(P49="Flat",0,O49)+IF(P50="Flat",0,O50))),(J65-(O43+O46+IF(P49="Flat",0,O49)+IF(P50="Flat",0,O50)))*K65,O51*K65)
   )
  )
 )
)</f>
        <v>0</v>
      </c>
      <c r="G65" s="77">
        <f>IF(OR(O48=0,(O43+O46+IF(P49="Flat",0,O49)+IF(P50="Flat",0,O50)+IF(P51="Flat",0,O51)&gt;J65)),0,
 IF((O43+O46+IF(P49="Flat",0,O49)+IF(P50="Flat",0,O50)+IF(P51="Flat",0,O51))=0,
  IF(O48&gt;J64,
   IF((O48-J64)&gt;I65,L65,(O48-J64)*K65),
   0
  ),
  IF((O43+O46+IF(P49="Flat",0,O49)+IF(P50="Flat",0,O50)+IF(P51="Flat",0,O51))&lt;=J64,
   IF((O43+O46+IF(P49="Flat",0,O49)+IF(P50="Flat",0,O50)+IF(P51="Flat",0,O51)+O48)&lt;=J64,0,
    IF(((O43+O46+IF(P49="Flat",0,O49)+IF(P50="Flat",0,O50)+IF(P51="Flat",0,O51)+O48)-J64)&gt;=I65,L65,((O43+O46+IF(P49="Flat",0,O49)+IF(P50="Flat",0,O50)+IF(P51="Flat",0,O51)+O48)-J64)*K65)
   ),
   IF((O43+O46+IF(P49="Flat",0,O49)+IF(P50="Flat",0,O50)+IF(P51="Flat",0,O51))&lt;J64,
    IF((O48-(J64-(O43+O46+IF(P49="Flat",0,O49)+IF(P50="Flat",0,O50)+IF(P51="Flat",0,O51))))&gt;J65,L65,(O48-(J64-(O43+O46+IF(P49="Flat",0,O49)+IF(P50="Flat",0,O50)+IF(P51="Flat",0,O51))))*K65),
    IF(O48&gt;(J65-(O43+O46+IF(P49="Flat",0,O49)+IF(P50="Flat",0,O50)+IF(P51="Flat",0,O51))),(J65-(O43+O46+IF(P49="Flat",0,O49)+IF(P50="Flat",0,O50)+IF(P51="Flat",0,O51)))*K65,O48*K65)
   )
  )
 )
)</f>
        <v>0</v>
      </c>
      <c r="H65" s="111">
        <f t="shared" ref="H65:H76" si="1">SUM(B65:G65)</f>
        <v>0</v>
      </c>
      <c r="I65" s="118">
        <v>500000</v>
      </c>
      <c r="J65" s="128">
        <v>1000000</v>
      </c>
      <c r="K65" s="121">
        <v>0.08</v>
      </c>
      <c r="L65" s="118">
        <v>40000</v>
      </c>
      <c r="N65" s="15" t="s">
        <v>330</v>
      </c>
      <c r="O65" s="22">
        <f t="shared" ref="O65:O70" si="2">O46</f>
        <v>0</v>
      </c>
    </row>
    <row r="66" spans="1:15" hidden="1" x14ac:dyDescent="0.25">
      <c r="A66" s="110" t="s">
        <v>321</v>
      </c>
      <c r="B66" s="129">
        <v>0</v>
      </c>
      <c r="C66" s="129">
        <v>0</v>
      </c>
      <c r="D66" s="77">
        <f>IF(OR(O49=0,P49="",Q49&lt;&gt;10%),0,
 IF(P49="Flat",
  O49*K66,
  IF((O43+O46+O49)&lt;=J65,0,
   IF((O43+O46)&gt;J65,O49*K66,
   (O49-(J65-(O43+O46)))*K66)
  )
 )
)</f>
        <v>0</v>
      </c>
      <c r="E66" s="77">
        <f>IF(OR(O50=0,O50="",Q50&lt;&gt;10%),0,
 IF(O50="Flat",
  O50*K66,
  IF(OR(O49=0,O49="",P49="Flat"),
   IF((O43+O46+O50)&lt;=J65,0,
    IF((O43+O46)&gt;J65,O50*K66,
   (O50-(J65-(O43+O46)))*K66)
   ),
   IF((O43+O46+O49)&gt;J65,O50*K66,
    IF((O43+O46+O49+O50)&lt;=J65,0,(O50-(J65-(O43+O46+O49)))*K66)
   )
  )
 )
)</f>
        <v>0</v>
      </c>
      <c r="F66" s="77">
        <f>IF(OR(O51=0,O51="",Q51&lt;&gt;10%),0,
 IF(O51="Flat",
  O51*K66,
  IF(AND(OR(O49=0,O49="",P49="Flat"),OR(O50=0,O50="",P50="Flat")),
   IF((O43+O46+O51)&lt;=J65,0,
    IF((O43+O46)&gt;J65,O51*K66,
   (O51-(J65-(O43+O46)))*K66)
   ),
   IF(OR((O43+O46+O49)&gt;J65,(O43+O46+O50)&gt;J65),O51*K66,
    IF((O43+O46+O49+O50)&gt;J65,O51*K66,
  IF((O43+O46+O49+O50+O51)&lt;=J65,0,(O51-(J65-(O43+O46+O49+O50)))*K66)
 )
   )
  )
 )
)</f>
        <v>0</v>
      </c>
      <c r="G66" s="129">
        <v>0</v>
      </c>
      <c r="H66" s="111">
        <f t="shared" si="1"/>
        <v>0</v>
      </c>
      <c r="I66" s="119"/>
      <c r="J66" s="128"/>
      <c r="K66" s="121">
        <v>0.1</v>
      </c>
      <c r="L66" s="119"/>
      <c r="N66" s="15" t="s">
        <v>335</v>
      </c>
      <c r="O66" s="22">
        <f t="shared" si="2"/>
        <v>0</v>
      </c>
    </row>
    <row r="67" spans="1:15" hidden="1" x14ac:dyDescent="0.25">
      <c r="A67" s="110">
        <v>3</v>
      </c>
      <c r="B67" s="77">
        <f>IF(O43&lt;=J65,0,
IF((O43-J65)&lt;=I67,
 (O43-J65)*K67,
 L67
 )
)</f>
        <v>0</v>
      </c>
      <c r="C67" s="77">
        <f>IF(OR(O46=0,O43&gt;J67),0,
 IF(O43=0,
  IF(O46&gt;J65,
   IF((O46-J65)&gt;I67,L67,(O46-J65)*K67),
   0
  ),
  IF(O43&lt;=J65,
   IF((O43+O46)&lt;=J65,0,
    IF(((O43+O46)-J65)&gt;=I67,L67,((O43+O46)-J65)*K67)
   ),
   IF(O46&gt;(J67-O43),(J67-O43)*K67,O46*K67)
  )
 )
)</f>
        <v>0</v>
      </c>
      <c r="D67" s="77">
        <f>IF(OR(O49=0,P49="Flat",Q49=10%,(O43+O46)&gt;J67),0,
 IF((O43+O46)=0,
  IF(O49&gt;J65,
   IF((O49-J65)&gt;I67,L67,(O49-J65)*K67),
   0
  ),
  IF((O43+O46)&lt;=J65,
   IF((O43+O46+O49)&lt;=J65,0,
    IF(((O43+O46+O49)-J65)&gt;=I67,L67,((O43+O46+O49)-J65)*K67)
   ),
   IF((O43+O46)&lt;J65,
    IF((O49-(J65-(O43+O46)))&gt;J67,L67,(O49-(J65-(O43+O46)))*K67),
    IF(O49&gt;(J67-(O43+O46)),(J67-(O43+O46))*K67,O49*K67)
   )
  )
 )
)</f>
        <v>0</v>
      </c>
      <c r="E67" s="77">
        <f>IF(OR(O50=0,P50="Flat",Q50=10%,(O43+O46+IF(OR(P49="Flat",Q49=10%),0,O49))&gt;J67),0,
 IF((O43+O46+IF(OR(P49="Flat",Q49=10%),0,O49))=0,
  IF(O50&gt;J65,
   IF((O50-J65)&gt;I67,L67,(O50-J65)*K67),
   0
  ),
  IF((O43+O46+IF(OR(P49="Flat",Q49=10%),0,O49))&lt;=J65,
   IF((O43+O46+IF(OR(P49="Flat",Q49=10%),0,O49)+O50)&lt;=J65,0,
    IF(((O43+O46+IF(OR(P49="Flat",Q49=10%),0,O49)+O50)-J65)&gt;=I67,L67,((O43+O46+IF(OR(P49="Flat",Q49=10%),0,O49)+O50)-J65)*K67)
   ),
   IF((O43+O46+IF(OR(P49="Flat",Q49=10%),0,O49))&lt;J65,
    IF((O50-(J65-(O43+O46+IF(OR(P49="Flat",Q49=10%),0,O49))))&gt;J67,L67,(O50-(J65-(O43+O46+IF(OR(P49="Flat",Q49=10%),0,O49))))*K67),
    IF(O50&gt;(J67-(O43+O46+IF(OR(P49="Flat",Q49=10%),0,O49))),(J67-(O43+O46+IF(OR(P49="Flat",Q49=10%),0,O49)))*K67,O50*K67)
   )
  )
 )
)</f>
        <v>0</v>
      </c>
      <c r="F67" s="77">
        <f>IF(OR(O51=0,P51="Flat",(O43+O46+IF(OR(P49="Flat",Q49=10%),0,O49)+IF(OR(P50="Flat",Q50=10%),0,O50)&gt;J67)),0,
 IF((O43+O46+IF(OR(P49="Flat",Q49=10%),0,O49)+IF(OR(P50="Flat",Q50=10%),0,O50))=0,
  IF(O51&gt;J65,
   IF((O51-J65)&gt;I67,L67,(O51-J65)*K67),
   0
  ),
  IF((O43+O46+IF(OR(P49="Flat",Q49=10%),0,O49)+IF(OR(P50="Flat",Q50=10%),0,O50))&lt;=J65,
   IF((O43+O46+IF(OR(P49="Flat",Q49=10%),0,O49)+IF(OR(P50="Flat",Q50=10%),0,O50)+O51)&lt;=J65,0,
    IF(((O43+O46+IF(OR(P49="Flat",Q49=10%),0,O49)+IF(OR(P50="Flat",Q50=10%),0,O50)+O51)-J65)&gt;=I67,L67,((O43+O46+IF(OR(P49="Flat",Q49=10%),0,O49)+IF(OR(P50="Flat",Q50=10%),0,O50)+O51)-J65)*K67)
   ),
   IF((O43+O46+IF(OR(P49="Flat",Q49=10%),0,O49)+IF(OR(P50="Flat",Q50=10%),0,O50))&lt;J65,
    IF((O51-(J65-(O43+O46+IF(OR(P49="Flat",Q49=10%),0,O49)+IF(OR(P50="Flat",Q50=10%),0,O50))))&gt;J67,L67,(O51-(J65-(O43+O46+IF(OR(P49="Flat",Q49=10%),0,O49)+IF(OR(P50="Flat",Q50=10%),0,O50))))*K67),
    IF(O51&gt;(J67-(O43+O46+IF(OR(P49="Flat",Q49=10%),0,O49)+IF(OR(P50="Flat",Q50=10%),0,O50))),(J67-(O43+O46+IF(OR(P49="Flat",Q49=10%),0,O49)+IF(OR(P50="Flat",Q50=10%),0,O50)))*K67,O51*K67)
   )
  )
 )
)</f>
        <v>0</v>
      </c>
      <c r="G67" s="145">
        <f>IF(AND(O43=0,O46=0,O49=0,O50=0,O51=0),
IF(O48&gt;J67,L67,
IF(O48=0,0,(O48-(I64+I65))*K67)),
)</f>
        <v>0</v>
      </c>
      <c r="H67" s="111">
        <f t="shared" si="1"/>
        <v>0</v>
      </c>
      <c r="I67" s="118">
        <v>500000</v>
      </c>
      <c r="J67" s="128">
        <v>1500000</v>
      </c>
      <c r="K67" s="121">
        <v>0.12</v>
      </c>
      <c r="L67" s="118">
        <v>60000</v>
      </c>
      <c r="N67" s="15" t="s">
        <v>336</v>
      </c>
      <c r="O67" s="22">
        <f t="shared" si="2"/>
        <v>0</v>
      </c>
    </row>
    <row r="68" spans="1:15" hidden="1" x14ac:dyDescent="0.25">
      <c r="A68" s="110" t="s">
        <v>322</v>
      </c>
      <c r="B68" s="129">
        <v>0</v>
      </c>
      <c r="C68" s="129">
        <v>0</v>
      </c>
      <c r="D68" s="77">
        <f>IF(OR(O49=0,P49="",Q49&lt;&gt;12%),0,
 IF(P49="Flat",
  O49*K68,
  IF((O43+O46+O49)&lt;=J67,0,
   IF((O43+O46)&gt;J67,O49*K68,
   (O49-(J67-(O43+O46)))*K68)
  )
 )
)</f>
        <v>0</v>
      </c>
      <c r="E68" s="77">
        <f>IF(OR(O50=0,O50="",Q50&lt;&gt;12%),0,
 IF(P50="Flat",
  O50*K68,
  IF(OR(O49=0,O49="",P49="Flat"),
   IF((O43+O46+O50)&lt;=J67,0,
    IF((O43+O46)&gt;J67,O50*K68,
   (O50-(J67-(O43+O46)))*K68)
   ),
   IF((O43+O46+O49)&gt;J67,O50*K68-E67,
    IF((O43+O46+O49+O50)&lt;=J67,0,(O50-(J67-(O43+O46+O49)))*K68)
   )
  )
 )
)</f>
        <v>0</v>
      </c>
      <c r="F68" s="77">
        <f>IF(OR(O51=0,O51="",Q51&lt;&gt;12%),0,
 IF(P51="Flat",
  O51*K68,
  IF(AND(OR(O49=0,O49="",P49="Flat"),OR(O50=0,O50="",P50="Flat")),
   IF((O43+O46+O51)&lt;=J67,0,
    IF((O43+O46)&gt;J67,O51*K68,
   (O51-(J67-(O43+O46)))*K68)
   ),
   IF(OR((O43+O46+O49)&gt;J67,(O43+O46+O50)&gt;J67),O51*K68-F67,
    IF((O43+O46+O49+O50)&gt;J67,O51*K68,
  IF((O43+O46+O49+O50+O51)&lt;=J67,0,(O51-(J67-(O43+O46+O49+O50)))*K68)
 )
   )
  )
 )
)</f>
        <v>0</v>
      </c>
      <c r="G68" s="129">
        <v>0</v>
      </c>
      <c r="H68" s="111">
        <f t="shared" si="1"/>
        <v>0</v>
      </c>
      <c r="I68" s="119"/>
      <c r="J68" s="128"/>
      <c r="K68" s="121">
        <v>0.12</v>
      </c>
      <c r="L68" s="119"/>
      <c r="N68" s="15" t="s">
        <v>337</v>
      </c>
      <c r="O68" s="22">
        <f t="shared" si="2"/>
        <v>0</v>
      </c>
    </row>
    <row r="69" spans="1:15" hidden="1" x14ac:dyDescent="0.25">
      <c r="A69" s="110">
        <v>4</v>
      </c>
      <c r="B69" s="77">
        <f>IF(O43&lt;=J67,0,
IF((O43-J67)&lt;=I69,
 (O43-J67)*K69,
 L69
 )
)</f>
        <v>0</v>
      </c>
      <c r="C69" s="129">
        <v>0</v>
      </c>
      <c r="D69" s="129">
        <v>0</v>
      </c>
      <c r="E69" s="129">
        <v>0</v>
      </c>
      <c r="F69" s="129">
        <v>0</v>
      </c>
      <c r="G69" s="129">
        <v>0</v>
      </c>
      <c r="H69" s="111">
        <f t="shared" si="1"/>
        <v>0</v>
      </c>
      <c r="I69" s="118">
        <v>500000</v>
      </c>
      <c r="J69" s="128">
        <v>2000000</v>
      </c>
      <c r="K69" s="121">
        <v>0.16</v>
      </c>
      <c r="L69" s="118">
        <v>80000</v>
      </c>
      <c r="N69" s="15" t="s">
        <v>338</v>
      </c>
      <c r="O69" s="22">
        <f t="shared" si="2"/>
        <v>0</v>
      </c>
    </row>
    <row r="70" spans="1:15" hidden="1" x14ac:dyDescent="0.25">
      <c r="A70" s="110" t="s">
        <v>319</v>
      </c>
      <c r="B70" s="129"/>
      <c r="C70" s="77">
        <f>IF(O46=0,0,
 IF(O43&gt;J69,
  O46*K70,
  IF(((O43+O46)-J67)&lt;0,0,((O43+O46)-J67)*K70)
 )
)</f>
        <v>0</v>
      </c>
      <c r="D70" s="77">
        <f>IF(OR(O49=0,P49="",Q49&lt;&gt;16%),0,
 IF((O43+O46+O49)&lt;=J67,0,
  IF((O43+O46)&gt;J67,O49*K70,
  (O49-(J67-(O43+O46)))*K70)
 )
)</f>
        <v>0</v>
      </c>
      <c r="E70" s="77">
        <f>IF(OR(O50=0,O50="",Q50&lt;&gt;16%),0,
  IF(OR(O49=0,O49="",P49="Flat"),
   IF((O43+O46+O50)&lt;=J67,0,
    IF((O43+O46)&gt;J67,O50*K70,
   (O50-(J67-(O43+O46)))*K70)
   ),
   IF((O43+O46+O49)&gt;J67,O50*K70,
    IF((O43+O46+O49+O50)&lt;=J67,0,(O50-(J67-(O43+O46+O49)))*K70)
   )
  )
)</f>
        <v>0</v>
      </c>
      <c r="F70" s="77">
        <f>IF(OR(O51=0,O51="",Q51&lt;&gt;16%),0,
  IF(AND(OR(O49=0,O49="",P49="Flat"),OR(O50=0,O50="",P50="Flat")),
   IF((O43+O46+O51)&lt;=J67,0,
    IF((O43+O46)&gt;J67,O51*K70,
   (O51-(J67-(O43+O46)))*K70)
   ),
   IF(OR((O43+O46+O49)&gt;J67,(O43+O46+O50)&gt;J67),O51*K70,
    IF((O43+O46+O49+O50)&gt;J67,O51*K70,
  IF((O43+O46+O49+O50+O51)&lt;=J67,0,(O51-(J67-(O43+O46+O49+O50)))*K70)
 )
   )
  )
)</f>
        <v>0</v>
      </c>
      <c r="G70" s="129">
        <v>0</v>
      </c>
      <c r="H70" s="111">
        <f t="shared" si="1"/>
        <v>0</v>
      </c>
      <c r="I70" s="119"/>
      <c r="J70" s="128"/>
      <c r="K70" s="121">
        <v>0.16</v>
      </c>
      <c r="L70" s="119"/>
      <c r="N70" s="15" t="s">
        <v>339</v>
      </c>
      <c r="O70" s="22">
        <f t="shared" si="2"/>
        <v>0</v>
      </c>
    </row>
    <row r="71" spans="1:15" hidden="1" x14ac:dyDescent="0.25">
      <c r="A71" s="110">
        <v>5</v>
      </c>
      <c r="B71" s="77">
        <f>IF(O43&lt;=J69,0,
IF((O43-J69)&lt;=I71,
 (O43-J69)*K71,
 L71
 )
)</f>
        <v>0</v>
      </c>
      <c r="C71" s="129">
        <v>0</v>
      </c>
      <c r="D71" s="129">
        <v>0</v>
      </c>
      <c r="E71" s="129">
        <v>0</v>
      </c>
      <c r="F71" s="129">
        <v>0</v>
      </c>
      <c r="G71" s="129">
        <v>0</v>
      </c>
      <c r="H71" s="111">
        <f t="shared" si="1"/>
        <v>0</v>
      </c>
      <c r="I71" s="118">
        <v>1000000</v>
      </c>
      <c r="J71" s="128">
        <v>3000000</v>
      </c>
      <c r="K71" s="121">
        <v>0.2</v>
      </c>
      <c r="L71" s="118">
        <v>200000</v>
      </c>
    </row>
    <row r="72" spans="1:15" hidden="1" x14ac:dyDescent="0.25">
      <c r="A72" s="110">
        <v>6</v>
      </c>
      <c r="B72" s="77">
        <f>IF(O43&lt;=J71,0,(O43-J71)*K72)</f>
        <v>0</v>
      </c>
      <c r="C72" s="129">
        <v>0</v>
      </c>
      <c r="D72" s="129">
        <v>0</v>
      </c>
      <c r="E72" s="129">
        <v>0</v>
      </c>
      <c r="F72" s="129">
        <v>0</v>
      </c>
      <c r="G72" s="129">
        <v>0</v>
      </c>
      <c r="H72" s="111">
        <f t="shared" si="1"/>
        <v>0</v>
      </c>
      <c r="I72" s="119"/>
      <c r="J72" s="128"/>
      <c r="K72" s="121">
        <v>0.24</v>
      </c>
      <c r="L72" s="119"/>
    </row>
    <row r="73" spans="1:15" hidden="1" x14ac:dyDescent="0.25">
      <c r="A73" s="110">
        <v>7</v>
      </c>
      <c r="B73" s="129">
        <v>0</v>
      </c>
      <c r="C73" s="129">
        <v>0</v>
      </c>
      <c r="D73" s="129">
        <v>0</v>
      </c>
      <c r="E73" s="129">
        <v>0</v>
      </c>
      <c r="F73" s="129">
        <v>0</v>
      </c>
      <c r="G73" s="77">
        <f>IF(OR(O48=0,O48&lt;SUM(I65,I64)),0,
 IF((O43+O46+IF(P49="Flat",0,O49)+IF(P50="Flat",0,O50)+IF(P49="Flat",0,O51))&gt;=J65,
 IF(O48&gt;I73,L73,O48*K73),
 IF((O48-(J65-(O43+O46+IF(P49="Flat",0,O49)+IF(P50="Flat",0,O50)+IF(P49="Flat",0,O51))))&gt;I73,L73,
  IF(AND(O43=0,O46=0,O49=0,O50=0,O51=0,O48&gt;J67),
  (O48-(J67-(O43+O46+IF(P49="Flat",0,O49)+IF(P50="Flat",0,O50)+IF(P49="Flat",0,O51))))*K73,
  (O48-(J65-(O43+O46+IF(P49="Flat",0,O49)+IF(P50="Flat",0,O50)+IF(P49="Flat",0,O51))))*K73)
  )
 )
)</f>
        <v>0</v>
      </c>
      <c r="H73" s="111">
        <f t="shared" si="1"/>
        <v>0</v>
      </c>
      <c r="I73" s="118">
        <v>23500000</v>
      </c>
      <c r="J73" s="128">
        <v>23500000</v>
      </c>
      <c r="K73" s="121">
        <v>0.12</v>
      </c>
      <c r="L73" s="118">
        <v>2820000</v>
      </c>
      <c r="N73" s="15">
        <f>(O48-(J65-(O43+O46+IF(P49="Flat",0,O49)+IF(P50="Flat",0,O50)+IF(P49="Flat",0,O51))))</f>
        <v>-1000000</v>
      </c>
    </row>
    <row r="74" spans="1:15" hidden="1" x14ac:dyDescent="0.25">
      <c r="A74" s="110">
        <v>8</v>
      </c>
      <c r="B74" s="129">
        <v>0</v>
      </c>
      <c r="C74" s="129">
        <v>0</v>
      </c>
      <c r="D74" s="129">
        <v>0</v>
      </c>
      <c r="E74" s="129">
        <v>0</v>
      </c>
      <c r="F74" s="129">
        <v>0</v>
      </c>
      <c r="G74" s="77">
        <f>IF(OR(O48=0,O48&lt;SUM(I73,I67,I65,I64)),0,
 IF((O43+O46+IF(P49="Flat",0,O49)+IF(P50="Flat",0,O50)+IF(P49="Flat",0,O51))&gt;=J65,
 IF(O48&gt;(I73+I74),L74,(O48-I73)*K74),
 IF(((O48-(J65-(O43+O46+IF(P49="Flat",0,O49)+IF(P50="Flat",0,O50)+IF(P49="Flat",0,O51))))-I73)&gt;I74,L74,((O48-(J65-(O43+O46+IF(P49="Flat",0,O49)+IF(P50="Flat",0,O50)+IF(P49="Flat",0,O51))))-I73)*K74)
 )
)</f>
        <v>0</v>
      </c>
      <c r="H74" s="111">
        <f>SUM(B74:G74)</f>
        <v>0</v>
      </c>
      <c r="I74" s="118">
        <v>10000000</v>
      </c>
      <c r="J74" s="128">
        <v>33500000</v>
      </c>
      <c r="K74" s="121">
        <v>0.14000000000000001</v>
      </c>
      <c r="L74" s="118">
        <v>1400000</v>
      </c>
    </row>
    <row r="75" spans="1:15" hidden="1" x14ac:dyDescent="0.25">
      <c r="A75" s="110">
        <v>9</v>
      </c>
      <c r="B75" s="129">
        <v>0</v>
      </c>
      <c r="C75" s="129">
        <v>0</v>
      </c>
      <c r="D75" s="129">
        <v>0</v>
      </c>
      <c r="E75" s="129">
        <v>0</v>
      </c>
      <c r="F75" s="129">
        <v>0</v>
      </c>
      <c r="G75" s="77">
        <f>IF(OR(O48=0,O48&lt;SUM(I74,I73,I67,I65,I64)),0,
 IF((O43+O46+IF(P49="Flat",0,O49)+IF(P50="Flat",0,O50)+IF(P49="Flat",0,O51))&gt;=J65,
 IF(O48&lt;(I73+I74),0,(O48-(I73+I74))*K75),
 IF(AND(O43=0,O46=0,O49=0,O50=0,O51=0,O48&gt;I73+I74),(O48-(I64+I65+I67+I73+I74))*K75,
 ((O48-(J65-(O43+O46+IF(P49="Flat",0,O49)+IF(P50="Flat",0,O50)+IF(P49="Flat",0,O51))))-(I73+I74))*K75)
 )
)</f>
        <v>0</v>
      </c>
      <c r="H75" s="111">
        <f t="shared" si="1"/>
        <v>0</v>
      </c>
      <c r="I75" s="119"/>
      <c r="J75" s="128"/>
      <c r="K75" s="121">
        <v>0.16</v>
      </c>
      <c r="L75" s="119"/>
    </row>
    <row r="76" spans="1:15" hidden="1" x14ac:dyDescent="0.25">
      <c r="A76" s="110">
        <v>10</v>
      </c>
      <c r="B76" s="129">
        <v>0</v>
      </c>
      <c r="C76" s="129">
        <v>0</v>
      </c>
      <c r="D76" s="77"/>
      <c r="E76" s="77"/>
      <c r="F76" s="77"/>
      <c r="G76" s="129">
        <v>0</v>
      </c>
      <c r="H76" s="111">
        <f t="shared" si="1"/>
        <v>0</v>
      </c>
      <c r="I76" s="119"/>
      <c r="J76" s="128"/>
      <c r="K76" s="121">
        <v>0.4</v>
      </c>
      <c r="L76" s="119"/>
    </row>
    <row r="77" spans="1:15" hidden="1" x14ac:dyDescent="0.25">
      <c r="A77" s="112"/>
      <c r="B77" s="77">
        <f>SUM(B64:B76)</f>
        <v>0</v>
      </c>
      <c r="C77" s="77">
        <f t="shared" ref="C77:G77" si="3">SUM(C64:C76)</f>
        <v>0</v>
      </c>
      <c r="D77" s="77">
        <f t="shared" si="3"/>
        <v>0</v>
      </c>
      <c r="E77" s="77">
        <f t="shared" si="3"/>
        <v>0</v>
      </c>
      <c r="F77" s="77">
        <f t="shared" si="3"/>
        <v>0</v>
      </c>
      <c r="G77" s="77">
        <f t="shared" si="3"/>
        <v>0</v>
      </c>
      <c r="H77" s="111">
        <f>SUM(H64:H76)</f>
        <v>0</v>
      </c>
      <c r="I77" s="119"/>
      <c r="J77" s="128"/>
      <c r="K77" s="120"/>
      <c r="L77" s="119"/>
    </row>
    <row r="78" spans="1:15" x14ac:dyDescent="0.25">
      <c r="A78" s="86"/>
      <c r="B78" s="87"/>
      <c r="C78" s="87"/>
      <c r="D78" s="88"/>
      <c r="E78" s="89"/>
      <c r="F78" s="67"/>
      <c r="G78" s="89"/>
      <c r="H78" s="89"/>
      <c r="I78" s="90"/>
    </row>
    <row r="79" spans="1:15" x14ac:dyDescent="0.25">
      <c r="F79" s="67"/>
      <c r="G79" s="89"/>
      <c r="H79" s="89"/>
      <c r="I79" s="92"/>
    </row>
  </sheetData>
  <sheetProtection algorithmName="SHA-512" hashValue="AoWEUKQclipDsw2HBKFwMau6j7G5vmnK2+3hOVyENxjgkPQel01kcLmWluWp52R3ZXUcMN2XYfO86BYnB0bmpw==" saltValue="3c+MVRObiOjZL2cz4kk/Xg==" spinCount="100000" sheet="1" objects="1" scenarios="1"/>
  <protectedRanges>
    <protectedRange sqref="I7 I9 I16 E10 I18 E26 E28 E30 I26 I28 I30 I37" name="Range1"/>
  </protectedRanges>
  <mergeCells count="1">
    <mergeCell ref="H2:J2"/>
  </mergeCells>
  <conditionalFormatting sqref="H2">
    <cfRule type="expression" dxfId="1" priority="1" stopIfTrue="1">
      <formula>$I$5&lt;&gt;$N$3</formula>
    </cfRule>
    <cfRule type="expression" dxfId="0" priority="2">
      <formula>$I$5=$N$3</formula>
    </cfRule>
  </conditionalFormatting>
  <dataValidations count="3">
    <dataValidation type="list" operator="greaterThanOrEqual" allowBlank="1" showInputMessage="1" showErrorMessage="1" errorTitle="Whole Number" error="Please enter whole number and ignore the decimal number, eg. 1000. No negative number allowed." sqref="E26 E28 E30">
      <formula1>SecSch</formula1>
    </dataValidation>
    <dataValidation type="whole" operator="greaterThanOrEqual" allowBlank="1" showInputMessage="1" showErrorMessage="1" errorTitle="Whole Number" error="Please enter whole number and ignore the decimal number, eg. 1000. No negative number allowed." sqref="I6:I7 I30 I9 I16 I18 I26 I28 I37">
      <formula1>0</formula1>
    </dataValidation>
    <dataValidation type="list" allowBlank="1" showInputMessage="1" showErrorMessage="1" sqref="E10">
      <formula1>YearSvc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topLeftCell="D1" workbookViewId="0">
      <selection sqref="A1:C1048576"/>
    </sheetView>
  </sheetViews>
  <sheetFormatPr defaultRowHeight="15" x14ac:dyDescent="0.25"/>
  <cols>
    <col min="1" max="1" width="18" hidden="1" customWidth="1"/>
    <col min="2" max="3" width="0" hidden="1" customWidth="1"/>
  </cols>
  <sheetData>
    <row r="2" spans="1:3" x14ac:dyDescent="0.25">
      <c r="A2" t="s">
        <v>264</v>
      </c>
      <c r="C2" s="71">
        <v>29</v>
      </c>
    </row>
    <row r="3" spans="1:3" x14ac:dyDescent="0.25">
      <c r="A3" t="s">
        <v>265</v>
      </c>
      <c r="C3" s="71">
        <v>31</v>
      </c>
    </row>
    <row r="4" spans="1:3" x14ac:dyDescent="0.25">
      <c r="C4" s="71">
        <v>32</v>
      </c>
    </row>
    <row r="5" spans="1:3" x14ac:dyDescent="0.25">
      <c r="C5" s="71">
        <v>36</v>
      </c>
    </row>
    <row r="6" spans="1:3" x14ac:dyDescent="0.25">
      <c r="C6" s="71">
        <v>37</v>
      </c>
    </row>
    <row r="7" spans="1:3" x14ac:dyDescent="0.25">
      <c r="C7" s="71">
        <v>38</v>
      </c>
    </row>
    <row r="8" spans="1:3" x14ac:dyDescent="0.25">
      <c r="C8" s="71">
        <v>39</v>
      </c>
    </row>
    <row r="9" spans="1:3" x14ac:dyDescent="0.25">
      <c r="C9" s="71">
        <v>40</v>
      </c>
    </row>
    <row r="10" spans="1:3" x14ac:dyDescent="0.25">
      <c r="C10" s="71">
        <v>43</v>
      </c>
    </row>
    <row r="11" spans="1:3" x14ac:dyDescent="0.25">
      <c r="C11" s="71">
        <v>45</v>
      </c>
    </row>
    <row r="12" spans="1:3" x14ac:dyDescent="0.25">
      <c r="C12" s="71">
        <v>50</v>
      </c>
    </row>
    <row r="13" spans="1:3" x14ac:dyDescent="0.25">
      <c r="C13" s="71">
        <v>56</v>
      </c>
    </row>
    <row r="14" spans="1:3" x14ac:dyDescent="0.25">
      <c r="C14" s="71">
        <v>58</v>
      </c>
    </row>
    <row r="15" spans="1:3" x14ac:dyDescent="0.25">
      <c r="C15" s="71">
        <v>59</v>
      </c>
    </row>
    <row r="16" spans="1:3" x14ac:dyDescent="0.25">
      <c r="C16" s="71">
        <v>96</v>
      </c>
    </row>
    <row r="17" spans="3:3" x14ac:dyDescent="0.25">
      <c r="C17" s="71">
        <v>105</v>
      </c>
    </row>
    <row r="18" spans="3:3" x14ac:dyDescent="0.25">
      <c r="C18" s="71">
        <v>159</v>
      </c>
    </row>
    <row r="19" spans="3:3" x14ac:dyDescent="0.25">
      <c r="C19" s="71" t="s">
        <v>293</v>
      </c>
    </row>
    <row r="20" spans="3:3" x14ac:dyDescent="0.25">
      <c r="C20" s="71" t="s">
        <v>288</v>
      </c>
    </row>
    <row r="21" spans="3:3" x14ac:dyDescent="0.25">
      <c r="C21" s="71" t="s">
        <v>290</v>
      </c>
    </row>
    <row r="22" spans="3:3" x14ac:dyDescent="0.25">
      <c r="C22" s="71" t="s">
        <v>292</v>
      </c>
    </row>
    <row r="23" spans="3:3" x14ac:dyDescent="0.25">
      <c r="C23" s="71" t="s">
        <v>289</v>
      </c>
    </row>
    <row r="24" spans="3:3" x14ac:dyDescent="0.25">
      <c r="C24" s="71" t="s">
        <v>294</v>
      </c>
    </row>
    <row r="25" spans="3:3" x14ac:dyDescent="0.25">
      <c r="C25" s="71" t="s">
        <v>295</v>
      </c>
    </row>
    <row r="26" spans="3:3" x14ac:dyDescent="0.25">
      <c r="C26" s="71" t="s">
        <v>296</v>
      </c>
    </row>
    <row r="27" spans="3:3" x14ac:dyDescent="0.25">
      <c r="C27" s="71" t="s">
        <v>291</v>
      </c>
    </row>
  </sheetData>
  <sheetProtection algorithmName="SHA-512" hashValue="ndSSPNfdJiXghDo0ffeelkEaIaVVQhOYkYwjY3oXio3eHWFTTv1G/ReMNWl/xuxjZvMeOHJOTkb6coZ6oE9Biw==" saltValue="YcuER6nnTkD4NWxLZVNUCw==" spinCount="100000" sheet="1" objects="1" scenarios="1"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34"/>
  <sheetViews>
    <sheetView showGridLines="0" workbookViewId="0">
      <selection activeCell="L12" sqref="L12"/>
    </sheetView>
  </sheetViews>
  <sheetFormatPr defaultRowHeight="15" x14ac:dyDescent="0.25"/>
  <cols>
    <col min="1" max="1" width="3.140625" style="15" customWidth="1"/>
    <col min="2" max="2" width="9.140625" style="15" customWidth="1"/>
    <col min="3" max="6" width="9.140625" style="15"/>
    <col min="7" max="7" width="6.42578125" style="15" customWidth="1"/>
    <col min="8" max="8" width="2.85546875" style="15" customWidth="1"/>
    <col min="9" max="9" width="32.7109375" style="22" customWidth="1"/>
    <col min="10" max="10" width="3.7109375" style="15" customWidth="1"/>
    <col min="11" max="15" width="9.140625" style="15"/>
    <col min="16" max="16" width="6.28515625" style="15" customWidth="1"/>
    <col min="17" max="17" width="3.140625" style="15" customWidth="1"/>
    <col min="18" max="18" width="8.140625" style="15" customWidth="1"/>
    <col min="19" max="19" width="9.42578125" style="15" bestFit="1" customWidth="1"/>
    <col min="20" max="16384" width="9.140625" style="15"/>
  </cols>
  <sheetData>
    <row r="1" spans="2:18" ht="18.75" x14ac:dyDescent="0.3">
      <c r="B1" s="53" t="s">
        <v>178</v>
      </c>
      <c r="C1" s="48"/>
      <c r="D1" s="48"/>
      <c r="E1" s="48"/>
      <c r="F1" s="48"/>
    </row>
    <row r="2" spans="2:18" ht="18.75" x14ac:dyDescent="0.3">
      <c r="B2" s="54" t="str">
        <f>Return!B2</f>
        <v>YEAR OF ASSESSMENT : 2016/2017 and 2017/2018</v>
      </c>
      <c r="C2" s="48"/>
      <c r="D2" s="48"/>
      <c r="E2" s="48"/>
      <c r="F2" s="48"/>
    </row>
    <row r="3" spans="2:18" x14ac:dyDescent="0.25">
      <c r="B3" s="17" t="s">
        <v>17</v>
      </c>
    </row>
    <row r="4" spans="2:18" x14ac:dyDescent="0.25">
      <c r="B4" s="36" t="s">
        <v>154</v>
      </c>
      <c r="C4" s="55"/>
      <c r="G4" s="37">
        <v>103</v>
      </c>
      <c r="H4" s="56" t="s">
        <v>147</v>
      </c>
      <c r="I4" s="2">
        <v>50000</v>
      </c>
      <c r="J4" s="15" t="s">
        <v>153</v>
      </c>
      <c r="R4" s="22"/>
    </row>
    <row r="5" spans="2:18" x14ac:dyDescent="0.25">
      <c r="B5" s="15" t="s">
        <v>155</v>
      </c>
      <c r="C5" s="55"/>
      <c r="G5" s="45"/>
      <c r="H5" s="56" t="s">
        <v>148</v>
      </c>
      <c r="I5" s="3"/>
      <c r="J5" s="15" t="s">
        <v>153</v>
      </c>
    </row>
    <row r="6" spans="2:18" x14ac:dyDescent="0.25">
      <c r="B6" s="36"/>
      <c r="C6" s="55"/>
      <c r="G6" s="45"/>
      <c r="H6" s="56" t="s">
        <v>149</v>
      </c>
      <c r="I6" s="3"/>
      <c r="J6" s="15" t="s">
        <v>153</v>
      </c>
    </row>
    <row r="7" spans="2:18" x14ac:dyDescent="0.25">
      <c r="B7" s="36"/>
      <c r="C7" s="55"/>
      <c r="G7" s="45"/>
      <c r="H7" s="56" t="s">
        <v>150</v>
      </c>
      <c r="I7" s="3"/>
      <c r="J7" s="15" t="s">
        <v>153</v>
      </c>
    </row>
    <row r="8" spans="2:18" x14ac:dyDescent="0.25">
      <c r="B8" s="36"/>
      <c r="C8" s="55"/>
      <c r="G8" s="45"/>
      <c r="H8" s="56" t="s">
        <v>151</v>
      </c>
      <c r="I8" s="3"/>
      <c r="J8" s="15" t="s">
        <v>153</v>
      </c>
    </row>
    <row r="9" spans="2:18" x14ac:dyDescent="0.25">
      <c r="B9" s="36"/>
      <c r="C9" s="55"/>
      <c r="G9" s="45"/>
      <c r="H9" s="56" t="s">
        <v>152</v>
      </c>
      <c r="I9" s="2"/>
      <c r="J9" s="15" t="s">
        <v>153</v>
      </c>
    </row>
    <row r="10" spans="2:18" x14ac:dyDescent="0.25">
      <c r="B10" s="36" t="s">
        <v>18</v>
      </c>
      <c r="C10" s="55"/>
      <c r="G10" s="37">
        <v>105</v>
      </c>
      <c r="I10" s="1">
        <f>IF(SUM(I4:I9)="","",SUM(I4:I9))</f>
        <v>50000</v>
      </c>
      <c r="J10" s="15" t="s">
        <v>153</v>
      </c>
    </row>
    <row r="12" spans="2:18" x14ac:dyDescent="0.25">
      <c r="B12" s="57" t="s">
        <v>157</v>
      </c>
      <c r="G12" s="37">
        <v>104</v>
      </c>
      <c r="H12" s="56" t="s">
        <v>147</v>
      </c>
      <c r="I12" s="2"/>
      <c r="J12" s="15" t="s">
        <v>153</v>
      </c>
    </row>
    <row r="13" spans="2:18" x14ac:dyDescent="0.25">
      <c r="B13" s="15" t="s">
        <v>158</v>
      </c>
      <c r="G13" s="45"/>
      <c r="H13" s="56" t="s">
        <v>148</v>
      </c>
      <c r="I13" s="3"/>
      <c r="J13" s="15" t="s">
        <v>153</v>
      </c>
    </row>
    <row r="14" spans="2:18" x14ac:dyDescent="0.25">
      <c r="B14" s="57"/>
      <c r="G14" s="45"/>
      <c r="H14" s="56" t="s">
        <v>149</v>
      </c>
      <c r="I14" s="3"/>
      <c r="J14" s="15" t="s">
        <v>153</v>
      </c>
    </row>
    <row r="15" spans="2:18" x14ac:dyDescent="0.25">
      <c r="B15" s="57"/>
      <c r="G15" s="45"/>
      <c r="H15" s="56" t="s">
        <v>150</v>
      </c>
      <c r="I15" s="3"/>
      <c r="J15" s="15" t="s">
        <v>153</v>
      </c>
    </row>
    <row r="16" spans="2:18" x14ac:dyDescent="0.25">
      <c r="B16" s="57"/>
      <c r="G16" s="45"/>
      <c r="H16" s="56" t="s">
        <v>151</v>
      </c>
      <c r="I16" s="3"/>
      <c r="J16" s="15" t="s">
        <v>153</v>
      </c>
    </row>
    <row r="17" spans="2:10" x14ac:dyDescent="0.25">
      <c r="B17" s="57"/>
      <c r="G17" s="45"/>
      <c r="H17" s="56" t="s">
        <v>152</v>
      </c>
      <c r="I17" s="3"/>
      <c r="J17" s="15" t="s">
        <v>153</v>
      </c>
    </row>
    <row r="18" spans="2:10" x14ac:dyDescent="0.25">
      <c r="B18" s="36" t="s">
        <v>19</v>
      </c>
      <c r="G18" s="37">
        <v>106</v>
      </c>
      <c r="I18" s="1">
        <f>IF(SUM(I12:I17)="","",SUM(I12:I17))</f>
        <v>0</v>
      </c>
      <c r="J18" s="15" t="s">
        <v>153</v>
      </c>
    </row>
    <row r="20" spans="2:10" x14ac:dyDescent="0.25">
      <c r="B20" s="36" t="s">
        <v>156</v>
      </c>
      <c r="G20" s="37">
        <v>107</v>
      </c>
      <c r="I20" s="4">
        <f>IF(AND(I10="",I18=""),"",SUM(I10,I18))</f>
        <v>50000</v>
      </c>
      <c r="J20" s="15" t="s">
        <v>153</v>
      </c>
    </row>
    <row r="23" spans="2:10" x14ac:dyDescent="0.25">
      <c r="B23" s="15" t="s">
        <v>146</v>
      </c>
    </row>
    <row r="34" spans="7:7" x14ac:dyDescent="0.25">
      <c r="G34" s="58"/>
    </row>
  </sheetData>
  <sheetProtection algorithmName="SHA-512" hashValue="tgEoOELm6zN2gxP+/GEOQjQXpX+2VkaeXoiR5/86s4YEa6XK1h1RaK5MCAoaxEPW8GDARpQuP8A+avbUsXIeAQ==" saltValue="eaaDFVlc6++QVBhYl2QvGA==" spinCount="100000" sheet="1" objects="1" scenarios="1"/>
  <protectedRanges>
    <protectedRange sqref="I12:I17" name="Range2"/>
    <protectedRange sqref="I4:I9" name="Range1"/>
  </protectedRanges>
  <customSheetViews>
    <customSheetView guid="{12504DBE-41C2-4FD3-9D8E-D9B684050204}" showGridLines="0">
      <selection activeCell="I12" sqref="I12"/>
      <pageMargins left="0.7" right="0.7" top="0.75" bottom="0.75" header="0.3" footer="0.3"/>
      <pageSetup paperSize="9" orientation="portrait" r:id="rId1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I4:I9 I12:I17">
      <formula1>0</formula1>
    </dataValidation>
  </dataValidation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18"/>
  <sheetViews>
    <sheetView showGridLines="0" workbookViewId="0">
      <selection activeCell="B2" sqref="B2"/>
    </sheetView>
  </sheetViews>
  <sheetFormatPr defaultRowHeight="15" x14ac:dyDescent="0.25"/>
  <cols>
    <col min="1" max="1" width="3.28515625" style="15" customWidth="1"/>
    <col min="2" max="4" width="9.140625" style="15"/>
    <col min="5" max="5" width="29.85546875" style="15" customWidth="1"/>
    <col min="6" max="6" width="5.7109375" style="15" customWidth="1"/>
    <col min="7" max="7" width="2.42578125" style="15" customWidth="1"/>
    <col min="8" max="8" width="30.85546875" style="22" customWidth="1"/>
    <col min="9" max="12" width="9.140625" style="15"/>
    <col min="13" max="13" width="28.140625" style="15" customWidth="1"/>
    <col min="14" max="14" width="6.28515625" style="15" customWidth="1"/>
    <col min="15" max="15" width="2.7109375" style="15" customWidth="1"/>
    <col min="16" max="16" width="30.5703125" style="15" customWidth="1"/>
    <col min="17" max="16384" width="9.140625" style="15"/>
  </cols>
  <sheetData>
    <row r="1" spans="2:9" ht="18.75" x14ac:dyDescent="0.3">
      <c r="B1" s="53" t="s">
        <v>178</v>
      </c>
      <c r="C1" s="48"/>
      <c r="D1" s="48"/>
      <c r="E1" s="48"/>
    </row>
    <row r="2" spans="2:9" ht="18.75" x14ac:dyDescent="0.3">
      <c r="B2" s="54" t="str">
        <f>Return!B2</f>
        <v>YEAR OF ASSESSMENT : 2016/2017 and 2017/2018</v>
      </c>
      <c r="C2" s="48"/>
      <c r="D2" s="48"/>
      <c r="E2" s="48"/>
    </row>
    <row r="3" spans="2:9" x14ac:dyDescent="0.25">
      <c r="B3" s="17" t="s">
        <v>20</v>
      </c>
    </row>
    <row r="4" spans="2:9" x14ac:dyDescent="0.25">
      <c r="B4" s="36" t="s">
        <v>159</v>
      </c>
      <c r="F4" s="37">
        <v>114</v>
      </c>
      <c r="G4" s="59" t="s">
        <v>147</v>
      </c>
      <c r="H4" s="2"/>
      <c r="I4" s="15" t="s">
        <v>153</v>
      </c>
    </row>
    <row r="5" spans="2:9" x14ac:dyDescent="0.25">
      <c r="G5" s="59" t="s">
        <v>148</v>
      </c>
      <c r="H5" s="2"/>
      <c r="I5" s="15" t="s">
        <v>153</v>
      </c>
    </row>
    <row r="6" spans="2:9" x14ac:dyDescent="0.25">
      <c r="G6" s="59" t="s">
        <v>149</v>
      </c>
      <c r="H6" s="2"/>
      <c r="I6" s="15" t="s">
        <v>153</v>
      </c>
    </row>
    <row r="7" spans="2:9" x14ac:dyDescent="0.25">
      <c r="B7" s="43" t="s">
        <v>21</v>
      </c>
      <c r="F7" s="37">
        <v>115</v>
      </c>
      <c r="G7" s="60"/>
      <c r="H7" s="1">
        <f>IF(SUM(H4:H6)="","",SUM(H4:H6))</f>
        <v>0</v>
      </c>
      <c r="I7" s="15" t="s">
        <v>153</v>
      </c>
    </row>
    <row r="9" spans="2:9" x14ac:dyDescent="0.25">
      <c r="B9" s="17" t="s">
        <v>22</v>
      </c>
    </row>
    <row r="10" spans="2:9" x14ac:dyDescent="0.25">
      <c r="B10" s="36" t="s">
        <v>159</v>
      </c>
      <c r="F10" s="37">
        <v>117</v>
      </c>
      <c r="G10" s="59" t="s">
        <v>147</v>
      </c>
      <c r="H10" s="2"/>
      <c r="I10" s="15" t="s">
        <v>153</v>
      </c>
    </row>
    <row r="11" spans="2:9" x14ac:dyDescent="0.25">
      <c r="G11" s="59" t="s">
        <v>148</v>
      </c>
      <c r="H11" s="2"/>
      <c r="I11" s="15" t="s">
        <v>153</v>
      </c>
    </row>
    <row r="12" spans="2:9" x14ac:dyDescent="0.25">
      <c r="G12" s="59" t="s">
        <v>149</v>
      </c>
      <c r="H12" s="2"/>
      <c r="I12" s="15" t="s">
        <v>153</v>
      </c>
    </row>
    <row r="13" spans="2:9" x14ac:dyDescent="0.25">
      <c r="B13" s="36" t="s">
        <v>23</v>
      </c>
      <c r="F13" s="37">
        <v>118</v>
      </c>
      <c r="H13" s="1">
        <f>IF(SUM(H10:H12)="","",SUM(H10:H12))</f>
        <v>0</v>
      </c>
      <c r="I13" s="15" t="s">
        <v>153</v>
      </c>
    </row>
    <row r="14" spans="2:9" s="49" customFormat="1" x14ac:dyDescent="0.25">
      <c r="B14" s="61"/>
      <c r="F14" s="45"/>
      <c r="H14" s="23"/>
    </row>
    <row r="15" spans="2:9" x14ac:dyDescent="0.25">
      <c r="B15" s="36" t="s">
        <v>160</v>
      </c>
    </row>
    <row r="16" spans="2:9" x14ac:dyDescent="0.25">
      <c r="B16" s="36" t="s">
        <v>161</v>
      </c>
      <c r="F16" s="37">
        <v>119</v>
      </c>
      <c r="H16" s="4">
        <f>IF(AND(H7="",H13=""),"",SUM(H7,H13))</f>
        <v>0</v>
      </c>
      <c r="I16" s="15" t="s">
        <v>153</v>
      </c>
    </row>
    <row r="18" spans="2:2" x14ac:dyDescent="0.25">
      <c r="B18" s="15" t="s">
        <v>146</v>
      </c>
    </row>
  </sheetData>
  <sheetProtection algorithmName="SHA-512" hashValue="RytiqkKoimi4tx1pqPJ/gMLU0MXU6Zxv3av++q536DjqUMddG0a9tmRciVGxMu6CFLO0YDFX3+QYqFNQyAo14g==" saltValue="rbvkLh69bD9f+4U1CthTcA==" spinCount="100000" sheet="1" objects="1" scenarios="1"/>
  <protectedRanges>
    <protectedRange sqref="H10:H12" name="Range2"/>
    <protectedRange sqref="H4:H6" name="Range1"/>
  </protectedRanges>
  <customSheetViews>
    <customSheetView guid="{12504DBE-41C2-4FD3-9D8E-D9B684050204}" showGridLines="0" topLeftCell="A16">
      <selection activeCell="I2" sqref="I2"/>
      <pageMargins left="0.7" right="0.7" top="0.75" bottom="0.75" header="0.3" footer="0.3"/>
      <pageSetup paperSize="9" orientation="portrait" r:id="rId1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H4:H6 H10:H12">
      <formula1>0</formula1>
    </dataValidation>
  </dataValidation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24"/>
  <sheetViews>
    <sheetView showGridLines="0" workbookViewId="0">
      <selection activeCell="B2" sqref="B2"/>
    </sheetView>
  </sheetViews>
  <sheetFormatPr defaultRowHeight="15" x14ac:dyDescent="0.25"/>
  <cols>
    <col min="1" max="1" width="3.28515625" style="15" customWidth="1"/>
    <col min="2" max="4" width="9.140625" style="15"/>
    <col min="5" max="5" width="33.140625" style="15" customWidth="1"/>
    <col min="6" max="6" width="6.28515625" style="15" customWidth="1"/>
    <col min="7" max="7" width="13" style="15" customWidth="1"/>
    <col min="8" max="8" width="26.28515625" style="22" customWidth="1"/>
    <col min="9" max="9" width="6.85546875" style="15" customWidth="1"/>
    <col min="10" max="12" width="9.140625" style="15"/>
    <col min="13" max="13" width="9.85546875" style="15" customWidth="1"/>
    <col min="14" max="14" width="6.28515625" style="15" customWidth="1"/>
    <col min="15" max="15" width="2.42578125" style="15" customWidth="1"/>
    <col min="16" max="16" width="27.85546875" style="15" customWidth="1"/>
    <col min="17" max="16384" width="9.140625" style="15"/>
  </cols>
  <sheetData>
    <row r="1" spans="2:9" ht="18.75" x14ac:dyDescent="0.3">
      <c r="B1" s="53" t="s">
        <v>178</v>
      </c>
      <c r="C1" s="48"/>
      <c r="D1" s="48"/>
      <c r="E1" s="48"/>
    </row>
    <row r="2" spans="2:9" ht="18.75" x14ac:dyDescent="0.3">
      <c r="B2" s="54" t="str">
        <f>Return!B2</f>
        <v>YEAR OF ASSESSMENT : 2016/2017 and 2017/2018</v>
      </c>
      <c r="C2" s="48"/>
      <c r="D2" s="48"/>
      <c r="E2" s="48"/>
    </row>
    <row r="3" spans="2:9" x14ac:dyDescent="0.25">
      <c r="B3" s="17" t="s">
        <v>24</v>
      </c>
    </row>
    <row r="4" spans="2:9" x14ac:dyDescent="0.25">
      <c r="B4" s="36" t="s">
        <v>169</v>
      </c>
      <c r="F4" s="37" t="s">
        <v>25</v>
      </c>
      <c r="G4" s="15" t="s">
        <v>162</v>
      </c>
      <c r="H4" s="2"/>
      <c r="I4" s="15" t="s">
        <v>153</v>
      </c>
    </row>
    <row r="5" spans="2:9" x14ac:dyDescent="0.25">
      <c r="G5" s="15" t="s">
        <v>163</v>
      </c>
      <c r="H5" s="2"/>
      <c r="I5" s="15" t="s">
        <v>153</v>
      </c>
    </row>
    <row r="6" spans="2:9" x14ac:dyDescent="0.25">
      <c r="G6" s="15" t="s">
        <v>164</v>
      </c>
      <c r="H6" s="2"/>
      <c r="I6" s="15" t="s">
        <v>153</v>
      </c>
    </row>
    <row r="7" spans="2:9" x14ac:dyDescent="0.25">
      <c r="G7" s="15" t="s">
        <v>166</v>
      </c>
      <c r="H7" s="3"/>
      <c r="I7" s="15" t="s">
        <v>153</v>
      </c>
    </row>
    <row r="8" spans="2:9" x14ac:dyDescent="0.25">
      <c r="G8" s="15" t="s">
        <v>167</v>
      </c>
      <c r="H8" s="3"/>
      <c r="I8" s="15" t="s">
        <v>153</v>
      </c>
    </row>
    <row r="9" spans="2:9" x14ac:dyDescent="0.25">
      <c r="G9" s="15" t="s">
        <v>168</v>
      </c>
      <c r="H9" s="3"/>
      <c r="I9" s="15" t="s">
        <v>153</v>
      </c>
    </row>
    <row r="10" spans="2:9" x14ac:dyDescent="0.25">
      <c r="B10" s="36" t="s">
        <v>165</v>
      </c>
      <c r="F10" s="37">
        <v>122</v>
      </c>
      <c r="H10" s="19">
        <f>IF(SUM(H4:H9)="","",SUM(H4:H9))</f>
        <v>0</v>
      </c>
      <c r="I10" s="15" t="s">
        <v>153</v>
      </c>
    </row>
    <row r="12" spans="2:9" x14ac:dyDescent="0.25">
      <c r="B12" s="17" t="s">
        <v>26</v>
      </c>
    </row>
    <row r="13" spans="2:9" x14ac:dyDescent="0.25">
      <c r="B13" s="36" t="s">
        <v>169</v>
      </c>
      <c r="F13" s="37" t="s">
        <v>27</v>
      </c>
      <c r="G13" s="15" t="s">
        <v>162</v>
      </c>
      <c r="H13" s="2"/>
      <c r="I13" s="15" t="s">
        <v>153</v>
      </c>
    </row>
    <row r="14" spans="2:9" x14ac:dyDescent="0.25">
      <c r="G14" s="15" t="s">
        <v>163</v>
      </c>
      <c r="H14" s="2"/>
      <c r="I14" s="15" t="s">
        <v>153</v>
      </c>
    </row>
    <row r="15" spans="2:9" x14ac:dyDescent="0.25">
      <c r="G15" s="15" t="s">
        <v>164</v>
      </c>
      <c r="H15" s="2"/>
      <c r="I15" s="15" t="s">
        <v>153</v>
      </c>
    </row>
    <row r="16" spans="2:9" x14ac:dyDescent="0.25">
      <c r="G16" s="15" t="s">
        <v>166</v>
      </c>
      <c r="H16" s="2"/>
      <c r="I16" s="15" t="s">
        <v>153</v>
      </c>
    </row>
    <row r="17" spans="2:9" x14ac:dyDescent="0.25">
      <c r="G17" s="15" t="s">
        <v>167</v>
      </c>
      <c r="H17" s="2"/>
      <c r="I17" s="15" t="s">
        <v>153</v>
      </c>
    </row>
    <row r="18" spans="2:9" x14ac:dyDescent="0.25">
      <c r="G18" s="15" t="s">
        <v>168</v>
      </c>
      <c r="H18" s="2"/>
      <c r="I18" s="15" t="s">
        <v>153</v>
      </c>
    </row>
    <row r="19" spans="2:9" x14ac:dyDescent="0.25">
      <c r="B19" s="36" t="s">
        <v>170</v>
      </c>
      <c r="F19" s="37">
        <v>124</v>
      </c>
      <c r="H19" s="19">
        <f>IF(SUM(H13:H18)="","",SUM(H13:H18))</f>
        <v>0</v>
      </c>
      <c r="I19" s="15" t="s">
        <v>153</v>
      </c>
    </row>
    <row r="22" spans="2:9" x14ac:dyDescent="0.25">
      <c r="B22" s="36" t="s">
        <v>171</v>
      </c>
      <c r="F22" s="37">
        <v>125</v>
      </c>
      <c r="H22" s="2"/>
      <c r="I22" s="15" t="s">
        <v>153</v>
      </c>
    </row>
    <row r="23" spans="2:9" x14ac:dyDescent="0.25">
      <c r="B23" s="43" t="s">
        <v>172</v>
      </c>
      <c r="F23" s="37">
        <v>126</v>
      </c>
      <c r="H23" s="20">
        <f>IF(AND(H19="",H22=""),"",H19-H22)</f>
        <v>0</v>
      </c>
      <c r="I23" s="15" t="s">
        <v>153</v>
      </c>
    </row>
    <row r="24" spans="2:9" x14ac:dyDescent="0.25">
      <c r="B24" s="43" t="s">
        <v>173</v>
      </c>
      <c r="F24" s="37">
        <v>127</v>
      </c>
      <c r="H24" s="20">
        <f>IF(AND(H10="",H23=""),"",SUM(H10,H23))</f>
        <v>0</v>
      </c>
      <c r="I24" s="15" t="s">
        <v>153</v>
      </c>
    </row>
  </sheetData>
  <sheetProtection algorithmName="SHA-512" hashValue="V98Httd82BJZlcXpH/Z7rbDHO36PAuJaNsR04CKO5NcDnrjY72iafanMoV8FhGsuvfgF9ZeqGdO6r/FqiRsguA==" saltValue="F+qiZZ1/UpuV3wOec5Ejuw==" spinCount="100000" sheet="1" objects="1" scenarios="1"/>
  <protectedRanges>
    <protectedRange sqref="H22" name="Range3"/>
    <protectedRange sqref="H13:H18" name="Range2"/>
    <protectedRange sqref="H4:H9" name="Range1"/>
  </protectedRanges>
  <customSheetViews>
    <customSheetView guid="{12504DBE-41C2-4FD3-9D8E-D9B684050204}" showGridLines="0">
      <selection activeCell="J4" sqref="J4"/>
      <pageMargins left="0.7" right="0.7" top="0.75" bottom="0.75" header="0.3" footer="0.3"/>
      <pageSetup paperSize="9" orientation="portrait" r:id="rId1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H4:H9 H22 H13:H18">
      <formula1>0</formula1>
    </dataValidation>
  </dataValidation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30"/>
  <sheetViews>
    <sheetView showGridLines="0" workbookViewId="0">
      <selection activeCell="B3" sqref="B3"/>
    </sheetView>
  </sheetViews>
  <sheetFormatPr defaultRowHeight="15" x14ac:dyDescent="0.25"/>
  <cols>
    <col min="1" max="1" width="3.140625" style="15" customWidth="1"/>
    <col min="2" max="5" width="9.140625" style="15"/>
    <col min="6" max="6" width="6.28515625" style="15" customWidth="1"/>
    <col min="7" max="7" width="2.5703125" style="15" customWidth="1"/>
    <col min="8" max="8" width="35" style="22" customWidth="1"/>
    <col min="9" max="9" width="6.140625" style="15" customWidth="1"/>
    <col min="10" max="10" width="22" style="15" customWidth="1"/>
    <col min="11" max="16384" width="9.140625" style="15"/>
  </cols>
  <sheetData>
    <row r="1" spans="2:11" ht="18.75" x14ac:dyDescent="0.3">
      <c r="B1" s="53" t="s">
        <v>178</v>
      </c>
      <c r="C1" s="48"/>
      <c r="D1" s="48"/>
      <c r="E1" s="48"/>
      <c r="F1" s="33"/>
    </row>
    <row r="2" spans="2:11" ht="18.75" x14ac:dyDescent="0.3">
      <c r="B2" s="54" t="str">
        <f>Return!B2</f>
        <v>YEAR OF ASSESSMENT : 2016/2017 and 2017/2018</v>
      </c>
      <c r="C2" s="48"/>
      <c r="D2" s="48"/>
      <c r="E2" s="48"/>
      <c r="I2" s="62"/>
    </row>
    <row r="4" spans="2:11" x14ac:dyDescent="0.25">
      <c r="B4" s="17" t="s">
        <v>28</v>
      </c>
    </row>
    <row r="5" spans="2:11" x14ac:dyDescent="0.25">
      <c r="B5" s="36" t="s">
        <v>174</v>
      </c>
      <c r="F5" s="37">
        <v>133</v>
      </c>
      <c r="G5" s="56" t="s">
        <v>147</v>
      </c>
      <c r="H5" s="2"/>
      <c r="I5" s="15" t="s">
        <v>153</v>
      </c>
    </row>
    <row r="6" spans="2:11" x14ac:dyDescent="0.25">
      <c r="G6" s="56" t="s">
        <v>148</v>
      </c>
      <c r="H6" s="2"/>
      <c r="I6" s="15" t="s">
        <v>153</v>
      </c>
    </row>
    <row r="7" spans="2:11" x14ac:dyDescent="0.25">
      <c r="G7" s="56" t="s">
        <v>149</v>
      </c>
      <c r="H7" s="2"/>
      <c r="I7" s="15" t="s">
        <v>153</v>
      </c>
    </row>
    <row r="9" spans="2:11" x14ac:dyDescent="0.25">
      <c r="B9" s="36" t="s">
        <v>243</v>
      </c>
      <c r="I9" s="37">
        <v>134</v>
      </c>
      <c r="J9" s="7">
        <f>IF(SUM(H5:H7)="","",SUM(H5:H7))</f>
        <v>0</v>
      </c>
      <c r="K9" s="15" t="s">
        <v>153</v>
      </c>
    </row>
    <row r="11" spans="2:11" x14ac:dyDescent="0.25">
      <c r="B11" s="17" t="s">
        <v>29</v>
      </c>
    </row>
    <row r="12" spans="2:11" x14ac:dyDescent="0.25">
      <c r="B12" s="36" t="s">
        <v>175</v>
      </c>
      <c r="F12" s="37">
        <v>145</v>
      </c>
      <c r="G12" s="56" t="s">
        <v>147</v>
      </c>
      <c r="H12" s="2"/>
      <c r="I12" s="15" t="s">
        <v>153</v>
      </c>
    </row>
    <row r="13" spans="2:11" x14ac:dyDescent="0.25">
      <c r="G13" s="56" t="s">
        <v>148</v>
      </c>
      <c r="H13" s="2"/>
      <c r="I13" s="15" t="s">
        <v>153</v>
      </c>
    </row>
    <row r="14" spans="2:11" x14ac:dyDescent="0.25">
      <c r="G14" s="56" t="s">
        <v>149</v>
      </c>
      <c r="H14" s="2"/>
      <c r="I14" s="15" t="s">
        <v>153</v>
      </c>
    </row>
    <row r="16" spans="2:11" x14ac:dyDescent="0.25">
      <c r="B16" s="36" t="s">
        <v>244</v>
      </c>
      <c r="I16" s="37">
        <v>146</v>
      </c>
      <c r="J16" s="7">
        <f>IF(SUM(H12:H14)="","",SUM(H12:H14))</f>
        <v>0</v>
      </c>
      <c r="K16" s="15" t="s">
        <v>153</v>
      </c>
    </row>
    <row r="18" spans="2:11" x14ac:dyDescent="0.25">
      <c r="B18" s="17" t="s">
        <v>30</v>
      </c>
    </row>
    <row r="19" spans="2:11" x14ac:dyDescent="0.25">
      <c r="B19" s="36" t="s">
        <v>176</v>
      </c>
      <c r="F19" s="37">
        <v>153</v>
      </c>
      <c r="G19" s="56" t="s">
        <v>147</v>
      </c>
      <c r="H19" s="2"/>
      <c r="I19" s="15" t="s">
        <v>153</v>
      </c>
    </row>
    <row r="20" spans="2:11" x14ac:dyDescent="0.25">
      <c r="G20" s="56" t="s">
        <v>148</v>
      </c>
      <c r="H20" s="2"/>
      <c r="I20" s="15" t="s">
        <v>153</v>
      </c>
    </row>
    <row r="21" spans="2:11" x14ac:dyDescent="0.25">
      <c r="G21" s="56" t="s">
        <v>149</v>
      </c>
      <c r="H21" s="2"/>
      <c r="I21" s="15" t="s">
        <v>153</v>
      </c>
    </row>
    <row r="23" spans="2:11" x14ac:dyDescent="0.25">
      <c r="B23" s="36" t="s">
        <v>245</v>
      </c>
      <c r="I23" s="37">
        <v>154</v>
      </c>
      <c r="J23" s="7">
        <f>IF(SUM(H19:H21)="","",SUM(H19:H21))</f>
        <v>0</v>
      </c>
      <c r="K23" s="15" t="s">
        <v>153</v>
      </c>
    </row>
    <row r="25" spans="2:11" x14ac:dyDescent="0.25">
      <c r="B25" s="17" t="s">
        <v>31</v>
      </c>
    </row>
    <row r="26" spans="2:11" x14ac:dyDescent="0.25">
      <c r="B26" s="36" t="s">
        <v>176</v>
      </c>
      <c r="F26" s="37">
        <v>163</v>
      </c>
      <c r="G26" s="56" t="s">
        <v>147</v>
      </c>
      <c r="H26" s="2"/>
      <c r="I26" s="15" t="s">
        <v>153</v>
      </c>
    </row>
    <row r="27" spans="2:11" x14ac:dyDescent="0.25">
      <c r="G27" s="56" t="s">
        <v>148</v>
      </c>
      <c r="H27" s="2"/>
      <c r="I27" s="15" t="s">
        <v>153</v>
      </c>
    </row>
    <row r="28" spans="2:11" x14ac:dyDescent="0.25">
      <c r="G28" s="56" t="s">
        <v>149</v>
      </c>
      <c r="H28" s="2"/>
      <c r="I28" s="15" t="s">
        <v>153</v>
      </c>
    </row>
    <row r="30" spans="2:11" x14ac:dyDescent="0.25">
      <c r="B30" s="36" t="s">
        <v>246</v>
      </c>
      <c r="I30" s="37">
        <v>164</v>
      </c>
      <c r="J30" s="7">
        <f>IF(SUM(H26:H28)="","",SUM(H26:H28))</f>
        <v>0</v>
      </c>
      <c r="K30" s="15" t="s">
        <v>153</v>
      </c>
    </row>
  </sheetData>
  <sheetProtection algorithmName="SHA-512" hashValue="Hjn7Gdv3f7jREQliWECTHi6iCJRpeoZJkq+GDINE1iW+y2QuWkI3IswZdEWu7/JSIJEORuyvUB4dBLK6IeEOqQ==" saltValue="KQZr+1BdR6kdpt/DpgJ1rQ==" spinCount="100000" sheet="1" objects="1" scenarios="1"/>
  <protectedRanges>
    <protectedRange sqref="H19:H21" name="Range4"/>
    <protectedRange sqref="H5:H7" name="Range1"/>
    <protectedRange sqref="H12:H14" name="Range2"/>
    <protectedRange sqref="H26:H28" name="Range3"/>
  </protectedRanges>
  <customSheetViews>
    <customSheetView guid="{12504DBE-41C2-4FD3-9D8E-D9B684050204}" showGridLines="0">
      <selection activeCell="I2" sqref="I2"/>
      <pageMargins left="0.7" right="0.7" top="0.75" bottom="0.75" header="0.3" footer="0.3"/>
      <pageSetup paperSize="9" orientation="portrait" r:id="rId1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H5:H28">
      <formula1>0</formula1>
    </dataValidation>
  </dataValidation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14"/>
  <sheetViews>
    <sheetView showGridLines="0" workbookViewId="0">
      <selection activeCell="B3" sqref="B3"/>
    </sheetView>
  </sheetViews>
  <sheetFormatPr defaultRowHeight="15" x14ac:dyDescent="0.25"/>
  <cols>
    <col min="1" max="1" width="3.42578125" style="15" customWidth="1"/>
    <col min="2" max="4" width="9.140625" style="15"/>
    <col min="5" max="5" width="9.140625" style="15" customWidth="1"/>
    <col min="6" max="6" width="7" style="15" customWidth="1"/>
    <col min="7" max="7" width="3.140625" style="15" customWidth="1"/>
    <col min="8" max="8" width="33" style="15" customWidth="1"/>
    <col min="9" max="9" width="7.140625" style="15" customWidth="1"/>
    <col min="10" max="10" width="27.28515625" style="15" customWidth="1"/>
    <col min="11" max="16384" width="9.140625" style="15"/>
  </cols>
  <sheetData>
    <row r="1" spans="2:12" ht="18.75" x14ac:dyDescent="0.3">
      <c r="B1" s="53" t="s">
        <v>178</v>
      </c>
      <c r="C1" s="48"/>
      <c r="D1" s="48"/>
      <c r="E1" s="48"/>
      <c r="F1" s="33"/>
    </row>
    <row r="2" spans="2:12" ht="18.75" x14ac:dyDescent="0.3">
      <c r="B2" s="54" t="str">
        <f>Return!B2</f>
        <v>YEAR OF ASSESSMENT : 2016/2017 and 2017/2018</v>
      </c>
      <c r="C2" s="48"/>
      <c r="D2" s="48"/>
      <c r="E2" s="48"/>
      <c r="I2" s="43"/>
    </row>
    <row r="4" spans="2:12" x14ac:dyDescent="0.25">
      <c r="B4" s="17" t="s">
        <v>32</v>
      </c>
    </row>
    <row r="5" spans="2:12" x14ac:dyDescent="0.25">
      <c r="B5" s="36" t="s">
        <v>188</v>
      </c>
      <c r="F5" s="37">
        <v>214</v>
      </c>
      <c r="G5" s="56" t="s">
        <v>147</v>
      </c>
      <c r="H5" s="2"/>
      <c r="I5" s="15" t="s">
        <v>153</v>
      </c>
    </row>
    <row r="6" spans="2:12" x14ac:dyDescent="0.25">
      <c r="G6" s="56" t="s">
        <v>148</v>
      </c>
      <c r="H6" s="2"/>
      <c r="I6" s="15" t="s">
        <v>153</v>
      </c>
    </row>
    <row r="7" spans="2:12" x14ac:dyDescent="0.25">
      <c r="G7" s="56" t="s">
        <v>149</v>
      </c>
      <c r="H7" s="2"/>
      <c r="I7" s="15" t="s">
        <v>153</v>
      </c>
    </row>
    <row r="9" spans="2:12" x14ac:dyDescent="0.25">
      <c r="B9" s="43" t="s">
        <v>189</v>
      </c>
      <c r="I9" s="37">
        <v>215</v>
      </c>
      <c r="J9" s="19">
        <f>IF(SUM(H5:H7)="","",SUM(H5:H7))</f>
        <v>0</v>
      </c>
      <c r="K9" s="15" t="s">
        <v>153</v>
      </c>
    </row>
    <row r="10" spans="2:12" x14ac:dyDescent="0.25">
      <c r="B10" s="43" t="s">
        <v>190</v>
      </c>
      <c r="I10" s="37">
        <v>216</v>
      </c>
      <c r="J10" s="2"/>
      <c r="K10" s="15" t="s">
        <v>153</v>
      </c>
    </row>
    <row r="11" spans="2:12" x14ac:dyDescent="0.25">
      <c r="B11" s="43" t="s">
        <v>191</v>
      </c>
      <c r="I11" s="37">
        <v>217</v>
      </c>
      <c r="J11" s="19">
        <f>IF(AND(J9="",J10=""),"",SUM(J9,J10))</f>
        <v>0</v>
      </c>
      <c r="K11" s="15" t="s">
        <v>153</v>
      </c>
    </row>
    <row r="12" spans="2:12" x14ac:dyDescent="0.25">
      <c r="B12" s="43" t="s">
        <v>192</v>
      </c>
      <c r="I12" s="37">
        <v>218</v>
      </c>
      <c r="J12" s="19">
        <f>IF(Return!G15="","",(Return!G15-Return!G7)*0.35)</f>
        <v>0</v>
      </c>
      <c r="K12" s="15" t="s">
        <v>153</v>
      </c>
      <c r="L12" s="22"/>
    </row>
    <row r="13" spans="2:12" x14ac:dyDescent="0.25">
      <c r="B13" s="43" t="s">
        <v>193</v>
      </c>
      <c r="I13" s="37">
        <v>219</v>
      </c>
      <c r="J13" s="19">
        <f>IF(J11 &lt; J12,J11,J12)</f>
        <v>0</v>
      </c>
      <c r="K13" s="15" t="s">
        <v>153</v>
      </c>
    </row>
    <row r="14" spans="2:12" x14ac:dyDescent="0.25">
      <c r="B14" s="43" t="s">
        <v>194</v>
      </c>
      <c r="I14" s="37" t="s">
        <v>33</v>
      </c>
      <c r="J14" s="19">
        <f>IF(AND(J11="",J13=""),"",J11-J13)</f>
        <v>0</v>
      </c>
      <c r="K14" s="15" t="s">
        <v>153</v>
      </c>
    </row>
  </sheetData>
  <sheetProtection algorithmName="SHA-512" hashValue="Ir8IGatwMPk/b6SMn/H0+mLF38QKEtsEubuONRZF25+aO4yBNcMlk0LSXe0XGkGW7OFDV7aph65c8rT2oLIIWw==" saltValue="CaYFI4XtolmAz9Ira2gdIA==" spinCount="100000" sheet="1" objects="1" scenarios="1"/>
  <customSheetViews>
    <customSheetView guid="{12504DBE-41C2-4FD3-9D8E-D9B684050204}" showGridLines="0">
      <selection activeCell="F2" sqref="F2"/>
      <pageMargins left="0.7" right="0.7" top="0.75" bottom="0.75" header="0.3" footer="0.3"/>
      <pageSetup paperSize="9" orientation="portrait" r:id="rId1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H5:H7 J10">
      <formula1>0</formula1>
    </dataValidation>
  </dataValidation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I28"/>
  <sheetViews>
    <sheetView showGridLines="0" workbookViewId="0">
      <selection activeCell="B3" sqref="B3"/>
    </sheetView>
  </sheetViews>
  <sheetFormatPr defaultRowHeight="15" x14ac:dyDescent="0.25"/>
  <cols>
    <col min="1" max="1" width="3.28515625" style="15" customWidth="1"/>
    <col min="2" max="4" width="9.140625" style="15"/>
    <col min="5" max="5" width="20.7109375" style="15" customWidth="1"/>
    <col min="6" max="6" width="9.140625" style="15"/>
    <col min="7" max="7" width="2.85546875" style="15" customWidth="1"/>
    <col min="8" max="8" width="26.85546875" style="22" customWidth="1"/>
    <col min="9" max="13" width="9.140625" style="15"/>
    <col min="14" max="14" width="9.140625" style="15" customWidth="1"/>
    <col min="15" max="15" width="5.42578125" style="15" customWidth="1"/>
    <col min="16" max="16" width="2.28515625" style="15" customWidth="1"/>
    <col min="17" max="17" width="23" style="15" customWidth="1"/>
    <col min="18" max="18" width="6.28515625" style="15" customWidth="1"/>
    <col min="19" max="19" width="17.7109375" style="15" customWidth="1"/>
    <col min="20" max="16384" width="9.140625" style="15"/>
  </cols>
  <sheetData>
    <row r="1" spans="2:9" ht="18.75" x14ac:dyDescent="0.3">
      <c r="B1" s="53" t="s">
        <v>178</v>
      </c>
      <c r="C1" s="48"/>
      <c r="D1" s="48"/>
      <c r="E1" s="48"/>
      <c r="F1" s="33"/>
    </row>
    <row r="2" spans="2:9" ht="18.75" x14ac:dyDescent="0.3">
      <c r="B2" s="54" t="str">
        <f>Return!B2</f>
        <v>YEAR OF ASSESSMENT : 2016/2017 and 2017/2018</v>
      </c>
      <c r="C2" s="48"/>
      <c r="D2" s="48"/>
      <c r="E2" s="48"/>
      <c r="I2" s="62"/>
    </row>
    <row r="4" spans="2:9" x14ac:dyDescent="0.25">
      <c r="B4" s="17" t="s">
        <v>34</v>
      </c>
    </row>
    <row r="5" spans="2:9" x14ac:dyDescent="0.25">
      <c r="B5" s="17" t="s">
        <v>35</v>
      </c>
    </row>
    <row r="6" spans="2:9" x14ac:dyDescent="0.25">
      <c r="B6" s="36" t="s">
        <v>195</v>
      </c>
      <c r="F6" s="37">
        <v>226</v>
      </c>
      <c r="G6" s="56" t="s">
        <v>147</v>
      </c>
      <c r="H6" s="2"/>
      <c r="I6" s="15" t="s">
        <v>153</v>
      </c>
    </row>
    <row r="7" spans="2:9" x14ac:dyDescent="0.25">
      <c r="G7" s="56" t="s">
        <v>148</v>
      </c>
      <c r="H7" s="2"/>
      <c r="I7" s="15" t="s">
        <v>153</v>
      </c>
    </row>
    <row r="8" spans="2:9" x14ac:dyDescent="0.25">
      <c r="G8" s="56" t="s">
        <v>149</v>
      </c>
      <c r="H8" s="2"/>
      <c r="I8" s="15" t="s">
        <v>153</v>
      </c>
    </row>
    <row r="10" spans="2:9" x14ac:dyDescent="0.25">
      <c r="B10" s="36" t="s">
        <v>196</v>
      </c>
      <c r="F10" s="37">
        <v>227</v>
      </c>
      <c r="H10" s="19">
        <f>IF(SUM(H6:H8)="","",SUM(H6:H8))</f>
        <v>0</v>
      </c>
      <c r="I10" s="15" t="s">
        <v>153</v>
      </c>
    </row>
    <row r="12" spans="2:9" x14ac:dyDescent="0.25">
      <c r="B12" s="60"/>
      <c r="C12" s="60"/>
      <c r="D12" s="60"/>
      <c r="E12" s="60"/>
      <c r="F12" s="60"/>
      <c r="G12" s="60"/>
      <c r="H12" s="23"/>
    </row>
    <row r="13" spans="2:9" x14ac:dyDescent="0.25">
      <c r="B13" s="17" t="s">
        <v>36</v>
      </c>
    </row>
    <row r="14" spans="2:9" x14ac:dyDescent="0.25">
      <c r="B14" s="36" t="s">
        <v>197</v>
      </c>
      <c r="F14" s="37">
        <v>232</v>
      </c>
      <c r="G14" s="56" t="s">
        <v>147</v>
      </c>
      <c r="H14" s="2"/>
      <c r="I14" s="15" t="s">
        <v>153</v>
      </c>
    </row>
    <row r="15" spans="2:9" x14ac:dyDescent="0.25">
      <c r="G15" s="56" t="s">
        <v>148</v>
      </c>
      <c r="H15" s="2"/>
      <c r="I15" s="15" t="s">
        <v>153</v>
      </c>
    </row>
    <row r="16" spans="2:9" x14ac:dyDescent="0.25">
      <c r="G16" s="56" t="s">
        <v>149</v>
      </c>
      <c r="H16" s="2"/>
      <c r="I16" s="15" t="s">
        <v>153</v>
      </c>
    </row>
    <row r="18" spans="2:9" x14ac:dyDescent="0.25">
      <c r="B18" s="36" t="s">
        <v>37</v>
      </c>
    </row>
    <row r="19" spans="2:9" x14ac:dyDescent="0.25">
      <c r="B19" s="36" t="s">
        <v>38</v>
      </c>
      <c r="F19" s="37">
        <v>233</v>
      </c>
      <c r="H19" s="19">
        <f>IF(SUM(H14:H16)="","",SUM(H14:H16))</f>
        <v>0</v>
      </c>
      <c r="I19" s="15" t="s">
        <v>153</v>
      </c>
    </row>
    <row r="20" spans="2:9" x14ac:dyDescent="0.25">
      <c r="B20" s="36" t="s">
        <v>198</v>
      </c>
    </row>
    <row r="21" spans="2:9" x14ac:dyDescent="0.25">
      <c r="F21" s="37">
        <v>234</v>
      </c>
      <c r="H21" s="19">
        <f>IF(AND(H10="",H19=""),"",SUM(H10,H19))</f>
        <v>0</v>
      </c>
      <c r="I21" s="15" t="s">
        <v>153</v>
      </c>
    </row>
    <row r="24" spans="2:9" x14ac:dyDescent="0.25">
      <c r="B24" s="60"/>
      <c r="C24" s="60"/>
      <c r="D24" s="60"/>
      <c r="E24" s="60"/>
      <c r="F24" s="60"/>
      <c r="G24" s="60"/>
      <c r="H24" s="23"/>
    </row>
    <row r="25" spans="2:9" x14ac:dyDescent="0.25">
      <c r="B25" s="60"/>
      <c r="C25" s="60"/>
      <c r="D25" s="60"/>
      <c r="E25" s="60"/>
      <c r="F25" s="60"/>
      <c r="G25" s="60"/>
      <c r="H25" s="23"/>
    </row>
    <row r="26" spans="2:9" x14ac:dyDescent="0.25">
      <c r="B26" s="63"/>
      <c r="C26" s="60"/>
      <c r="D26" s="60"/>
      <c r="E26" s="60"/>
      <c r="F26" s="64"/>
      <c r="G26" s="60"/>
      <c r="H26" s="23"/>
    </row>
    <row r="27" spans="2:9" x14ac:dyDescent="0.25">
      <c r="B27" s="60"/>
      <c r="C27" s="60"/>
      <c r="D27" s="60"/>
      <c r="E27" s="60"/>
      <c r="F27" s="60"/>
      <c r="G27" s="60"/>
      <c r="H27" s="23"/>
    </row>
    <row r="28" spans="2:9" x14ac:dyDescent="0.25">
      <c r="B28" s="60"/>
      <c r="C28" s="60"/>
      <c r="D28" s="60"/>
      <c r="E28" s="60"/>
      <c r="F28" s="60"/>
      <c r="G28" s="60"/>
      <c r="H28" s="23"/>
    </row>
  </sheetData>
  <sheetProtection algorithmName="SHA-512" hashValue="CRzZ8EIfVT2TEe29NT/fNAjoGOVNDSuuWPwH/T1vA1evnIM4HFmr5gp+OdfsVlIbJNcq48Ik/39AXHwjn6mQYQ==" saltValue="3f4iNbotQFG6O/OgF2BeBQ==" spinCount="100000" sheet="1" objects="1" scenarios="1"/>
  <customSheetViews>
    <customSheetView guid="{12504DBE-41C2-4FD3-9D8E-D9B684050204}" showGridLines="0">
      <selection activeCell="B6" sqref="B6"/>
      <pageMargins left="0.7" right="0.7" top="0.75" bottom="0.75" header="0.3" footer="0.3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H14:H16 H6:H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96"/>
  <sheetViews>
    <sheetView showGridLines="0" zoomScaleNormal="100" workbookViewId="0">
      <selection activeCell="B3" sqref="B3"/>
    </sheetView>
  </sheetViews>
  <sheetFormatPr defaultRowHeight="15" x14ac:dyDescent="0.25"/>
  <cols>
    <col min="1" max="1" width="3.7109375" style="15" customWidth="1"/>
    <col min="2" max="6" width="9.140625" style="15"/>
    <col min="7" max="7" width="35.7109375" style="15" customWidth="1"/>
    <col min="8" max="8" width="8" style="15" customWidth="1"/>
    <col min="9" max="9" width="38.28515625" style="22" customWidth="1"/>
    <col min="10" max="16384" width="9.140625" style="15"/>
  </cols>
  <sheetData>
    <row r="1" spans="1:16" ht="18.75" x14ac:dyDescent="0.3">
      <c r="B1" s="53" t="s">
        <v>178</v>
      </c>
      <c r="C1" s="48"/>
      <c r="D1" s="48"/>
      <c r="E1" s="48"/>
      <c r="F1" s="33"/>
    </row>
    <row r="2" spans="1:16" ht="18.75" x14ac:dyDescent="0.3">
      <c r="B2" s="54" t="str">
        <f>Return!B2</f>
        <v>YEAR OF ASSESSMENT : 2016/2017 and 2017/2018</v>
      </c>
      <c r="C2" s="48"/>
      <c r="D2" s="48"/>
      <c r="E2" s="48"/>
      <c r="I2" s="34"/>
    </row>
    <row r="4" spans="1:16" x14ac:dyDescent="0.25">
      <c r="B4" s="17" t="s">
        <v>39</v>
      </c>
    </row>
    <row r="5" spans="1:16" x14ac:dyDescent="0.25">
      <c r="A5" s="35" t="s">
        <v>40</v>
      </c>
      <c r="B5" s="36" t="s">
        <v>41</v>
      </c>
    </row>
    <row r="6" spans="1:16" x14ac:dyDescent="0.25">
      <c r="B6" s="15" t="s">
        <v>199</v>
      </c>
      <c r="H6" s="37">
        <v>302</v>
      </c>
      <c r="I6" s="2"/>
      <c r="J6" s="15" t="s">
        <v>153</v>
      </c>
    </row>
    <row r="7" spans="1:16" x14ac:dyDescent="0.25">
      <c r="B7" s="15" t="s">
        <v>45</v>
      </c>
      <c r="H7" s="37">
        <v>304</v>
      </c>
      <c r="I7" s="2"/>
      <c r="J7" s="15" t="s">
        <v>153</v>
      </c>
    </row>
    <row r="8" spans="1:16" x14ac:dyDescent="0.25">
      <c r="B8" s="15" t="s">
        <v>46</v>
      </c>
      <c r="H8" s="37">
        <v>306</v>
      </c>
      <c r="I8" s="19">
        <f>IF(AND(I6="",I7="")="","",SUM(I6,I7))</f>
        <v>0</v>
      </c>
      <c r="J8" s="15" t="s">
        <v>153</v>
      </c>
    </row>
    <row r="9" spans="1:16" s="21" customFormat="1" x14ac:dyDescent="0.25">
      <c r="A9" s="49"/>
      <c r="B9" s="49" t="s">
        <v>200</v>
      </c>
      <c r="C9" s="49"/>
      <c r="D9" s="49"/>
      <c r="E9" s="49"/>
      <c r="F9" s="49"/>
      <c r="G9" s="49"/>
      <c r="H9" s="37" t="s">
        <v>42</v>
      </c>
      <c r="I9" s="50"/>
      <c r="J9" s="49" t="s">
        <v>153</v>
      </c>
      <c r="K9" s="49"/>
      <c r="L9" s="49"/>
      <c r="M9" s="49"/>
      <c r="N9" s="49"/>
      <c r="O9" s="49"/>
      <c r="P9" s="49"/>
    </row>
    <row r="11" spans="1:16" x14ac:dyDescent="0.25">
      <c r="A11" s="35" t="s">
        <v>43</v>
      </c>
      <c r="B11" s="36" t="s">
        <v>44</v>
      </c>
    </row>
    <row r="12" spans="1:16" x14ac:dyDescent="0.25">
      <c r="B12" s="15" t="s">
        <v>60</v>
      </c>
      <c r="H12" s="37">
        <v>307</v>
      </c>
      <c r="I12" s="2"/>
      <c r="J12" s="15" t="s">
        <v>153</v>
      </c>
    </row>
    <row r="14" spans="1:16" x14ac:dyDescent="0.25">
      <c r="A14" s="35" t="s">
        <v>61</v>
      </c>
      <c r="B14" s="36" t="s">
        <v>62</v>
      </c>
    </row>
    <row r="15" spans="1:16" x14ac:dyDescent="0.25">
      <c r="B15" s="15" t="s">
        <v>63</v>
      </c>
      <c r="H15" s="37">
        <v>308</v>
      </c>
      <c r="I15" s="2"/>
      <c r="J15" s="15" t="s">
        <v>153</v>
      </c>
    </row>
    <row r="16" spans="1:16" x14ac:dyDescent="0.25">
      <c r="B16" s="15" t="s">
        <v>65</v>
      </c>
      <c r="H16" s="37">
        <v>310</v>
      </c>
      <c r="I16" s="2"/>
      <c r="J16" s="15" t="s">
        <v>153</v>
      </c>
    </row>
    <row r="17" spans="1:10" x14ac:dyDescent="0.25">
      <c r="B17" s="15" t="s">
        <v>66</v>
      </c>
      <c r="H17" s="37">
        <v>312</v>
      </c>
      <c r="I17" s="19">
        <f>IF(25000 &gt; SUM(I15,I16),SUM(I15,I16),25000)</f>
        <v>0</v>
      </c>
      <c r="J17" s="15" t="s">
        <v>153</v>
      </c>
    </row>
    <row r="18" spans="1:10" x14ac:dyDescent="0.25">
      <c r="B18" s="15" t="s">
        <v>201</v>
      </c>
      <c r="H18" s="37" t="s">
        <v>64</v>
      </c>
      <c r="I18" s="19" t="str">
        <f>IF(SUM(I15,I16)&gt;0,SUM(I15,I16)-I17,"")</f>
        <v/>
      </c>
      <c r="J18" s="15" t="s">
        <v>153</v>
      </c>
    </row>
    <row r="20" spans="1:10" x14ac:dyDescent="0.25">
      <c r="A20" s="35" t="s">
        <v>67</v>
      </c>
      <c r="B20" s="36" t="s">
        <v>68</v>
      </c>
      <c r="H20" s="37">
        <v>314</v>
      </c>
      <c r="I20" s="2"/>
      <c r="J20" s="15" t="s">
        <v>153</v>
      </c>
    </row>
    <row r="22" spans="1:10" x14ac:dyDescent="0.25">
      <c r="A22" s="35" t="s">
        <v>69</v>
      </c>
      <c r="B22" s="36" t="s">
        <v>70</v>
      </c>
    </row>
    <row r="23" spans="1:10" x14ac:dyDescent="0.25">
      <c r="B23" s="15" t="s">
        <v>202</v>
      </c>
      <c r="H23" s="37">
        <v>316</v>
      </c>
      <c r="I23" s="2"/>
      <c r="J23" s="15" t="s">
        <v>153</v>
      </c>
    </row>
    <row r="24" spans="1:10" x14ac:dyDescent="0.25">
      <c r="B24" s="15" t="s">
        <v>203</v>
      </c>
      <c r="H24" s="37">
        <v>320</v>
      </c>
      <c r="I24" s="19">
        <f>IF(75000 &gt; SUM(I20,I23),SUM(I20,I23),75000)</f>
        <v>0</v>
      </c>
      <c r="J24" s="15" t="s">
        <v>153</v>
      </c>
    </row>
    <row r="25" spans="1:10" x14ac:dyDescent="0.25">
      <c r="B25" s="15" t="s">
        <v>71</v>
      </c>
    </row>
    <row r="27" spans="1:10" x14ac:dyDescent="0.25">
      <c r="A27" s="35" t="s">
        <v>72</v>
      </c>
      <c r="B27" s="36" t="s">
        <v>73</v>
      </c>
    </row>
    <row r="28" spans="1:10" x14ac:dyDescent="0.25">
      <c r="B28" s="15" t="s">
        <v>74</v>
      </c>
      <c r="H28" s="37">
        <v>322</v>
      </c>
      <c r="I28" s="2"/>
      <c r="J28" s="15" t="s">
        <v>153</v>
      </c>
    </row>
    <row r="29" spans="1:10" x14ac:dyDescent="0.25">
      <c r="B29" s="15" t="s">
        <v>75</v>
      </c>
      <c r="H29" s="37">
        <v>324</v>
      </c>
      <c r="I29" s="19">
        <f>IF(25000000 &gt; I28,I28,25000000)</f>
        <v>0</v>
      </c>
      <c r="J29" s="15" t="s">
        <v>153</v>
      </c>
    </row>
    <row r="30" spans="1:10" x14ac:dyDescent="0.25">
      <c r="B30" s="15" t="s">
        <v>204</v>
      </c>
      <c r="H30" s="37" t="s">
        <v>76</v>
      </c>
      <c r="I30" s="2"/>
      <c r="J30" s="15" t="s">
        <v>153</v>
      </c>
    </row>
    <row r="32" spans="1:10" x14ac:dyDescent="0.25">
      <c r="A32" s="35" t="s">
        <v>78</v>
      </c>
      <c r="B32" s="36" t="s">
        <v>79</v>
      </c>
      <c r="H32" s="37">
        <v>326</v>
      </c>
      <c r="I32" s="2"/>
      <c r="J32" s="15" t="s">
        <v>153</v>
      </c>
    </row>
    <row r="33" spans="1:10" x14ac:dyDescent="0.25">
      <c r="B33" s="15" t="s">
        <v>80</v>
      </c>
      <c r="H33" s="37">
        <v>328</v>
      </c>
      <c r="I33" s="2"/>
      <c r="J33" s="15" t="s">
        <v>153</v>
      </c>
    </row>
    <row r="34" spans="1:10" x14ac:dyDescent="0.25">
      <c r="B34" s="15" t="s">
        <v>81</v>
      </c>
      <c r="H34" s="37">
        <v>330</v>
      </c>
      <c r="I34" s="19">
        <f>IF(35000000 &gt; SUM(I32,I33),SUM(I32,I33),35000000)</f>
        <v>0</v>
      </c>
      <c r="J34" s="15" t="s">
        <v>153</v>
      </c>
    </row>
    <row r="35" spans="1:10" x14ac:dyDescent="0.25">
      <c r="B35" s="15" t="s">
        <v>204</v>
      </c>
      <c r="H35" s="37" t="s">
        <v>82</v>
      </c>
      <c r="I35" s="2"/>
      <c r="J35" s="15" t="s">
        <v>153</v>
      </c>
    </row>
    <row r="37" spans="1:10" x14ac:dyDescent="0.25">
      <c r="A37" s="35" t="s">
        <v>77</v>
      </c>
      <c r="B37" s="36" t="s">
        <v>83</v>
      </c>
    </row>
    <row r="38" spans="1:10" x14ac:dyDescent="0.25">
      <c r="B38" s="15" t="s">
        <v>84</v>
      </c>
      <c r="H38" s="37">
        <v>332</v>
      </c>
      <c r="I38" s="2"/>
      <c r="J38" s="15" t="s">
        <v>153</v>
      </c>
    </row>
    <row r="39" spans="1:10" x14ac:dyDescent="0.25">
      <c r="B39" s="15" t="s">
        <v>85</v>
      </c>
      <c r="H39" s="37">
        <v>334</v>
      </c>
      <c r="I39" s="19">
        <f>IF(I38=0,0,IF(I38 &gt; 1/3 * Return!$G$21, 1/3 * Return!$G$21,I38))</f>
        <v>0</v>
      </c>
      <c r="J39" s="15" t="s">
        <v>153</v>
      </c>
    </row>
    <row r="41" spans="1:10" x14ac:dyDescent="0.25">
      <c r="A41" s="35" t="s">
        <v>86</v>
      </c>
      <c r="B41" s="36" t="s">
        <v>87</v>
      </c>
      <c r="I41" s="22" t="s">
        <v>177</v>
      </c>
    </row>
    <row r="42" spans="1:10" x14ac:dyDescent="0.25">
      <c r="B42" s="36" t="s">
        <v>88</v>
      </c>
      <c r="I42" s="2"/>
      <c r="J42" s="15" t="s">
        <v>153</v>
      </c>
    </row>
    <row r="43" spans="1:10" x14ac:dyDescent="0.25">
      <c r="B43" s="36" t="s">
        <v>89</v>
      </c>
      <c r="H43" s="37">
        <v>336</v>
      </c>
      <c r="I43" s="19">
        <f>IF(I42=0,0,IF(I42 &gt; 1/3 * Return!$G$21, "Cannot exceed 1/3 of ur Assessable Income ",I42))</f>
        <v>0</v>
      </c>
      <c r="J43" s="15" t="s">
        <v>153</v>
      </c>
    </row>
    <row r="45" spans="1:10" x14ac:dyDescent="0.25">
      <c r="A45" s="35" t="s">
        <v>90</v>
      </c>
      <c r="B45" s="36" t="s">
        <v>91</v>
      </c>
    </row>
    <row r="46" spans="1:10" x14ac:dyDescent="0.25">
      <c r="B46" s="15" t="s">
        <v>205</v>
      </c>
      <c r="H46" s="37">
        <v>338</v>
      </c>
      <c r="I46" s="2"/>
      <c r="J46" s="15" t="s">
        <v>153</v>
      </c>
    </row>
    <row r="47" spans="1:10" x14ac:dyDescent="0.25">
      <c r="B47" s="15" t="s">
        <v>80</v>
      </c>
      <c r="H47" s="37">
        <v>340</v>
      </c>
      <c r="I47" s="2"/>
      <c r="J47" s="15" t="s">
        <v>153</v>
      </c>
    </row>
    <row r="48" spans="1:10" x14ac:dyDescent="0.25">
      <c r="B48" s="15" t="s">
        <v>92</v>
      </c>
      <c r="H48" s="37">
        <v>342</v>
      </c>
      <c r="I48" s="19">
        <f>IF(25000000 &gt; SUM(I46,I47),SUM(I46,I47),25000000)</f>
        <v>0</v>
      </c>
      <c r="J48" s="15" t="s">
        <v>153</v>
      </c>
    </row>
    <row r="49" spans="1:18" x14ac:dyDescent="0.25">
      <c r="B49" s="15" t="s">
        <v>206</v>
      </c>
      <c r="H49" s="37" t="s">
        <v>93</v>
      </c>
      <c r="I49" s="24" t="str">
        <f>IF(SUM(I46,I47)&gt;0,SUM(I46,I47)-I48,"")</f>
        <v/>
      </c>
      <c r="J49" s="15" t="s">
        <v>153</v>
      </c>
    </row>
    <row r="51" spans="1:18" x14ac:dyDescent="0.25">
      <c r="A51" s="35" t="s">
        <v>94</v>
      </c>
      <c r="B51" s="36" t="s">
        <v>95</v>
      </c>
    </row>
    <row r="52" spans="1:18" x14ac:dyDescent="0.25">
      <c r="B52" s="15" t="s">
        <v>205</v>
      </c>
      <c r="H52" s="37">
        <v>344</v>
      </c>
      <c r="I52" s="2"/>
      <c r="J52" s="15" t="s">
        <v>153</v>
      </c>
    </row>
    <row r="53" spans="1:18" x14ac:dyDescent="0.25">
      <c r="B53" s="15" t="s">
        <v>80</v>
      </c>
      <c r="H53" s="37">
        <v>346</v>
      </c>
      <c r="I53" s="2"/>
      <c r="J53" s="15" t="s">
        <v>153</v>
      </c>
    </row>
    <row r="54" spans="1:18" x14ac:dyDescent="0.25">
      <c r="B54" s="15" t="s">
        <v>96</v>
      </c>
      <c r="H54" s="37">
        <v>348</v>
      </c>
      <c r="I54" s="19">
        <f>IF(10000000 &gt; SUM(I52,I53),SUM(I52,I53),10000000)</f>
        <v>0</v>
      </c>
      <c r="J54" s="15" t="s">
        <v>153</v>
      </c>
    </row>
    <row r="55" spans="1:18" x14ac:dyDescent="0.25">
      <c r="B55" s="15" t="s">
        <v>207</v>
      </c>
      <c r="H55" s="37" t="s">
        <v>97</v>
      </c>
      <c r="I55" s="19" t="str">
        <f>IF(SUM(I52,I53)&gt;0,SUM(I52,I53)-I54,"")</f>
        <v/>
      </c>
      <c r="J55" s="15" t="s">
        <v>153</v>
      </c>
    </row>
    <row r="57" spans="1:18" x14ac:dyDescent="0.25">
      <c r="A57" s="35" t="s">
        <v>98</v>
      </c>
      <c r="B57" s="36" t="s">
        <v>99</v>
      </c>
    </row>
    <row r="58" spans="1:18" x14ac:dyDescent="0.25">
      <c r="B58" s="15" t="s">
        <v>205</v>
      </c>
      <c r="H58" s="37">
        <v>350</v>
      </c>
      <c r="I58" s="2"/>
      <c r="J58" s="15" t="s">
        <v>153</v>
      </c>
    </row>
    <row r="59" spans="1:18" x14ac:dyDescent="0.25">
      <c r="B59" s="15" t="s">
        <v>80</v>
      </c>
      <c r="H59" s="37">
        <v>352</v>
      </c>
      <c r="I59" s="2"/>
      <c r="J59" s="15" t="s">
        <v>153</v>
      </c>
      <c r="N59" s="38"/>
      <c r="O59" s="39"/>
      <c r="P59" s="40"/>
      <c r="Q59" s="41"/>
      <c r="R59" s="40"/>
    </row>
    <row r="60" spans="1:18" x14ac:dyDescent="0.25">
      <c r="B60" s="15" t="s">
        <v>100</v>
      </c>
      <c r="H60" s="37">
        <v>354</v>
      </c>
      <c r="I60" s="19" t="str">
        <f>IF(AND(I58="",I59=""),"",SUM(I58,I59))</f>
        <v/>
      </c>
      <c r="J60" s="15" t="s">
        <v>153</v>
      </c>
      <c r="N60" s="38"/>
      <c r="O60" s="39"/>
      <c r="P60" s="40"/>
      <c r="Q60" s="41"/>
      <c r="R60" s="40"/>
    </row>
    <row r="61" spans="1:18" x14ac:dyDescent="0.25">
      <c r="B61" s="15" t="s">
        <v>204</v>
      </c>
      <c r="H61" s="37" t="s">
        <v>101</v>
      </c>
      <c r="I61" s="2"/>
      <c r="J61" s="15" t="s">
        <v>153</v>
      </c>
      <c r="N61" s="38"/>
      <c r="O61" s="39"/>
      <c r="P61" s="40"/>
      <c r="Q61" s="41"/>
      <c r="R61" s="40"/>
    </row>
    <row r="62" spans="1:18" x14ac:dyDescent="0.25">
      <c r="N62" s="38"/>
      <c r="O62" s="39"/>
      <c r="P62" s="40"/>
      <c r="Q62" s="41"/>
      <c r="R62" s="40"/>
    </row>
    <row r="63" spans="1:18" x14ac:dyDescent="0.25">
      <c r="A63" s="35" t="s">
        <v>102</v>
      </c>
      <c r="B63" s="36" t="s">
        <v>103</v>
      </c>
      <c r="N63" s="38"/>
      <c r="O63" s="39"/>
      <c r="P63" s="40"/>
      <c r="Q63" s="41"/>
      <c r="R63" s="40"/>
    </row>
    <row r="64" spans="1:18" x14ac:dyDescent="0.25">
      <c r="B64" s="36" t="s">
        <v>104</v>
      </c>
      <c r="H64" s="37">
        <v>356</v>
      </c>
      <c r="I64" s="2"/>
      <c r="J64" s="15" t="s">
        <v>153</v>
      </c>
      <c r="N64" s="38"/>
      <c r="O64" s="39"/>
      <c r="P64" s="40"/>
      <c r="Q64" s="41"/>
      <c r="R64" s="40"/>
    </row>
    <row r="65" spans="1:18" x14ac:dyDescent="0.25">
      <c r="B65" s="15" t="s">
        <v>105</v>
      </c>
      <c r="H65" s="37">
        <v>358</v>
      </c>
      <c r="I65" s="19" t="str">
        <f>IF(I64="","",MIN(100000,I64,Return!G21/3))</f>
        <v/>
      </c>
      <c r="J65" s="15" t="s">
        <v>153</v>
      </c>
      <c r="N65" s="38"/>
      <c r="O65" s="39"/>
      <c r="P65" s="40"/>
      <c r="Q65" s="41"/>
      <c r="R65" s="40"/>
    </row>
    <row r="66" spans="1:18" x14ac:dyDescent="0.25">
      <c r="B66" s="15" t="s">
        <v>208</v>
      </c>
      <c r="H66" s="37" t="s">
        <v>106</v>
      </c>
      <c r="I66" s="19" t="str">
        <f>IF(I64=0,"",I64-I65)</f>
        <v/>
      </c>
      <c r="J66" s="15" t="s">
        <v>153</v>
      </c>
      <c r="N66" s="38"/>
      <c r="O66" s="39"/>
      <c r="P66" s="40"/>
      <c r="Q66" s="41"/>
      <c r="R66" s="40"/>
    </row>
    <row r="67" spans="1:18" x14ac:dyDescent="0.25">
      <c r="N67" s="38"/>
      <c r="O67" s="39"/>
      <c r="P67" s="40"/>
      <c r="Q67" s="41"/>
      <c r="R67" s="40"/>
    </row>
    <row r="68" spans="1:18" x14ac:dyDescent="0.25">
      <c r="A68" s="35" t="s">
        <v>107</v>
      </c>
      <c r="B68" s="36" t="s">
        <v>108</v>
      </c>
      <c r="N68" s="38"/>
      <c r="O68" s="39"/>
      <c r="P68" s="40"/>
      <c r="Q68" s="41"/>
      <c r="R68" s="40"/>
    </row>
    <row r="69" spans="1:18" x14ac:dyDescent="0.25">
      <c r="B69" s="36" t="s">
        <v>109</v>
      </c>
      <c r="H69" s="37">
        <v>360</v>
      </c>
      <c r="I69" s="2"/>
      <c r="J69" s="15" t="s">
        <v>153</v>
      </c>
      <c r="N69" s="38"/>
      <c r="O69" s="39"/>
      <c r="P69" s="40"/>
      <c r="Q69" s="41"/>
      <c r="R69" s="40"/>
    </row>
    <row r="70" spans="1:18" x14ac:dyDescent="0.25">
      <c r="B70" s="15" t="s">
        <v>110</v>
      </c>
      <c r="H70" s="37">
        <v>362</v>
      </c>
      <c r="I70" s="19">
        <f>IF(1000000 &gt; I69, I69, 1000000)</f>
        <v>0</v>
      </c>
      <c r="J70" s="15" t="s">
        <v>153</v>
      </c>
      <c r="N70" s="38"/>
      <c r="O70" s="39"/>
      <c r="P70" s="40"/>
      <c r="Q70" s="41"/>
      <c r="R70" s="40"/>
    </row>
    <row r="71" spans="1:18" x14ac:dyDescent="0.25">
      <c r="N71" s="38"/>
      <c r="O71" s="39"/>
      <c r="P71" s="40"/>
      <c r="Q71" s="41"/>
      <c r="R71" s="40"/>
    </row>
    <row r="72" spans="1:18" x14ac:dyDescent="0.25">
      <c r="A72" s="35" t="s">
        <v>111</v>
      </c>
      <c r="B72" s="36" t="s">
        <v>112</v>
      </c>
      <c r="N72" s="38"/>
      <c r="O72" s="39"/>
      <c r="P72" s="40"/>
      <c r="Q72" s="41"/>
      <c r="R72" s="40"/>
    </row>
    <row r="73" spans="1:18" x14ac:dyDescent="0.25">
      <c r="B73" s="36" t="s">
        <v>115</v>
      </c>
      <c r="C73" s="36"/>
      <c r="N73" s="38"/>
      <c r="O73" s="39"/>
      <c r="P73" s="40"/>
      <c r="Q73" s="41"/>
      <c r="R73" s="40"/>
    </row>
    <row r="74" spans="1:18" x14ac:dyDescent="0.25">
      <c r="B74" s="36" t="s">
        <v>113</v>
      </c>
      <c r="C74" s="36"/>
      <c r="N74" s="38"/>
      <c r="O74" s="39"/>
      <c r="P74" s="40"/>
      <c r="Q74" s="41"/>
      <c r="R74" s="40"/>
    </row>
    <row r="75" spans="1:18" x14ac:dyDescent="0.25">
      <c r="B75" s="36" t="s">
        <v>114</v>
      </c>
      <c r="C75" s="36"/>
      <c r="N75" s="38"/>
      <c r="O75" s="39"/>
      <c r="P75" s="40"/>
      <c r="Q75" s="41"/>
      <c r="R75" s="40"/>
    </row>
    <row r="76" spans="1:18" x14ac:dyDescent="0.25">
      <c r="B76" s="15" t="s">
        <v>205</v>
      </c>
      <c r="H76" s="37">
        <v>364</v>
      </c>
      <c r="I76" s="2"/>
      <c r="J76" s="15" t="s">
        <v>153</v>
      </c>
      <c r="N76" s="38"/>
      <c r="O76" s="39"/>
      <c r="P76" s="40"/>
      <c r="Q76" s="41"/>
      <c r="R76" s="40"/>
    </row>
    <row r="77" spans="1:18" x14ac:dyDescent="0.25">
      <c r="B77" s="15" t="s">
        <v>80</v>
      </c>
      <c r="H77" s="37">
        <v>365</v>
      </c>
      <c r="I77" s="2"/>
      <c r="J77" s="15" t="s">
        <v>153</v>
      </c>
      <c r="N77" s="38"/>
      <c r="O77" s="39"/>
      <c r="P77" s="40"/>
      <c r="Q77" s="41"/>
      <c r="R77" s="40"/>
    </row>
    <row r="78" spans="1:18" x14ac:dyDescent="0.25">
      <c r="B78" s="15" t="s">
        <v>116</v>
      </c>
      <c r="H78" s="37">
        <v>366</v>
      </c>
      <c r="I78" s="2"/>
      <c r="J78" s="15" t="s">
        <v>153</v>
      </c>
      <c r="N78" s="38"/>
      <c r="O78" s="39"/>
      <c r="P78" s="40"/>
      <c r="Q78" s="41"/>
      <c r="R78" s="40"/>
    </row>
    <row r="79" spans="1:18" x14ac:dyDescent="0.25">
      <c r="B79" s="15" t="s">
        <v>209</v>
      </c>
      <c r="H79" s="37" t="s">
        <v>117</v>
      </c>
      <c r="I79" s="51" t="str">
        <f>IF(SUM(I76,I77)&gt;0,I76+I77-I78,"")</f>
        <v/>
      </c>
      <c r="J79" s="15" t="s">
        <v>153</v>
      </c>
      <c r="N79" s="38"/>
      <c r="O79" s="39"/>
      <c r="P79" s="40"/>
      <c r="Q79" s="41"/>
      <c r="R79" s="40"/>
    </row>
    <row r="80" spans="1:18" x14ac:dyDescent="0.25">
      <c r="I80" s="23"/>
      <c r="N80" s="38"/>
      <c r="O80" s="39"/>
      <c r="P80" s="40"/>
      <c r="Q80" s="41"/>
      <c r="R80" s="40"/>
    </row>
    <row r="81" spans="1:18" x14ac:dyDescent="0.25">
      <c r="A81" s="35" t="s">
        <v>118</v>
      </c>
      <c r="B81" s="36" t="s">
        <v>119</v>
      </c>
      <c r="N81" s="38"/>
      <c r="O81" s="39"/>
      <c r="P81" s="40"/>
      <c r="Q81" s="41"/>
      <c r="R81" s="40"/>
    </row>
    <row r="82" spans="1:18" x14ac:dyDescent="0.25">
      <c r="B82" s="36" t="s">
        <v>120</v>
      </c>
    </row>
    <row r="83" spans="1:18" x14ac:dyDescent="0.25">
      <c r="B83" s="36" t="s">
        <v>121</v>
      </c>
      <c r="H83" s="37">
        <v>368</v>
      </c>
      <c r="I83" s="2"/>
      <c r="J83" s="15" t="s">
        <v>153</v>
      </c>
    </row>
    <row r="84" spans="1:18" x14ac:dyDescent="0.25">
      <c r="B84" s="15" t="s">
        <v>122</v>
      </c>
      <c r="H84" s="37">
        <v>369</v>
      </c>
      <c r="I84" s="2"/>
      <c r="J84" s="15" t="s">
        <v>153</v>
      </c>
    </row>
    <row r="85" spans="1:18" x14ac:dyDescent="0.25">
      <c r="B85" s="15" t="s">
        <v>210</v>
      </c>
      <c r="H85" s="37" t="s">
        <v>123</v>
      </c>
      <c r="I85" s="24" t="str">
        <f>IF(I83 &gt; 0, I83-I84,"")</f>
        <v/>
      </c>
      <c r="J85" s="15" t="s">
        <v>153</v>
      </c>
    </row>
    <row r="87" spans="1:18" x14ac:dyDescent="0.25">
      <c r="A87" s="35" t="s">
        <v>124</v>
      </c>
      <c r="B87" s="36" t="s">
        <v>125</v>
      </c>
    </row>
    <row r="88" spans="1:18" x14ac:dyDescent="0.25">
      <c r="B88" s="15" t="s">
        <v>126</v>
      </c>
      <c r="H88" s="37">
        <v>370</v>
      </c>
      <c r="I88" s="2"/>
      <c r="J88" s="15" t="s">
        <v>153</v>
      </c>
    </row>
    <row r="90" spans="1:18" x14ac:dyDescent="0.25">
      <c r="A90" s="35" t="s">
        <v>127</v>
      </c>
      <c r="B90" s="36" t="s">
        <v>211</v>
      </c>
    </row>
    <row r="91" spans="1:18" x14ac:dyDescent="0.25">
      <c r="B91" s="15" t="s">
        <v>128</v>
      </c>
      <c r="H91" s="37">
        <v>380</v>
      </c>
      <c r="I91" s="2"/>
      <c r="J91" s="15" t="s">
        <v>153</v>
      </c>
    </row>
    <row r="93" spans="1:18" x14ac:dyDescent="0.25">
      <c r="B93" s="18" t="s">
        <v>129</v>
      </c>
    </row>
    <row r="94" spans="1:18" x14ac:dyDescent="0.25">
      <c r="B94" s="15" t="s">
        <v>240</v>
      </c>
    </row>
    <row r="95" spans="1:18" x14ac:dyDescent="0.25">
      <c r="B95" s="15" t="s">
        <v>241</v>
      </c>
    </row>
    <row r="96" spans="1:18" x14ac:dyDescent="0.25">
      <c r="H96" s="37">
        <v>390</v>
      </c>
      <c r="I96" s="19">
        <f>IF(AND(I8="",I17="",I20="",I24="",I29="",I34="",I39="",I43="",I48="",I54="",I60="",I65="",I70=""),"",SUM(I8,I17,I20,I24,I29,I34,I39,I43,I48,I54,I60,I65,I70,I78,I84,I88,I91))</f>
        <v>0</v>
      </c>
      <c r="J96" s="15" t="s">
        <v>153</v>
      </c>
    </row>
  </sheetData>
  <sheetProtection algorithmName="SHA-512" hashValue="/GEyvOSJXUUg4MAQ1NcWuBnVytPbWw8Hl2Tt5DpxQebm7oKq+ZtEb9ib9JLUB/RZqgQa4slCHn4vz4xe7mv9kw==" saltValue="ajhyaQsXyTxFa4DhFJHZ2g==" spinCount="100000" sheet="1" objects="1" scenarios="1"/>
  <customSheetViews>
    <customSheetView guid="{12504DBE-41C2-4FD3-9D8E-D9B684050204}" showGridLines="0">
      <selection activeCell="H6" sqref="H6:I6"/>
      <pageMargins left="0.7" right="0.7" top="0.75" bottom="0.75" header="0.3" footer="0.3"/>
      <pageSetup paperSize="9" orientation="portrait" r:id="rId1"/>
    </customSheetView>
  </customSheetViews>
  <dataValidations count="2">
    <dataValidation type="whole" operator="greaterThanOrEqual" allowBlank="1" showInputMessage="1" showErrorMessage="1" errorTitle="Whole Number" error="Please enter whole number and ignore the decimal number, eg. 1000. No negative number allowed." sqref="I91 I88 I76:I78 I6:I7 I69 I66 I64 I61 I58:I59 I55 I52:I53 I49 I45:I47 I43 I38 I35 I32:I33 I30 I28 I23 I20 I18 I15:I16 I12 I9 I83:I84">
      <formula1>0</formula1>
    </dataValidation>
    <dataValidation operator="greaterThanOrEqual" allowBlank="1" showInputMessage="1" showErrorMessage="1" errorTitle="Whole Number" error="Please enter whole number and ignore the decimal number, eg. 1000. No negative number allowed." sqref="I79 I85"/>
  </dataValidation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68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3.85546875" style="42" customWidth="1"/>
    <col min="2" max="6" width="9.140625" style="42"/>
    <col min="7" max="7" width="34.140625" style="42" customWidth="1"/>
    <col min="8" max="8" width="9.140625" style="42"/>
    <col min="9" max="9" width="22.5703125" style="42" customWidth="1"/>
    <col min="10" max="16384" width="9.140625" style="42"/>
  </cols>
  <sheetData>
    <row r="1" spans="1:13" ht="18.75" x14ac:dyDescent="0.3">
      <c r="B1" s="53" t="s">
        <v>178</v>
      </c>
      <c r="C1" s="47"/>
      <c r="D1" s="47"/>
      <c r="E1" s="47"/>
      <c r="F1" s="33"/>
      <c r="G1" s="15"/>
      <c r="H1" s="15"/>
      <c r="I1" s="15"/>
      <c r="J1" s="15"/>
      <c r="K1" s="15"/>
      <c r="L1" s="15"/>
      <c r="M1" s="15"/>
    </row>
    <row r="2" spans="1:13" ht="18.75" x14ac:dyDescent="0.3">
      <c r="B2" s="54" t="str">
        <f>Return!B2</f>
        <v>YEAR OF ASSESSMENT : 2016/2017 and 2017/2018</v>
      </c>
      <c r="C2" s="47"/>
      <c r="D2" s="47"/>
      <c r="E2" s="47"/>
      <c r="F2" s="15"/>
      <c r="G2" s="15"/>
      <c r="H2" s="15"/>
      <c r="I2" s="43"/>
      <c r="J2" s="15"/>
      <c r="K2" s="15"/>
      <c r="L2" s="15"/>
      <c r="M2" s="15"/>
    </row>
    <row r="4" spans="1:13" x14ac:dyDescent="0.25">
      <c r="B4" s="17" t="s">
        <v>130</v>
      </c>
    </row>
    <row r="5" spans="1:13" x14ac:dyDescent="0.25">
      <c r="A5" s="35" t="s">
        <v>40</v>
      </c>
      <c r="B5" s="36" t="s">
        <v>212</v>
      </c>
      <c r="H5" s="37">
        <v>542</v>
      </c>
      <c r="I5" s="5"/>
      <c r="J5" s="15" t="s">
        <v>153</v>
      </c>
    </row>
    <row r="6" spans="1:13" x14ac:dyDescent="0.25">
      <c r="I6" s="44"/>
    </row>
    <row r="7" spans="1:13" x14ac:dyDescent="0.25">
      <c r="A7" s="35" t="s">
        <v>43</v>
      </c>
      <c r="B7" s="36" t="s">
        <v>213</v>
      </c>
      <c r="H7" s="37">
        <v>543</v>
      </c>
      <c r="I7" s="5"/>
      <c r="J7" s="15" t="s">
        <v>153</v>
      </c>
    </row>
    <row r="8" spans="1:13" x14ac:dyDescent="0.25">
      <c r="I8" s="44"/>
    </row>
    <row r="9" spans="1:13" x14ac:dyDescent="0.25">
      <c r="A9" s="35" t="s">
        <v>61</v>
      </c>
      <c r="B9" s="36" t="s">
        <v>131</v>
      </c>
      <c r="I9" s="44"/>
    </row>
    <row r="10" spans="1:13" x14ac:dyDescent="0.25">
      <c r="B10" s="36" t="s">
        <v>132</v>
      </c>
      <c r="I10" s="44"/>
    </row>
    <row r="11" spans="1:13" x14ac:dyDescent="0.25">
      <c r="B11" s="36" t="s">
        <v>133</v>
      </c>
      <c r="H11" s="37">
        <v>550.1</v>
      </c>
      <c r="I11" s="5"/>
      <c r="J11" s="15" t="s">
        <v>153</v>
      </c>
    </row>
    <row r="12" spans="1:13" x14ac:dyDescent="0.25">
      <c r="B12" s="36" t="s">
        <v>134</v>
      </c>
      <c r="H12" s="37">
        <v>550.20000000000005</v>
      </c>
      <c r="I12" s="5"/>
      <c r="J12" s="15" t="s">
        <v>153</v>
      </c>
    </row>
    <row r="13" spans="1:13" x14ac:dyDescent="0.25">
      <c r="B13" s="36" t="s">
        <v>135</v>
      </c>
      <c r="H13" s="37">
        <v>550.29999999999995</v>
      </c>
      <c r="I13" s="5"/>
      <c r="J13" s="15" t="s">
        <v>153</v>
      </c>
    </row>
    <row r="14" spans="1:13" x14ac:dyDescent="0.25">
      <c r="B14" s="36" t="s">
        <v>214</v>
      </c>
      <c r="H14" s="37">
        <v>551</v>
      </c>
      <c r="I14" s="7">
        <f>IF(SUM(I11:I13)="","",SUM(I11:I13))</f>
        <v>0</v>
      </c>
      <c r="J14" s="15" t="s">
        <v>153</v>
      </c>
    </row>
    <row r="15" spans="1:13" x14ac:dyDescent="0.25">
      <c r="I15" s="44"/>
    </row>
    <row r="16" spans="1:13" x14ac:dyDescent="0.25">
      <c r="B16" s="36" t="s">
        <v>136</v>
      </c>
      <c r="I16" s="44"/>
    </row>
    <row r="17" spans="1:10" ht="17.25" x14ac:dyDescent="0.25">
      <c r="B17" s="36" t="s">
        <v>215</v>
      </c>
      <c r="H17" s="37">
        <v>552.1</v>
      </c>
      <c r="I17" s="5"/>
      <c r="J17" s="15" t="s">
        <v>153</v>
      </c>
    </row>
    <row r="18" spans="1:10" ht="17.25" x14ac:dyDescent="0.25">
      <c r="B18" s="36" t="s">
        <v>216</v>
      </c>
      <c r="H18" s="37">
        <v>552.20000000000005</v>
      </c>
      <c r="I18" s="5"/>
      <c r="J18" s="15" t="s">
        <v>153</v>
      </c>
    </row>
    <row r="19" spans="1:10" ht="17.25" x14ac:dyDescent="0.25">
      <c r="B19" s="36" t="s">
        <v>217</v>
      </c>
      <c r="H19" s="37">
        <v>552.29999999999995</v>
      </c>
      <c r="I19" s="5"/>
      <c r="J19" s="15" t="s">
        <v>153</v>
      </c>
    </row>
    <row r="20" spans="1:10" ht="17.25" x14ac:dyDescent="0.25">
      <c r="B20" s="36" t="s">
        <v>218</v>
      </c>
      <c r="H20" s="37">
        <v>552.4</v>
      </c>
      <c r="I20" s="6"/>
      <c r="J20" s="15" t="s">
        <v>153</v>
      </c>
    </row>
    <row r="21" spans="1:10" x14ac:dyDescent="0.25">
      <c r="B21" s="36" t="s">
        <v>219</v>
      </c>
      <c r="H21" s="37">
        <v>553</v>
      </c>
      <c r="I21" s="7">
        <f>IF(SUM(I17:I20)="","",SUM(I17:I20))</f>
        <v>0</v>
      </c>
      <c r="J21" s="15" t="s">
        <v>153</v>
      </c>
    </row>
    <row r="22" spans="1:10" x14ac:dyDescent="0.25">
      <c r="I22" s="44"/>
    </row>
    <row r="23" spans="1:10" x14ac:dyDescent="0.25">
      <c r="A23" s="42" t="s">
        <v>137</v>
      </c>
      <c r="B23" s="36" t="s">
        <v>220</v>
      </c>
      <c r="H23" s="37">
        <v>554</v>
      </c>
      <c r="I23" s="7">
        <f>IF(AND(I14,I21)=0,"",SUM(I14,I21))</f>
        <v>0</v>
      </c>
      <c r="J23" s="15" t="s">
        <v>153</v>
      </c>
    </row>
    <row r="24" spans="1:10" x14ac:dyDescent="0.25">
      <c r="A24" s="42" t="s">
        <v>138</v>
      </c>
      <c r="B24" s="36" t="s">
        <v>140</v>
      </c>
      <c r="H24" s="37">
        <v>555</v>
      </c>
      <c r="I24" s="5"/>
      <c r="J24" s="15" t="s">
        <v>153</v>
      </c>
    </row>
    <row r="25" spans="1:10" x14ac:dyDescent="0.25">
      <c r="A25" s="42" t="s">
        <v>139</v>
      </c>
      <c r="B25" s="36" t="s">
        <v>221</v>
      </c>
      <c r="H25" s="37">
        <v>556</v>
      </c>
      <c r="I25" s="7">
        <f>IF(SUM(I23:I24)="","",SUM(I23,I24))</f>
        <v>0</v>
      </c>
      <c r="J25" s="15" t="s">
        <v>153</v>
      </c>
    </row>
    <row r="26" spans="1:10" x14ac:dyDescent="0.25">
      <c r="B26" s="36" t="s">
        <v>222</v>
      </c>
      <c r="I26" s="44"/>
    </row>
    <row r="27" spans="1:10" x14ac:dyDescent="0.25">
      <c r="A27" s="42" t="s">
        <v>141</v>
      </c>
      <c r="B27" s="36" t="s">
        <v>223</v>
      </c>
      <c r="H27" s="37">
        <v>559</v>
      </c>
      <c r="I27" s="7" t="str">
        <f>IF(I25 &gt; Return!$G$30,I25-Return!$G$30,"")</f>
        <v/>
      </c>
      <c r="J27" s="15" t="s">
        <v>153</v>
      </c>
    </row>
    <row r="28" spans="1:10" x14ac:dyDescent="0.25">
      <c r="A28" s="42" t="s">
        <v>142</v>
      </c>
      <c r="B28" s="36" t="s">
        <v>224</v>
      </c>
      <c r="H28" s="37">
        <v>560</v>
      </c>
      <c r="I28" s="7">
        <f>IF(I25 &gt; Return!$G$30, Return!$G$30,I25)</f>
        <v>0</v>
      </c>
      <c r="J28" s="15" t="s">
        <v>153</v>
      </c>
    </row>
    <row r="29" spans="1:10" x14ac:dyDescent="0.25">
      <c r="I29" s="44"/>
    </row>
    <row r="30" spans="1:10" x14ac:dyDescent="0.25">
      <c r="A30" s="35" t="s">
        <v>67</v>
      </c>
      <c r="B30" s="36" t="s">
        <v>225</v>
      </c>
      <c r="H30" s="37">
        <v>562</v>
      </c>
      <c r="I30" s="5"/>
      <c r="J30" s="15" t="s">
        <v>153</v>
      </c>
    </row>
    <row r="31" spans="1:10" x14ac:dyDescent="0.25">
      <c r="I31" s="44"/>
    </row>
    <row r="32" spans="1:10" x14ac:dyDescent="0.25">
      <c r="A32" s="35" t="s">
        <v>69</v>
      </c>
      <c r="B32" s="36" t="s">
        <v>226</v>
      </c>
      <c r="I32" s="44"/>
    </row>
    <row r="33" spans="1:10" x14ac:dyDescent="0.25">
      <c r="B33" s="36" t="s">
        <v>248</v>
      </c>
      <c r="H33" s="37">
        <v>563.1</v>
      </c>
      <c r="I33" s="5"/>
      <c r="J33" s="15" t="s">
        <v>153</v>
      </c>
    </row>
    <row r="34" spans="1:10" x14ac:dyDescent="0.25">
      <c r="B34" s="36" t="s">
        <v>249</v>
      </c>
      <c r="H34" s="37">
        <v>563.20000000000005</v>
      </c>
      <c r="I34" s="5"/>
      <c r="J34" s="15" t="s">
        <v>153</v>
      </c>
    </row>
    <row r="35" spans="1:10" x14ac:dyDescent="0.25">
      <c r="B35" s="36" t="s">
        <v>250</v>
      </c>
      <c r="H35" s="37">
        <v>563.29999999999995</v>
      </c>
      <c r="I35" s="5"/>
      <c r="J35" s="15" t="s">
        <v>153</v>
      </c>
    </row>
    <row r="36" spans="1:10" x14ac:dyDescent="0.25">
      <c r="B36" s="36" t="s">
        <v>251</v>
      </c>
      <c r="H36" s="37">
        <v>563.4</v>
      </c>
      <c r="I36" s="5"/>
      <c r="J36" s="15" t="s">
        <v>153</v>
      </c>
    </row>
    <row r="37" spans="1:10" x14ac:dyDescent="0.25">
      <c r="B37" s="36" t="s">
        <v>247</v>
      </c>
      <c r="H37" s="37">
        <v>563.5</v>
      </c>
      <c r="I37" s="5"/>
      <c r="J37" s="15" t="s">
        <v>153</v>
      </c>
    </row>
    <row r="38" spans="1:10" x14ac:dyDescent="0.25">
      <c r="B38" s="36" t="s">
        <v>227</v>
      </c>
      <c r="H38" s="37">
        <v>563</v>
      </c>
      <c r="I38" s="7">
        <f>IF(SUM(I33:I37)="","",SUM(I33:I37))</f>
        <v>0</v>
      </c>
      <c r="J38" s="15" t="s">
        <v>153</v>
      </c>
    </row>
    <row r="39" spans="1:10" x14ac:dyDescent="0.25">
      <c r="I39" s="44"/>
    </row>
    <row r="40" spans="1:10" x14ac:dyDescent="0.25">
      <c r="A40" s="35" t="s">
        <v>72</v>
      </c>
      <c r="B40" s="36" t="s">
        <v>228</v>
      </c>
      <c r="I40" s="44"/>
    </row>
    <row r="41" spans="1:10" ht="17.25" x14ac:dyDescent="0.25">
      <c r="B41" s="17" t="s">
        <v>229</v>
      </c>
      <c r="I41" s="44"/>
    </row>
    <row r="42" spans="1:10" x14ac:dyDescent="0.25">
      <c r="B42" s="36"/>
      <c r="H42" s="45"/>
      <c r="I42" s="16"/>
    </row>
    <row r="43" spans="1:10" x14ac:dyDescent="0.25">
      <c r="B43" s="36" t="s">
        <v>197</v>
      </c>
      <c r="H43" s="37">
        <v>570.20000000000005</v>
      </c>
      <c r="I43" s="5"/>
      <c r="J43" s="15" t="s">
        <v>153</v>
      </c>
    </row>
    <row r="44" spans="1:10" x14ac:dyDescent="0.25">
      <c r="B44" s="36" t="s">
        <v>230</v>
      </c>
      <c r="H44" s="37">
        <v>570.29999999999995</v>
      </c>
      <c r="I44" s="5"/>
      <c r="J44" s="15" t="s">
        <v>153</v>
      </c>
    </row>
    <row r="45" spans="1:10" x14ac:dyDescent="0.25">
      <c r="I45" s="44"/>
    </row>
    <row r="46" spans="1:10" ht="17.25" x14ac:dyDescent="0.25">
      <c r="B46" s="17" t="s">
        <v>231</v>
      </c>
      <c r="I46" s="44"/>
    </row>
    <row r="47" spans="1:10" x14ac:dyDescent="0.25">
      <c r="B47" s="36"/>
      <c r="H47" s="45"/>
      <c r="I47" s="16"/>
    </row>
    <row r="48" spans="1:10" x14ac:dyDescent="0.25">
      <c r="B48" s="36" t="s">
        <v>197</v>
      </c>
      <c r="H48" s="37">
        <v>571.20000000000005</v>
      </c>
      <c r="I48" s="5"/>
      <c r="J48" s="15" t="s">
        <v>153</v>
      </c>
    </row>
    <row r="49" spans="2:10" x14ac:dyDescent="0.25">
      <c r="B49" s="36" t="s">
        <v>230</v>
      </c>
      <c r="H49" s="37">
        <v>571.29999999999995</v>
      </c>
      <c r="I49" s="5"/>
      <c r="J49" s="15" t="s">
        <v>153</v>
      </c>
    </row>
    <row r="50" spans="2:10" x14ac:dyDescent="0.25">
      <c r="I50" s="44"/>
    </row>
    <row r="51" spans="2:10" ht="17.25" x14ac:dyDescent="0.25">
      <c r="B51" s="17" t="s">
        <v>232</v>
      </c>
      <c r="I51" s="44"/>
    </row>
    <row r="52" spans="2:10" x14ac:dyDescent="0.25">
      <c r="B52" s="36"/>
      <c r="H52" s="45"/>
      <c r="I52" s="16"/>
    </row>
    <row r="53" spans="2:10" x14ac:dyDescent="0.25">
      <c r="B53" s="36" t="s">
        <v>197</v>
      </c>
      <c r="H53" s="37">
        <v>572.20000000000005</v>
      </c>
      <c r="I53" s="5"/>
      <c r="J53" s="15" t="s">
        <v>153</v>
      </c>
    </row>
    <row r="54" spans="2:10" x14ac:dyDescent="0.25">
      <c r="B54" s="36" t="s">
        <v>230</v>
      </c>
      <c r="H54" s="37">
        <v>572.29999999999995</v>
      </c>
      <c r="I54" s="5"/>
      <c r="J54" s="15" t="s">
        <v>153</v>
      </c>
    </row>
    <row r="55" spans="2:10" x14ac:dyDescent="0.25">
      <c r="I55" s="44"/>
    </row>
    <row r="56" spans="2:10" ht="17.25" x14ac:dyDescent="0.25">
      <c r="B56" s="17" t="s">
        <v>233</v>
      </c>
      <c r="I56" s="44"/>
    </row>
    <row r="57" spans="2:10" x14ac:dyDescent="0.25">
      <c r="B57" s="36"/>
      <c r="H57" s="45"/>
      <c r="I57" s="16"/>
    </row>
    <row r="58" spans="2:10" x14ac:dyDescent="0.25">
      <c r="B58" s="36" t="s">
        <v>197</v>
      </c>
      <c r="H58" s="37">
        <v>573.20000000000005</v>
      </c>
      <c r="I58" s="5"/>
      <c r="J58" s="15" t="s">
        <v>153</v>
      </c>
    </row>
    <row r="59" spans="2:10" x14ac:dyDescent="0.25">
      <c r="B59" s="36" t="s">
        <v>230</v>
      </c>
      <c r="H59" s="37">
        <v>573.29999999999995</v>
      </c>
      <c r="I59" s="5"/>
      <c r="J59" s="15" t="s">
        <v>153</v>
      </c>
    </row>
    <row r="60" spans="2:10" ht="15.75" customHeight="1" x14ac:dyDescent="0.25">
      <c r="I60" s="44"/>
    </row>
    <row r="61" spans="2:10" x14ac:dyDescent="0.25">
      <c r="B61" s="36" t="s">
        <v>143</v>
      </c>
      <c r="H61" s="37">
        <v>574</v>
      </c>
      <c r="I61" s="5"/>
      <c r="J61" s="15" t="s">
        <v>153</v>
      </c>
    </row>
    <row r="62" spans="2:10" x14ac:dyDescent="0.25">
      <c r="B62" s="36" t="s">
        <v>234</v>
      </c>
      <c r="H62" s="37">
        <v>575</v>
      </c>
      <c r="I62" s="7" t="str">
        <f>IF(AND(I43="",I48="",I53="",I58="", I61=""),"",SUM(I43,I48,I53,I58,I61))</f>
        <v/>
      </c>
      <c r="J62" s="15" t="s">
        <v>153</v>
      </c>
    </row>
    <row r="63" spans="2:10" x14ac:dyDescent="0.25">
      <c r="B63" s="36" t="s">
        <v>235</v>
      </c>
      <c r="H63" s="37">
        <v>581</v>
      </c>
      <c r="I63" s="7" t="str">
        <f>IF(AND(I44="",I49="",I54="",I59=""),"",SUM(I44,I49,I54,I59))</f>
        <v/>
      </c>
      <c r="J63" s="15" t="s">
        <v>153</v>
      </c>
    </row>
    <row r="64" spans="2:10" x14ac:dyDescent="0.25">
      <c r="B64" s="36" t="s">
        <v>236</v>
      </c>
      <c r="H64" s="37">
        <v>582</v>
      </c>
      <c r="I64" s="7">
        <f>IF(AND(I62="",I63=""),0,SUM(I62,I63))</f>
        <v>0</v>
      </c>
      <c r="J64" s="15" t="s">
        <v>153</v>
      </c>
    </row>
    <row r="65" spans="1:10" x14ac:dyDescent="0.25">
      <c r="I65" s="44"/>
    </row>
    <row r="66" spans="1:10" x14ac:dyDescent="0.25">
      <c r="A66" s="35" t="s">
        <v>77</v>
      </c>
      <c r="B66" s="36" t="s">
        <v>237</v>
      </c>
      <c r="H66" s="37">
        <v>583</v>
      </c>
      <c r="I66" s="5"/>
      <c r="J66" s="15" t="s">
        <v>153</v>
      </c>
    </row>
    <row r="67" spans="1:10" x14ac:dyDescent="0.25">
      <c r="A67" s="35" t="s">
        <v>86</v>
      </c>
      <c r="B67" s="36" t="s">
        <v>238</v>
      </c>
      <c r="H67" s="37">
        <v>584</v>
      </c>
      <c r="I67" s="5"/>
      <c r="J67" s="15" t="s">
        <v>153</v>
      </c>
    </row>
    <row r="68" spans="1:10" x14ac:dyDescent="0.25">
      <c r="A68" s="46"/>
      <c r="B68" s="36" t="s">
        <v>239</v>
      </c>
      <c r="H68" s="37">
        <v>585</v>
      </c>
      <c r="I68" s="7">
        <f>IF(AND(I5,I7,I28,I30,I38,I64,I66,I67)="","",SUM(I5,I7,I28,I30,I38,I64,I66,I67))</f>
        <v>0</v>
      </c>
      <c r="J68" s="15" t="s">
        <v>153</v>
      </c>
    </row>
  </sheetData>
  <sheetProtection algorithmName="SHA-512" hashValue="L2d+xtszEXZ31OAxZnFnsZoMQCuCFMjgW4uAup95WN8ZR9Idp5SVz6VB1qBS5Fj/RcVg9JFlP5h387GUyyan7g==" saltValue="S4rS4j7jDg3f+xaotJS1pg==" spinCount="100000" sheet="1" objects="1" scenarios="1"/>
  <customSheetViews>
    <customSheetView guid="{12504DBE-41C2-4FD3-9D8E-D9B684050204}" showGridLines="0">
      <selection activeCell="H5" sqref="H5:I5"/>
      <pageMargins left="0.7" right="0.7" top="0.75" bottom="0.75" header="0.3" footer="0.3"/>
    </customSheetView>
  </customSheetViews>
  <dataValidations count="1">
    <dataValidation type="whole" operator="greaterThanOrEqual" allowBlank="1" showInputMessage="1" showErrorMessage="1" errorTitle="Whole Number" error="Please enter whole number and ignore the decimal number, eg. 1000. No negative number allowed." sqref="I66:I67 I61 I58:I59 I53:I54 I48:I49 I43:I44 I33:I37 I30 I24 I17:I20 I5 I7 I11:I13">
      <formula1>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72272D-C76C-4498-8831-937FFA43D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137AABB-6D54-4EB2-A5D1-62EF4AAE3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46F4C3-0FA5-4662-A6A5-360EE0ECED61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Return</vt:lpstr>
      <vt:lpstr>Schedule 1</vt:lpstr>
      <vt:lpstr>Schedule 2</vt:lpstr>
      <vt:lpstr>Schedule 3</vt:lpstr>
      <vt:lpstr>Schedule 4,5,6,7</vt:lpstr>
      <vt:lpstr>Schedule 8</vt:lpstr>
      <vt:lpstr>Schedule 9</vt:lpstr>
      <vt:lpstr>Schedule 10</vt:lpstr>
      <vt:lpstr>Schedule 11</vt:lpstr>
      <vt:lpstr>Schedule 12</vt:lpstr>
      <vt:lpstr>Legend</vt:lpstr>
      <vt:lpstr>_</vt:lpstr>
      <vt:lpstr>SecSch</vt:lpstr>
      <vt:lpstr>YearSvc</vt:lpstr>
    </vt:vector>
  </TitlesOfParts>
  <Manager>samuelong@ncs.com.sg</Manager>
  <Company>NCS Pte.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2016-09-26T04:29:03Z</dcterms:created>
  <dcterms:modified xsi:type="dcterms:W3CDTF">2018-09-19T02:47:30Z</dcterms:modified>
</cp:coreProperties>
</file>