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zhr/Downloads/"/>
    </mc:Choice>
  </mc:AlternateContent>
  <bookViews>
    <workbookView xWindow="4020" yWindow="460" windowWidth="21580" windowHeight="14360"/>
  </bookViews>
  <sheets>
    <sheet name="Sheet1" sheetId="1" r:id="rId1"/>
    <sheet name="Cost of each State" sheetId="3" r:id="rId2"/>
    <sheet name="Overall Matrix" sheetId="2" r:id="rId3"/>
    <sheet name="55-64" sheetId="4" r:id="rId4"/>
    <sheet name="65-75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3" i="1" l="1"/>
  <c r="W11" i="1"/>
  <c r="W9" i="1"/>
  <c r="W7" i="1"/>
  <c r="W5" i="1"/>
  <c r="M13" i="1"/>
  <c r="C6" i="1"/>
  <c r="C7" i="1"/>
  <c r="X4" i="1"/>
  <c r="AA4" i="1"/>
  <c r="X5" i="1"/>
  <c r="AA5" i="1"/>
  <c r="X6" i="1"/>
  <c r="AA6" i="1"/>
  <c r="X7" i="1"/>
  <c r="AA7" i="1"/>
  <c r="X8" i="1"/>
  <c r="AA8" i="1"/>
  <c r="X9" i="1"/>
  <c r="AA9" i="1"/>
  <c r="X10" i="1"/>
  <c r="AA10" i="1"/>
  <c r="X11" i="1"/>
  <c r="AA11" i="1"/>
  <c r="X12" i="1"/>
  <c r="AA12" i="1"/>
  <c r="X13" i="1"/>
  <c r="AA13" i="1"/>
  <c r="D5" i="2"/>
  <c r="D4" i="2"/>
  <c r="B37" i="5"/>
  <c r="B36" i="5"/>
  <c r="B35" i="5"/>
  <c r="B34" i="5"/>
  <c r="C34" i="5"/>
  <c r="B33" i="5"/>
  <c r="D33" i="5"/>
  <c r="C33" i="5"/>
  <c r="B38" i="4"/>
  <c r="B37" i="4"/>
  <c r="B36" i="4"/>
  <c r="B35" i="4"/>
  <c r="C35" i="4"/>
  <c r="B34" i="4"/>
  <c r="D34" i="4"/>
  <c r="C34" i="4"/>
  <c r="Q7" i="3"/>
  <c r="I5" i="5"/>
  <c r="H24" i="5"/>
  <c r="H8" i="5"/>
  <c r="H9" i="5"/>
  <c r="D18" i="5"/>
  <c r="I6" i="5"/>
  <c r="E18" i="5"/>
  <c r="C18" i="5"/>
  <c r="B24" i="5"/>
  <c r="C24" i="5"/>
  <c r="D24" i="5"/>
  <c r="E24" i="5"/>
  <c r="F24" i="5"/>
  <c r="H23" i="5"/>
  <c r="H5" i="5"/>
  <c r="H6" i="5"/>
  <c r="D17" i="5"/>
  <c r="E17" i="5"/>
  <c r="B17" i="5"/>
  <c r="B23" i="5"/>
  <c r="C23" i="5"/>
  <c r="D23" i="5"/>
  <c r="E23" i="5"/>
  <c r="F23" i="5"/>
  <c r="F18" i="5"/>
  <c r="F17" i="5"/>
  <c r="K11" i="5"/>
  <c r="H11" i="5"/>
  <c r="D5" i="5"/>
  <c r="E5" i="5"/>
  <c r="C5" i="5"/>
  <c r="C11" i="5"/>
  <c r="D11" i="5"/>
  <c r="E11" i="5"/>
  <c r="F11" i="5"/>
  <c r="B11" i="5"/>
  <c r="K10" i="5"/>
  <c r="H10" i="5"/>
  <c r="D4" i="5"/>
  <c r="E4" i="5"/>
  <c r="B4" i="5"/>
  <c r="B10" i="5"/>
  <c r="C10" i="5"/>
  <c r="D10" i="5"/>
  <c r="E10" i="5"/>
  <c r="F10" i="5"/>
  <c r="J6" i="5"/>
  <c r="F5" i="5"/>
  <c r="F4" i="5"/>
  <c r="I5" i="4"/>
  <c r="H24" i="4"/>
  <c r="H8" i="4"/>
  <c r="H9" i="4"/>
  <c r="D18" i="4"/>
  <c r="I6" i="4"/>
  <c r="E18" i="4"/>
  <c r="C18" i="4"/>
  <c r="B24" i="4"/>
  <c r="C24" i="4"/>
  <c r="D24" i="4"/>
  <c r="E24" i="4"/>
  <c r="F24" i="4"/>
  <c r="H23" i="4"/>
  <c r="H5" i="4"/>
  <c r="H6" i="4"/>
  <c r="D17" i="4"/>
  <c r="E17" i="4"/>
  <c r="B17" i="4"/>
  <c r="B23" i="4"/>
  <c r="C23" i="4"/>
  <c r="D23" i="4"/>
  <c r="E23" i="4"/>
  <c r="F23" i="4"/>
  <c r="F18" i="4"/>
  <c r="F17" i="4"/>
  <c r="K11" i="4"/>
  <c r="H11" i="4"/>
  <c r="D5" i="4"/>
  <c r="E5" i="4"/>
  <c r="C5" i="4"/>
  <c r="C11" i="4"/>
  <c r="D11" i="4"/>
  <c r="E11" i="4"/>
  <c r="F11" i="4"/>
  <c r="B11" i="4"/>
  <c r="K10" i="4"/>
  <c r="H10" i="4"/>
  <c r="D4" i="4"/>
  <c r="E4" i="4"/>
  <c r="B4" i="4"/>
  <c r="B10" i="4"/>
  <c r="C10" i="4"/>
  <c r="D10" i="4"/>
  <c r="E10" i="4"/>
  <c r="F10" i="4"/>
  <c r="J6" i="4"/>
  <c r="F5" i="4"/>
  <c r="F4" i="4"/>
  <c r="H24" i="2"/>
  <c r="H23" i="2"/>
  <c r="H11" i="2"/>
  <c r="H10" i="2"/>
  <c r="I6" i="2"/>
  <c r="J6" i="2"/>
  <c r="I5" i="2"/>
  <c r="N5" i="1"/>
  <c r="N7" i="1"/>
  <c r="N17" i="1"/>
  <c r="Y16" i="1"/>
  <c r="P17" i="1"/>
  <c r="N9" i="1"/>
  <c r="N11" i="1"/>
  <c r="N13" i="1"/>
  <c r="N18" i="1"/>
  <c r="Y17" i="1"/>
  <c r="P18" i="1"/>
  <c r="N16" i="1"/>
  <c r="Y15" i="1"/>
  <c r="P16" i="1"/>
  <c r="Z4" i="1"/>
  <c r="Z5" i="1"/>
  <c r="Z6" i="1"/>
  <c r="Z7" i="1"/>
  <c r="Z8" i="1"/>
  <c r="Z9" i="1"/>
  <c r="Z10" i="1"/>
  <c r="Z11" i="1"/>
  <c r="Z12" i="1"/>
  <c r="Z13" i="1"/>
  <c r="E18" i="2"/>
  <c r="C18" i="2"/>
  <c r="B24" i="2"/>
  <c r="C24" i="2"/>
  <c r="D24" i="2"/>
  <c r="E24" i="2"/>
  <c r="E17" i="2"/>
  <c r="B17" i="2"/>
  <c r="B23" i="2"/>
  <c r="C23" i="2"/>
  <c r="D23" i="2"/>
  <c r="E23" i="2"/>
  <c r="E4" i="2"/>
  <c r="B4" i="2"/>
  <c r="E10" i="2"/>
  <c r="K11" i="2"/>
  <c r="K10" i="2"/>
  <c r="Q15" i="3"/>
  <c r="R6" i="3"/>
  <c r="Q6" i="3"/>
  <c r="T12" i="3"/>
  <c r="E5" i="2"/>
  <c r="P10" i="3"/>
  <c r="P9" i="3"/>
  <c r="P8" i="3"/>
  <c r="P7" i="3"/>
  <c r="P6" i="3"/>
  <c r="G48" i="2"/>
  <c r="G37" i="2"/>
  <c r="C48" i="2"/>
  <c r="D48" i="2"/>
  <c r="B48" i="2"/>
  <c r="E48" i="2"/>
  <c r="E47" i="2"/>
  <c r="C47" i="2"/>
  <c r="D47" i="2"/>
  <c r="B47" i="2"/>
  <c r="E43" i="2"/>
  <c r="E42" i="2"/>
  <c r="C43" i="2"/>
  <c r="D43" i="2"/>
  <c r="B42" i="2"/>
  <c r="D42" i="2"/>
  <c r="E38" i="2"/>
  <c r="H6" i="2"/>
  <c r="H8" i="2"/>
  <c r="H9" i="2"/>
  <c r="D32" i="2"/>
  <c r="H5" i="2"/>
  <c r="N4" i="1"/>
  <c r="Q4" i="1"/>
  <c r="Q5" i="1"/>
  <c r="N6" i="1"/>
  <c r="Q6" i="1"/>
  <c r="Q7" i="1"/>
  <c r="N8" i="1"/>
  <c r="Q8" i="1"/>
  <c r="Q9" i="1"/>
  <c r="N10" i="1"/>
  <c r="Q10" i="1"/>
  <c r="Q11" i="1"/>
  <c r="N12" i="1"/>
  <c r="Q12" i="1"/>
  <c r="Q13" i="1"/>
  <c r="P4" i="1"/>
  <c r="P5" i="1"/>
  <c r="P6" i="1"/>
  <c r="P7" i="1"/>
  <c r="P8" i="1"/>
  <c r="P9" i="1"/>
  <c r="P10" i="1"/>
  <c r="P11" i="1"/>
  <c r="P12" i="1"/>
  <c r="P13" i="1"/>
  <c r="C32" i="2"/>
  <c r="D17" i="2"/>
  <c r="D31" i="2"/>
  <c r="D18" i="2"/>
  <c r="B31" i="2"/>
  <c r="D36" i="2"/>
  <c r="E32" i="2"/>
  <c r="B37" i="2"/>
  <c r="C37" i="2"/>
  <c r="D37" i="2"/>
  <c r="C5" i="2"/>
  <c r="B11" i="2"/>
  <c r="F17" i="2"/>
  <c r="C11" i="2"/>
  <c r="E11" i="2"/>
  <c r="F4" i="2"/>
  <c r="D10" i="2"/>
  <c r="B10" i="2"/>
  <c r="C10" i="2"/>
  <c r="F18" i="2"/>
  <c r="E37" i="2"/>
  <c r="E31" i="2"/>
  <c r="B36" i="2"/>
  <c r="C36" i="2"/>
  <c r="D11" i="2"/>
  <c r="F5" i="2"/>
  <c r="F23" i="2"/>
  <c r="F10" i="2"/>
  <c r="F24" i="2"/>
  <c r="E36" i="2"/>
  <c r="F11" i="2"/>
</calcChain>
</file>

<file path=xl/sharedStrings.xml><?xml version="1.0" encoding="utf-8"?>
<sst xmlns="http://schemas.openxmlformats.org/spreadsheetml/2006/main" count="461" uniqueCount="193">
  <si>
    <t>baseline characteristics</t>
  </si>
  <si>
    <t>male</t>
  </si>
  <si>
    <t>female</t>
  </si>
  <si>
    <t>age-adjusted death  for lung cancer (per 100,000 persons)</t>
  </si>
  <si>
    <t>statistical rate of death</t>
  </si>
  <si>
    <t>High-risk smoker</t>
  </si>
  <si>
    <t>PLCOm2012</t>
  </si>
  <si>
    <t>Diagnosis</t>
  </si>
  <si>
    <t>Lung cancer death</t>
  </si>
  <si>
    <t>Non lung cancer death</t>
  </si>
  <si>
    <t>High-risk smoker without diagnosis</t>
  </si>
  <si>
    <t>age</t>
  </si>
  <si>
    <t>smoking status</t>
  </si>
  <si>
    <t>Never smoker</t>
  </si>
  <si>
    <t>smoker</t>
  </si>
  <si>
    <t>lung cancer</t>
  </si>
  <si>
    <t>all other causes combined</t>
  </si>
  <si>
    <t>all death</t>
  </si>
  <si>
    <t>in 1000 men in next 10 years</t>
  </si>
  <si>
    <t>annual statistical rate</t>
  </si>
  <si>
    <t>other cause</t>
  </si>
  <si>
    <t>Diagnosis with lung cancer</t>
  </si>
  <si>
    <t>other causes</t>
  </si>
  <si>
    <t>Model structure ( transition probability matrix)-100000 in total</t>
  </si>
  <si>
    <t>LDCT</t>
  </si>
  <si>
    <t>Mortality rate without early detection</t>
  </si>
  <si>
    <t>assume that all diagnosed lung cancer with screening test is under early stage, will undiagnosed lung cancer is at late stage</t>
  </si>
  <si>
    <t>Mortality rate with early detection</t>
  </si>
  <si>
    <t>Another way, first ignore the background mortality rate, then added</t>
  </si>
  <si>
    <t>Utility in patients with advanced non-small-cell lung cancer</t>
  </si>
  <si>
    <t>progressive disease (PD)</t>
  </si>
  <si>
    <t>first-line treatment</t>
  </si>
  <si>
    <t>second</t>
  </si>
  <si>
    <t>SD</t>
  </si>
  <si>
    <t>third/fourth</t>
  </si>
  <si>
    <t>Health state</t>
  </si>
  <si>
    <t>(total per person cost)</t>
  </si>
  <si>
    <t>Resource utilization rate, per person (portion of total per-person cost)</t>
  </si>
  <si>
    <t>LDCT screening</t>
  </si>
  <si>
    <t>Non-invasive investigations</t>
  </si>
  <si>
    <t>Invasive investigations/treatment</t>
  </si>
  <si>
    <t>Complications</t>
  </si>
  <si>
    <t>Disease management</t>
  </si>
  <si>
    <t xml:space="preserve">Annual LDCT, risk assessment </t>
  </si>
  <si>
    <t>Follow-up LDCT</t>
  </si>
  <si>
    <t>Other imaging exams</t>
  </si>
  <si>
    <r>
      <t>Human health resources</t>
    </r>
    <r>
      <rPr>
        <vertAlign val="superscript"/>
        <sz val="8"/>
        <color theme="1"/>
        <rFont val="Times New Roman"/>
        <family val="1"/>
      </rPr>
      <t>a</t>
    </r>
  </si>
  <si>
    <t>Cardio/pulmonary  tests</t>
  </si>
  <si>
    <t>Bronchoscopy</t>
  </si>
  <si>
    <t>Needle Biospy</t>
  </si>
  <si>
    <t>Surgery</t>
  </si>
  <si>
    <t>Minor</t>
  </si>
  <si>
    <t>Intermediate</t>
  </si>
  <si>
    <t>Severe</t>
  </si>
  <si>
    <t>Chemo and/or radiation therapy protocol</t>
  </si>
  <si>
    <t>Hospitalization (non-surgery)</t>
  </si>
  <si>
    <t>Pre- screening ($89)</t>
  </si>
  <si>
    <t>2∙78 ($89)</t>
  </si>
  <si>
    <t>n/a</t>
  </si>
  <si>
    <t>Screening-Year 1 ($473)</t>
  </si>
  <si>
    <t>1∙36 ($263)</t>
  </si>
  <si>
    <t>0∙25 ($47)</t>
  </si>
  <si>
    <t>0∙10 ($11)</t>
  </si>
  <si>
    <t>0∙12 ($16)</t>
  </si>
  <si>
    <t>0∙03 ($4)</t>
  </si>
  <si>
    <t>0∙03 ($23)</t>
  </si>
  <si>
    <t>0∙02 ($22)</t>
  </si>
  <si>
    <t>0∙01</t>
  </si>
  <si>
    <t>0∙00 ($1)</t>
  </si>
  <si>
    <r>
      <t>0</t>
    </r>
    <r>
      <rPr>
        <sz val="8"/>
        <color theme="1"/>
        <rFont val="Times New Roman"/>
        <family val="1"/>
      </rPr>
      <t>∙</t>
    </r>
    <r>
      <rPr>
        <sz val="8"/>
        <color rgb="FF000000"/>
        <rFont val="Times New Roman"/>
        <family val="1"/>
      </rPr>
      <t>00 ($11)</t>
    </r>
  </si>
  <si>
    <r>
      <t>0</t>
    </r>
    <r>
      <rPr>
        <sz val="8"/>
        <color theme="1"/>
        <rFont val="Times New Roman"/>
        <family val="1"/>
      </rPr>
      <t>∙</t>
    </r>
    <r>
      <rPr>
        <sz val="8"/>
        <color rgb="FF000000"/>
        <rFont val="Times New Roman"/>
        <family val="1"/>
      </rPr>
      <t>00 ($0)</t>
    </r>
  </si>
  <si>
    <r>
      <t>0</t>
    </r>
    <r>
      <rPr>
        <sz val="8"/>
        <color theme="1"/>
        <rFont val="Times New Roman"/>
        <family val="1"/>
      </rPr>
      <t>∙</t>
    </r>
    <r>
      <rPr>
        <sz val="8"/>
        <color rgb="FF000000"/>
        <rFont val="Times New Roman"/>
        <family val="1"/>
      </rPr>
      <t>00</t>
    </r>
  </si>
  <si>
    <t>0∙00</t>
  </si>
  <si>
    <r>
      <t>Screening-Year 2 (</t>
    </r>
    <r>
      <rPr>
        <sz val="8"/>
        <color rgb="FF000000"/>
        <rFont val="Times New Roman"/>
        <family val="1"/>
      </rPr>
      <t>$276)</t>
    </r>
  </si>
  <si>
    <r>
      <t>0</t>
    </r>
    <r>
      <rPr>
        <sz val="8"/>
        <color theme="1"/>
        <rFont val="Times New Roman"/>
        <family val="1"/>
      </rPr>
      <t>∙</t>
    </r>
    <r>
      <rPr>
        <sz val="8"/>
        <color rgb="FF000000"/>
        <rFont val="Times New Roman"/>
        <family val="1"/>
      </rPr>
      <t>86 ($165)</t>
    </r>
  </si>
  <si>
    <r>
      <t>0</t>
    </r>
    <r>
      <rPr>
        <sz val="8"/>
        <color theme="1"/>
        <rFont val="Times New Roman"/>
        <family val="1"/>
      </rPr>
      <t>∙</t>
    </r>
    <r>
      <rPr>
        <sz val="8"/>
        <color rgb="FF000000"/>
        <rFont val="Times New Roman"/>
        <family val="1"/>
      </rPr>
      <t>08 ($13)</t>
    </r>
  </si>
  <si>
    <r>
      <t>0</t>
    </r>
    <r>
      <rPr>
        <sz val="8"/>
        <color theme="1"/>
        <rFont val="Times New Roman"/>
        <family val="1"/>
      </rPr>
      <t>∙</t>
    </r>
    <r>
      <rPr>
        <sz val="8"/>
        <color rgb="FF000000"/>
        <rFont val="Times New Roman"/>
        <family val="1"/>
      </rPr>
      <t>05 ($21)</t>
    </r>
  </si>
  <si>
    <r>
      <t>0</t>
    </r>
    <r>
      <rPr>
        <sz val="8"/>
        <color theme="1"/>
        <rFont val="Times New Roman"/>
        <family val="1"/>
      </rPr>
      <t>∙</t>
    </r>
    <r>
      <rPr>
        <sz val="8"/>
        <color rgb="FF000000"/>
        <rFont val="Times New Roman"/>
        <family val="1"/>
      </rPr>
      <t>05 ($5)</t>
    </r>
  </si>
  <si>
    <r>
      <t>0</t>
    </r>
    <r>
      <rPr>
        <sz val="8"/>
        <color theme="1"/>
        <rFont val="Times New Roman"/>
        <family val="1"/>
      </rPr>
      <t>∙</t>
    </r>
    <r>
      <rPr>
        <sz val="8"/>
        <color rgb="FF000000"/>
        <rFont val="Times New Roman"/>
        <family val="1"/>
      </rPr>
      <t>02 ($3)</t>
    </r>
  </si>
  <si>
    <r>
      <t>0</t>
    </r>
    <r>
      <rPr>
        <sz val="8"/>
        <color theme="1"/>
        <rFont val="Times New Roman"/>
        <family val="1"/>
      </rPr>
      <t>∙</t>
    </r>
    <r>
      <rPr>
        <sz val="8"/>
        <color rgb="FF000000"/>
        <rFont val="Times New Roman"/>
        <family val="1"/>
      </rPr>
      <t>00 ($5)</t>
    </r>
  </si>
  <si>
    <r>
      <t>0</t>
    </r>
    <r>
      <rPr>
        <sz val="8"/>
        <color theme="1"/>
        <rFont val="Times New Roman"/>
        <family val="1"/>
      </rPr>
      <t>∙</t>
    </r>
    <r>
      <rPr>
        <sz val="8"/>
        <color rgb="FF000000"/>
        <rFont val="Times New Roman"/>
        <family val="1"/>
      </rPr>
      <t>01 ($10)</t>
    </r>
  </si>
  <si>
    <r>
      <t>0</t>
    </r>
    <r>
      <rPr>
        <sz val="8"/>
        <color theme="1"/>
        <rFont val="Times New Roman"/>
        <family val="1"/>
      </rPr>
      <t>∙</t>
    </r>
    <r>
      <rPr>
        <sz val="8"/>
        <color rgb="FF000000"/>
        <rFont val="Times New Roman"/>
        <family val="1"/>
      </rPr>
      <t>00 ($1)</t>
    </r>
  </si>
  <si>
    <r>
      <t>0</t>
    </r>
    <r>
      <rPr>
        <sz val="8"/>
        <color theme="1"/>
        <rFont val="Times New Roman"/>
        <family val="1"/>
      </rPr>
      <t xml:space="preserve"> ∙</t>
    </r>
    <r>
      <rPr>
        <sz val="8"/>
        <color rgb="FF000000"/>
        <rFont val="Times New Roman"/>
        <family val="1"/>
      </rPr>
      <t>00</t>
    </r>
  </si>
  <si>
    <t>Screening- Year 3 ($208)</t>
  </si>
  <si>
    <r>
      <t>0</t>
    </r>
    <r>
      <rPr>
        <sz val="8"/>
        <color theme="1"/>
        <rFont val="Times New Roman"/>
        <family val="1"/>
      </rPr>
      <t>∙</t>
    </r>
    <r>
      <rPr>
        <sz val="8"/>
        <color rgb="FF000000"/>
        <rFont val="Times New Roman"/>
        <family val="1"/>
      </rPr>
      <t>56 ($107)</t>
    </r>
  </si>
  <si>
    <r>
      <t>0</t>
    </r>
    <r>
      <rPr>
        <sz val="8"/>
        <color theme="1"/>
        <rFont val="Times New Roman"/>
        <family val="1"/>
      </rPr>
      <t>∙</t>
    </r>
    <r>
      <rPr>
        <sz val="8"/>
        <color rgb="FF000000"/>
        <rFont val="Times New Roman"/>
        <family val="1"/>
      </rPr>
      <t>08 ($12)</t>
    </r>
  </si>
  <si>
    <r>
      <t>0</t>
    </r>
    <r>
      <rPr>
        <sz val="8"/>
        <color theme="1"/>
        <rFont val="Times New Roman"/>
        <family val="1"/>
      </rPr>
      <t>∙</t>
    </r>
    <r>
      <rPr>
        <sz val="8"/>
        <color rgb="FF000000"/>
        <rFont val="Times New Roman"/>
        <family val="1"/>
      </rPr>
      <t>05 ($35)</t>
    </r>
  </si>
  <si>
    <r>
      <t>0</t>
    </r>
    <r>
      <rPr>
        <sz val="8"/>
        <color theme="1"/>
        <rFont val="Times New Roman"/>
        <family val="1"/>
      </rPr>
      <t>∙</t>
    </r>
    <r>
      <rPr>
        <sz val="8"/>
        <color rgb="FF000000"/>
        <rFont val="Times New Roman"/>
        <family val="1"/>
      </rPr>
      <t>09 ($13)</t>
    </r>
  </si>
  <si>
    <r>
      <t>0</t>
    </r>
    <r>
      <rPr>
        <sz val="8"/>
        <color theme="1"/>
        <rFont val="Times New Roman"/>
        <family val="1"/>
      </rPr>
      <t>∙</t>
    </r>
    <r>
      <rPr>
        <sz val="8"/>
        <color rgb="FF000000"/>
        <rFont val="Times New Roman"/>
        <family val="1"/>
      </rPr>
      <t>02 ($2)</t>
    </r>
  </si>
  <si>
    <r>
      <t>0</t>
    </r>
    <r>
      <rPr>
        <sz val="8"/>
        <color theme="1"/>
        <rFont val="Times New Roman"/>
        <family val="1"/>
      </rPr>
      <t>∙</t>
    </r>
    <r>
      <rPr>
        <sz val="8"/>
        <color rgb="FF000000"/>
        <rFont val="Times New Roman"/>
        <family val="1"/>
      </rPr>
      <t>00 ($3)</t>
    </r>
  </si>
  <si>
    <r>
      <t>0</t>
    </r>
    <r>
      <rPr>
        <sz val="8"/>
        <color theme="1"/>
        <rFont val="Times New Roman"/>
        <family val="1"/>
      </rPr>
      <t>∙</t>
    </r>
    <r>
      <rPr>
        <sz val="8"/>
        <color rgb="FF000000"/>
        <rFont val="Times New Roman"/>
        <family val="1"/>
      </rPr>
      <t>01 ($13)</t>
    </r>
  </si>
  <si>
    <t>Screening -Year 4 ($157)</t>
  </si>
  <si>
    <r>
      <t>0</t>
    </r>
    <r>
      <rPr>
        <sz val="8"/>
        <color theme="1"/>
        <rFont val="Times New Roman"/>
        <family val="1"/>
      </rPr>
      <t>∙</t>
    </r>
    <r>
      <rPr>
        <sz val="8"/>
        <color rgb="FF000000"/>
        <rFont val="Times New Roman"/>
        <family val="1"/>
      </rPr>
      <t>49 ($94)</t>
    </r>
  </si>
  <si>
    <r>
      <t>0</t>
    </r>
    <r>
      <rPr>
        <sz val="8"/>
        <color theme="1"/>
        <rFont val="Times New Roman"/>
        <family val="1"/>
      </rPr>
      <t>∙</t>
    </r>
    <r>
      <rPr>
        <sz val="8"/>
        <color rgb="FF000000"/>
        <rFont val="Times New Roman"/>
        <family val="1"/>
      </rPr>
      <t>03 ($4)</t>
    </r>
  </si>
  <si>
    <r>
      <t>0</t>
    </r>
    <r>
      <rPr>
        <sz val="8"/>
        <color theme="1"/>
        <rFont val="Times New Roman"/>
        <family val="1"/>
      </rPr>
      <t>∙</t>
    </r>
    <r>
      <rPr>
        <sz val="8"/>
        <color rgb="FF000000"/>
        <rFont val="Times New Roman"/>
        <family val="1"/>
      </rPr>
      <t>02 ($13)</t>
    </r>
  </si>
  <si>
    <r>
      <t>0</t>
    </r>
    <r>
      <rPr>
        <sz val="8"/>
        <color theme="1"/>
        <rFont val="Times New Roman"/>
        <family val="1"/>
      </rPr>
      <t>∙</t>
    </r>
    <r>
      <rPr>
        <sz val="8"/>
        <color rgb="FF000000"/>
        <rFont val="Times New Roman"/>
        <family val="1"/>
      </rPr>
      <t>05 ($7)</t>
    </r>
  </si>
  <si>
    <r>
      <t>0</t>
    </r>
    <r>
      <rPr>
        <sz val="8"/>
        <color theme="1"/>
        <rFont val="Times New Roman"/>
        <family val="1"/>
      </rPr>
      <t>∙</t>
    </r>
    <r>
      <rPr>
        <sz val="8"/>
        <color rgb="FF000000"/>
        <rFont val="Times New Roman"/>
        <family val="1"/>
      </rPr>
      <t>01 ($1)</t>
    </r>
  </si>
  <si>
    <r>
      <t>0</t>
    </r>
    <r>
      <rPr>
        <sz val="8"/>
        <color theme="1"/>
        <rFont val="Times New Roman"/>
        <family val="1"/>
      </rPr>
      <t>∙</t>
    </r>
    <r>
      <rPr>
        <sz val="8"/>
        <color rgb="FF000000"/>
        <rFont val="Times New Roman"/>
        <family val="1"/>
      </rPr>
      <t>01 ($5)</t>
    </r>
  </si>
  <si>
    <t>Screening- Years 5-15 ($366)</t>
  </si>
  <si>
    <r>
      <t>0</t>
    </r>
    <r>
      <rPr>
        <sz val="8"/>
        <color theme="1"/>
        <rFont val="Times New Roman"/>
        <family val="1"/>
      </rPr>
      <t>∙</t>
    </r>
    <r>
      <rPr>
        <sz val="8"/>
        <color rgb="FF000000"/>
        <rFont val="Times New Roman"/>
        <family val="1"/>
      </rPr>
      <t>93 ($180)</t>
    </r>
  </si>
  <si>
    <r>
      <t>0</t>
    </r>
    <r>
      <rPr>
        <sz val="8"/>
        <color theme="1"/>
        <rFont val="Times New Roman"/>
        <family val="1"/>
      </rPr>
      <t>∙</t>
    </r>
    <r>
      <rPr>
        <sz val="8"/>
        <color rgb="FF000000"/>
        <rFont val="Times New Roman"/>
        <family val="1"/>
      </rPr>
      <t>12 ($19)</t>
    </r>
  </si>
  <si>
    <r>
      <t>0</t>
    </r>
    <r>
      <rPr>
        <sz val="8"/>
        <color theme="1"/>
        <rFont val="Times New Roman"/>
        <family val="1"/>
      </rPr>
      <t>∙</t>
    </r>
    <r>
      <rPr>
        <sz val="8"/>
        <color rgb="FF000000"/>
        <rFont val="Times New Roman"/>
        <family val="1"/>
      </rPr>
      <t>04 ($7)</t>
    </r>
  </si>
  <si>
    <r>
      <t>0</t>
    </r>
    <r>
      <rPr>
        <sz val="8"/>
        <color theme="1"/>
        <rFont val="Times New Roman"/>
        <family val="1"/>
      </rPr>
      <t>∙</t>
    </r>
    <r>
      <rPr>
        <sz val="8"/>
        <color rgb="FF000000"/>
        <rFont val="Times New Roman"/>
        <family val="1"/>
      </rPr>
      <t>11 ($16)</t>
    </r>
  </si>
  <si>
    <r>
      <t>0</t>
    </r>
    <r>
      <rPr>
        <sz val="8"/>
        <color theme="1"/>
        <rFont val="Times New Roman"/>
        <family val="1"/>
      </rPr>
      <t>∙</t>
    </r>
    <r>
      <rPr>
        <sz val="8"/>
        <color rgb="FF000000"/>
        <rFont val="Times New Roman"/>
        <family val="1"/>
      </rPr>
      <t>01 ($9)</t>
    </r>
  </si>
  <si>
    <r>
      <t>0</t>
    </r>
    <r>
      <rPr>
        <sz val="8"/>
        <color theme="1"/>
        <rFont val="Times New Roman"/>
        <family val="1"/>
      </rPr>
      <t>∙</t>
    </r>
    <r>
      <rPr>
        <sz val="8"/>
        <color rgb="FF000000"/>
        <rFont val="Times New Roman"/>
        <family val="1"/>
      </rPr>
      <t>02 ($19)</t>
    </r>
  </si>
  <si>
    <r>
      <t>0</t>
    </r>
    <r>
      <rPr>
        <sz val="8"/>
        <color theme="1"/>
        <rFont val="Times New Roman"/>
        <family val="1"/>
      </rPr>
      <t>∙</t>
    </r>
    <r>
      <rPr>
        <sz val="8"/>
        <color rgb="FF000000"/>
        <rFont val="Times New Roman"/>
        <family val="1"/>
      </rPr>
      <t>01</t>
    </r>
  </si>
  <si>
    <t>Curative treatment-Year 1</t>
  </si>
  <si>
    <r>
      <t>3</t>
    </r>
    <r>
      <rPr>
        <sz val="8"/>
        <color theme="1"/>
        <rFont val="Times New Roman"/>
        <family val="1"/>
      </rPr>
      <t>∙</t>
    </r>
    <r>
      <rPr>
        <sz val="8"/>
        <color rgb="FF000000"/>
        <rFont val="Times New Roman"/>
        <family val="1"/>
      </rPr>
      <t>23 ($429)</t>
    </r>
  </si>
  <si>
    <r>
      <t>3</t>
    </r>
    <r>
      <rPr>
        <sz val="8"/>
        <color theme="1"/>
        <rFont val="Times New Roman"/>
        <family val="1"/>
      </rPr>
      <t>∙</t>
    </r>
    <r>
      <rPr>
        <sz val="8"/>
        <color rgb="FF000000"/>
        <rFont val="Times New Roman"/>
        <family val="1"/>
      </rPr>
      <t>70 ($495)</t>
    </r>
  </si>
  <si>
    <r>
      <t>0</t>
    </r>
    <r>
      <rPr>
        <sz val="8"/>
        <color theme="1"/>
        <rFont val="Times New Roman"/>
        <family val="1"/>
      </rPr>
      <t>∙</t>
    </r>
    <r>
      <rPr>
        <sz val="8"/>
        <color rgb="FF000000"/>
        <rFont val="Times New Roman"/>
        <family val="1"/>
      </rPr>
      <t>27 ($29)</t>
    </r>
  </si>
  <si>
    <r>
      <t>0</t>
    </r>
    <r>
      <rPr>
        <sz val="8"/>
        <color theme="1"/>
        <rFont val="Times New Roman"/>
        <family val="1"/>
      </rPr>
      <t>∙</t>
    </r>
    <r>
      <rPr>
        <sz val="8"/>
        <color rgb="FF000000"/>
        <rFont val="Times New Roman"/>
        <family val="1"/>
      </rPr>
      <t>07 ($59)</t>
    </r>
  </si>
  <si>
    <r>
      <t>0</t>
    </r>
    <r>
      <rPr>
        <sz val="8"/>
        <color theme="1"/>
        <rFont val="Times New Roman"/>
        <family val="1"/>
      </rPr>
      <t>∙</t>
    </r>
    <r>
      <rPr>
        <sz val="8"/>
        <color rgb="FF000000"/>
        <rFont val="Times New Roman"/>
        <family val="1"/>
      </rPr>
      <t>05 ($44)</t>
    </r>
  </si>
  <si>
    <r>
      <t>0</t>
    </r>
    <r>
      <rPr>
        <sz val="8"/>
        <color theme="1"/>
        <rFont val="Times New Roman"/>
        <family val="1"/>
      </rPr>
      <t>∙</t>
    </r>
    <r>
      <rPr>
        <sz val="8"/>
        <color rgb="FF000000"/>
        <rFont val="Times New Roman"/>
        <family val="1"/>
      </rPr>
      <t>98         ($16,841)</t>
    </r>
  </si>
  <si>
    <r>
      <t>0</t>
    </r>
    <r>
      <rPr>
        <sz val="8"/>
        <color theme="1"/>
        <rFont val="Times New Roman"/>
        <family val="1"/>
      </rPr>
      <t>∙</t>
    </r>
    <r>
      <rPr>
        <sz val="8"/>
        <color rgb="FF000000"/>
        <rFont val="Times New Roman"/>
        <family val="1"/>
      </rPr>
      <t>09 ($221)</t>
    </r>
  </si>
  <si>
    <r>
      <t>0</t>
    </r>
    <r>
      <rPr>
        <sz val="8"/>
        <color theme="1"/>
        <rFont val="Times New Roman"/>
        <family val="1"/>
      </rPr>
      <t>∙</t>
    </r>
    <r>
      <rPr>
        <sz val="8"/>
        <color rgb="FF000000"/>
        <rFont val="Times New Roman"/>
        <family val="1"/>
      </rPr>
      <t>16</t>
    </r>
  </si>
  <si>
    <r>
      <t>0</t>
    </r>
    <r>
      <rPr>
        <sz val="8"/>
        <color theme="1"/>
        <rFont val="Times New Roman"/>
        <family val="1"/>
      </rPr>
      <t>∙</t>
    </r>
    <r>
      <rPr>
        <sz val="8"/>
        <color rgb="FF000000"/>
        <rFont val="Times New Roman"/>
        <family val="1"/>
      </rPr>
      <t>14 ($785)</t>
    </r>
  </si>
  <si>
    <t>Curative treatment-Year 2 ($685)</t>
  </si>
  <si>
    <r>
      <t>2</t>
    </r>
    <r>
      <rPr>
        <sz val="8"/>
        <color theme="1"/>
        <rFont val="Times New Roman"/>
        <family val="1"/>
      </rPr>
      <t>∙</t>
    </r>
    <r>
      <rPr>
        <sz val="8"/>
        <color rgb="FF000000"/>
        <rFont val="Times New Roman"/>
        <family val="1"/>
      </rPr>
      <t>12 ($334)</t>
    </r>
  </si>
  <si>
    <r>
      <t>1</t>
    </r>
    <r>
      <rPr>
        <sz val="8"/>
        <color theme="1"/>
        <rFont val="Times New Roman"/>
        <family val="1"/>
      </rPr>
      <t>∙</t>
    </r>
    <r>
      <rPr>
        <sz val="8"/>
        <color rgb="FF000000"/>
        <rFont val="Times New Roman"/>
        <family val="1"/>
      </rPr>
      <t>89 ($69)</t>
    </r>
  </si>
  <si>
    <r>
      <t>0</t>
    </r>
    <r>
      <rPr>
        <sz val="8"/>
        <color theme="1"/>
        <rFont val="Times New Roman"/>
        <family val="1"/>
      </rPr>
      <t>∙</t>
    </r>
    <r>
      <rPr>
        <sz val="8"/>
        <color rgb="FF000000"/>
        <rFont val="Times New Roman"/>
        <family val="1"/>
      </rPr>
      <t>10 ($11)</t>
    </r>
  </si>
  <si>
    <r>
      <t>0</t>
    </r>
    <r>
      <rPr>
        <sz val="8"/>
        <color theme="1"/>
        <rFont val="Times New Roman"/>
        <family val="1"/>
      </rPr>
      <t>∙</t>
    </r>
    <r>
      <rPr>
        <sz val="8"/>
        <color rgb="FF000000"/>
        <rFont val="Times New Roman"/>
        <family val="1"/>
      </rPr>
      <t>04 ($39)</t>
    </r>
  </si>
  <si>
    <r>
      <t>0</t>
    </r>
    <r>
      <rPr>
        <sz val="8"/>
        <color theme="1"/>
        <rFont val="Times New Roman"/>
        <family val="1"/>
      </rPr>
      <t>∙</t>
    </r>
    <r>
      <rPr>
        <sz val="8"/>
        <color rgb="FF000000"/>
        <rFont val="Times New Roman"/>
        <family val="1"/>
      </rPr>
      <t>02 ($25)</t>
    </r>
  </si>
  <si>
    <r>
      <t>0</t>
    </r>
    <r>
      <rPr>
        <sz val="8"/>
        <color theme="1"/>
        <rFont val="Times New Roman"/>
        <family val="1"/>
      </rPr>
      <t>∙</t>
    </r>
    <r>
      <rPr>
        <sz val="8"/>
        <color rgb="FF000000"/>
        <rFont val="Times New Roman"/>
        <family val="1"/>
      </rPr>
      <t>01 ($6)</t>
    </r>
  </si>
  <si>
    <t>Curative treatment-Year 3 ($519)</t>
  </si>
  <si>
    <t>1∙33 ($262)</t>
  </si>
  <si>
    <t>1∙58 ($219)</t>
  </si>
  <si>
    <t>0∙10 ($7)</t>
  </si>
  <si>
    <t>0∙02 ($21)</t>
  </si>
  <si>
    <t>0∙00 ($0)</t>
  </si>
  <si>
    <t>0∙02 ($9)</t>
  </si>
  <si>
    <t>Curative treatment-Year 4 ($582)</t>
  </si>
  <si>
    <t>1∙42 ($393)</t>
  </si>
  <si>
    <t>1∙09 ($142)</t>
  </si>
  <si>
    <t>0∙04 ($4)</t>
  </si>
  <si>
    <t>0∙02 ($28)</t>
  </si>
  <si>
    <t>0∙02 ($15)</t>
  </si>
  <si>
    <t xml:space="preserve">Curative treatment Year 5 </t>
  </si>
  <si>
    <t>1∙18 ($210)</t>
  </si>
  <si>
    <t>1∙64 ($216)</t>
  </si>
  <si>
    <t>0∙05 ($58)</t>
  </si>
  <si>
    <t>Progression-Year 1</t>
  </si>
  <si>
    <t>3∙94 ($901)</t>
  </si>
  <si>
    <t>4∙53</t>
  </si>
  <si>
    <t>0∙41 ($55)</t>
  </si>
  <si>
    <t>0∙29 ($341)</t>
  </si>
  <si>
    <t>0∙06</t>
  </si>
  <si>
    <t>0∙65</t>
  </si>
  <si>
    <t>0∙12</t>
  </si>
  <si>
    <t>0∙12 ($806)</t>
  </si>
  <si>
    <t>0∙53 ($2,806)</t>
  </si>
  <si>
    <t>Progression-Years 2-30 ($10,011)</t>
  </si>
  <si>
    <t>3∙38 ($1,250)</t>
  </si>
  <si>
    <t>2∙75 ($396)</t>
  </si>
  <si>
    <t>0∙13 ($10)</t>
  </si>
  <si>
    <t>0∙13 ($158)</t>
  </si>
  <si>
    <t>0∙13 ($83)</t>
  </si>
  <si>
    <t>0∙25</t>
  </si>
  <si>
    <t>0∙13</t>
  </si>
  <si>
    <t>Non-curative treatment-Year 1 ($28,888)</t>
  </si>
  <si>
    <t>4∙76 ($804)</t>
  </si>
  <si>
    <t>9∙27 ($838)</t>
  </si>
  <si>
    <t>0∙15 ($13)</t>
  </si>
  <si>
    <t>0∙15 ($934)</t>
  </si>
  <si>
    <t>0∙18 ($168)</t>
  </si>
  <si>
    <t>0∙06 ($629)</t>
  </si>
  <si>
    <t>0∙03 ($15)</t>
  </si>
  <si>
    <t>0∙18</t>
  </si>
  <si>
    <t>0∙24</t>
  </si>
  <si>
    <t>1∙24 ($13,408)</t>
  </si>
  <si>
    <t>0∙42 ($9,492)</t>
  </si>
  <si>
    <t>Non-curative treatment-</t>
  </si>
  <si>
    <t>Years 2-30 ($19,863)</t>
  </si>
  <si>
    <t>3∙81 ($592)</t>
  </si>
  <si>
    <t>5∙15 ($564)</t>
  </si>
  <si>
    <t>0∙25 ($26)</t>
  </si>
  <si>
    <t>0∙19 ($93)</t>
  </si>
  <si>
    <t>0∙63 ($6,467)</t>
  </si>
  <si>
    <t>0∙69 ($11,154)</t>
  </si>
  <si>
    <t>annual screening 1-15 years</t>
  </si>
  <si>
    <t xml:space="preserve">pre-screening </t>
  </si>
  <si>
    <t>curative treatment1-5</t>
  </si>
  <si>
    <t>progression cost 1-30</t>
  </si>
  <si>
    <t>Non-curative treatment 1-30</t>
  </si>
  <si>
    <t>Background cost (depend on age)</t>
  </si>
  <si>
    <t>Use of the risk prediction tool developed from the Prostate, Lung, Colorectal and Ovarian Cancer Screening Trial with a threshold set at 2% over 6 years would have reduced the number of individuals who needed to be screened in the NLST by 81%</t>
    <phoneticPr fontId="5" type="noConversion"/>
  </si>
  <si>
    <t>average death from other causes</t>
    <phoneticPr fontId="5" type="noConversion"/>
  </si>
  <si>
    <t>55-75</t>
    <phoneticPr fontId="5" type="noConversion"/>
  </si>
  <si>
    <t>65-75</t>
    <phoneticPr fontId="5" type="noConversion"/>
  </si>
  <si>
    <t>55-64</t>
    <phoneticPr fontId="5" type="noConversion"/>
  </si>
  <si>
    <t>in 1000 women in next 10 years</t>
    <phoneticPr fontId="5" type="noConversion"/>
  </si>
  <si>
    <t>female &amp; male</t>
    <phoneticPr fontId="5" type="noConversion"/>
  </si>
  <si>
    <t>lung,colon and prostate cancer death</t>
    <phoneticPr fontId="5" type="noConversion"/>
  </si>
  <si>
    <t>lung, colon and prostate cancer death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</si>
</sst>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&quot;$&quot;#,##0_);[Red]\(&quot;$&quot;#,##0\)"/>
    <numFmt numFmtId="177" formatCode="0.0000"/>
    <numFmt numFmtId="178" formatCode="0.000_);[Red]\(0.000\)"/>
    <numFmt numFmtId="179" formatCode="0.0000_);[Red]\(0.0000\)"/>
  </numFmts>
  <fonts count="9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8"/>
      <color theme="1"/>
      <name val="Times New Roman"/>
      <family val="1"/>
    </font>
    <font>
      <vertAlign val="superscript"/>
      <sz val="8"/>
      <color theme="1"/>
      <name val="Times New Roman"/>
      <family val="1"/>
    </font>
    <font>
      <sz val="8"/>
      <color rgb="FF000000"/>
      <name val="Times New Roman"/>
      <family val="1"/>
    </font>
    <font>
      <sz val="9"/>
      <name val="宋体"/>
      <family val="2"/>
      <scheme val="minor"/>
    </font>
    <font>
      <sz val="11"/>
      <color theme="1"/>
      <name val="Times New Roman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177" fontId="0" fillId="3" borderId="0" xfId="0" applyNumberFormat="1" applyFill="1"/>
    <xf numFmtId="177" fontId="0" fillId="0" borderId="0" xfId="0" applyNumberFormat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3" xfId="0" applyBorder="1" applyAlignment="1">
      <alignment vertical="top" wrapText="1"/>
    </xf>
    <xf numFmtId="0" fontId="2" fillId="0" borderId="6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176" fontId="2" fillId="0" borderId="6" xfId="0" applyNumberFormat="1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176" fontId="4" fillId="0" borderId="6" xfId="0" applyNumberFormat="1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6" fontId="4" fillId="0" borderId="3" xfId="0" applyNumberFormat="1" applyFont="1" applyBorder="1" applyAlignment="1">
      <alignment vertical="center" wrapText="1"/>
    </xf>
    <xf numFmtId="176" fontId="2" fillId="0" borderId="3" xfId="0" applyNumberFormat="1" applyFont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178" fontId="0" fillId="0" borderId="0" xfId="0" applyNumberFormat="1"/>
    <xf numFmtId="179" fontId="1" fillId="3" borderId="0" xfId="0" applyNumberFormat="1" applyFont="1" applyFill="1"/>
    <xf numFmtId="179" fontId="0" fillId="3" borderId="0" xfId="0" applyNumberFormat="1" applyFill="1"/>
    <xf numFmtId="179" fontId="0" fillId="0" borderId="0" xfId="0" applyNumberFormat="1"/>
    <xf numFmtId="0" fontId="0" fillId="0" borderId="0" xfId="0" applyNumberFormat="1" applyFill="1"/>
    <xf numFmtId="0" fontId="1" fillId="0" borderId="0" xfId="0" applyNumberFormat="1" applyFont="1" applyFill="1"/>
    <xf numFmtId="0" fontId="2" fillId="0" borderId="8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</cellXfs>
  <cellStyles count="2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tabSelected="1" topLeftCell="I1" zoomScale="81" workbookViewId="0">
      <selection activeCell="W14" sqref="W14"/>
    </sheetView>
  </sheetViews>
  <sheetFormatPr baseColWidth="10" defaultColWidth="8.83203125" defaultRowHeight="14" x14ac:dyDescent="0.15"/>
  <cols>
    <col min="1" max="1" width="4.83203125" customWidth="1"/>
    <col min="2" max="2" width="12" customWidth="1"/>
    <col min="3" max="3" width="10.6640625" customWidth="1"/>
    <col min="13" max="13" width="15.33203125" customWidth="1"/>
    <col min="14" max="14" width="16.33203125" customWidth="1"/>
    <col min="15" max="15" width="17.1640625" customWidth="1"/>
    <col min="16" max="16" width="12.5" customWidth="1"/>
    <col min="17" max="17" width="11.6640625" customWidth="1"/>
    <col min="23" max="23" width="13.5" customWidth="1"/>
    <col min="26" max="26" width="10.33203125" customWidth="1"/>
    <col min="27" max="27" width="11.5" customWidth="1"/>
  </cols>
  <sheetData>
    <row r="1" spans="1:27" x14ac:dyDescent="0.15">
      <c r="A1" s="1" t="s">
        <v>0</v>
      </c>
    </row>
    <row r="2" spans="1:27" x14ac:dyDescent="0.15">
      <c r="J2" t="s">
        <v>18</v>
      </c>
      <c r="P2" t="s">
        <v>19</v>
      </c>
      <c r="T2" t="s">
        <v>189</v>
      </c>
      <c r="AA2" t="s">
        <v>19</v>
      </c>
    </row>
    <row r="3" spans="1:27" x14ac:dyDescent="0.15">
      <c r="A3" t="s">
        <v>3</v>
      </c>
      <c r="J3" t="s">
        <v>11</v>
      </c>
      <c r="K3" t="s">
        <v>12</v>
      </c>
      <c r="M3" t="s">
        <v>191</v>
      </c>
      <c r="N3" t="s">
        <v>16</v>
      </c>
      <c r="O3" t="s">
        <v>17</v>
      </c>
      <c r="P3" t="s">
        <v>15</v>
      </c>
      <c r="Q3" t="s">
        <v>20</v>
      </c>
      <c r="T3" t="s">
        <v>11</v>
      </c>
      <c r="U3" t="s">
        <v>12</v>
      </c>
      <c r="W3" t="s">
        <v>192</v>
      </c>
      <c r="X3" t="s">
        <v>16</v>
      </c>
      <c r="Y3" t="s">
        <v>17</v>
      </c>
      <c r="Z3" t="s">
        <v>15</v>
      </c>
      <c r="AA3" t="s">
        <v>20</v>
      </c>
    </row>
    <row r="4" spans="1:27" x14ac:dyDescent="0.15">
      <c r="B4" t="s">
        <v>1</v>
      </c>
      <c r="C4">
        <v>51.7</v>
      </c>
      <c r="J4" s="3">
        <v>55</v>
      </c>
      <c r="K4" s="3" t="s">
        <v>13</v>
      </c>
      <c r="L4" s="3"/>
      <c r="M4" s="3">
        <v>6</v>
      </c>
      <c r="N4" s="3">
        <f t="shared" ref="N4:N13" si="0">O4-M4</f>
        <v>65</v>
      </c>
      <c r="O4" s="3">
        <v>71</v>
      </c>
      <c r="P4" s="3">
        <f t="shared" ref="P4:P13" si="1">-LN(1-M4/1000)/10</f>
        <v>6.0180723255630212E-4</v>
      </c>
      <c r="Q4" s="23">
        <f t="shared" ref="Q4:Q13" si="2">-LN(1-N4/1000)/10</f>
        <v>6.7208749693449992E-3</v>
      </c>
      <c r="T4" s="3">
        <v>55</v>
      </c>
      <c r="U4" s="3" t="s">
        <v>13</v>
      </c>
      <c r="V4" s="3"/>
      <c r="W4">
        <v>2</v>
      </c>
      <c r="X4">
        <f t="shared" ref="X4:X13" si="3">Y4-W4</f>
        <v>53</v>
      </c>
      <c r="Y4">
        <v>55</v>
      </c>
      <c r="Z4">
        <f t="shared" ref="Z4:Z13" si="4">-LN(1-W4/1000)/10</f>
        <v>2.0020026706730793E-4</v>
      </c>
      <c r="AA4" s="24">
        <f t="shared" ref="AA4:AA13" si="5">-LN(1-X4/1000)/10</f>
        <v>5.4456185796058851E-3</v>
      </c>
    </row>
    <row r="5" spans="1:27" x14ac:dyDescent="0.15">
      <c r="B5" t="s">
        <v>2</v>
      </c>
      <c r="C5">
        <v>34.700000000000003</v>
      </c>
      <c r="J5" s="3"/>
      <c r="K5" s="3" t="s">
        <v>14</v>
      </c>
      <c r="L5" s="3"/>
      <c r="M5" s="3">
        <v>38</v>
      </c>
      <c r="N5" s="3">
        <f t="shared" si="0"/>
        <v>140</v>
      </c>
      <c r="O5" s="3">
        <v>178</v>
      </c>
      <c r="P5" s="3">
        <f t="shared" si="1"/>
        <v>3.8740828316430596E-3</v>
      </c>
      <c r="Q5" s="23">
        <f t="shared" si="2"/>
        <v>1.5082288973458365E-2</v>
      </c>
      <c r="T5" s="3"/>
      <c r="U5" s="3" t="s">
        <v>14</v>
      </c>
      <c r="V5" s="3"/>
      <c r="W5">
        <f>26+2+2</f>
        <v>30</v>
      </c>
      <c r="X5">
        <f t="shared" si="3"/>
        <v>80</v>
      </c>
      <c r="Y5">
        <v>110</v>
      </c>
      <c r="Z5">
        <f t="shared" si="4"/>
        <v>3.0459207484708575E-3</v>
      </c>
      <c r="AA5" s="24">
        <f t="shared" si="5"/>
        <v>8.3381608939051017E-3</v>
      </c>
    </row>
    <row r="6" spans="1:27" x14ac:dyDescent="0.15">
      <c r="C6">
        <f xml:space="preserve"> AVERAGE(C4:C5)</f>
        <v>43.2</v>
      </c>
      <c r="J6" s="3">
        <v>60</v>
      </c>
      <c r="K6" s="3" t="s">
        <v>13</v>
      </c>
      <c r="L6" s="3"/>
      <c r="M6" s="3">
        <v>2</v>
      </c>
      <c r="N6" s="3">
        <f t="shared" si="0"/>
        <v>113</v>
      </c>
      <c r="O6" s="3">
        <v>115</v>
      </c>
      <c r="P6" s="3">
        <f t="shared" si="1"/>
        <v>2.0020026706730793E-4</v>
      </c>
      <c r="Q6" s="23">
        <f t="shared" si="2"/>
        <v>1.1991029667255754E-2</v>
      </c>
      <c r="T6" s="3">
        <v>60</v>
      </c>
      <c r="U6" s="3" t="s">
        <v>13</v>
      </c>
      <c r="V6" s="3"/>
      <c r="W6">
        <v>3</v>
      </c>
      <c r="X6">
        <f t="shared" si="3"/>
        <v>81</v>
      </c>
      <c r="Y6">
        <v>84</v>
      </c>
      <c r="Z6">
        <f t="shared" si="4"/>
        <v>3.0045090202987241E-4</v>
      </c>
      <c r="AA6" s="24">
        <f t="shared" si="5"/>
        <v>8.4469156626449972E-3</v>
      </c>
    </row>
    <row r="7" spans="1:27" x14ac:dyDescent="0.15">
      <c r="A7" t="s">
        <v>4</v>
      </c>
      <c r="C7">
        <f>-LN(1-43.2/100000)</f>
        <v>4.3209333888255411E-4</v>
      </c>
      <c r="J7" s="3"/>
      <c r="K7" s="3" t="s">
        <v>14</v>
      </c>
      <c r="L7" s="3"/>
      <c r="M7" s="3">
        <v>67</v>
      </c>
      <c r="N7" s="3">
        <f t="shared" si="0"/>
        <v>189</v>
      </c>
      <c r="O7" s="3">
        <v>256</v>
      </c>
      <c r="P7" s="3">
        <f t="shared" si="1"/>
        <v>6.9350078134793169E-3</v>
      </c>
      <c r="Q7" s="23">
        <f t="shared" si="2"/>
        <v>2.0948722486672421E-2</v>
      </c>
      <c r="T7" s="3"/>
      <c r="U7" s="3" t="s">
        <v>14</v>
      </c>
      <c r="V7" s="3"/>
      <c r="W7">
        <f>41+3+3</f>
        <v>47</v>
      </c>
      <c r="X7">
        <f t="shared" si="3"/>
        <v>120</v>
      </c>
      <c r="Y7">
        <v>167</v>
      </c>
      <c r="Z7">
        <f t="shared" si="4"/>
        <v>4.8140375327934987E-3</v>
      </c>
      <c r="AA7" s="24">
        <f t="shared" si="5"/>
        <v>1.2783337150988488E-2</v>
      </c>
    </row>
    <row r="8" spans="1:27" x14ac:dyDescent="0.15">
      <c r="J8" s="3">
        <v>65</v>
      </c>
      <c r="K8" s="3" t="s">
        <v>13</v>
      </c>
      <c r="L8" s="3"/>
      <c r="M8" s="3">
        <v>4</v>
      </c>
      <c r="N8" s="3">
        <f t="shared" si="0"/>
        <v>172</v>
      </c>
      <c r="O8" s="3">
        <v>176</v>
      </c>
      <c r="P8" s="3">
        <f t="shared" si="1"/>
        <v>4.008021397538822E-4</v>
      </c>
      <c r="Q8" s="23">
        <f t="shared" si="2"/>
        <v>1.8874212459687727E-2</v>
      </c>
      <c r="T8" s="3">
        <v>65</v>
      </c>
      <c r="U8" s="3" t="s">
        <v>13</v>
      </c>
      <c r="V8" s="3"/>
      <c r="W8">
        <v>5</v>
      </c>
      <c r="X8">
        <f t="shared" si="3"/>
        <v>126</v>
      </c>
      <c r="Y8">
        <v>131</v>
      </c>
      <c r="Z8">
        <f t="shared" si="4"/>
        <v>5.0125418235442867E-4</v>
      </c>
      <c r="AA8" s="24">
        <f t="shared" si="5"/>
        <v>1.3467490332660158E-2</v>
      </c>
    </row>
    <row r="9" spans="1:27" x14ac:dyDescent="0.15">
      <c r="J9" s="3"/>
      <c r="K9" s="3" t="s">
        <v>14</v>
      </c>
      <c r="L9" s="3"/>
      <c r="M9" s="3">
        <v>102</v>
      </c>
      <c r="N9" s="3">
        <f t="shared" si="0"/>
        <v>263</v>
      </c>
      <c r="O9" s="3">
        <v>365</v>
      </c>
      <c r="P9" s="3">
        <f t="shared" si="1"/>
        <v>1.0758521067993743E-2</v>
      </c>
      <c r="Q9" s="23">
        <f t="shared" si="2"/>
        <v>3.0516738679280047E-2</v>
      </c>
      <c r="T9" s="3"/>
      <c r="U9" s="3" t="s">
        <v>14</v>
      </c>
      <c r="V9" s="3"/>
      <c r="W9">
        <f>55+5+3</f>
        <v>63</v>
      </c>
      <c r="X9">
        <f t="shared" si="3"/>
        <v>178</v>
      </c>
      <c r="Y9">
        <v>241</v>
      </c>
      <c r="Z9">
        <f t="shared" si="4"/>
        <v>6.5071996743714805E-3</v>
      </c>
      <c r="AA9" s="24">
        <f t="shared" si="5"/>
        <v>1.9601488392595706E-2</v>
      </c>
    </row>
    <row r="10" spans="1:27" x14ac:dyDescent="0.15">
      <c r="J10" s="3">
        <v>70</v>
      </c>
      <c r="K10" s="3" t="s">
        <v>13</v>
      </c>
      <c r="L10" s="3"/>
      <c r="M10" s="3">
        <v>6</v>
      </c>
      <c r="N10" s="3">
        <f t="shared" si="0"/>
        <v>285</v>
      </c>
      <c r="O10" s="3">
        <v>291</v>
      </c>
      <c r="P10" s="3">
        <f t="shared" si="1"/>
        <v>6.0180723255630212E-4</v>
      </c>
      <c r="Q10" s="23">
        <f t="shared" si="2"/>
        <v>3.3547273628812928E-2</v>
      </c>
      <c r="T10" s="3">
        <v>70</v>
      </c>
      <c r="U10" s="3" t="s">
        <v>13</v>
      </c>
      <c r="V10" s="3"/>
      <c r="W10">
        <v>7</v>
      </c>
      <c r="X10">
        <f t="shared" si="3"/>
        <v>200</v>
      </c>
      <c r="Y10">
        <v>207</v>
      </c>
      <c r="Z10">
        <f t="shared" si="4"/>
        <v>7.0246149369644661E-4</v>
      </c>
      <c r="AA10" s="24">
        <f t="shared" si="5"/>
        <v>2.2314355131420972E-2</v>
      </c>
    </row>
    <row r="11" spans="1:27" x14ac:dyDescent="0.15">
      <c r="J11" s="3"/>
      <c r="K11" s="3" t="s">
        <v>14</v>
      </c>
      <c r="L11" s="3"/>
      <c r="M11" s="3">
        <v>132</v>
      </c>
      <c r="N11" s="3">
        <f t="shared" si="0"/>
        <v>379</v>
      </c>
      <c r="O11" s="3">
        <v>511</v>
      </c>
      <c r="P11" s="3">
        <f t="shared" si="1"/>
        <v>1.4156356432178687E-2</v>
      </c>
      <c r="Q11" s="23">
        <f t="shared" si="2"/>
        <v>4.7642419704865831E-2</v>
      </c>
      <c r="T11" s="3"/>
      <c r="U11" s="3" t="s">
        <v>14</v>
      </c>
      <c r="V11" s="3"/>
      <c r="W11">
        <f>61+6+4</f>
        <v>71</v>
      </c>
      <c r="X11">
        <f t="shared" si="3"/>
        <v>264</v>
      </c>
      <c r="Y11">
        <v>335</v>
      </c>
      <c r="Z11">
        <f t="shared" si="4"/>
        <v>7.3646540168298483E-3</v>
      </c>
      <c r="AA11" s="24">
        <f t="shared" si="5"/>
        <v>3.0652516025326083E-2</v>
      </c>
    </row>
    <row r="12" spans="1:27" x14ac:dyDescent="0.15">
      <c r="J12" s="3">
        <v>75</v>
      </c>
      <c r="K12" s="3" t="s">
        <v>13</v>
      </c>
      <c r="L12" s="3"/>
      <c r="M12" s="3">
        <v>8</v>
      </c>
      <c r="N12" s="3">
        <f t="shared" si="0"/>
        <v>441</v>
      </c>
      <c r="O12" s="3">
        <v>449</v>
      </c>
      <c r="P12" s="3">
        <f t="shared" si="1"/>
        <v>8.0321716972642666E-4</v>
      </c>
      <c r="Q12" s="23">
        <f t="shared" si="2"/>
        <v>5.8160580582703805E-2</v>
      </c>
      <c r="T12" s="3">
        <v>75</v>
      </c>
      <c r="U12" s="3" t="s">
        <v>13</v>
      </c>
      <c r="V12" s="3"/>
      <c r="W12">
        <v>7</v>
      </c>
      <c r="X12">
        <f t="shared" si="3"/>
        <v>328</v>
      </c>
      <c r="Y12">
        <v>335</v>
      </c>
      <c r="Z12">
        <f t="shared" si="4"/>
        <v>7.0246149369644661E-4</v>
      </c>
      <c r="AA12" s="24">
        <f t="shared" si="5"/>
        <v>3.9749693845898756E-2</v>
      </c>
    </row>
    <row r="13" spans="1:27" x14ac:dyDescent="0.15">
      <c r="J13" s="3"/>
      <c r="K13" s="3" t="s">
        <v>14</v>
      </c>
      <c r="L13" s="3"/>
      <c r="M13" s="3">
        <f>109+11+15</f>
        <v>135</v>
      </c>
      <c r="N13" s="3">
        <f t="shared" si="0"/>
        <v>532</v>
      </c>
      <c r="O13" s="3">
        <v>667</v>
      </c>
      <c r="P13" s="3">
        <f t="shared" si="1"/>
        <v>1.4502577205025773E-2</v>
      </c>
      <c r="Q13" s="23">
        <f t="shared" si="2"/>
        <v>7.5928698306449036E-2</v>
      </c>
      <c r="T13" s="3"/>
      <c r="U13" s="3" t="s">
        <v>14</v>
      </c>
      <c r="V13" s="3"/>
      <c r="W13">
        <f>58+9+4</f>
        <v>71</v>
      </c>
      <c r="X13">
        <f t="shared" si="3"/>
        <v>392</v>
      </c>
      <c r="Y13">
        <v>463</v>
      </c>
      <c r="Z13">
        <f t="shared" si="4"/>
        <v>7.3646540168298483E-3</v>
      </c>
      <c r="AA13" s="24">
        <f t="shared" si="5"/>
        <v>4.9758039701597007E-2</v>
      </c>
    </row>
    <row r="15" spans="1:27" x14ac:dyDescent="0.15">
      <c r="T15" t="s">
        <v>186</v>
      </c>
      <c r="Y15">
        <f>AVERAGE(Y5,Y7,Y9,Y11,Y13)</f>
        <v>263.2</v>
      </c>
    </row>
    <row r="16" spans="1:27" x14ac:dyDescent="0.15">
      <c r="J16" t="s">
        <v>186</v>
      </c>
      <c r="M16" t="s">
        <v>185</v>
      </c>
      <c r="N16">
        <f>AVERAGE(N5,N7,N9,N11,N13)</f>
        <v>300.60000000000002</v>
      </c>
      <c r="O16" t="s">
        <v>190</v>
      </c>
      <c r="P16">
        <f>AVERAGE(N16,Y15)</f>
        <v>281.89999999999998</v>
      </c>
      <c r="T16" t="s">
        <v>188</v>
      </c>
      <c r="Y16">
        <f>AVERAGE(X5,X7)</f>
        <v>100</v>
      </c>
    </row>
    <row r="17" spans="1:25" x14ac:dyDescent="0.15">
      <c r="J17" t="s">
        <v>188</v>
      </c>
      <c r="N17">
        <f>AVERAGE(N5,N7)</f>
        <v>164.5</v>
      </c>
      <c r="P17">
        <f>AVERAGE(N17,Y16)</f>
        <v>132.25</v>
      </c>
      <c r="T17" t="s">
        <v>187</v>
      </c>
      <c r="Y17">
        <f>AVERAGE(X9,X11,X13)</f>
        <v>278</v>
      </c>
    </row>
    <row r="18" spans="1:25" x14ac:dyDescent="0.15">
      <c r="J18" t="s">
        <v>187</v>
      </c>
      <c r="N18">
        <f>AVERAGE(N9,N11,N13)</f>
        <v>391.33333333333331</v>
      </c>
      <c r="P18">
        <f>AVERAGE(N18,Y17)</f>
        <v>334.66666666666663</v>
      </c>
    </row>
    <row r="29" spans="1:25" x14ac:dyDescent="0.15">
      <c r="A29" t="s">
        <v>29</v>
      </c>
    </row>
    <row r="30" spans="1:25" x14ac:dyDescent="0.15">
      <c r="A30" t="s">
        <v>30</v>
      </c>
      <c r="D30" t="s">
        <v>33</v>
      </c>
    </row>
    <row r="31" spans="1:25" x14ac:dyDescent="0.15">
      <c r="B31" t="s">
        <v>31</v>
      </c>
      <c r="C31">
        <v>0.67</v>
      </c>
      <c r="D31">
        <v>0.2</v>
      </c>
    </row>
    <row r="32" spans="1:25" x14ac:dyDescent="0.15">
      <c r="B32" t="s">
        <v>32</v>
      </c>
      <c r="C32">
        <v>0.59</v>
      </c>
      <c r="D32">
        <v>0.34</v>
      </c>
    </row>
    <row r="33" spans="2:4" x14ac:dyDescent="0.15">
      <c r="B33" t="s">
        <v>34</v>
      </c>
      <c r="C33">
        <v>0.46</v>
      </c>
      <c r="D33">
        <v>0.38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opLeftCell="B1" workbookViewId="0">
      <selection activeCell="O5" sqref="O5:P10"/>
    </sheetView>
  </sheetViews>
  <sheetFormatPr baseColWidth="10" defaultColWidth="8.83203125" defaultRowHeight="14" x14ac:dyDescent="0.15"/>
  <cols>
    <col min="15" max="15" width="28" customWidth="1"/>
  </cols>
  <sheetData>
    <row r="1" spans="1:22" ht="15" thickBot="1" x14ac:dyDescent="0.2">
      <c r="A1" s="7" t="s">
        <v>35</v>
      </c>
      <c r="B1" s="27" t="s">
        <v>37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9"/>
    </row>
    <row r="2" spans="1:22" ht="23" thickBot="1" x14ac:dyDescent="0.2">
      <c r="A2" s="8" t="s">
        <v>36</v>
      </c>
      <c r="B2" s="27" t="s">
        <v>38</v>
      </c>
      <c r="C2" s="29"/>
      <c r="D2" s="27" t="s">
        <v>39</v>
      </c>
      <c r="E2" s="28"/>
      <c r="F2" s="29"/>
      <c r="G2" s="27" t="s">
        <v>40</v>
      </c>
      <c r="H2" s="28"/>
      <c r="I2" s="29"/>
      <c r="J2" s="27" t="s">
        <v>41</v>
      </c>
      <c r="K2" s="28"/>
      <c r="L2" s="29"/>
      <c r="M2" s="27" t="s">
        <v>42</v>
      </c>
      <c r="N2" s="29"/>
    </row>
    <row r="3" spans="1:22" ht="45" thickBot="1" x14ac:dyDescent="0.2">
      <c r="A3" s="9"/>
      <c r="B3" s="10" t="s">
        <v>43</v>
      </c>
      <c r="C3" s="10" t="s">
        <v>44</v>
      </c>
      <c r="D3" s="10" t="s">
        <v>45</v>
      </c>
      <c r="E3" s="10" t="s">
        <v>46</v>
      </c>
      <c r="F3" s="10" t="s">
        <v>47</v>
      </c>
      <c r="G3" s="10" t="s">
        <v>48</v>
      </c>
      <c r="H3" s="10" t="s">
        <v>49</v>
      </c>
      <c r="I3" s="10" t="s">
        <v>50</v>
      </c>
      <c r="J3" s="10" t="s">
        <v>51</v>
      </c>
      <c r="K3" s="10" t="s">
        <v>52</v>
      </c>
      <c r="L3" s="10" t="s">
        <v>53</v>
      </c>
      <c r="M3" s="10" t="s">
        <v>54</v>
      </c>
      <c r="N3" s="10" t="s">
        <v>55</v>
      </c>
    </row>
    <row r="4" spans="1:22" ht="23" thickBot="1" x14ac:dyDescent="0.2">
      <c r="A4" s="11" t="s">
        <v>56</v>
      </c>
      <c r="B4" s="10" t="s">
        <v>57</v>
      </c>
      <c r="C4" s="12" t="s">
        <v>58</v>
      </c>
      <c r="D4" s="12" t="s">
        <v>58</v>
      </c>
      <c r="E4" s="12" t="s">
        <v>58</v>
      </c>
      <c r="F4" s="12" t="s">
        <v>58</v>
      </c>
      <c r="G4" s="12" t="s">
        <v>58</v>
      </c>
      <c r="H4" s="12" t="s">
        <v>58</v>
      </c>
      <c r="I4" s="12" t="s">
        <v>58</v>
      </c>
      <c r="J4" s="12" t="s">
        <v>58</v>
      </c>
      <c r="K4" s="12" t="s">
        <v>58</v>
      </c>
      <c r="L4" s="12" t="s">
        <v>58</v>
      </c>
      <c r="M4" s="12" t="s">
        <v>58</v>
      </c>
      <c r="N4" s="12" t="s">
        <v>58</v>
      </c>
      <c r="Q4" s="20" t="s">
        <v>6</v>
      </c>
      <c r="R4" s="20" t="s">
        <v>24</v>
      </c>
      <c r="S4" s="30" t="s">
        <v>184</v>
      </c>
      <c r="T4" s="30"/>
      <c r="U4" s="30"/>
      <c r="V4" s="30"/>
    </row>
    <row r="5" spans="1:22" ht="18" customHeight="1" x14ac:dyDescent="0.15">
      <c r="A5" s="31" t="s">
        <v>59</v>
      </c>
      <c r="B5" s="31" t="s">
        <v>60</v>
      </c>
      <c r="C5" s="31" t="s">
        <v>61</v>
      </c>
      <c r="D5" s="31" t="s">
        <v>62</v>
      </c>
      <c r="E5" s="31" t="s">
        <v>63</v>
      </c>
      <c r="F5" s="31" t="s">
        <v>64</v>
      </c>
      <c r="G5" s="31" t="s">
        <v>65</v>
      </c>
      <c r="H5" s="31" t="s">
        <v>66</v>
      </c>
      <c r="I5" s="13" t="s">
        <v>67</v>
      </c>
      <c r="J5" s="31" t="s">
        <v>68</v>
      </c>
      <c r="K5" s="33" t="s">
        <v>69</v>
      </c>
      <c r="L5" s="33" t="s">
        <v>70</v>
      </c>
      <c r="M5" s="15" t="s">
        <v>71</v>
      </c>
      <c r="N5" s="13" t="s">
        <v>72</v>
      </c>
      <c r="O5" t="s">
        <v>179</v>
      </c>
      <c r="P5">
        <v>89</v>
      </c>
      <c r="S5" s="30"/>
      <c r="T5" s="30"/>
      <c r="U5" s="30"/>
      <c r="V5" s="30"/>
    </row>
    <row r="6" spans="1:22" ht="15" thickBot="1" x14ac:dyDescent="0.2">
      <c r="A6" s="32"/>
      <c r="B6" s="32"/>
      <c r="C6" s="32"/>
      <c r="D6" s="32"/>
      <c r="E6" s="32"/>
      <c r="F6" s="32"/>
      <c r="G6" s="32"/>
      <c r="H6" s="32"/>
      <c r="I6" s="14">
        <v>-59</v>
      </c>
      <c r="J6" s="32"/>
      <c r="K6" s="34"/>
      <c r="L6" s="34"/>
      <c r="M6" s="16">
        <v>0</v>
      </c>
      <c r="N6" s="14">
        <v>-14</v>
      </c>
      <c r="O6" t="s">
        <v>178</v>
      </c>
      <c r="P6">
        <f>AVERAGE(473, 276, 208, 157, 366)</f>
        <v>296</v>
      </c>
      <c r="Q6">
        <f>385*T12</f>
        <v>291.9127043358335</v>
      </c>
      <c r="R6">
        <f>SUM(P5:P6)</f>
        <v>385</v>
      </c>
      <c r="S6" s="30"/>
      <c r="T6" s="30"/>
      <c r="U6" s="30"/>
      <c r="V6" s="30"/>
    </row>
    <row r="7" spans="1:22" ht="18" customHeight="1" x14ac:dyDescent="0.15">
      <c r="A7" s="31" t="s">
        <v>73</v>
      </c>
      <c r="B7" s="33" t="s">
        <v>74</v>
      </c>
      <c r="C7" s="33" t="s">
        <v>75</v>
      </c>
      <c r="D7" s="33" t="s">
        <v>76</v>
      </c>
      <c r="E7" s="33" t="s">
        <v>77</v>
      </c>
      <c r="F7" s="33" t="s">
        <v>78</v>
      </c>
      <c r="G7" s="33" t="s">
        <v>79</v>
      </c>
      <c r="H7" s="33" t="s">
        <v>80</v>
      </c>
      <c r="I7" s="15" t="s">
        <v>71</v>
      </c>
      <c r="J7" s="33" t="s">
        <v>81</v>
      </c>
      <c r="K7" s="33" t="s">
        <v>79</v>
      </c>
      <c r="L7" s="33" t="s">
        <v>70</v>
      </c>
      <c r="M7" s="15" t="s">
        <v>71</v>
      </c>
      <c r="N7" s="15" t="s">
        <v>82</v>
      </c>
      <c r="O7" t="s">
        <v>180</v>
      </c>
      <c r="P7">
        <f>AVERAGE(21647, 685, 519,582, 487)</f>
        <v>4784</v>
      </c>
      <c r="Q7">
        <f>SUM(P7:P10)</f>
        <v>51287</v>
      </c>
      <c r="S7" s="30"/>
      <c r="T7" s="30"/>
      <c r="U7" s="30"/>
      <c r="V7" s="30"/>
    </row>
    <row r="8" spans="1:22" ht="15" thickBot="1" x14ac:dyDescent="0.2">
      <c r="A8" s="32"/>
      <c r="B8" s="34"/>
      <c r="C8" s="34"/>
      <c r="D8" s="34"/>
      <c r="E8" s="34"/>
      <c r="F8" s="34"/>
      <c r="G8" s="34"/>
      <c r="H8" s="34"/>
      <c r="I8" s="16">
        <v>-46</v>
      </c>
      <c r="J8" s="34"/>
      <c r="K8" s="34"/>
      <c r="L8" s="34"/>
      <c r="M8" s="16">
        <v>0</v>
      </c>
      <c r="N8" s="16">
        <v>0</v>
      </c>
      <c r="O8" t="s">
        <v>181</v>
      </c>
      <c r="P8">
        <f>AVERAGE(16650, 10011)</f>
        <v>13330.5</v>
      </c>
      <c r="S8" s="30"/>
      <c r="T8" s="30"/>
      <c r="U8" s="30"/>
      <c r="V8" s="30"/>
    </row>
    <row r="9" spans="1:22" ht="18" customHeight="1" x14ac:dyDescent="0.15">
      <c r="A9" s="33" t="s">
        <v>83</v>
      </c>
      <c r="B9" s="33" t="s">
        <v>84</v>
      </c>
      <c r="C9" s="33" t="s">
        <v>85</v>
      </c>
      <c r="D9" s="33" t="s">
        <v>86</v>
      </c>
      <c r="E9" s="33" t="s">
        <v>87</v>
      </c>
      <c r="F9" s="33" t="s">
        <v>88</v>
      </c>
      <c r="G9" s="33" t="s">
        <v>89</v>
      </c>
      <c r="H9" s="33" t="s">
        <v>90</v>
      </c>
      <c r="I9" s="15" t="s">
        <v>71</v>
      </c>
      <c r="J9" s="33" t="s">
        <v>70</v>
      </c>
      <c r="K9" s="33" t="s">
        <v>70</v>
      </c>
      <c r="L9" s="33" t="s">
        <v>70</v>
      </c>
      <c r="M9" s="15" t="s">
        <v>71</v>
      </c>
      <c r="N9" s="15" t="s">
        <v>71</v>
      </c>
      <c r="O9" t="s">
        <v>182</v>
      </c>
      <c r="P9">
        <f>AVERAGE(28888,19863)</f>
        <v>24375.5</v>
      </c>
      <c r="S9" s="30"/>
      <c r="T9" s="30"/>
      <c r="U9" s="30"/>
      <c r="V9" s="30"/>
    </row>
    <row r="10" spans="1:22" ht="15" thickBot="1" x14ac:dyDescent="0.2">
      <c r="A10" s="34"/>
      <c r="B10" s="34"/>
      <c r="C10" s="34"/>
      <c r="D10" s="34"/>
      <c r="E10" s="34"/>
      <c r="F10" s="34"/>
      <c r="G10" s="34"/>
      <c r="H10" s="34"/>
      <c r="I10" s="16">
        <v>-23</v>
      </c>
      <c r="J10" s="34"/>
      <c r="K10" s="34"/>
      <c r="L10" s="34"/>
      <c r="M10" s="16">
        <v>0</v>
      </c>
      <c r="N10" s="16">
        <v>0</v>
      </c>
      <c r="O10" t="s">
        <v>183</v>
      </c>
      <c r="P10">
        <f>AVERAGE(7780,9814)</f>
        <v>8797</v>
      </c>
      <c r="S10" s="30"/>
      <c r="T10" s="30"/>
      <c r="U10" s="30"/>
      <c r="V10" s="30"/>
    </row>
    <row r="11" spans="1:22" ht="18" customHeight="1" x14ac:dyDescent="0.15">
      <c r="A11" s="33" t="s">
        <v>91</v>
      </c>
      <c r="B11" s="33" t="s">
        <v>92</v>
      </c>
      <c r="C11" s="33" t="s">
        <v>93</v>
      </c>
      <c r="D11" s="33" t="s">
        <v>94</v>
      </c>
      <c r="E11" s="33" t="s">
        <v>95</v>
      </c>
      <c r="F11" s="33" t="s">
        <v>96</v>
      </c>
      <c r="G11" s="33" t="s">
        <v>97</v>
      </c>
      <c r="H11" s="33" t="s">
        <v>97</v>
      </c>
      <c r="I11" s="15" t="s">
        <v>71</v>
      </c>
      <c r="J11" s="33" t="s">
        <v>70</v>
      </c>
      <c r="K11" s="33" t="s">
        <v>81</v>
      </c>
      <c r="L11" s="15" t="s">
        <v>71</v>
      </c>
      <c r="M11" s="15" t="s">
        <v>71</v>
      </c>
      <c r="N11" s="15" t="s">
        <v>71</v>
      </c>
      <c r="S11" s="30"/>
      <c r="T11" s="30"/>
      <c r="U11" s="30"/>
      <c r="V11" s="30"/>
    </row>
    <row r="12" spans="1:22" ht="15" thickBot="1" x14ac:dyDescent="0.2">
      <c r="A12" s="34"/>
      <c r="B12" s="34"/>
      <c r="C12" s="34"/>
      <c r="D12" s="34"/>
      <c r="E12" s="34"/>
      <c r="F12" s="34"/>
      <c r="G12" s="34"/>
      <c r="H12" s="34"/>
      <c r="I12" s="16">
        <v>-28</v>
      </c>
      <c r="J12" s="34"/>
      <c r="K12" s="34"/>
      <c r="L12" s="16">
        <v>0</v>
      </c>
      <c r="M12" s="16">
        <v>0</v>
      </c>
      <c r="N12" s="16">
        <v>0</v>
      </c>
      <c r="T12" s="21">
        <f>0.19^(1/6)</f>
        <v>0.75821481645671041</v>
      </c>
    </row>
    <row r="13" spans="1:22" ht="18" customHeight="1" x14ac:dyDescent="0.15">
      <c r="A13" s="33" t="s">
        <v>98</v>
      </c>
      <c r="B13" s="33" t="s">
        <v>99</v>
      </c>
      <c r="C13" s="33" t="s">
        <v>100</v>
      </c>
      <c r="D13" s="33" t="s">
        <v>101</v>
      </c>
      <c r="E13" s="33" t="s">
        <v>102</v>
      </c>
      <c r="F13" s="33" t="s">
        <v>101</v>
      </c>
      <c r="G13" s="33" t="s">
        <v>103</v>
      </c>
      <c r="H13" s="33" t="s">
        <v>104</v>
      </c>
      <c r="I13" s="15" t="s">
        <v>105</v>
      </c>
      <c r="J13" s="33" t="s">
        <v>70</v>
      </c>
      <c r="K13" s="33" t="s">
        <v>70</v>
      </c>
      <c r="L13" s="33" t="s">
        <v>70</v>
      </c>
      <c r="M13" s="15" t="s">
        <v>71</v>
      </c>
      <c r="N13" s="15" t="s">
        <v>71</v>
      </c>
    </row>
    <row r="14" spans="1:22" ht="15" thickBot="1" x14ac:dyDescent="0.2">
      <c r="A14" s="34"/>
      <c r="B14" s="34"/>
      <c r="C14" s="34"/>
      <c r="D14" s="34"/>
      <c r="E14" s="34"/>
      <c r="F14" s="34"/>
      <c r="G14" s="34"/>
      <c r="H14" s="34"/>
      <c r="I14" s="16">
        <v>-63</v>
      </c>
      <c r="J14" s="34"/>
      <c r="K14" s="34"/>
      <c r="L14" s="34"/>
      <c r="M14" s="16">
        <v>0</v>
      </c>
      <c r="N14" s="16">
        <v>0</v>
      </c>
    </row>
    <row r="15" spans="1:22" ht="33" x14ac:dyDescent="0.15">
      <c r="A15" s="17" t="s">
        <v>106</v>
      </c>
      <c r="B15" s="33" t="s">
        <v>58</v>
      </c>
      <c r="C15" s="33" t="s">
        <v>58</v>
      </c>
      <c r="D15" s="33" t="s">
        <v>107</v>
      </c>
      <c r="E15" s="33" t="s">
        <v>108</v>
      </c>
      <c r="F15" s="33" t="s">
        <v>109</v>
      </c>
      <c r="G15" s="33" t="s">
        <v>110</v>
      </c>
      <c r="H15" s="33" t="s">
        <v>111</v>
      </c>
      <c r="I15" s="33" t="s">
        <v>112</v>
      </c>
      <c r="J15" s="33" t="s">
        <v>70</v>
      </c>
      <c r="K15" s="33" t="s">
        <v>113</v>
      </c>
      <c r="L15" s="15" t="s">
        <v>114</v>
      </c>
      <c r="M15" s="33" t="s">
        <v>115</v>
      </c>
      <c r="N15" s="15" t="s">
        <v>71</v>
      </c>
      <c r="Q15">
        <f>385*0.76</f>
        <v>292.60000000000002</v>
      </c>
    </row>
    <row r="16" spans="1:22" ht="15" thickBot="1" x14ac:dyDescent="0.2">
      <c r="A16" s="18">
        <v>-21647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16">
        <v>-2745</v>
      </c>
      <c r="M16" s="34"/>
      <c r="N16" s="16">
        <v>0</v>
      </c>
    </row>
    <row r="17" spans="1:14" ht="29.25" customHeight="1" x14ac:dyDescent="0.15">
      <c r="A17" s="33" t="s">
        <v>116</v>
      </c>
      <c r="B17" s="33" t="s">
        <v>58</v>
      </c>
      <c r="C17" s="33" t="s">
        <v>58</v>
      </c>
      <c r="D17" s="33" t="s">
        <v>117</v>
      </c>
      <c r="E17" s="33" t="s">
        <v>118</v>
      </c>
      <c r="F17" s="33" t="s">
        <v>119</v>
      </c>
      <c r="G17" s="33" t="s">
        <v>120</v>
      </c>
      <c r="H17" s="33" t="s">
        <v>121</v>
      </c>
      <c r="I17" s="15" t="s">
        <v>71</v>
      </c>
      <c r="J17" s="33" t="s">
        <v>70</v>
      </c>
      <c r="K17" s="33" t="s">
        <v>122</v>
      </c>
      <c r="L17" s="33" t="s">
        <v>70</v>
      </c>
      <c r="M17" s="15" t="s">
        <v>71</v>
      </c>
      <c r="N17" s="15" t="s">
        <v>71</v>
      </c>
    </row>
    <row r="18" spans="1:14" ht="15" thickBot="1" x14ac:dyDescent="0.2">
      <c r="A18" s="34"/>
      <c r="B18" s="34"/>
      <c r="C18" s="34"/>
      <c r="D18" s="34"/>
      <c r="E18" s="34"/>
      <c r="F18" s="34"/>
      <c r="G18" s="34"/>
      <c r="H18" s="34"/>
      <c r="I18" s="16">
        <v>0</v>
      </c>
      <c r="J18" s="34"/>
      <c r="K18" s="34"/>
      <c r="L18" s="34"/>
      <c r="M18" s="16">
        <v>0</v>
      </c>
      <c r="N18" s="16">
        <v>0</v>
      </c>
    </row>
    <row r="19" spans="1:14" ht="29.25" customHeight="1" x14ac:dyDescent="0.15">
      <c r="A19" s="31" t="s">
        <v>123</v>
      </c>
      <c r="B19" s="33" t="s">
        <v>58</v>
      </c>
      <c r="C19" s="33" t="s">
        <v>58</v>
      </c>
      <c r="D19" s="31" t="s">
        <v>124</v>
      </c>
      <c r="E19" s="31" t="s">
        <v>125</v>
      </c>
      <c r="F19" s="31" t="s">
        <v>126</v>
      </c>
      <c r="G19" s="31" t="s">
        <v>127</v>
      </c>
      <c r="H19" s="31" t="s">
        <v>128</v>
      </c>
      <c r="I19" s="13" t="s">
        <v>72</v>
      </c>
      <c r="J19" s="31" t="s">
        <v>128</v>
      </c>
      <c r="K19" s="31" t="s">
        <v>129</v>
      </c>
      <c r="L19" s="33" t="s">
        <v>70</v>
      </c>
      <c r="M19" s="15" t="s">
        <v>71</v>
      </c>
      <c r="N19" s="15" t="s">
        <v>71</v>
      </c>
    </row>
    <row r="20" spans="1:14" ht="15" thickBot="1" x14ac:dyDescent="0.2">
      <c r="A20" s="32"/>
      <c r="B20" s="34"/>
      <c r="C20" s="34"/>
      <c r="D20" s="32"/>
      <c r="E20" s="32"/>
      <c r="F20" s="32"/>
      <c r="G20" s="32"/>
      <c r="H20" s="32"/>
      <c r="I20" s="14">
        <v>0</v>
      </c>
      <c r="J20" s="32"/>
      <c r="K20" s="32"/>
      <c r="L20" s="34"/>
      <c r="M20" s="16">
        <v>0</v>
      </c>
      <c r="N20" s="16">
        <v>0</v>
      </c>
    </row>
    <row r="21" spans="1:14" ht="29.25" customHeight="1" x14ac:dyDescent="0.15">
      <c r="A21" s="31" t="s">
        <v>130</v>
      </c>
      <c r="B21" s="33" t="s">
        <v>58</v>
      </c>
      <c r="C21" s="33" t="s">
        <v>58</v>
      </c>
      <c r="D21" s="31" t="s">
        <v>131</v>
      </c>
      <c r="E21" s="31" t="s">
        <v>132</v>
      </c>
      <c r="F21" s="31" t="s">
        <v>133</v>
      </c>
      <c r="G21" s="31" t="s">
        <v>134</v>
      </c>
      <c r="H21" s="31" t="s">
        <v>135</v>
      </c>
      <c r="I21" s="13" t="s">
        <v>72</v>
      </c>
      <c r="J21" s="31" t="s">
        <v>128</v>
      </c>
      <c r="K21" s="31" t="s">
        <v>128</v>
      </c>
      <c r="L21" s="31" t="s">
        <v>128</v>
      </c>
      <c r="M21" s="13" t="s">
        <v>72</v>
      </c>
      <c r="N21" s="13" t="s">
        <v>72</v>
      </c>
    </row>
    <row r="22" spans="1:14" ht="15" thickBot="1" x14ac:dyDescent="0.2">
      <c r="A22" s="32"/>
      <c r="B22" s="34"/>
      <c r="C22" s="34"/>
      <c r="D22" s="32"/>
      <c r="E22" s="32"/>
      <c r="F22" s="32"/>
      <c r="G22" s="32"/>
      <c r="H22" s="32"/>
      <c r="I22" s="14">
        <v>0</v>
      </c>
      <c r="J22" s="32"/>
      <c r="K22" s="32"/>
      <c r="L22" s="32"/>
      <c r="M22" s="14">
        <v>0</v>
      </c>
      <c r="N22" s="14">
        <v>0</v>
      </c>
    </row>
    <row r="23" spans="1:14" ht="33" x14ac:dyDescent="0.15">
      <c r="A23" s="8" t="s">
        <v>136</v>
      </c>
      <c r="B23" s="33" t="s">
        <v>58</v>
      </c>
      <c r="C23" s="33" t="s">
        <v>58</v>
      </c>
      <c r="D23" s="31" t="s">
        <v>137</v>
      </c>
      <c r="E23" s="31" t="s">
        <v>138</v>
      </c>
      <c r="F23" s="31" t="s">
        <v>139</v>
      </c>
      <c r="G23" s="31" t="s">
        <v>128</v>
      </c>
      <c r="H23" s="31" t="s">
        <v>128</v>
      </c>
      <c r="I23" s="13" t="s">
        <v>72</v>
      </c>
      <c r="J23" s="31" t="s">
        <v>128</v>
      </c>
      <c r="K23" s="31" t="s">
        <v>128</v>
      </c>
      <c r="L23" s="31" t="s">
        <v>128</v>
      </c>
      <c r="M23" s="13" t="s">
        <v>72</v>
      </c>
      <c r="N23" s="13" t="s">
        <v>72</v>
      </c>
    </row>
    <row r="24" spans="1:14" ht="15" thickBot="1" x14ac:dyDescent="0.2">
      <c r="A24" s="19">
        <v>-487</v>
      </c>
      <c r="B24" s="34"/>
      <c r="C24" s="34"/>
      <c r="D24" s="32"/>
      <c r="E24" s="32"/>
      <c r="F24" s="32"/>
      <c r="G24" s="32"/>
      <c r="H24" s="32"/>
      <c r="I24" s="14">
        <v>0</v>
      </c>
      <c r="J24" s="32"/>
      <c r="K24" s="32"/>
      <c r="L24" s="32"/>
      <c r="M24" s="14">
        <v>0</v>
      </c>
      <c r="N24" s="14">
        <v>0</v>
      </c>
    </row>
    <row r="25" spans="1:14" ht="22" x14ac:dyDescent="0.15">
      <c r="A25" s="8" t="s">
        <v>140</v>
      </c>
      <c r="B25" s="33" t="s">
        <v>58</v>
      </c>
      <c r="C25" s="33" t="s">
        <v>58</v>
      </c>
      <c r="D25" s="31" t="s">
        <v>141</v>
      </c>
      <c r="E25" s="13" t="s">
        <v>142</v>
      </c>
      <c r="F25" s="31" t="s">
        <v>143</v>
      </c>
      <c r="G25" s="31" t="s">
        <v>144</v>
      </c>
      <c r="H25" s="13" t="s">
        <v>145</v>
      </c>
      <c r="I25" s="13" t="s">
        <v>146</v>
      </c>
      <c r="J25" s="31" t="s">
        <v>128</v>
      </c>
      <c r="K25" s="13" t="s">
        <v>147</v>
      </c>
      <c r="L25" s="31" t="s">
        <v>148</v>
      </c>
      <c r="M25" s="31" t="s">
        <v>149</v>
      </c>
      <c r="N25" s="13" t="s">
        <v>145</v>
      </c>
    </row>
    <row r="26" spans="1:14" ht="15" thickBot="1" x14ac:dyDescent="0.2">
      <c r="A26" s="19">
        <v>-16650</v>
      </c>
      <c r="B26" s="34"/>
      <c r="C26" s="34"/>
      <c r="D26" s="32"/>
      <c r="E26" s="14">
        <v>-554</v>
      </c>
      <c r="F26" s="32"/>
      <c r="G26" s="32"/>
      <c r="H26" s="14">
        <v>-62</v>
      </c>
      <c r="I26" s="14">
        <v>-9394</v>
      </c>
      <c r="J26" s="32"/>
      <c r="K26" s="14">
        <v>-528</v>
      </c>
      <c r="L26" s="32"/>
      <c r="M26" s="32"/>
      <c r="N26" s="14">
        <v>-1203</v>
      </c>
    </row>
    <row r="27" spans="1:14" ht="18" customHeight="1" x14ac:dyDescent="0.15">
      <c r="A27" s="31" t="s">
        <v>150</v>
      </c>
      <c r="B27" s="33" t="s">
        <v>58</v>
      </c>
      <c r="C27" s="33" t="s">
        <v>58</v>
      </c>
      <c r="D27" s="31" t="s">
        <v>151</v>
      </c>
      <c r="E27" s="31" t="s">
        <v>152</v>
      </c>
      <c r="F27" s="31" t="s">
        <v>153</v>
      </c>
      <c r="G27" s="31" t="s">
        <v>154</v>
      </c>
      <c r="H27" s="31" t="s">
        <v>155</v>
      </c>
      <c r="I27" s="13" t="s">
        <v>156</v>
      </c>
      <c r="J27" s="31" t="s">
        <v>128</v>
      </c>
      <c r="K27" s="31" t="s">
        <v>128</v>
      </c>
      <c r="L27" s="31" t="s">
        <v>128</v>
      </c>
      <c r="M27" s="13" t="s">
        <v>157</v>
      </c>
      <c r="N27" s="13" t="s">
        <v>72</v>
      </c>
    </row>
    <row r="28" spans="1:14" ht="15" thickBot="1" x14ac:dyDescent="0.2">
      <c r="A28" s="32"/>
      <c r="B28" s="34"/>
      <c r="C28" s="34"/>
      <c r="D28" s="32"/>
      <c r="E28" s="32"/>
      <c r="F28" s="32"/>
      <c r="G28" s="32"/>
      <c r="H28" s="32"/>
      <c r="I28" s="14">
        <v>-7611</v>
      </c>
      <c r="J28" s="32"/>
      <c r="K28" s="32"/>
      <c r="L28" s="32"/>
      <c r="M28" s="14">
        <v>-1753</v>
      </c>
      <c r="N28" s="14">
        <v>0</v>
      </c>
    </row>
    <row r="29" spans="1:14" ht="40.5" customHeight="1" x14ac:dyDescent="0.15">
      <c r="A29" s="31" t="s">
        <v>158</v>
      </c>
      <c r="B29" s="33" t="s">
        <v>58</v>
      </c>
      <c r="C29" s="33" t="s">
        <v>58</v>
      </c>
      <c r="D29" s="31" t="s">
        <v>159</v>
      </c>
      <c r="E29" s="31" t="s">
        <v>160</v>
      </c>
      <c r="F29" s="31" t="s">
        <v>161</v>
      </c>
      <c r="G29" s="31" t="s">
        <v>162</v>
      </c>
      <c r="H29" s="31" t="s">
        <v>163</v>
      </c>
      <c r="I29" s="31" t="s">
        <v>164</v>
      </c>
      <c r="J29" s="31" t="s">
        <v>165</v>
      </c>
      <c r="K29" s="13" t="s">
        <v>166</v>
      </c>
      <c r="L29" s="13" t="s">
        <v>167</v>
      </c>
      <c r="M29" s="31" t="s">
        <v>168</v>
      </c>
      <c r="N29" s="31" t="s">
        <v>169</v>
      </c>
    </row>
    <row r="30" spans="1:14" ht="15" thickBot="1" x14ac:dyDescent="0.2">
      <c r="A30" s="32"/>
      <c r="B30" s="34"/>
      <c r="C30" s="34"/>
      <c r="D30" s="32"/>
      <c r="E30" s="32"/>
      <c r="F30" s="32"/>
      <c r="G30" s="32"/>
      <c r="H30" s="32"/>
      <c r="I30" s="32"/>
      <c r="J30" s="32"/>
      <c r="K30" s="14">
        <v>-1133</v>
      </c>
      <c r="L30" s="14">
        <v>-1453</v>
      </c>
      <c r="M30" s="32"/>
      <c r="N30" s="32"/>
    </row>
    <row r="31" spans="1:14" ht="22" x14ac:dyDescent="0.15">
      <c r="A31" s="8" t="s">
        <v>170</v>
      </c>
      <c r="B31" s="33" t="s">
        <v>58</v>
      </c>
      <c r="C31" s="33" t="s">
        <v>58</v>
      </c>
      <c r="D31" s="31" t="s">
        <v>172</v>
      </c>
      <c r="E31" s="31" t="s">
        <v>173</v>
      </c>
      <c r="F31" s="31" t="s">
        <v>174</v>
      </c>
      <c r="G31" s="31" t="s">
        <v>128</v>
      </c>
      <c r="H31" s="31" t="s">
        <v>128</v>
      </c>
      <c r="I31" s="13" t="s">
        <v>72</v>
      </c>
      <c r="J31" s="31" t="s">
        <v>128</v>
      </c>
      <c r="K31" s="31" t="s">
        <v>175</v>
      </c>
      <c r="L31" s="31" t="s">
        <v>128</v>
      </c>
      <c r="M31" s="31" t="s">
        <v>176</v>
      </c>
      <c r="N31" s="31" t="s">
        <v>177</v>
      </c>
    </row>
    <row r="32" spans="1:14" ht="23" thickBot="1" x14ac:dyDescent="0.2">
      <c r="A32" s="11" t="s">
        <v>171</v>
      </c>
      <c r="B32" s="34"/>
      <c r="C32" s="34"/>
      <c r="D32" s="32"/>
      <c r="E32" s="32"/>
      <c r="F32" s="32"/>
      <c r="G32" s="32"/>
      <c r="H32" s="32"/>
      <c r="I32" s="14">
        <v>0</v>
      </c>
      <c r="J32" s="32"/>
      <c r="K32" s="32"/>
      <c r="L32" s="32"/>
      <c r="M32" s="32"/>
      <c r="N32" s="32"/>
    </row>
  </sheetData>
  <mergeCells count="158">
    <mergeCell ref="N31:N32"/>
    <mergeCell ref="G31:G32"/>
    <mergeCell ref="H31:H32"/>
    <mergeCell ref="J31:J32"/>
    <mergeCell ref="K31:K32"/>
    <mergeCell ref="L31:L32"/>
    <mergeCell ref="M31:M32"/>
    <mergeCell ref="H29:H30"/>
    <mergeCell ref="I29:I30"/>
    <mergeCell ref="J29:J30"/>
    <mergeCell ref="M29:M30"/>
    <mergeCell ref="N29:N30"/>
    <mergeCell ref="B31:B32"/>
    <mergeCell ref="C31:C32"/>
    <mergeCell ref="D31:D32"/>
    <mergeCell ref="E31:E32"/>
    <mergeCell ref="F31:F32"/>
    <mergeCell ref="J27:J28"/>
    <mergeCell ref="K27:K28"/>
    <mergeCell ref="L27:L28"/>
    <mergeCell ref="A29:A30"/>
    <mergeCell ref="B29:B30"/>
    <mergeCell ref="C29:C30"/>
    <mergeCell ref="D29:D30"/>
    <mergeCell ref="E29:E30"/>
    <mergeCell ref="F29:F30"/>
    <mergeCell ref="G29:G30"/>
    <mergeCell ref="L25:L26"/>
    <mergeCell ref="M25:M26"/>
    <mergeCell ref="A27:A28"/>
    <mergeCell ref="B27:B28"/>
    <mergeCell ref="C27:C28"/>
    <mergeCell ref="D27:D28"/>
    <mergeCell ref="E27:E28"/>
    <mergeCell ref="F27:F28"/>
    <mergeCell ref="G27:G28"/>
    <mergeCell ref="H27:H28"/>
    <mergeCell ref="B25:B26"/>
    <mergeCell ref="C25:C26"/>
    <mergeCell ref="D25:D26"/>
    <mergeCell ref="F25:F26"/>
    <mergeCell ref="G25:G26"/>
    <mergeCell ref="J25:J26"/>
    <mergeCell ref="B23:B24"/>
    <mergeCell ref="C23:C24"/>
    <mergeCell ref="D23:D24"/>
    <mergeCell ref="E23:E24"/>
    <mergeCell ref="F23:F24"/>
    <mergeCell ref="G23:G24"/>
    <mergeCell ref="L21:L22"/>
    <mergeCell ref="G19:G20"/>
    <mergeCell ref="H19:H20"/>
    <mergeCell ref="J19:J20"/>
    <mergeCell ref="K19:K20"/>
    <mergeCell ref="L19:L20"/>
    <mergeCell ref="F19:F20"/>
    <mergeCell ref="H23:H24"/>
    <mergeCell ref="J23:J24"/>
    <mergeCell ref="K23:K24"/>
    <mergeCell ref="L23:L24"/>
    <mergeCell ref="H15:H16"/>
    <mergeCell ref="I15:I16"/>
    <mergeCell ref="J15:J16"/>
    <mergeCell ref="K15:K16"/>
    <mergeCell ref="A21:A22"/>
    <mergeCell ref="B21:B22"/>
    <mergeCell ref="C21:C22"/>
    <mergeCell ref="D21:D22"/>
    <mergeCell ref="E21:E22"/>
    <mergeCell ref="A19:A20"/>
    <mergeCell ref="B19:B20"/>
    <mergeCell ref="C19:C20"/>
    <mergeCell ref="D19:D20"/>
    <mergeCell ref="E19:E20"/>
    <mergeCell ref="F21:F22"/>
    <mergeCell ref="G21:G22"/>
    <mergeCell ref="H21:H22"/>
    <mergeCell ref="J21:J22"/>
    <mergeCell ref="K21:K22"/>
    <mergeCell ref="L13:L14"/>
    <mergeCell ref="F11:F12"/>
    <mergeCell ref="G11:G12"/>
    <mergeCell ref="H11:H12"/>
    <mergeCell ref="J11:J12"/>
    <mergeCell ref="K11:K12"/>
    <mergeCell ref="M15:M16"/>
    <mergeCell ref="A17:A18"/>
    <mergeCell ref="B17:B18"/>
    <mergeCell ref="C17:C18"/>
    <mergeCell ref="D17:D18"/>
    <mergeCell ref="E17:E18"/>
    <mergeCell ref="B15:B16"/>
    <mergeCell ref="C15:C16"/>
    <mergeCell ref="D15:D16"/>
    <mergeCell ref="E15:E16"/>
    <mergeCell ref="F15:F16"/>
    <mergeCell ref="G15:G16"/>
    <mergeCell ref="F17:F18"/>
    <mergeCell ref="G17:G18"/>
    <mergeCell ref="H17:H18"/>
    <mergeCell ref="J17:J18"/>
    <mergeCell ref="K17:K18"/>
    <mergeCell ref="L17:L18"/>
    <mergeCell ref="A13:A14"/>
    <mergeCell ref="B13:B14"/>
    <mergeCell ref="C13:C14"/>
    <mergeCell ref="D13:D14"/>
    <mergeCell ref="E13:E14"/>
    <mergeCell ref="G9:G10"/>
    <mergeCell ref="H9:H10"/>
    <mergeCell ref="J9:J10"/>
    <mergeCell ref="K9:K10"/>
    <mergeCell ref="F13:F14"/>
    <mergeCell ref="G13:G14"/>
    <mergeCell ref="H13:H14"/>
    <mergeCell ref="J13:J14"/>
    <mergeCell ref="K13:K14"/>
    <mergeCell ref="H5:H6"/>
    <mergeCell ref="J5:J6"/>
    <mergeCell ref="K5:K6"/>
    <mergeCell ref="L5:L6"/>
    <mergeCell ref="F5:F6"/>
    <mergeCell ref="L9:L10"/>
    <mergeCell ref="A11:A12"/>
    <mergeCell ref="B11:B12"/>
    <mergeCell ref="C11:C12"/>
    <mergeCell ref="D11:D12"/>
    <mergeCell ref="E11:E12"/>
    <mergeCell ref="A9:A10"/>
    <mergeCell ref="B9:B10"/>
    <mergeCell ref="C9:C10"/>
    <mergeCell ref="D9:D10"/>
    <mergeCell ref="E9:E10"/>
    <mergeCell ref="F9:F10"/>
    <mergeCell ref="B1:N1"/>
    <mergeCell ref="B2:C2"/>
    <mergeCell ref="D2:F2"/>
    <mergeCell ref="G2:I2"/>
    <mergeCell ref="J2:L2"/>
    <mergeCell ref="M2:N2"/>
    <mergeCell ref="S4:V11"/>
    <mergeCell ref="A7:A8"/>
    <mergeCell ref="B7:B8"/>
    <mergeCell ref="C7:C8"/>
    <mergeCell ref="D7:D8"/>
    <mergeCell ref="E7:E8"/>
    <mergeCell ref="A5:A6"/>
    <mergeCell ref="B5:B6"/>
    <mergeCell ref="C5:C6"/>
    <mergeCell ref="D5:D6"/>
    <mergeCell ref="E5:E6"/>
    <mergeCell ref="F7:F8"/>
    <mergeCell ref="G7:G8"/>
    <mergeCell ref="H7:H8"/>
    <mergeCell ref="J7:J8"/>
    <mergeCell ref="K7:K8"/>
    <mergeCell ref="L7:L8"/>
    <mergeCell ref="G5:G6"/>
  </mergeCells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zoomScale="107" workbookViewId="0">
      <selection activeCell="D18" sqref="D18"/>
    </sheetView>
  </sheetViews>
  <sheetFormatPr baseColWidth="10" defaultColWidth="8.83203125" defaultRowHeight="14" x14ac:dyDescent="0.15"/>
  <cols>
    <col min="1" max="1" width="16.6640625" customWidth="1"/>
    <col min="2" max="3" width="15.5" customWidth="1"/>
    <col min="4" max="4" width="19.1640625" customWidth="1"/>
    <col min="5" max="5" width="14.5" customWidth="1"/>
    <col min="8" max="8" width="16.5" customWidth="1"/>
    <col min="9" max="9" width="15.5" customWidth="1"/>
  </cols>
  <sheetData>
    <row r="1" spans="1:11" x14ac:dyDescent="0.15">
      <c r="A1" s="1" t="s">
        <v>23</v>
      </c>
    </row>
    <row r="2" spans="1:11" x14ac:dyDescent="0.15">
      <c r="A2" s="1" t="s">
        <v>6</v>
      </c>
    </row>
    <row r="3" spans="1:11" x14ac:dyDescent="0.15">
      <c r="A3" s="1"/>
      <c r="B3" t="s">
        <v>5</v>
      </c>
      <c r="C3" t="s">
        <v>7</v>
      </c>
      <c r="D3" t="s">
        <v>8</v>
      </c>
      <c r="E3" t="s">
        <v>9</v>
      </c>
      <c r="H3" t="s">
        <v>25</v>
      </c>
      <c r="K3" s="1" t="s">
        <v>26</v>
      </c>
    </row>
    <row r="4" spans="1:11" x14ac:dyDescent="0.15">
      <c r="A4" t="s">
        <v>10</v>
      </c>
      <c r="B4">
        <f>62124-D4-E4</f>
        <v>59901.907576740479</v>
      </c>
      <c r="C4">
        <v>37876</v>
      </c>
      <c r="D4">
        <f>310*H6/100</f>
        <v>139.72311578755168</v>
      </c>
      <c r="E4">
        <f>62124*I6/1000</f>
        <v>2082.3693074719681</v>
      </c>
      <c r="F4">
        <f>SUM(B4:E4)</f>
        <v>100000</v>
      </c>
      <c r="H4" t="s">
        <v>15</v>
      </c>
      <c r="I4" t="s">
        <v>22</v>
      </c>
    </row>
    <row r="5" spans="1:11" x14ac:dyDescent="0.15">
      <c r="A5" t="s">
        <v>21</v>
      </c>
      <c r="B5">
        <v>0</v>
      </c>
      <c r="C5">
        <f>37876-D5-E5</f>
        <v>36603.27672476272</v>
      </c>
      <c r="D5">
        <f>1515*H9/100</f>
        <v>170.73413493001604</v>
      </c>
      <c r="E5">
        <f>32876*I6/1000</f>
        <v>1101.9891403072631</v>
      </c>
      <c r="F5">
        <f>SUM(C5:E5)</f>
        <v>37876</v>
      </c>
      <c r="H5">
        <f>-LN(1-95/100)/5</f>
        <v>0.59914645471079797</v>
      </c>
      <c r="I5">
        <f>-LN(1-288.9/1000)/10</f>
        <v>3.4094221209266466E-2</v>
      </c>
    </row>
    <row r="6" spans="1:11" x14ac:dyDescent="0.15">
      <c r="A6" t="s">
        <v>8</v>
      </c>
      <c r="B6">
        <v>0</v>
      </c>
      <c r="C6">
        <v>0</v>
      </c>
      <c r="D6">
        <v>1</v>
      </c>
      <c r="E6">
        <v>0</v>
      </c>
      <c r="H6">
        <f>(1-EXP(-H5))*100</f>
        <v>45.071972834694094</v>
      </c>
      <c r="I6">
        <f>(1-EXP(-I5))*1000</f>
        <v>33.519562608202435</v>
      </c>
      <c r="J6">
        <f>-LN(1-I6/1000)</f>
        <v>3.409422120926648E-2</v>
      </c>
    </row>
    <row r="7" spans="1:11" x14ac:dyDescent="0.15">
      <c r="A7" t="s">
        <v>9</v>
      </c>
      <c r="B7">
        <v>0</v>
      </c>
      <c r="C7">
        <v>0</v>
      </c>
      <c r="D7">
        <v>0</v>
      </c>
      <c r="E7">
        <v>1</v>
      </c>
      <c r="H7" t="s">
        <v>27</v>
      </c>
    </row>
    <row r="8" spans="1:11" x14ac:dyDescent="0.15">
      <c r="H8">
        <f>-LN(1-45/100)/5</f>
        <v>0.11956740015112408</v>
      </c>
      <c r="I8">
        <v>1.5548490284039498E-2</v>
      </c>
    </row>
    <row r="9" spans="1:11" x14ac:dyDescent="0.15">
      <c r="A9" s="26"/>
      <c r="B9" s="25" t="s">
        <v>5</v>
      </c>
      <c r="C9" s="25" t="s">
        <v>7</v>
      </c>
      <c r="D9" s="25" t="s">
        <v>8</v>
      </c>
      <c r="E9" s="25" t="s">
        <v>9</v>
      </c>
      <c r="H9">
        <f>(1-EXP(-H8))*100</f>
        <v>11.269579863367396</v>
      </c>
      <c r="I9">
        <v>15.428236570267263</v>
      </c>
    </row>
    <row r="10" spans="1:11" x14ac:dyDescent="0.15">
      <c r="A10" s="25" t="s">
        <v>10</v>
      </c>
      <c r="B10" s="25">
        <f>B4/SUM($B$4:$E$4)</f>
        <v>0.59901907576740476</v>
      </c>
      <c r="C10" s="25">
        <f>C4/SUM($B$4:$E$4)</f>
        <v>0.37875999999999999</v>
      </c>
      <c r="D10" s="25">
        <f t="shared" ref="D10" si="0">D4/SUM($B$4:$E$4)</f>
        <v>1.3972311578755168E-3</v>
      </c>
      <c r="E10" s="25">
        <f>E4/SUM($B$4:$E$4)</f>
        <v>2.0823693074719683E-2</v>
      </c>
      <c r="F10">
        <f>SUM(B10:E10)</f>
        <v>0.99999999999999989</v>
      </c>
      <c r="H10">
        <f>SUM(0.599,0.3788, 0.0014, 0.0208)</f>
        <v>1</v>
      </c>
      <c r="K10">
        <f>SUM(0.5968, 0.3788, 0.0014, 0.023)</f>
        <v>1</v>
      </c>
    </row>
    <row r="11" spans="1:11" x14ac:dyDescent="0.15">
      <c r="A11" s="25" t="s">
        <v>21</v>
      </c>
      <c r="B11" s="25">
        <f>B5/SUM($B$5:$E$5)</f>
        <v>0</v>
      </c>
      <c r="C11" s="25">
        <f t="shared" ref="C11:E11" si="1">C5/SUM($B$5:$E$5)</f>
        <v>0.9663976323994804</v>
      </c>
      <c r="D11" s="25">
        <f t="shared" si="1"/>
        <v>4.5077129298240586E-3</v>
      </c>
      <c r="E11" s="25">
        <f t="shared" si="1"/>
        <v>2.9094654670695511E-2</v>
      </c>
      <c r="F11">
        <f>SUM(C11:E11)</f>
        <v>1</v>
      </c>
      <c r="H11" s="24">
        <f>SUM(0.9664, 0.0045, 0.0291)</f>
        <v>1</v>
      </c>
      <c r="K11">
        <f>SUM(0.9633, 0.0045, 0.0322)</f>
        <v>1</v>
      </c>
    </row>
    <row r="12" spans="1:11" x14ac:dyDescent="0.15">
      <c r="A12" s="25" t="s">
        <v>8</v>
      </c>
      <c r="B12" s="25">
        <v>0</v>
      </c>
      <c r="C12" s="25">
        <v>0</v>
      </c>
      <c r="D12" s="25">
        <v>1</v>
      </c>
      <c r="E12" s="25">
        <v>0</v>
      </c>
    </row>
    <row r="13" spans="1:11" x14ac:dyDescent="0.15">
      <c r="A13" s="25" t="s">
        <v>9</v>
      </c>
      <c r="B13" s="25">
        <v>0</v>
      </c>
      <c r="C13" s="25">
        <v>0</v>
      </c>
      <c r="D13" s="25">
        <v>0</v>
      </c>
      <c r="E13" s="25">
        <v>1</v>
      </c>
    </row>
    <row r="15" spans="1:11" x14ac:dyDescent="0.15">
      <c r="A15" s="1" t="s">
        <v>24</v>
      </c>
    </row>
    <row r="16" spans="1:11" x14ac:dyDescent="0.15">
      <c r="A16" s="1"/>
      <c r="B16" t="s">
        <v>5</v>
      </c>
      <c r="C16" t="s">
        <v>7</v>
      </c>
      <c r="D16" t="s">
        <v>8</v>
      </c>
      <c r="E16" t="s">
        <v>9</v>
      </c>
    </row>
    <row r="17" spans="1:8" x14ac:dyDescent="0.15">
      <c r="A17" t="s">
        <v>10</v>
      </c>
      <c r="B17">
        <f>62074-D17-E17</f>
        <v>59757.129533004649</v>
      </c>
      <c r="C17">
        <v>37926</v>
      </c>
      <c r="D17">
        <f>524*H6/100</f>
        <v>236.17713765379705</v>
      </c>
      <c r="E17">
        <f>62074*I6/1000</f>
        <v>2080.6933293415582</v>
      </c>
      <c r="F17">
        <f>SUM(B17:E17)</f>
        <v>100000.00000000001</v>
      </c>
    </row>
    <row r="18" spans="1:8" x14ac:dyDescent="0.15">
      <c r="A18" t="s">
        <v>21</v>
      </c>
      <c r="B18">
        <v>0</v>
      </c>
      <c r="C18">
        <f>37926-D18-E18</f>
        <v>36509.359488283881</v>
      </c>
      <c r="D18">
        <f>1290*H9/100</f>
        <v>145.37758023743939</v>
      </c>
      <c r="E18">
        <f>37926*I6/1000</f>
        <v>1271.2629314786855</v>
      </c>
      <c r="F18">
        <f>SUM(B18:E18)</f>
        <v>37926</v>
      </c>
    </row>
    <row r="19" spans="1:8" x14ac:dyDescent="0.15">
      <c r="A19" t="s">
        <v>8</v>
      </c>
      <c r="B19">
        <v>0</v>
      </c>
      <c r="C19">
        <v>0</v>
      </c>
      <c r="D19">
        <v>1</v>
      </c>
      <c r="E19">
        <v>0</v>
      </c>
    </row>
    <row r="20" spans="1:8" x14ac:dyDescent="0.15">
      <c r="A20" t="s">
        <v>9</v>
      </c>
      <c r="B20">
        <v>0</v>
      </c>
      <c r="C20">
        <v>0</v>
      </c>
      <c r="D20">
        <v>0</v>
      </c>
      <c r="E20">
        <v>1</v>
      </c>
    </row>
    <row r="22" spans="1:8" x14ac:dyDescent="0.15">
      <c r="A22" s="25"/>
      <c r="B22" s="25" t="s">
        <v>5</v>
      </c>
      <c r="C22" s="25" t="s">
        <v>7</v>
      </c>
      <c r="D22" s="25" t="s">
        <v>8</v>
      </c>
      <c r="E22" s="25" t="s">
        <v>9</v>
      </c>
    </row>
    <row r="23" spans="1:8" x14ac:dyDescent="0.15">
      <c r="A23" s="25" t="s">
        <v>10</v>
      </c>
      <c r="B23" s="25">
        <f>B17/SUM($B$17:$E$17)</f>
        <v>0.59757129533004638</v>
      </c>
      <c r="C23" s="25">
        <f t="shared" ref="C23:E23" si="2">C17/SUM($B$17:$E$17)</f>
        <v>0.37925999999999993</v>
      </c>
      <c r="D23" s="25">
        <f t="shared" si="2"/>
        <v>2.36177137653797E-3</v>
      </c>
      <c r="E23" s="25">
        <f t="shared" si="2"/>
        <v>2.080693329341558E-2</v>
      </c>
      <c r="F23">
        <f>SUM(B23:E23)</f>
        <v>0.99999999999999978</v>
      </c>
      <c r="H23" s="24">
        <f>SUM(0.5976, 0.3792, 0.0024, 0.0208)</f>
        <v>1</v>
      </c>
    </row>
    <row r="24" spans="1:8" x14ac:dyDescent="0.15">
      <c r="A24" s="25" t="s">
        <v>21</v>
      </c>
      <c r="B24" s="25">
        <f>B18/SUM($B$18:$E$18)</f>
        <v>0</v>
      </c>
      <c r="C24" s="25">
        <f t="shared" ref="C24:E24" si="3">C18/SUM($B$18:$E$18)</f>
        <v>0.96264724696208093</v>
      </c>
      <c r="D24" s="25">
        <f t="shared" si="3"/>
        <v>3.833190429716801E-3</v>
      </c>
      <c r="E24" s="25">
        <f t="shared" si="3"/>
        <v>3.3519562608202436E-2</v>
      </c>
      <c r="F24">
        <f>SUM(B24:E24)</f>
        <v>1</v>
      </c>
      <c r="H24" s="24">
        <f>SUM(0.9626, 0.0038, 0.0335)</f>
        <v>0.99990000000000001</v>
      </c>
    </row>
    <row r="25" spans="1:8" x14ac:dyDescent="0.15">
      <c r="A25" s="25" t="s">
        <v>8</v>
      </c>
      <c r="B25" s="25">
        <v>0</v>
      </c>
      <c r="C25" s="25">
        <v>0</v>
      </c>
      <c r="D25" s="25">
        <v>1</v>
      </c>
      <c r="E25" s="25">
        <v>0</v>
      </c>
    </row>
    <row r="26" spans="1:8" x14ac:dyDescent="0.15">
      <c r="A26" s="25" t="s">
        <v>9</v>
      </c>
      <c r="B26" s="25">
        <v>0</v>
      </c>
      <c r="C26" s="25">
        <v>0</v>
      </c>
      <c r="D26" s="25">
        <v>0</v>
      </c>
      <c r="E26" s="25">
        <v>1</v>
      </c>
    </row>
    <row r="28" spans="1:8" x14ac:dyDescent="0.15">
      <c r="A28" s="2" t="s">
        <v>28</v>
      </c>
    </row>
    <row r="29" spans="1:8" x14ac:dyDescent="0.15">
      <c r="A29" s="1" t="s">
        <v>6</v>
      </c>
    </row>
    <row r="30" spans="1:8" x14ac:dyDescent="0.15">
      <c r="B30" t="s">
        <v>5</v>
      </c>
      <c r="C30" t="s">
        <v>7</v>
      </c>
      <c r="D30" t="s">
        <v>8</v>
      </c>
    </row>
    <row r="31" spans="1:8" x14ac:dyDescent="0.15">
      <c r="A31" t="s">
        <v>10</v>
      </c>
      <c r="B31">
        <f>62124-D31</f>
        <v>61984.27688421245</v>
      </c>
      <c r="C31">
        <v>37876</v>
      </c>
      <c r="D31">
        <f>310*H6/100</f>
        <v>139.72311578755168</v>
      </c>
      <c r="E31">
        <f>SUM(B31:D31)</f>
        <v>100000</v>
      </c>
    </row>
    <row r="32" spans="1:8" x14ac:dyDescent="0.15">
      <c r="A32" t="s">
        <v>21</v>
      </c>
      <c r="B32">
        <v>0</v>
      </c>
      <c r="C32">
        <f>37876-D32</f>
        <v>37705.265865069981</v>
      </c>
      <c r="D32">
        <f>1515*H9/100</f>
        <v>170.73413493001604</v>
      </c>
      <c r="E32">
        <f>SUM(B32:D32)</f>
        <v>37876</v>
      </c>
    </row>
    <row r="33" spans="1:7" x14ac:dyDescent="0.15">
      <c r="A33" t="s">
        <v>8</v>
      </c>
      <c r="B33">
        <v>0</v>
      </c>
      <c r="C33">
        <v>0</v>
      </c>
      <c r="D33">
        <v>1</v>
      </c>
    </row>
    <row r="35" spans="1:7" x14ac:dyDescent="0.15">
      <c r="A35" s="3"/>
      <c r="B35" s="3" t="s">
        <v>5</v>
      </c>
      <c r="C35" s="3" t="s">
        <v>7</v>
      </c>
      <c r="D35" s="3" t="s">
        <v>8</v>
      </c>
      <c r="E35" s="3"/>
    </row>
    <row r="36" spans="1:7" x14ac:dyDescent="0.15">
      <c r="A36" s="3" t="s">
        <v>10</v>
      </c>
      <c r="B36" s="5">
        <f>B31/SUM($B$31:$D$31)</f>
        <v>0.61984276884212453</v>
      </c>
      <c r="C36" s="5">
        <f t="shared" ref="C36:D36" si="4">C31/SUM($B$31:$D$31)</f>
        <v>0.37875999999999999</v>
      </c>
      <c r="D36" s="5">
        <f t="shared" si="4"/>
        <v>1.3972311578755168E-3</v>
      </c>
      <c r="E36" s="3">
        <f>SUM(B36:D36)</f>
        <v>1</v>
      </c>
    </row>
    <row r="37" spans="1:7" x14ac:dyDescent="0.15">
      <c r="A37" s="3" t="s">
        <v>21</v>
      </c>
      <c r="B37" s="5">
        <f>B32/SUM($B$32:$D$32)</f>
        <v>0</v>
      </c>
      <c r="C37" s="5">
        <f t="shared" ref="C37:D37" si="5">C32/SUM($B$32:$D$32)</f>
        <v>0.9954922870701759</v>
      </c>
      <c r="D37" s="5">
        <f t="shared" si="5"/>
        <v>4.5077129298240586E-3</v>
      </c>
      <c r="E37" s="3">
        <f t="shared" ref="E37:E38" si="6">SUM(B37:D37)</f>
        <v>1</v>
      </c>
      <c r="G37" s="6">
        <f>SUM(D36:D37)</f>
        <v>5.9049440876995755E-3</v>
      </c>
    </row>
    <row r="38" spans="1:7" x14ac:dyDescent="0.15">
      <c r="A38" s="3" t="s">
        <v>8</v>
      </c>
      <c r="B38" s="5">
        <v>0</v>
      </c>
      <c r="C38" s="5">
        <v>0</v>
      </c>
      <c r="D38" s="5">
        <v>1</v>
      </c>
      <c r="E38" s="3">
        <f t="shared" si="6"/>
        <v>1</v>
      </c>
    </row>
    <row r="40" spans="1:7" x14ac:dyDescent="0.15">
      <c r="A40" s="1" t="s">
        <v>24</v>
      </c>
    </row>
    <row r="41" spans="1:7" x14ac:dyDescent="0.15">
      <c r="A41" s="1"/>
      <c r="B41" t="s">
        <v>5</v>
      </c>
      <c r="C41" t="s">
        <v>7</v>
      </c>
      <c r="D41" t="s">
        <v>8</v>
      </c>
    </row>
    <row r="42" spans="1:7" x14ac:dyDescent="0.15">
      <c r="A42" t="s">
        <v>10</v>
      </c>
      <c r="B42">
        <f>62074-D42</f>
        <v>61837.822862346206</v>
      </c>
      <c r="C42">
        <v>37926</v>
      </c>
      <c r="D42">
        <f>524*H6/100</f>
        <v>236.17713765379705</v>
      </c>
      <c r="E42">
        <f>SUM(B42:D42)</f>
        <v>100000</v>
      </c>
    </row>
    <row r="43" spans="1:7" x14ac:dyDescent="0.15">
      <c r="A43" t="s">
        <v>21</v>
      </c>
      <c r="B43">
        <v>0</v>
      </c>
      <c r="C43">
        <f>37926-D43</f>
        <v>37780.622419762563</v>
      </c>
      <c r="D43">
        <f>1290*H9/100</f>
        <v>145.37758023743939</v>
      </c>
      <c r="E43">
        <f t="shared" ref="E43" si="7">SUM(B43:D43)</f>
        <v>37926</v>
      </c>
    </row>
    <row r="44" spans="1:7" x14ac:dyDescent="0.15">
      <c r="A44" t="s">
        <v>8</v>
      </c>
      <c r="B44">
        <v>0</v>
      </c>
      <c r="C44">
        <v>0</v>
      </c>
      <c r="D44">
        <v>1</v>
      </c>
    </row>
    <row r="46" spans="1:7" x14ac:dyDescent="0.15">
      <c r="A46" s="4"/>
      <c r="B46" s="3" t="s">
        <v>5</v>
      </c>
      <c r="C46" s="3" t="s">
        <v>7</v>
      </c>
      <c r="D46" s="3" t="s">
        <v>8</v>
      </c>
    </row>
    <row r="47" spans="1:7" x14ac:dyDescent="0.15">
      <c r="A47" s="3" t="s">
        <v>10</v>
      </c>
      <c r="B47" s="5">
        <f>B42/SUM($B42:$D$42)</f>
        <v>0.61837822862346203</v>
      </c>
      <c r="C47" s="5">
        <f>C42/SUM($B42:$D$42)</f>
        <v>0.37925999999999999</v>
      </c>
      <c r="D47" s="5">
        <f>D42/SUM($B42:$D$42)</f>
        <v>2.3617713765379704E-3</v>
      </c>
      <c r="E47">
        <f>SUM(B47:D47)</f>
        <v>0.99999999999999989</v>
      </c>
    </row>
    <row r="48" spans="1:7" x14ac:dyDescent="0.15">
      <c r="A48" s="3" t="s">
        <v>21</v>
      </c>
      <c r="B48" s="5">
        <f>B43/SUM($B43:$D$43)</f>
        <v>0</v>
      </c>
      <c r="C48" s="5">
        <f>C43/SUM($B43:$D$43)</f>
        <v>0.99616680957028325</v>
      </c>
      <c r="D48" s="5">
        <f>D43/SUM($B43:$D$43)</f>
        <v>3.833190429716801E-3</v>
      </c>
      <c r="E48">
        <f>SUM(B48:D48)</f>
        <v>1</v>
      </c>
      <c r="G48" s="6">
        <f>SUM(D47:D48)</f>
        <v>6.1949618062547718E-3</v>
      </c>
    </row>
    <row r="49" spans="1:4" x14ac:dyDescent="0.15">
      <c r="A49" s="3" t="s">
        <v>8</v>
      </c>
      <c r="B49" s="5">
        <v>0</v>
      </c>
      <c r="C49" s="5">
        <v>0</v>
      </c>
      <c r="D49" s="5">
        <v>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25" zoomScale="200" workbookViewId="0">
      <selection activeCell="F12" sqref="F12"/>
    </sheetView>
  </sheetViews>
  <sheetFormatPr baseColWidth="10" defaultRowHeight="14" x14ac:dyDescent="0.15"/>
  <cols>
    <col min="1" max="1" width="24.83203125" customWidth="1"/>
  </cols>
  <sheetData>
    <row r="1" spans="1:11" x14ac:dyDescent="0.15">
      <c r="A1" s="1" t="s">
        <v>23</v>
      </c>
    </row>
    <row r="2" spans="1:11" x14ac:dyDescent="0.15">
      <c r="A2" s="1" t="s">
        <v>6</v>
      </c>
    </row>
    <row r="3" spans="1:11" x14ac:dyDescent="0.15">
      <c r="A3" s="1"/>
      <c r="B3" t="s">
        <v>5</v>
      </c>
      <c r="C3" t="s">
        <v>7</v>
      </c>
      <c r="D3" t="s">
        <v>8</v>
      </c>
      <c r="E3" t="s">
        <v>9</v>
      </c>
      <c r="H3" t="s">
        <v>25</v>
      </c>
      <c r="K3" s="1" t="s">
        <v>26</v>
      </c>
    </row>
    <row r="4" spans="1:11" x14ac:dyDescent="0.15">
      <c r="A4" t="s">
        <v>10</v>
      </c>
      <c r="B4">
        <f>62124-D4-E4</f>
        <v>61070.326472183791</v>
      </c>
      <c r="C4">
        <v>37876</v>
      </c>
      <c r="D4">
        <f>310*H6/100</f>
        <v>139.72311578755168</v>
      </c>
      <c r="E4">
        <f>62124*I6/1000</f>
        <v>913.95041202866003</v>
      </c>
      <c r="F4">
        <f>SUM(B4:E4)</f>
        <v>100000</v>
      </c>
      <c r="H4" t="s">
        <v>15</v>
      </c>
      <c r="I4" t="s">
        <v>22</v>
      </c>
    </row>
    <row r="5" spans="1:11" x14ac:dyDescent="0.15">
      <c r="A5" t="s">
        <v>21</v>
      </c>
      <c r="B5">
        <v>0</v>
      </c>
      <c r="C5">
        <f>37876-D5-E5</f>
        <v>37221.603613028026</v>
      </c>
      <c r="D5">
        <f>1515*H9/100</f>
        <v>170.73413493001604</v>
      </c>
      <c r="E5">
        <f>32876*I6/1000</f>
        <v>483.66225204195206</v>
      </c>
      <c r="F5">
        <f>SUM(C5:E5)</f>
        <v>37876</v>
      </c>
      <c r="H5">
        <f>-LN(1-95/100)/5</f>
        <v>0.59914645471079797</v>
      </c>
      <c r="I5">
        <f>-LN(1-137.75/1000)/10</f>
        <v>1.4821002716518681E-2</v>
      </c>
    </row>
    <row r="6" spans="1:11" x14ac:dyDescent="0.15">
      <c r="A6" t="s">
        <v>8</v>
      </c>
      <c r="B6">
        <v>0</v>
      </c>
      <c r="C6">
        <v>0</v>
      </c>
      <c r="D6">
        <v>1</v>
      </c>
      <c r="E6">
        <v>0</v>
      </c>
      <c r="H6">
        <f>(1-EXP(-H5))*100</f>
        <v>45.071972834694094</v>
      </c>
      <c r="I6">
        <f>(1-EXP(-I5))*1000</f>
        <v>14.711712253374865</v>
      </c>
      <c r="J6">
        <f>-LN(1-I6/1000)</f>
        <v>1.4821002716518639E-2</v>
      </c>
    </row>
    <row r="7" spans="1:11" x14ac:dyDescent="0.15">
      <c r="A7" t="s">
        <v>9</v>
      </c>
      <c r="B7">
        <v>0</v>
      </c>
      <c r="C7">
        <v>0</v>
      </c>
      <c r="D7">
        <v>0</v>
      </c>
      <c r="E7">
        <v>1</v>
      </c>
      <c r="H7" t="s">
        <v>27</v>
      </c>
    </row>
    <row r="8" spans="1:11" x14ac:dyDescent="0.15">
      <c r="H8">
        <f>-LN(1-45/100)/5</f>
        <v>0.11956740015112408</v>
      </c>
      <c r="I8">
        <v>1.5548490284039498E-2</v>
      </c>
    </row>
    <row r="9" spans="1:11" x14ac:dyDescent="0.15">
      <c r="A9" s="22"/>
      <c r="B9" s="23" t="s">
        <v>5</v>
      </c>
      <c r="C9" s="23" t="s">
        <v>7</v>
      </c>
      <c r="D9" s="23" t="s">
        <v>8</v>
      </c>
      <c r="E9" s="23" t="s">
        <v>9</v>
      </c>
      <c r="H9">
        <f>(1-EXP(-H8))*100</f>
        <v>11.269579863367396</v>
      </c>
      <c r="I9">
        <v>15.428236570267263</v>
      </c>
    </row>
    <row r="10" spans="1:11" x14ac:dyDescent="0.15">
      <c r="A10" s="23" t="s">
        <v>10</v>
      </c>
      <c r="B10" s="23">
        <f>B4/SUM($B$4:$E$4)</f>
        <v>0.61070326472183789</v>
      </c>
      <c r="C10" s="23">
        <f>C4/SUM($B$4:$E$4)</f>
        <v>0.37875999999999999</v>
      </c>
      <c r="D10" s="23">
        <f t="shared" ref="D10" si="0">D4/SUM($B$4:$E$4)</f>
        <v>1.3972311578755168E-3</v>
      </c>
      <c r="E10" s="23">
        <f>E4/SUM($B$4:$E$4)</f>
        <v>9.1395041202865998E-3</v>
      </c>
      <c r="F10">
        <f>SUM(B10:E10)</f>
        <v>1</v>
      </c>
      <c r="H10">
        <f>SUM(0.599,0.3788, 0.0014, 0.0208)</f>
        <v>1</v>
      </c>
      <c r="K10">
        <f>SUM(0.5968, 0.3788, 0.0014, 0.023)</f>
        <v>1</v>
      </c>
    </row>
    <row r="11" spans="1:11" x14ac:dyDescent="0.15">
      <c r="A11" s="23" t="s">
        <v>21</v>
      </c>
      <c r="B11" s="23">
        <f>B5/SUM($B$5:$E$5)</f>
        <v>0</v>
      </c>
      <c r="C11" s="23">
        <f t="shared" ref="C11:E11" si="1">C5/SUM($B$5:$E$5)</f>
        <v>0.98272266377199347</v>
      </c>
      <c r="D11" s="23">
        <f t="shared" si="1"/>
        <v>4.5077129298240586E-3</v>
      </c>
      <c r="E11" s="23">
        <f t="shared" si="1"/>
        <v>1.276962329818228E-2</v>
      </c>
      <c r="F11">
        <f>SUM(C11:E11)</f>
        <v>0.99999999999999989</v>
      </c>
      <c r="H11" s="24">
        <f>SUM(0.9664, 0.0045, 0.0291)</f>
        <v>1</v>
      </c>
      <c r="K11">
        <f>SUM(0.9633, 0.0045, 0.0322)</f>
        <v>1</v>
      </c>
    </row>
    <row r="12" spans="1:11" x14ac:dyDescent="0.15">
      <c r="A12" s="23" t="s">
        <v>8</v>
      </c>
      <c r="B12" s="23">
        <v>0</v>
      </c>
      <c r="C12" s="23">
        <v>0</v>
      </c>
      <c r="D12" s="23">
        <v>1</v>
      </c>
      <c r="E12" s="23">
        <v>0</v>
      </c>
    </row>
    <row r="13" spans="1:11" x14ac:dyDescent="0.15">
      <c r="A13" s="23" t="s">
        <v>9</v>
      </c>
      <c r="B13" s="23">
        <v>0</v>
      </c>
      <c r="C13" s="23">
        <v>0</v>
      </c>
      <c r="D13" s="23">
        <v>0</v>
      </c>
      <c r="E13" s="23">
        <v>1</v>
      </c>
    </row>
    <row r="15" spans="1:11" x14ac:dyDescent="0.15">
      <c r="A15" s="1" t="s">
        <v>24</v>
      </c>
    </row>
    <row r="16" spans="1:11" x14ac:dyDescent="0.15">
      <c r="A16" s="1"/>
      <c r="B16" t="s">
        <v>5</v>
      </c>
      <c r="C16" t="s">
        <v>7</v>
      </c>
      <c r="D16" t="s">
        <v>8</v>
      </c>
      <c r="E16" t="s">
        <v>9</v>
      </c>
    </row>
    <row r="17" spans="1:8" x14ac:dyDescent="0.15">
      <c r="A17" t="s">
        <v>10</v>
      </c>
      <c r="B17">
        <f>62074-D17-E17</f>
        <v>60924.608035930214</v>
      </c>
      <c r="C17">
        <v>37926</v>
      </c>
      <c r="D17">
        <f>524*H6/100</f>
        <v>236.17713765379705</v>
      </c>
      <c r="E17">
        <f>62074*I6/1000</f>
        <v>913.2148264159913</v>
      </c>
      <c r="F17">
        <f>SUM(B17:E17)</f>
        <v>100000</v>
      </c>
    </row>
    <row r="18" spans="1:8" x14ac:dyDescent="0.15">
      <c r="A18" t="s">
        <v>21</v>
      </c>
      <c r="B18">
        <v>0</v>
      </c>
      <c r="C18">
        <f>37926-D18-E18</f>
        <v>37222.666020841069</v>
      </c>
      <c r="D18">
        <f>1290*H9/100</f>
        <v>145.37758023743939</v>
      </c>
      <c r="E18">
        <f>37926*I6/1000</f>
        <v>557.95639892149507</v>
      </c>
      <c r="F18">
        <f>SUM(B18:E18)</f>
        <v>37926</v>
      </c>
    </row>
    <row r="19" spans="1:8" x14ac:dyDescent="0.15">
      <c r="A19" t="s">
        <v>8</v>
      </c>
      <c r="B19">
        <v>0</v>
      </c>
      <c r="C19">
        <v>0</v>
      </c>
      <c r="D19">
        <v>1</v>
      </c>
      <c r="E19">
        <v>0</v>
      </c>
    </row>
    <row r="20" spans="1:8" x14ac:dyDescent="0.15">
      <c r="A20" t="s">
        <v>9</v>
      </c>
      <c r="B20">
        <v>0</v>
      </c>
      <c r="C20">
        <v>0</v>
      </c>
      <c r="D20">
        <v>0</v>
      </c>
      <c r="E20">
        <v>1</v>
      </c>
    </row>
    <row r="22" spans="1:8" x14ac:dyDescent="0.15">
      <c r="A22" s="23"/>
      <c r="B22" s="23" t="s">
        <v>5</v>
      </c>
      <c r="C22" s="23" t="s">
        <v>7</v>
      </c>
      <c r="D22" s="23" t="s">
        <v>8</v>
      </c>
      <c r="E22" s="23" t="s">
        <v>9</v>
      </c>
    </row>
    <row r="23" spans="1:8" x14ac:dyDescent="0.15">
      <c r="A23" s="23" t="s">
        <v>10</v>
      </c>
      <c r="B23" s="23">
        <f>B17/SUM($B$17:$E$17)</f>
        <v>0.60924608035930217</v>
      </c>
      <c r="C23" s="23">
        <f t="shared" ref="C23:E23" si="2">C17/SUM($B$17:$E$17)</f>
        <v>0.37925999999999999</v>
      </c>
      <c r="D23" s="23">
        <f t="shared" si="2"/>
        <v>2.3617713765379704E-3</v>
      </c>
      <c r="E23" s="23">
        <f t="shared" si="2"/>
        <v>9.1321482641599123E-3</v>
      </c>
      <c r="F23">
        <f>SUM(B23:E23)</f>
        <v>1</v>
      </c>
      <c r="H23" s="24">
        <f>SUM(0.5976, 0.3792, 0.0024, 0.0208)</f>
        <v>1</v>
      </c>
    </row>
    <row r="24" spans="1:8" x14ac:dyDescent="0.15">
      <c r="A24" s="23" t="s">
        <v>21</v>
      </c>
      <c r="B24" s="23">
        <f>B18/SUM($B$18:$E$18)</f>
        <v>0</v>
      </c>
      <c r="C24" s="23">
        <f t="shared" ref="C24:E24" si="3">C18/SUM($B$18:$E$18)</f>
        <v>0.98145509731690839</v>
      </c>
      <c r="D24" s="23">
        <f t="shared" si="3"/>
        <v>3.833190429716801E-3</v>
      </c>
      <c r="E24" s="23">
        <f t="shared" si="3"/>
        <v>1.4711712253374863E-2</v>
      </c>
      <c r="F24">
        <f>SUM(B24:E24)</f>
        <v>1</v>
      </c>
      <c r="H24" s="24">
        <f>SUM(0.9626, 0.0038, 0.0335)</f>
        <v>0.99990000000000001</v>
      </c>
    </row>
    <row r="25" spans="1:8" x14ac:dyDescent="0.15">
      <c r="A25" s="23" t="s">
        <v>8</v>
      </c>
      <c r="B25" s="23">
        <v>0</v>
      </c>
      <c r="C25" s="23">
        <v>0</v>
      </c>
      <c r="D25" s="23">
        <v>1</v>
      </c>
      <c r="E25" s="23">
        <v>0</v>
      </c>
    </row>
    <row r="26" spans="1:8" x14ac:dyDescent="0.15">
      <c r="A26" s="23" t="s">
        <v>9</v>
      </c>
      <c r="B26" s="23">
        <v>0</v>
      </c>
      <c r="C26" s="23">
        <v>0</v>
      </c>
      <c r="D26" s="23">
        <v>0</v>
      </c>
      <c r="E26" s="23">
        <v>1</v>
      </c>
    </row>
    <row r="32" spans="1:8" x14ac:dyDescent="0.15">
      <c r="C32" s="20" t="s">
        <v>6</v>
      </c>
      <c r="D32" s="20" t="s">
        <v>24</v>
      </c>
    </row>
    <row r="33" spans="1:4" x14ac:dyDescent="0.15">
      <c r="A33" t="s">
        <v>179</v>
      </c>
      <c r="B33">
        <v>89</v>
      </c>
    </row>
    <row r="34" spans="1:4" x14ac:dyDescent="0.15">
      <c r="A34" t="s">
        <v>178</v>
      </c>
      <c r="B34">
        <f>AVERAGE(473, 276, 208, 157, 366)</f>
        <v>296</v>
      </c>
      <c r="C34">
        <f>385*F40</f>
        <v>0</v>
      </c>
      <c r="D34">
        <f>SUM(B33:B34)</f>
        <v>385</v>
      </c>
    </row>
    <row r="35" spans="1:4" x14ac:dyDescent="0.15">
      <c r="A35" t="s">
        <v>180</v>
      </c>
      <c r="B35">
        <f>AVERAGE(21647, 685, 519,582, 487)</f>
        <v>4784</v>
      </c>
      <c r="C35">
        <f>SUM(B35:B38)</f>
        <v>50270</v>
      </c>
    </row>
    <row r="36" spans="1:4" x14ac:dyDescent="0.15">
      <c r="A36" t="s">
        <v>181</v>
      </c>
      <c r="B36">
        <f>AVERAGE(16650, 10011)</f>
        <v>13330.5</v>
      </c>
    </row>
    <row r="37" spans="1:4" x14ac:dyDescent="0.15">
      <c r="A37" t="s">
        <v>182</v>
      </c>
      <c r="B37">
        <f>AVERAGE(28888,19863)</f>
        <v>24375.5</v>
      </c>
    </row>
    <row r="38" spans="1:4" x14ac:dyDescent="0.15">
      <c r="A38" t="s">
        <v>183</v>
      </c>
      <c r="B38">
        <f>7780</f>
        <v>7780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2" zoomScale="193" workbookViewId="0">
      <selection activeCell="B38" sqref="B38"/>
    </sheetView>
  </sheetViews>
  <sheetFormatPr baseColWidth="10" defaultRowHeight="14" x14ac:dyDescent="0.15"/>
  <cols>
    <col min="2" max="2" width="30.5" customWidth="1"/>
  </cols>
  <sheetData>
    <row r="1" spans="1:11" x14ac:dyDescent="0.15">
      <c r="A1" s="1" t="s">
        <v>23</v>
      </c>
    </row>
    <row r="2" spans="1:11" x14ac:dyDescent="0.15">
      <c r="A2" s="1" t="s">
        <v>6</v>
      </c>
    </row>
    <row r="3" spans="1:11" x14ac:dyDescent="0.15">
      <c r="A3" s="1"/>
      <c r="B3" t="s">
        <v>5</v>
      </c>
      <c r="C3" t="s">
        <v>7</v>
      </c>
      <c r="D3" t="s">
        <v>8</v>
      </c>
      <c r="E3" t="s">
        <v>9</v>
      </c>
      <c r="H3" t="s">
        <v>25</v>
      </c>
      <c r="K3" s="1" t="s">
        <v>26</v>
      </c>
    </row>
    <row r="4" spans="1:11" x14ac:dyDescent="0.15">
      <c r="A4" t="s">
        <v>10</v>
      </c>
      <c r="B4">
        <f>62124-D4-E4</f>
        <v>59369.480880684387</v>
      </c>
      <c r="C4">
        <v>37876</v>
      </c>
      <c r="D4">
        <f>310*H6/100</f>
        <v>139.72311578755168</v>
      </c>
      <c r="E4">
        <f>62124*I6/1000</f>
        <v>2614.7960035280662</v>
      </c>
      <c r="F4">
        <f>SUM(B4:E4)</f>
        <v>100000.00000000001</v>
      </c>
      <c r="H4" t="s">
        <v>15</v>
      </c>
      <c r="I4" t="s">
        <v>22</v>
      </c>
    </row>
    <row r="5" spans="1:11" x14ac:dyDescent="0.15">
      <c r="A5" t="s">
        <v>21</v>
      </c>
      <c r="B5">
        <v>0</v>
      </c>
      <c r="C5">
        <f>37876-D5-E5</f>
        <v>36321.516695473874</v>
      </c>
      <c r="D5">
        <f>1515*H9/100</f>
        <v>170.73413493001604</v>
      </c>
      <c r="E5">
        <f>32876*I6/1000</f>
        <v>1383.7491695961094</v>
      </c>
      <c r="F5">
        <f>SUM(C5:E5)</f>
        <v>37876</v>
      </c>
      <c r="H5">
        <f>-LN(1-95/100)/5</f>
        <v>0.59914645471079797</v>
      </c>
      <c r="I5">
        <f>-LN(1-349.5/1000)/10</f>
        <v>4.3001398102957694E-2</v>
      </c>
    </row>
    <row r="6" spans="1:11" x14ac:dyDescent="0.15">
      <c r="A6" t="s">
        <v>8</v>
      </c>
      <c r="B6">
        <v>0</v>
      </c>
      <c r="C6">
        <v>0</v>
      </c>
      <c r="D6">
        <v>1</v>
      </c>
      <c r="E6">
        <v>0</v>
      </c>
      <c r="H6">
        <f>(1-EXP(-H5))*100</f>
        <v>45.071972834694094</v>
      </c>
      <c r="I6">
        <f>(1-EXP(-I5))*1000</f>
        <v>42.089949190780793</v>
      </c>
      <c r="J6">
        <f>-LN(1-I6/1000)</f>
        <v>4.3001398102957708E-2</v>
      </c>
    </row>
    <row r="7" spans="1:11" x14ac:dyDescent="0.15">
      <c r="A7" t="s">
        <v>9</v>
      </c>
      <c r="B7">
        <v>0</v>
      </c>
      <c r="C7">
        <v>0</v>
      </c>
      <c r="D7">
        <v>0</v>
      </c>
      <c r="E7">
        <v>1</v>
      </c>
      <c r="H7" t="s">
        <v>27</v>
      </c>
    </row>
    <row r="8" spans="1:11" x14ac:dyDescent="0.15">
      <c r="H8">
        <f>-LN(1-45/100)/5</f>
        <v>0.11956740015112408</v>
      </c>
      <c r="I8">
        <v>1.5548490284039498E-2</v>
      </c>
    </row>
    <row r="9" spans="1:11" x14ac:dyDescent="0.15">
      <c r="A9" s="22"/>
      <c r="B9" s="23" t="s">
        <v>5</v>
      </c>
      <c r="C9" s="23" t="s">
        <v>7</v>
      </c>
      <c r="D9" s="23" t="s">
        <v>8</v>
      </c>
      <c r="E9" s="23" t="s">
        <v>9</v>
      </c>
      <c r="H9">
        <f>(1-EXP(-H8))*100</f>
        <v>11.269579863367396</v>
      </c>
      <c r="I9">
        <v>15.428236570267263</v>
      </c>
    </row>
    <row r="10" spans="1:11" x14ac:dyDescent="0.15">
      <c r="A10" s="23" t="s">
        <v>10</v>
      </c>
      <c r="B10" s="23">
        <f>B4/SUM($B$4:$E$4)</f>
        <v>0.59369480880684378</v>
      </c>
      <c r="C10" s="23">
        <f>C4/SUM($B$4:$E$4)</f>
        <v>0.37875999999999993</v>
      </c>
      <c r="D10" s="23">
        <f t="shared" ref="D10" si="0">D4/SUM($B$4:$E$4)</f>
        <v>1.3972311578755166E-3</v>
      </c>
      <c r="E10" s="23">
        <f>E4/SUM($B$4:$E$4)</f>
        <v>2.6147960035280658E-2</v>
      </c>
      <c r="F10">
        <f>SUM(B10:E10)</f>
        <v>0.99999999999999978</v>
      </c>
      <c r="H10">
        <f>SUM(0.599,0.3788, 0.0014, 0.0208)</f>
        <v>1</v>
      </c>
      <c r="K10">
        <f>SUM(0.5968, 0.3788, 0.0014, 0.023)</f>
        <v>1</v>
      </c>
    </row>
    <row r="11" spans="1:11" x14ac:dyDescent="0.15">
      <c r="A11" s="23" t="s">
        <v>21</v>
      </c>
      <c r="B11" s="23">
        <f>B5/SUM($B$5:$E$5)</f>
        <v>0</v>
      </c>
      <c r="C11" s="23">
        <f t="shared" ref="C11:E11" si="1">C5/SUM($B$5:$E$5)</f>
        <v>0.9589586201149507</v>
      </c>
      <c r="D11" s="23">
        <f t="shared" si="1"/>
        <v>4.5077129298240586E-3</v>
      </c>
      <c r="E11" s="23">
        <f t="shared" si="1"/>
        <v>3.653366695522519E-2</v>
      </c>
      <c r="F11">
        <f>SUM(C11:E11)</f>
        <v>1</v>
      </c>
      <c r="H11" s="24">
        <f>SUM(0.9664, 0.0045, 0.0291)</f>
        <v>1</v>
      </c>
      <c r="K11">
        <f>SUM(0.9633, 0.0045, 0.0322)</f>
        <v>1</v>
      </c>
    </row>
    <row r="12" spans="1:11" x14ac:dyDescent="0.15">
      <c r="A12" s="23" t="s">
        <v>8</v>
      </c>
      <c r="B12" s="23">
        <v>0</v>
      </c>
      <c r="C12" s="23">
        <v>0</v>
      </c>
      <c r="D12" s="23">
        <v>1</v>
      </c>
      <c r="E12" s="23">
        <v>0</v>
      </c>
    </row>
    <row r="13" spans="1:11" x14ac:dyDescent="0.15">
      <c r="A13" s="23" t="s">
        <v>9</v>
      </c>
      <c r="B13" s="23">
        <v>0</v>
      </c>
      <c r="C13" s="23">
        <v>0</v>
      </c>
      <c r="D13" s="23">
        <v>0</v>
      </c>
      <c r="E13" s="23">
        <v>1</v>
      </c>
    </row>
    <row r="15" spans="1:11" x14ac:dyDescent="0.15">
      <c r="A15" s="1" t="s">
        <v>24</v>
      </c>
    </row>
    <row r="16" spans="1:11" x14ac:dyDescent="0.15">
      <c r="A16" s="1"/>
      <c r="B16" t="s">
        <v>5</v>
      </c>
      <c r="C16" t="s">
        <v>7</v>
      </c>
      <c r="D16" t="s">
        <v>8</v>
      </c>
      <c r="E16" t="s">
        <v>9</v>
      </c>
    </row>
    <row r="17" spans="1:8" x14ac:dyDescent="0.15">
      <c r="A17" t="s">
        <v>10</v>
      </c>
      <c r="B17">
        <f>62074-D17-E17</f>
        <v>59225.131356277678</v>
      </c>
      <c r="C17">
        <v>37926</v>
      </c>
      <c r="D17">
        <f>524*H6/100</f>
        <v>236.17713765379705</v>
      </c>
      <c r="E17">
        <f>62074*I6/1000</f>
        <v>2612.6915060685269</v>
      </c>
      <c r="F17">
        <f>SUM(B17:E17)</f>
        <v>100000</v>
      </c>
    </row>
    <row r="18" spans="1:8" x14ac:dyDescent="0.15">
      <c r="A18" t="s">
        <v>21</v>
      </c>
      <c r="B18">
        <v>0</v>
      </c>
      <c r="C18">
        <f>37926-D18-E18</f>
        <v>36184.319006753009</v>
      </c>
      <c r="D18">
        <f>1290*H9/100</f>
        <v>145.37758023743939</v>
      </c>
      <c r="E18">
        <f>37926*I6/1000</f>
        <v>1596.3034130095523</v>
      </c>
      <c r="F18">
        <f>SUM(B18:E18)</f>
        <v>37926</v>
      </c>
    </row>
    <row r="19" spans="1:8" x14ac:dyDescent="0.15">
      <c r="A19" t="s">
        <v>8</v>
      </c>
      <c r="B19">
        <v>0</v>
      </c>
      <c r="C19">
        <v>0</v>
      </c>
      <c r="D19">
        <v>1</v>
      </c>
      <c r="E19">
        <v>0</v>
      </c>
    </row>
    <row r="20" spans="1:8" x14ac:dyDescent="0.15">
      <c r="A20" t="s">
        <v>9</v>
      </c>
      <c r="B20">
        <v>0</v>
      </c>
      <c r="C20">
        <v>0</v>
      </c>
      <c r="D20">
        <v>0</v>
      </c>
      <c r="E20">
        <v>1</v>
      </c>
    </row>
    <row r="22" spans="1:8" x14ac:dyDescent="0.15">
      <c r="A22" s="23"/>
      <c r="B22" s="23" t="s">
        <v>5</v>
      </c>
      <c r="C22" s="23" t="s">
        <v>7</v>
      </c>
      <c r="D22" s="23" t="s">
        <v>8</v>
      </c>
      <c r="E22" s="23" t="s">
        <v>9</v>
      </c>
    </row>
    <row r="23" spans="1:8" x14ac:dyDescent="0.15">
      <c r="A23" s="23" t="s">
        <v>10</v>
      </c>
      <c r="B23" s="23">
        <f>B17/SUM($B$17:$E$17)</f>
        <v>0.59225131356277683</v>
      </c>
      <c r="C23" s="23">
        <f t="shared" ref="C23:E23" si="2">C17/SUM($B$17:$E$17)</f>
        <v>0.37925999999999999</v>
      </c>
      <c r="D23" s="23">
        <f t="shared" si="2"/>
        <v>2.3617713765379704E-3</v>
      </c>
      <c r="E23" s="23">
        <f t="shared" si="2"/>
        <v>2.612691506068527E-2</v>
      </c>
      <c r="F23">
        <f>SUM(B23:E23)</f>
        <v>1</v>
      </c>
      <c r="H23" s="24">
        <f>SUM(0.5976, 0.3792, 0.0024, 0.0208)</f>
        <v>1</v>
      </c>
    </row>
    <row r="24" spans="1:8" x14ac:dyDescent="0.15">
      <c r="A24" s="23" t="s">
        <v>21</v>
      </c>
      <c r="B24" s="23">
        <f>B18/SUM($B$18:$E$18)</f>
        <v>0</v>
      </c>
      <c r="C24" s="23">
        <f t="shared" ref="C24:E24" si="3">C18/SUM($B$18:$E$18)</f>
        <v>0.95407686037950246</v>
      </c>
      <c r="D24" s="23">
        <f t="shared" si="3"/>
        <v>3.833190429716801E-3</v>
      </c>
      <c r="E24" s="23">
        <f t="shared" si="3"/>
        <v>4.2089949190780789E-2</v>
      </c>
      <c r="F24">
        <f>SUM(B24:E24)</f>
        <v>1</v>
      </c>
      <c r="H24" s="24">
        <f>SUM(0.9626, 0.0038, 0.0335)</f>
        <v>0.99990000000000001</v>
      </c>
    </row>
    <row r="25" spans="1:8" x14ac:dyDescent="0.15">
      <c r="A25" s="23" t="s">
        <v>8</v>
      </c>
      <c r="B25" s="23">
        <v>0</v>
      </c>
      <c r="C25" s="23">
        <v>0</v>
      </c>
      <c r="D25" s="23">
        <v>1</v>
      </c>
      <c r="E25" s="23">
        <v>0</v>
      </c>
    </row>
    <row r="26" spans="1:8" x14ac:dyDescent="0.15">
      <c r="A26" s="23" t="s">
        <v>9</v>
      </c>
      <c r="B26" s="23">
        <v>0</v>
      </c>
      <c r="C26" s="23">
        <v>0</v>
      </c>
      <c r="D26" s="23">
        <v>0</v>
      </c>
      <c r="E26" s="23">
        <v>1</v>
      </c>
    </row>
    <row r="31" spans="1:8" x14ac:dyDescent="0.15">
      <c r="C31" s="20" t="s">
        <v>6</v>
      </c>
      <c r="D31" s="20" t="s">
        <v>24</v>
      </c>
    </row>
    <row r="32" spans="1:8" x14ac:dyDescent="0.15">
      <c r="A32" t="s">
        <v>179</v>
      </c>
      <c r="B32">
        <v>89</v>
      </c>
    </row>
    <row r="33" spans="1:4" x14ac:dyDescent="0.15">
      <c r="A33" t="s">
        <v>178</v>
      </c>
      <c r="B33">
        <f>AVERAGE(473, 276, 208, 157, 366)</f>
        <v>296</v>
      </c>
      <c r="C33">
        <f>385*F39</f>
        <v>0</v>
      </c>
      <c r="D33">
        <f>SUM(B32:B33)</f>
        <v>385</v>
      </c>
    </row>
    <row r="34" spans="1:4" x14ac:dyDescent="0.15">
      <c r="A34" t="s">
        <v>180</v>
      </c>
      <c r="B34">
        <f>AVERAGE(21647, 685, 519,582, 487)</f>
        <v>4784</v>
      </c>
      <c r="C34">
        <f>SUM(B34:B37)</f>
        <v>52304</v>
      </c>
    </row>
    <row r="35" spans="1:4" x14ac:dyDescent="0.15">
      <c r="A35" t="s">
        <v>181</v>
      </c>
      <c r="B35">
        <f>AVERAGE(16650, 10011)</f>
        <v>13330.5</v>
      </c>
    </row>
    <row r="36" spans="1:4" x14ac:dyDescent="0.15">
      <c r="A36" t="s">
        <v>182</v>
      </c>
      <c r="B36">
        <f>AVERAGE(28888,19863)</f>
        <v>24375.5</v>
      </c>
    </row>
    <row r="37" spans="1:4" x14ac:dyDescent="0.15">
      <c r="A37" t="s">
        <v>183</v>
      </c>
      <c r="B37">
        <f>9814</f>
        <v>9814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Cost of each State</vt:lpstr>
      <vt:lpstr>Overall Matrix</vt:lpstr>
      <vt:lpstr>55-64</vt:lpstr>
      <vt:lpstr>65-75</vt:lpstr>
    </vt:vector>
  </TitlesOfParts>
  <Company>Yale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Yale</dc:creator>
  <cp:lastModifiedBy>Microsoft Office 用户</cp:lastModifiedBy>
  <dcterms:created xsi:type="dcterms:W3CDTF">2018-04-29T18:24:43Z</dcterms:created>
  <dcterms:modified xsi:type="dcterms:W3CDTF">2018-05-01T20:01:46Z</dcterms:modified>
</cp:coreProperties>
</file>