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4"/>
    <sheet state="visible" name="CLEAN_DATA" sheetId="2" r:id="rId5"/>
    <sheet state="visible" name="Smartphone Data" sheetId="3" r:id="rId6"/>
    <sheet state="visible" name="PC Data" sheetId="4" r:id="rId7"/>
    <sheet state="visible" name="LOCATION DATA" sheetId="5" r:id="rId8"/>
    <sheet state="visible" name="CREATIVE DATA" sheetId="6" r:id="rId9"/>
    <sheet state="visible" name="Creative Messaging Size Pivot T" sheetId="7" r:id="rId10"/>
    <sheet state="visible" name="Creative Device Make Pivot" sheetId="8" r:id="rId11"/>
    <sheet state="visible" name="Creative Size KPIs Pivot" sheetId="9" r:id="rId12"/>
    <sheet state="visible" name="Creative Data Organized" sheetId="10" r:id="rId13"/>
    <sheet state="visible" name="Creative Size Location Pivot" sheetId="11" r:id="rId14"/>
    <sheet state="visible" name="Creative MessagingLocation Pivo" sheetId="12" r:id="rId15"/>
    <sheet state="visible" name="AUDIENCE_DATA" sheetId="13" r:id="rId16"/>
    <sheet state="visible" name="TABLEAU_AUDIENCE_DATA" sheetId="14" r:id="rId17"/>
    <sheet state="visible" name="INVENTORY DATA" sheetId="15" r:id="rId18"/>
    <sheet state="visible" name="Audience Pivot Table 1" sheetId="16" r:id="rId19"/>
    <sheet state="visible" name="Copy of RAW_DATA" sheetId="17" r:id="rId20"/>
  </sheets>
  <definedNames>
    <definedName hidden="1" localSheetId="1" name="_xlnm._FilterDatabase">CLEAN_DATA!$A$1:$U$728</definedName>
    <definedName hidden="1" localSheetId="5" name="_xlnm._FilterDatabase">'CREATIVE DATA'!$A$1:$AC$994</definedName>
    <definedName hidden="1" localSheetId="12" name="_xlnm._FilterDatabase">AUDIENCE_DATA!$A$1:$X$1000</definedName>
    <definedName hidden="1" localSheetId="16" name="Z_0D7CBAA6_B848_444E_9951_EB2B0D1C0C59_.wvu.FilterData">'Copy of RAW_DATA'!$A$1:$M$728</definedName>
    <definedName name="SlicerCache_Table_1_Col_1">#N/A</definedName>
  </definedNames>
  <calcPr/>
  <customWorkbookViews>
    <customWorkbookView activeSheetId="0" maximized="1" windowHeight="0" windowWidth="0" guid="{0D7CBAA6-B848-444E-9951-EB2B0D1C0C59}" name="Filter 1"/>
  </customWorkbookViews>
  <pivotCaches>
    <pivotCache cacheId="0" r:id="rId21"/>
    <pivotCache cacheId="1" r:id="rId22"/>
    <pivotCache cacheId="2" r:id="rId23"/>
    <pivotCache cacheId="3" r:id="rId24"/>
  </pivotCaches>
  <extLst>
    <ext uri="{46BE6895-7355-4a93-B00E-2C351335B9C9}">
      <x15:slicerCaches>
        <x14:slicerCache r:id="rId25"/>
      </x15:slicerCaches>
    </ext>
  </extLst>
</workbook>
</file>

<file path=xl/sharedStrings.xml><?xml version="1.0" encoding="utf-8"?>
<sst xmlns="http://schemas.openxmlformats.org/spreadsheetml/2006/main" count="38157" uniqueCount="2067">
  <si>
    <t>Audience Segment</t>
  </si>
  <si>
    <t>Creative Size</t>
  </si>
  <si>
    <t>Creative Messaging</t>
  </si>
  <si>
    <t>Location</t>
  </si>
  <si>
    <t>App/URL</t>
  </si>
  <si>
    <t>Exchange</t>
  </si>
  <si>
    <t>Device Make</t>
  </si>
  <si>
    <t>Impressions</t>
  </si>
  <si>
    <t>Clicks</t>
  </si>
  <si>
    <t>Viewable Impressions</t>
  </si>
  <si>
    <t>Measurable Impressions</t>
  </si>
  <si>
    <t>Total Conversions</t>
  </si>
  <si>
    <t>Gross Cost</t>
  </si>
  <si>
    <t xml:space="preserve"> </t>
  </si>
  <si>
    <t>Online Behavior&gt;United States&gt;Validated Demographic » Gender and Age Combined&gt;Females 25 or older</t>
  </si>
  <si>
    <t>300x250</t>
  </si>
  <si>
    <t>Subscribe Today - 10% Discount</t>
  </si>
  <si>
    <t>Los Angeles, California</t>
  </si>
  <si>
    <t>abcnews.go.com</t>
  </si>
  <si>
    <t>Google Ad Manager</t>
  </si>
  <si>
    <t>Apple PC</t>
  </si>
  <si>
    <t>Online Behavior&gt;United States&gt;Finance » Financial Planning and Management&gt;Retirement and Pension</t>
  </si>
  <si>
    <t>320x50</t>
  </si>
  <si>
    <t>Sign up Today - 10% Off</t>
  </si>
  <si>
    <t>Orlando-Daytona Beach, Florida</t>
  </si>
  <si>
    <t>accuweather.com</t>
  </si>
  <si>
    <t>PubMatic</t>
  </si>
  <si>
    <t>Smartphone</t>
  </si>
  <si>
    <t>Online Behavior&gt;United States&gt;Hobbies and Leisure&gt;Outdoors » Equestrian</t>
  </si>
  <si>
    <t>San Francisco, California</t>
  </si>
  <si>
    <t>Online Behavior&gt;United States&gt;Intent » Auto Buyers » Car Make&gt;Audi Q</t>
  </si>
  <si>
    <t>Sign up Now - 10% Off</t>
  </si>
  <si>
    <t>Grand Rapids-Kalamazoo, Michigan</t>
  </si>
  <si>
    <t>Xandr - Monetize SSP (AppNexus)</t>
  </si>
  <si>
    <t>Online Behavior&gt;United States&gt;Beauty and Fitness&gt;Fitness » Fitness Instruction and Personal Training</t>
  </si>
  <si>
    <t>Chicago, Illinois</t>
  </si>
  <si>
    <t>Magnite DV+</t>
  </si>
  <si>
    <t>Online Behavior&gt;United States&gt;Autos and Vehicles » Brands&gt;Jeep</t>
  </si>
  <si>
    <t>Online Behavior&gt;United States&gt;Autos and Vehicles » Brands&gt;Mercedes-Benz</t>
  </si>
  <si>
    <t>Nashville, Tennessee</t>
  </si>
  <si>
    <t>Online Behavior&gt;United States&gt;Validated Demographic » Gender and Age Combined&gt;Males 18-54</t>
  </si>
  <si>
    <t>Online Behavior&gt;United States&gt;Validated Demographic » Age&gt;55-64</t>
  </si>
  <si>
    <t>10% Discount - Ends 6/1</t>
  </si>
  <si>
    <t>Champaign &amp; Springfield-Decatur,Illinois</t>
  </si>
  <si>
    <t>US » Interest Propensities » Brands » Quick Service Restaurants</t>
  </si>
  <si>
    <t>Ft. Myers-Naples, Florida</t>
  </si>
  <si>
    <t>BidSwitch</t>
  </si>
  <si>
    <t>US » B2B » B2B Decision Maker Responsibilities » Purchasing Utilities</t>
  </si>
  <si>
    <t>OpenX</t>
  </si>
  <si>
    <t>US » Interest Propensities » TV and Movies » Sports TV</t>
  </si>
  <si>
    <t>Yahoo Exchange</t>
  </si>
  <si>
    <t>Real Estate » Occupancy » Owner Occupied</t>
  </si>
  <si>
    <t>Windows PC</t>
  </si>
  <si>
    <t>US Financial » Likely Credit Card » Card in Own Name » Any major Credit/Debit Card (Financial)</t>
  </si>
  <si>
    <t>Online Behavior&gt;United States&gt;People and Society&gt;Millennials</t>
  </si>
  <si>
    <t>Miami-Ft. Lauderdale, Florida</t>
  </si>
  <si>
    <t>OnAudience » Intent » Electronics » Video » Televisions</t>
  </si>
  <si>
    <t>Online Behavior&gt;United States&gt;Arts and Entertainment&gt;Events and Listings » Bars, Clubs and Nightlife</t>
  </si>
  <si>
    <t>activebeat.com</t>
  </si>
  <si>
    <t>US » Interest Propensities » Activities and Interests » Local News</t>
  </si>
  <si>
    <t>US » Reach » Sociodemographic » Dwelling Type » Multi-family Dwelling Unit</t>
  </si>
  <si>
    <t>300x50</t>
  </si>
  <si>
    <t>OnAudience » Intent » Software » Video Game Software</t>
  </si>
  <si>
    <t>Online Behavior&gt;United States&gt;B2B » Occupation&gt;Musician</t>
  </si>
  <si>
    <t>ajc.com</t>
  </si>
  <si>
    <t>Lotame » Travel » Summer Travel</t>
  </si>
  <si>
    <t>Tampa-St Petersburg (Sarasota), Florida</t>
  </si>
  <si>
    <t>US » Home and Garden Interests » Cooking » Food Enthusiasts</t>
  </si>
  <si>
    <t>US » Demo » Age » 55-64</t>
  </si>
  <si>
    <t>Online Behavior&gt;United States&gt;Intent » Auto Buyers » Type&gt;Luxury</t>
  </si>
  <si>
    <t>al.com</t>
  </si>
  <si>
    <t>US » Brand Propensities » Media and Entertainment » wwe.com Buyer Propensity</t>
  </si>
  <si>
    <t>allrecipes.com</t>
  </si>
  <si>
    <t>Online Behavior&gt;United States&gt;Sports&gt;Sports League » NFL</t>
  </si>
  <si>
    <t>alotfinance.com</t>
  </si>
  <si>
    <t>Online Behavior&gt;United States&gt;Intent » Auto Buyers » Car Make&gt;Volkswagen</t>
  </si>
  <si>
    <t>androidauthority.com</t>
  </si>
  <si>
    <t>US » B2B » B2B Decision Maker Responsibilities » Financial Services</t>
  </si>
  <si>
    <t>New York City, New York</t>
  </si>
  <si>
    <t>androidpolice.com</t>
  </si>
  <si>
    <t>Taboola</t>
  </si>
  <si>
    <t>Online Behavior&gt;United States&gt;Sports&gt;Team Sports » Basketball</t>
  </si>
  <si>
    <t>aol.com</t>
  </si>
  <si>
    <t>US » Interest Propensities » Music » Country</t>
  </si>
  <si>
    <t>Jacksonville, Florida</t>
  </si>
  <si>
    <t>Media and Entertainment » Sports and Recreational Activities » Interest (Affinity) » Team Sports » Baseball » Major League Baseball (MLB)</t>
  </si>
  <si>
    <t>Online Behavior&gt;United States&gt;Beauty and Fitness&gt;Face and Body Care » Skin and Nail Care</t>
  </si>
  <si>
    <t>apnews.com</t>
  </si>
  <si>
    <t>US » Interest Propensities » Activities and Interests » Financial Aid</t>
  </si>
  <si>
    <t>Media and Entertainment » Sports and Recreational Activities » Interest (Affinity) » Olympics » Summer Olympics</t>
  </si>
  <si>
    <t>att.yahoo.com</t>
  </si>
  <si>
    <t>US » Demographic » Family » Female Head of Household</t>
  </si>
  <si>
    <t>Online Behavior&gt;United States&gt;Sports&gt;Sports League » MLB</t>
  </si>
  <si>
    <t>autotrader.com</t>
  </si>
  <si>
    <t>Online Behavior&gt;United States&gt;Autos and Vehicles » Brands&gt;Dodge</t>
  </si>
  <si>
    <t>West Palm Beach-Ft. Pierce, Florida</t>
  </si>
  <si>
    <t>US » Brand Propensities » Travel » Sandals Resorts Buyer Propensity</t>
  </si>
  <si>
    <t>Mobile - US » Shopping » Brand » Old Navy</t>
  </si>
  <si>
    <t>OnAudience » Intent » Animals &amp; Pet</t>
  </si>
  <si>
    <t>a-z-animals.com</t>
  </si>
  <si>
    <t>US » Multibuyer Behaviors » Paid with Credit Card</t>
  </si>
  <si>
    <t>baseball.fantasysports.yahoo.com</t>
  </si>
  <si>
    <t>US » Response Performance » Direct Marketing Responders</t>
  </si>
  <si>
    <t>baseball-reference.com</t>
  </si>
  <si>
    <t>Online Behavior&gt;United States&gt;Games&gt;Computer and Video Games</t>
  </si>
  <si>
    <t>bbc.com</t>
  </si>
  <si>
    <t>Online Behavior&gt;United States&gt;Finance » Insurance&gt;Home Insurance</t>
  </si>
  <si>
    <t>US » Reach » Sociodemographic » Dwelling Size » 1 Unit</t>
  </si>
  <si>
    <t>Online Behavior&gt;United States&gt;B2B » Occupation&gt;MechanicalEngineer</t>
  </si>
  <si>
    <t>US » Interest Propensities » Insurance » MassMutual</t>
  </si>
  <si>
    <t>US » Premium Gender » Premium Gender » Males</t>
  </si>
  <si>
    <t>behindthevoiceactors.com</t>
  </si>
  <si>
    <t>US » Reach » Propensity Models » Hobbies and Interest » Food and Drinks » Eats at Fast Food Restaurants</t>
  </si>
  <si>
    <t>bestbuy.com</t>
  </si>
  <si>
    <t>Online Behavior&gt;United States&gt;Travel&gt;Specialty Travel » Adventure Travel</t>
  </si>
  <si>
    <t>biblegateway.com</t>
  </si>
  <si>
    <t>Online Behavior&gt;United States&gt;Travel&gt;Tourist Destinations » Zoos-Aquariums-Preserves</t>
  </si>
  <si>
    <t>Index Exchange</t>
  </si>
  <si>
    <t>Online Behavior&gt;United States&gt;Sports&gt;Sports League » NBA</t>
  </si>
  <si>
    <t>Online Behavior&gt;United States&gt;Finance » Investing&gt;Derivatives</t>
  </si>
  <si>
    <t>Online Behavior&gt;United States&gt;Law and Government&gt;Public Safety</t>
  </si>
  <si>
    <t>Augusta, Georgia</t>
  </si>
  <si>
    <t>Online Behavior&gt;United States&gt;Jobs and Education&gt;Education</t>
  </si>
  <si>
    <t>Online Behavior&gt;United States&gt;Autos and Vehicles » Brands&gt;Ferrari</t>
  </si>
  <si>
    <t>Online Behavior&gt;United States&gt;News&gt;Sports News</t>
  </si>
  <si>
    <t>Telecommunications (Telco)</t>
  </si>
  <si>
    <t>Birmingham, Alabama</t>
  </si>
  <si>
    <t>US » B2B » Purchase DM » Technology Services, Hardware and » or Software » I have no input into the final decision</t>
  </si>
  <si>
    <t>US » Reach » Propensity Models » Hobbies and Interest » Food and Drinks » Wine Lovers</t>
  </si>
  <si>
    <t>US » Brand Propensities » Travel » Choice Hotels Buyer Propensity</t>
  </si>
  <si>
    <t>OnAudience » Interest » Careers</t>
  </si>
  <si>
    <t>Flint-Saginaw-Bay City, Michigan</t>
  </si>
  <si>
    <t>US » Brand Propensities » Travel » Hotel Tonight Buyer Propensity</t>
  </si>
  <si>
    <t>OnAudience » Interest » Science » Weather Forecast</t>
  </si>
  <si>
    <t>Media and Entertainment » Sports and Recreational Activities » Interest (Affinity) » Motorsports</t>
  </si>
  <si>
    <t>Mobile - US » Travel » Destination » International Travelers » Frequent Travelers</t>
  </si>
  <si>
    <t>Smart RTB+ (Smartadserver)</t>
  </si>
  <si>
    <t>US Financial » Estimated Discretionary Spending (Financial) » Greater than $2,499</t>
  </si>
  <si>
    <t>biblestudytools.com</t>
  </si>
  <si>
    <t>US » AUTO » Primary Vehicle » New or Used » Pre-owned</t>
  </si>
  <si>
    <t>billboard.com</t>
  </si>
  <si>
    <t>Media and Entertainment » Gaming » Interest (Affinity) » Video Games</t>
  </si>
  <si>
    <t>Tallahassee, Florida-Thomasville, Georgia</t>
  </si>
  <si>
    <t>bleacherbreaker.com</t>
  </si>
  <si>
    <t>Online Behavior&gt;United States&gt;Games&gt;Card Games</t>
  </si>
  <si>
    <t>boattrader.com</t>
  </si>
  <si>
    <t>Online Behavior&gt;United States&gt;Autos and Vehicles » Brands&gt;Rolls-Royce</t>
  </si>
  <si>
    <t>Tri-Cities, Tennessee-Virginia</t>
  </si>
  <si>
    <t>US » Reach » Propensity Models » Hobbies and Interest » Photography</t>
  </si>
  <si>
    <t>Travel and Tourism » Interest (Affinity) » Destinations » North America</t>
  </si>
  <si>
    <t>South Bend-Elkhart, Indiana</t>
  </si>
  <si>
    <t>US » Reach » Sociodemographic » Estimated Current Home Value » $160,000-$199,999</t>
  </si>
  <si>
    <t>US »Connected Impulse-Shopper Audience</t>
  </si>
  <si>
    <t>boxrox.com</t>
  </si>
  <si>
    <t>US » Interest Propensities » Activities and Interests » International News</t>
  </si>
  <si>
    <t>Rockford, Illinois</t>
  </si>
  <si>
    <t>bridesblush.com</t>
  </si>
  <si>
    <t>Online Behavior&gt;United States&gt;Intent » Auto Buyers » Car Make&gt;Nissan</t>
  </si>
  <si>
    <t>britannica.com</t>
  </si>
  <si>
    <t>Online Behavior&gt;United States&gt;Life Event&gt;Bride</t>
  </si>
  <si>
    <t>businessinsider.com</t>
  </si>
  <si>
    <t>TripleLift</t>
  </si>
  <si>
    <t>Online Behavior&gt;United States&gt;Life Event&gt;Engagement</t>
  </si>
  <si>
    <t>Online Behavior&gt;United States&gt;The Changing Consumer&gt;Internet Connection</t>
  </si>
  <si>
    <t>Lotame » Personal Finance » Estate Planning</t>
  </si>
  <si>
    <t>Online Behavior&gt;United States&gt;Sports&gt;Team Sports » Volleyball</t>
  </si>
  <si>
    <t>buzzfeed.com</t>
  </si>
  <si>
    <t>Yieldmo</t>
  </si>
  <si>
    <t>Mobile - US » Food » Restaurant » Brand » Outback Steakhouse</t>
  </si>
  <si>
    <t>Online Behavior&gt;United States&gt;Sports&gt;Sporting Goods</t>
  </si>
  <si>
    <t>calculator.net</t>
  </si>
  <si>
    <t>Online Behavior&gt;United States&gt;News&gt;Newspapers</t>
  </si>
  <si>
    <t>Online Behavior&gt;United States&gt;Sports&gt;Winter Sports » Skiing and Snowboarding</t>
  </si>
  <si>
    <t>Knoxville, Tennessee</t>
  </si>
  <si>
    <t>US » Reach » Propensity Models » Household Consumer Expenditures » Home Office</t>
  </si>
  <si>
    <t>Mobile, Alabama-Pensacola, Florida</t>
  </si>
  <si>
    <t>OnAudience » Intent » Sporting Goods</t>
  </si>
  <si>
    <t>Online Behavior&gt;United States&gt;Intent » Shopping&gt;Consumer Electronics » Computers, Laptops</t>
  </si>
  <si>
    <t>cargurus.com</t>
  </si>
  <si>
    <t>Online Behavior&gt;United States&gt;Sports&gt;Fantasy Sports</t>
  </si>
  <si>
    <t>US » Interest Propensities » Oil &amp; Gas » QuickTrip</t>
  </si>
  <si>
    <t>Huntsville-Decatur (Florence), Alabama</t>
  </si>
  <si>
    <t>OnAudience » Interest » Shopping » Shopping Mall Buyers</t>
  </si>
  <si>
    <t>Memphis, Tennessee</t>
  </si>
  <si>
    <t>Sharethrough</t>
  </si>
  <si>
    <t>Online Behavior&gt;United States&gt;Law and Government&gt;Military</t>
  </si>
  <si>
    <t>cars.com</t>
  </si>
  <si>
    <t>Online Behavior&gt;United States&gt;Travel&gt;Bus and Rail</t>
  </si>
  <si>
    <t>Online Behavior&gt;United States&gt;Validated Demographic » Age&gt;18-64</t>
  </si>
  <si>
    <t>Online Behavior&gt;United States&gt;Validated Demographic » Gender and Age Combined&gt;Males 25-44</t>
  </si>
  <si>
    <t>Purchase Behaviors » Q2 Environmentally Concerned Shoppers</t>
  </si>
  <si>
    <t>Sovrn</t>
  </si>
  <si>
    <t>Travel and Tourism » Interest (Affinity) » Destinations » North America » United States</t>
  </si>
  <si>
    <t>Media and Entertainment » Connected TV and Over-the-Top (CTV and OTT) » Streaming Television and Film Viewership » OTT Movie Viewers » Genre » Crime Movie Streamers</t>
  </si>
  <si>
    <t>US Financial » Likely Attitude and Behavior » Bank Selection » Customer Service Very Important (Financial)</t>
  </si>
  <si>
    <t>carscoops.com</t>
  </si>
  <si>
    <t>Online Behavior&gt;United States&gt;Sports&gt;Individual Sports » Running and Walking</t>
  </si>
  <si>
    <t>cbsnews.com</t>
  </si>
  <si>
    <t>Online Behavior&gt;United States&gt;People and Society&gt;Family and Relationships » Parents</t>
  </si>
  <si>
    <t>Online Behavior&gt;United States&gt;Travel&gt;Tourist Destinations » Regional Parks and Gardens</t>
  </si>
  <si>
    <t>Online Behavior&gt;United States&gt;Autos and Vehicles » Brands&gt;Mazda</t>
  </si>
  <si>
    <t>Online Behavior&gt;United States&gt;Travel&gt;Tourist Destinations » Mountain and Ski Resorts</t>
  </si>
  <si>
    <t>Online Behavior&gt;United States&gt;Validated Demographic » Gender and Age Combined&gt;Females 45-54</t>
  </si>
  <si>
    <t>US » Reach » Propensity Models » Hobbies and Interest » Sports » Avid Runners</t>
  </si>
  <si>
    <t>Lansing, Michigan</t>
  </si>
  <si>
    <t>OnAudience » Interest » Business</t>
  </si>
  <si>
    <t>US » Reach » Propensity Models » Real Estate » Monthly Mortgage Payment » $800-$999</t>
  </si>
  <si>
    <t>US »Green Consumer Audience</t>
  </si>
  <si>
    <t>US » Reach » Propensity Models » Household Consumer Expenditures » Lawn and Garden</t>
  </si>
  <si>
    <t>US Interest » Home » Home Improvement » Home Improvement Grouping</t>
  </si>
  <si>
    <t>Online Behavior&gt;United States&gt;Real Estate&gt;Apartments and Residential Rentals</t>
  </si>
  <si>
    <t>cbssports.com</t>
  </si>
  <si>
    <t>US » Reach » Propensity Models » Hobbies and Interest » Food and Drinks » High-end Spirit Drinkers</t>
  </si>
  <si>
    <t>OnAudience » Intent » Sporting Goods » Team Sports</t>
  </si>
  <si>
    <t>Charleston, South Carolina</t>
  </si>
  <si>
    <t>Online Behavior&gt;United States&gt;Validated Demographic » Age&gt;25-44</t>
  </si>
  <si>
    <t>cheapoair.com</t>
  </si>
  <si>
    <t>Media and Entertainment » Sports and Recreational Activities » Interest (Affinity)</t>
  </si>
  <si>
    <t>Online Behavior&gt;United States&gt;Travel&gt;Tourist Destinations » Beaches and Islands</t>
  </si>
  <si>
    <t>cheezburger.com</t>
  </si>
  <si>
    <t>Online Behavior&gt;United States&gt;The Changing Consumer&gt;Direct to Consumer</t>
  </si>
  <si>
    <t>Online Behavior&gt;United States&gt;Arts and Entertainment&gt;Music and Audio</t>
  </si>
  <si>
    <t>chicagotribune.com</t>
  </si>
  <si>
    <t>Online Behavior&gt;United States&gt;Autos and Vehicles » Brands&gt;Volvo</t>
  </si>
  <si>
    <t>chocolatecoveredkatie.com</t>
  </si>
  <si>
    <t>US » B2B » B2B Decision Maker Responsibilities » Company Liability or Insurance</t>
  </si>
  <si>
    <t>citationmachine.net</t>
  </si>
  <si>
    <t>US » Reach » Propensity Models » Luxury Home Goods Store Shopper</t>
  </si>
  <si>
    <t>classmates.com</t>
  </si>
  <si>
    <t>US » B2B » B2B Decision Maker Responsibilities » Employee Benefits</t>
  </si>
  <si>
    <t>US » Brand Propensities » Travel » American Airlines Buyer Propensity</t>
  </si>
  <si>
    <t>PulsePoint</t>
  </si>
  <si>
    <t>OnAudience</t>
  </si>
  <si>
    <t>clutchpoints.com</t>
  </si>
  <si>
    <t>Media and Entertainment » Audio and Video Streaming » Streaming Audio</t>
  </si>
  <si>
    <t>cnbc.com</t>
  </si>
  <si>
    <t>US »Rural Improvement Fanatic</t>
  </si>
  <si>
    <t>Online Behavior&gt;United States&gt;Sports&gt;Sports League » Premier League</t>
  </si>
  <si>
    <t>cnet.com</t>
  </si>
  <si>
    <t>Online Behavior&gt;United States&gt;The Changing Consumer&gt;Gaming Equipment</t>
  </si>
  <si>
    <t>Chattanooga, Tennessee</t>
  </si>
  <si>
    <t>Online Behavior&gt;United States&gt;Travel&gt;Travel</t>
  </si>
  <si>
    <t>cnn.com</t>
  </si>
  <si>
    <t>Online Behavior&gt;United States&gt;Beauty and Fitness&gt;Face and Body Care » Unwanted Body and Facial Hair Removal</t>
  </si>
  <si>
    <t>Online Behavior&gt;United States&gt;Intent » Auto Buyers » Car Make&gt;Toyota</t>
  </si>
  <si>
    <t>Online Behavior&gt;United States&gt;Food and Drink&gt;Restaurants » Dining Guides</t>
  </si>
  <si>
    <t>Media and Entertainment » Music</t>
  </si>
  <si>
    <t>OnAudience » Interest » Technology</t>
  </si>
  <si>
    <t>US » Interest Propensities » Social » Premium User Generated Content</t>
  </si>
  <si>
    <t>OnAudience » Interest » Business » Economy</t>
  </si>
  <si>
    <t>US » Reach » Propensity Models » Lifestyle » Charities » Contributes to Charities</t>
  </si>
  <si>
    <t>commercialappeal.com</t>
  </si>
  <si>
    <t>US » Reach » Propensity Models » Household Consumer Expenditures » Kitchen</t>
  </si>
  <si>
    <t>culinaryhill.com</t>
  </si>
  <si>
    <t>Online Behavior&gt;United States&gt;Finance » Financial Planning and Management&gt;Asset and Portfolio Management</t>
  </si>
  <si>
    <t>culturess.com</t>
  </si>
  <si>
    <t>Online Behavior&gt;United States&gt;B2B » Occupation&gt;OfficeManager</t>
  </si>
  <si>
    <t>dafont.com</t>
  </si>
  <si>
    <t>Online Behavior&gt;United States&gt;Intent » Shopping&gt;CPG� Grocery</t>
  </si>
  <si>
    <t>dailybee.com</t>
  </si>
  <si>
    <t>Online Behavior&gt;United States&gt;Intent » Auto Buyers » Car Make&gt;Hyundai</t>
  </si>
  <si>
    <t>daily-choices.com</t>
  </si>
  <si>
    <t>Online Behavior&gt;United States&gt;Validated Demographic » Gender and Age Combined&gt;Females 18-54</t>
  </si>
  <si>
    <t>Telecommunications (Telco) » Subscribers</t>
  </si>
  <si>
    <t>dailydot.com</t>
  </si>
  <si>
    <t>Online Behavior&gt;United States&gt;Finance » Banking&gt;ATMs and Branch Locations</t>
  </si>
  <si>
    <t>dailyhodl.com</t>
  </si>
  <si>
    <t>Online Behavior&gt;United States&gt;Intent » Travel&gt;Accommodation » Hotels</t>
  </si>
  <si>
    <t>dailymail.co.uk/news</t>
  </si>
  <si>
    <t>Online Behavior&gt;United States&gt;Home and Garden&gt;Homemaking and Interior Decor</t>
  </si>
  <si>
    <t>US » Sociodemographic » P$YCLE Premier Lifestage » M2 Wealthy Achievers</t>
  </si>
  <si>
    <t>dailymail.co.uk/tvshowbiz</t>
  </si>
  <si>
    <t>US » Brand Propensities » Health » Beauty and Cosmetics » Bare Escentuals Buyer Propensity</t>
  </si>
  <si>
    <t>Ft. Wayne, Indiana</t>
  </si>
  <si>
    <t>Mobile - US » Device Ownership » Smartphones » Huawei</t>
  </si>
  <si>
    <t>Online Behavior&gt;United States&gt;Internet and Telecom&gt;Email and Messaging</t>
  </si>
  <si>
    <t>dexerto.com</t>
  </si>
  <si>
    <t>Online Behavior&gt;United States&gt;Travel&gt;Car Rental and Taxi Services</t>
  </si>
  <si>
    <t>dictionary.com</t>
  </si>
  <si>
    <t>Mobile - US » Food » Restaurant » Style » Desserts</t>
  </si>
  <si>
    <t>US » AUTO » Primary Vehicle » New or Used » New</t>
  </si>
  <si>
    <t>dinneratthezoo.com</t>
  </si>
  <si>
    <t>US » B2B » B2B Decision Maker Responsibilities » Advertising Services</t>
  </si>
  <si>
    <t>dmv.org</t>
  </si>
  <si>
    <t>Online Behavior&gt;United States&gt;Intent » Travel&gt;Cruises</t>
  </si>
  <si>
    <t>doctoreport.com</t>
  </si>
  <si>
    <t>US » B2B » B2B Decision Maker Responsibilities » Accounting or Tax Services</t>
  </si>
  <si>
    <t>doodle.com</t>
  </si>
  <si>
    <t>Online Behavior&gt;United States&gt;Beauty and Fitness&gt;Cosmetology and Beauty Professionals</t>
  </si>
  <si>
    <t>dotesports.com</t>
  </si>
  <si>
    <t>Online Behavior&gt;United States&gt;Finance » Insurance&gt;Life Insurance</t>
  </si>
  <si>
    <t>drugs.com</t>
  </si>
  <si>
    <t>Online Behavior&gt;United States&gt;Food and Drink&gt;Food and Grocery Retailers</t>
  </si>
  <si>
    <t>Online Behavior&gt;United States&gt;Intent » Shopping&gt;Drug Stores » CVS</t>
  </si>
  <si>
    <t>US » Composite Segment » Women Born to Shop</t>
  </si>
  <si>
    <t>Real Estate » Rent Amount » Sensible  Rentals ($1000-$3000)</t>
  </si>
  <si>
    <t>Online Behavior&gt;United States&gt;Finance » Credit and Lending&gt;Loans</t>
  </si>
  <si>
    <t>ebay.com</t>
  </si>
  <si>
    <t>Online Behavior&gt;United States&gt;Finance » Banking&gt;Money Transfer and Wire Services</t>
  </si>
  <si>
    <t>Online Behavior&gt;United States&gt;Travel&gt;Tourist Destinations</t>
  </si>
  <si>
    <t>Online Behavior&gt;United States&gt;Finance » Investing&gt;Stocks and Bonds</t>
  </si>
  <si>
    <t>Online Behavior&gt;United States&gt;Life Event&gt;New Parent</t>
  </si>
  <si>
    <t>Online Behavior&gt;United States&gt;Hobbies and Leisure&gt;Outdoors » Hiking and Camping</t>
  </si>
  <si>
    <t>Online Behavior&gt;United States&gt;Intent » Financial Intent&gt;Loans and Credit</t>
  </si>
  <si>
    <t>Savannah, Georgia</t>
  </si>
  <si>
    <t>Online Behavior&gt;United States&gt;Real Estate&gt;Homeowner</t>
  </si>
  <si>
    <t>Online Behavior&gt;United States&gt;Arts and Entertainment&gt;Events and Listings » Film Festivals</t>
  </si>
  <si>
    <t>Online Behavior&gt;United States&gt;Travel&gt;Cruises and Charters</t>
  </si>
  <si>
    <t>Online Behavior&gt;United States&gt;B2B » Occupation&gt;Student</t>
  </si>
  <si>
    <t>Online Behavior&gt;United States&gt;Online Communities&gt;File Sharing and Hosting</t>
  </si>
  <si>
    <t>Online Behavior&gt;United States&gt;Autos and Vehicles » Brands&gt;LandRover</t>
  </si>
  <si>
    <t>Online Behavior&gt;United States&gt;Food and Drink&gt;Food and Grocery Delivery</t>
  </si>
  <si>
    <t>Online Behavior&gt;United States&gt;Sports&gt;Sports League » NHL</t>
  </si>
  <si>
    <t>Online Behavior&gt;United States&gt;Sports&gt;Water Sports » Surfing</t>
  </si>
  <si>
    <t>US » AUTO » Decision Maker for Auto Purchase » I shared equally in the decision</t>
  </si>
  <si>
    <t>US » B2B » B2B Decision Maker Responsibilities » Office Supplies or Equipment</t>
  </si>
  <si>
    <t>US » Reach » Propensity Models » Hobbies and Interest » Pets » Cat Owners</t>
  </si>
  <si>
    <t>OnAudience » Interest » Life Stage</t>
  </si>
  <si>
    <t>US » Interest Propensities » Activities and Interests » Fashion</t>
  </si>
  <si>
    <t>Mobile - US » Travel » Car Rentals » Hertz</t>
  </si>
  <si>
    <t>OnAudience » Interest » Arts &amp; Entertainment » Celebrity Fan » Gossip</t>
  </si>
  <si>
    <t>Mobile - US » Device Ownership » Smartphones » ZTE</t>
  </si>
  <si>
    <t>US » Brand Propensities » Health » Beauty and Cosmetics » SkinCareRx Buyer Propensity</t>
  </si>
  <si>
    <t>Mobile - US » Food » Restaurant » Brand » Five Guys</t>
  </si>
  <si>
    <t>US » Brand Propensities » Health » Beauty and Cosmetics » Mary Kay Buyer Propensity</t>
  </si>
  <si>
    <t>US Financial » Estimated Discretionary Spending » Greater than $2,500</t>
  </si>
  <si>
    <t>US » Interest Propensities » Insurance » Northwestern Mutual</t>
  </si>
  <si>
    <t>GumGum</t>
  </si>
  <si>
    <t>Transactional » Q2 Graduation Gift Shoppers</t>
  </si>
  <si>
    <t>OnAudience » Intent » Auto » Vehicle Parts &amp; Accessories</t>
  </si>
  <si>
    <t>Lotame » Offline CPG Purchasers » Product Segment » Home Supplies</t>
  </si>
  <si>
    <t>Media and Entertainment » Consumer Entertainment Technology</t>
  </si>
  <si>
    <t>editorsnation.com</t>
  </si>
  <si>
    <t>Online Behavior&gt;United States&gt;Autos and Vehicles » Brands&gt;Cadillac</t>
  </si>
  <si>
    <t>eenadu.net</t>
  </si>
  <si>
    <t>Lotame » Travel » International Travel</t>
  </si>
  <si>
    <t>eonline.com</t>
  </si>
  <si>
    <t>Online Behavior&gt;United States&gt;Validated Demographic » Gender and Age Combined&gt;Females 35-44</t>
  </si>
  <si>
    <t>espn.com</t>
  </si>
  <si>
    <t>Online Behavior&gt;United States&gt;B2B » Occupation&gt;SystemsAnalyst</t>
  </si>
  <si>
    <t>OnAudience » Interest » Personal Finance</t>
  </si>
  <si>
    <t>essentiallysports.com</t>
  </si>
  <si>
    <t>Mobile - US » Demographics » Education » Lowest Education Achievement</t>
  </si>
  <si>
    <t>Mobile - US » Food » Restaurant » Brand » Buffalo Wild Wings</t>
  </si>
  <si>
    <t>evite.com</t>
  </si>
  <si>
    <t>US Interest » Cooking » General</t>
  </si>
  <si>
    <t>ew.com</t>
  </si>
  <si>
    <t>Travel and Tourism » Interest (Affinity) » Destinations » Latin America</t>
  </si>
  <si>
    <t>factable.com</t>
  </si>
  <si>
    <t>Online Behavior&gt;United States&gt;Intent » Shopping&gt;Consumer Electronics » Video Game Consoles</t>
  </si>
  <si>
    <t>factinate.com</t>
  </si>
  <si>
    <t>Online Behavior&gt;United States&gt;Intent » Auto Buyers » Category&gt;Motorcycle</t>
  </si>
  <si>
    <t>fandom.com</t>
  </si>
  <si>
    <t>US Financial » Credit Card Type » Credit Card Holder - Unknown Type</t>
  </si>
  <si>
    <t>US » Brand Propensities » Travel » Booking.com Buyer Propensity</t>
  </si>
  <si>
    <t>US Financial » Estimated Disposable Income » $0 - $99,999</t>
  </si>
  <si>
    <t>Peoria-Bloomington, Illinois</t>
  </si>
  <si>
    <t>Online Behavior&gt;United States&gt;Autos and Vehicles&gt;Boats and Watercraft</t>
  </si>
  <si>
    <t>fandomwire.com</t>
  </si>
  <si>
    <t>Online Behavior&gt;United States&gt;Beauty and Fitness&gt;Fitness » Yoga and Pilates</t>
  </si>
  <si>
    <t>US » Reach » Propensity Models » Hobbies and Interest » Sports » Fitness Enthusiasts</t>
  </si>
  <si>
    <t>Online Behavior&gt;United States&gt;News&gt;Technology News</t>
  </si>
  <si>
    <t>femanin.com</t>
  </si>
  <si>
    <t>OnAudience » Interest » Sports</t>
  </si>
  <si>
    <t>Online Behavior&gt;United States&gt;Travel&gt;Air Travel</t>
  </si>
  <si>
    <t>finance.yahoo.com</t>
  </si>
  <si>
    <t>Online Behavior&gt;United States&gt;Beauty and Fitness&gt;Body Art</t>
  </si>
  <si>
    <t>Online Behavior&gt;United States&gt;Home and Garden&gt;Home Improvement</t>
  </si>
  <si>
    <t>Online Behavior&gt;United States&gt;News&gt;Business News</t>
  </si>
  <si>
    <t>Online Behavior&gt;United States&gt;Intent » Auto Buyers » Car Make&gt;Opel</t>
  </si>
  <si>
    <t>Online Behavior&gt;United States&gt;The Changing Consumer&gt;Active Facebook Users</t>
  </si>
  <si>
    <t>Online Behavior&gt;United States&gt;Validated Demographic » Gender and Age Combined&gt;Females 65 or older</t>
  </si>
  <si>
    <t>US » B2B » B2B Decision Maker Responsibilities » Computer Hardware</t>
  </si>
  <si>
    <t>US » Brand Propensities » Media and Entertainment » Regal Cinemas Buyer Propensity</t>
  </si>
  <si>
    <t>US » Premium Entertainment and Pastimes » Premium Magazine Enthusiasts</t>
  </si>
  <si>
    <t>Mobile - US » Device Ownership » Smartphones » iOS (Apple) » iPhone X</t>
  </si>
  <si>
    <t>Mobile - US » Device Ownership » Smartphones » iOS (Apple) » iPhone 11</t>
  </si>
  <si>
    <t>Online Behavior&gt;United States&gt;Games&gt;Family-Oriented Games and Activities</t>
  </si>
  <si>
    <t>findagrave.com</t>
  </si>
  <si>
    <t>Online Behavior&gt;United States&gt;Intent » Shopping&gt;Sports and Outdoors</t>
  </si>
  <si>
    <t>US » Reach » Propensity Models » Lifestyle » Loyalty Programs » Loyalty Card User</t>
  </si>
  <si>
    <t>Online Behavior&gt;United States&gt;Intent » Shopping&gt;Consumer Electronics » Tablets</t>
  </si>
  <si>
    <t>finviz.com</t>
  </si>
  <si>
    <t>Online Behavior&gt;United States&gt;Intent » Auto Buyers » Car Make&gt;BMW</t>
  </si>
  <si>
    <t>firstcoastnews.com</t>
  </si>
  <si>
    <t>Online Behavior&gt;United States&gt;Travel&gt;Tourist Destinations » Lakes and Rivers</t>
  </si>
  <si>
    <t>flightaware.com</t>
  </si>
  <si>
    <t>Online Behavior&gt;United States&gt;Online Communities&gt;Social Networks</t>
  </si>
  <si>
    <t>Online Behavior&gt;United States&gt;Online Communities&gt;Photo and Video Sharing</t>
  </si>
  <si>
    <t>Online Behavior&gt;United States&gt;Internet and Telecom&gt;Mobile and Wireless</t>
  </si>
  <si>
    <t>forbes.com</t>
  </si>
  <si>
    <t>Online Behavior&gt;United States&gt;Beauty and Fitness&gt;Fashion and Style » Fashion Modeling</t>
  </si>
  <si>
    <t>Online Behavior&gt;United States&gt;Games&gt;Educational Games</t>
  </si>
  <si>
    <t>Online Behavior&gt;United States&gt;Sports&gt;Motor Sports</t>
  </si>
  <si>
    <t>Online Behavior&gt;United States&gt;Autos and Vehicles » Brands&gt;BMW</t>
  </si>
  <si>
    <t>Online Behavior&gt;United States&gt;Food and Drink&gt;Beverages » Bottled Water</t>
  </si>
  <si>
    <t>US » Reach » Sociodemographic » Age » 45-49</t>
  </si>
  <si>
    <t>Real Estate » Sale Activity » Just Sold</t>
  </si>
  <si>
    <t>Lafayette, Indiana</t>
  </si>
  <si>
    <t>US » Sociodemographic » ConneXions Lifestage » F1 Early Adopting Elite</t>
  </si>
  <si>
    <t>OnAudience » Interest » Arts &amp; Entertainment » Television</t>
  </si>
  <si>
    <t>US Interest » Consumer Electronics</t>
  </si>
  <si>
    <t>US » Interest Propensities » Insurance » Unitedhealth Group</t>
  </si>
  <si>
    <t>US » B2B » B2B Decision Maker Responsibilities » Marketing or Market Research</t>
  </si>
  <si>
    <t>fortune.com</t>
  </si>
  <si>
    <t>Online Behavior&gt;United States&gt;Arts and Entertainment&gt;Comics and Animation</t>
  </si>
  <si>
    <t>fox59.com</t>
  </si>
  <si>
    <t>US » Interest Propensities » Insurance » Aetna Group</t>
  </si>
  <si>
    <t>foxbusiness.com</t>
  </si>
  <si>
    <t>Online Behavior&gt;United States&gt;Finance » Insurance&gt;Insurance</t>
  </si>
  <si>
    <t>foxnews.com</t>
  </si>
  <si>
    <t>Online Behavior&gt;United States&gt;Food and Drink&gt;Beverages » Coffee and Tea</t>
  </si>
  <si>
    <t>Online Behavior&gt;United States&gt;Intent » Auto Buyers » Car Make&gt;Ford</t>
  </si>
  <si>
    <t>Online Behavior&gt;United States&gt;Autos and Vehicles » Brands&gt;Maserati</t>
  </si>
  <si>
    <t>US » Reach » Sociodemographic » Homeowner Status » Renter</t>
  </si>
  <si>
    <t>US » B2B » B2B Decision Maker Responsibilities » HR or Personnel Services</t>
  </si>
  <si>
    <t>US » B2B » B2B Decision Maker Responsibilities » Sales</t>
  </si>
  <si>
    <t>Mobile - US » Travel » Vacation Rentals » HomeAway</t>
  </si>
  <si>
    <t>OnAudience » Interest » News » Local News</t>
  </si>
  <si>
    <t>OnAudience » Interest » Arts &amp; Entertainment » Music Lovers</t>
  </si>
  <si>
    <t>US » Sociodemographic » PRIZM Premier Social » T2 Country Comfort</t>
  </si>
  <si>
    <t>Online Behavior&gt;United States&gt;Arts and Entertainment&gt;Movies</t>
  </si>
  <si>
    <t>funnyand.com</t>
  </si>
  <si>
    <t>Online Behavior&gt;United States&gt;Intent » Shopping&gt;Consumer Electronics » Cameras and Photography Equip</t>
  </si>
  <si>
    <t>gameofglam.com</t>
  </si>
  <si>
    <t>Online Behavior&gt;United States&gt;Intent » Travel&gt;Business Travel</t>
  </si>
  <si>
    <t>gamerant.com</t>
  </si>
  <si>
    <t>US Home » Dwelling Type » Single-Family</t>
  </si>
  <si>
    <t>OnAudience » Interest » Games</t>
  </si>
  <si>
    <t>gamespot.com</t>
  </si>
  <si>
    <t>US » Response Performance » Direct Marketing Purchasers</t>
  </si>
  <si>
    <t>gamingbible.com</t>
  </si>
  <si>
    <t>Online Behavior&gt;United States&gt;Autos and Vehicles » Brands&gt;Saab</t>
  </si>
  <si>
    <t>Jackson, Mississippi</t>
  </si>
  <si>
    <t>geeksforgeeks.org</t>
  </si>
  <si>
    <t>Online Behavior&gt;United States&gt;Hobbies and Leisure&gt;Contests, Awards and Prizes</t>
  </si>
  <si>
    <t>Online Behavior&gt;United States&gt;The Changing Consumer&gt;B2B Work from Home</t>
  </si>
  <si>
    <t>US » Sociodemographic » ConneXions Lifestage » M3 Offline Seniors</t>
  </si>
  <si>
    <t>US » Brand Propensities » Apparel » JCPenney Buyer Propensity</t>
  </si>
  <si>
    <t>greatschools.org</t>
  </si>
  <si>
    <t>OnAudience » Interest » News » National News</t>
  </si>
  <si>
    <t>greedyfinance.com</t>
  </si>
  <si>
    <t>US » Reach » Propensity Models » Hobbies and Interest » Sports » Plays Soccer</t>
  </si>
  <si>
    <t>health.usnews.com</t>
  </si>
  <si>
    <t>Online Behavior&gt;United States&gt;People and Society&gt;Seniors and Retirement</t>
  </si>
  <si>
    <t>healthline.com</t>
  </si>
  <si>
    <t>Media Source</t>
  </si>
  <si>
    <t>healthyrecipesblogs.com</t>
  </si>
  <si>
    <t>Mobile - US » Sports » Water Sports » Boating</t>
  </si>
  <si>
    <t>heraldweekly.com</t>
  </si>
  <si>
    <t>Online Behavior&gt;United States&gt;Autos and Vehicles&gt;Hybrid and Alternative Vehicles</t>
  </si>
  <si>
    <t>hindustantimes.com</t>
  </si>
  <si>
    <t>Mobile - US » Travel » Activity » Ski Travelers</t>
  </si>
  <si>
    <t>US » Sociodemographic » P$YCLE Premier Lifestage » M3 Upscale Empty Nests</t>
  </si>
  <si>
    <t>historyallday.com</t>
  </si>
  <si>
    <t>Online Behavior&gt;United States&gt;Intent » Auto Buyers » Car Make&gt;Dodge</t>
  </si>
  <si>
    <t>historycollection.com</t>
  </si>
  <si>
    <t>Online Behavior&gt;United States&gt;Intent » Auto Buyers » Type&gt;SUV</t>
  </si>
  <si>
    <t>homeaddict.io</t>
  </si>
  <si>
    <t>Online Behavior&gt;United States&gt;Validated Demographic » Age&gt;35-44</t>
  </si>
  <si>
    <t>homehacks.co</t>
  </si>
  <si>
    <t>US Demographic » Preferred Language » Individual » Non-Hispanic</t>
  </si>
  <si>
    <t>houseplans.net</t>
  </si>
  <si>
    <t>Online Behavior&gt;United States&gt;Arts and Entertainment&gt;Celebrities and Entertainment News</t>
  </si>
  <si>
    <t>icy-veins.com</t>
  </si>
  <si>
    <t>OnAudience » Intent » Education</t>
  </si>
  <si>
    <t>Online Behavior&gt;United States&gt;Intent » Auto Buyers » Car Make&gt;Mazda</t>
  </si>
  <si>
    <t>iflscience.com</t>
  </si>
  <si>
    <t>Online Behavior&gt;United States&gt;Validated Demographic » Gender and Age Combined&gt;Females 25-34</t>
  </si>
  <si>
    <t>ign.com</t>
  </si>
  <si>
    <t>OnAudience » Interest » Technology &amp; Computing » Internet Technology</t>
  </si>
  <si>
    <t>Panama City, Florida</t>
  </si>
  <si>
    <t>Mobile - US » Sports » UFC Fans</t>
  </si>
  <si>
    <t>Online Behavior&gt;United States&gt;Intent » Shopping&gt;Auto Parts Stores</t>
  </si>
  <si>
    <t>insider.com</t>
  </si>
  <si>
    <t>Online Behavior&gt;United States&gt;Autos and Vehicles » Brands&gt;Ford</t>
  </si>
  <si>
    <t>Lotame » Technology » Mobile Phones</t>
  </si>
  <si>
    <t>Online Behavior&gt;United States&gt;Autos and Vehicles » Brands&gt;Maybach</t>
  </si>
  <si>
    <t>insidethemagic.net</t>
  </si>
  <si>
    <t>Online Behavior&gt;United States&gt;The Changing Consumer&gt;Online Retailers</t>
  </si>
  <si>
    <t>investing.com</t>
  </si>
  <si>
    <t>Online Behavior&gt;United States&gt;Finance » Financial Planning and Management&gt;Inheritance and Estate Planning</t>
  </si>
  <si>
    <t>Lotame » Travel » Winter Holiday Travel</t>
  </si>
  <si>
    <t>US » Brand Propensities » Home and Household Goods » Pottery Barn Kids Buyer Propensity</t>
  </si>
  <si>
    <t>investmentguru.com</t>
  </si>
  <si>
    <t>Online Behavior&gt;United States&gt;Intent » Shopping&gt;Drug Stores</t>
  </si>
  <si>
    <t>investopedia.com</t>
  </si>
  <si>
    <t>Media and Entertainment » Sports and Recreational Activities » Interest (Affinity) » Individual Sports » Tennis and Racquet Sports</t>
  </si>
  <si>
    <t>US » Reach » Propensity Models » Hobbies and Interest » Sports » NBA Enthusiast</t>
  </si>
  <si>
    <t>jdpower.com</t>
  </si>
  <si>
    <t>Mobile - US » Device Ownership » Smartphones » Vivo</t>
  </si>
  <si>
    <t>Lotame » Style, Fashion &amp; Clothing » Women's Clothing Shoppers</t>
  </si>
  <si>
    <t>Online Behavior&gt;United States&gt;Intent » Shopping&gt;Office Supplies</t>
  </si>
  <si>
    <t>kbb.com</t>
  </si>
  <si>
    <t>Online Behavior&gt;United States&gt;Validated Demographic » Gender&gt;Male</t>
  </si>
  <si>
    <t>Online Behavior&gt;United States&gt;The Changing Consumer&gt;Home Cooking</t>
  </si>
  <si>
    <t>Online Behavior&gt;United States&gt;B2B » Occupation&gt;Teacher</t>
  </si>
  <si>
    <t>Online Behavior&gt;United States&gt;Finance » Accounting and Auditing&gt;Bookkeeping</t>
  </si>
  <si>
    <t>OnAudience » Interest » Arts &amp; Entertainment » Fine Art</t>
  </si>
  <si>
    <t>Lotame » Technology » Electronics &amp; Gadgets</t>
  </si>
  <si>
    <t>OnAudience » Intent » Toys &amp; Games</t>
  </si>
  <si>
    <t>Online Behavior&gt;United States&gt;Validated Demographic » Age&gt;25 or older</t>
  </si>
  <si>
    <t>kiplinger.com</t>
  </si>
  <si>
    <t>Lotame » Style, Fashion &amp; Clothing » Children's Clothing Shoppers</t>
  </si>
  <si>
    <t>lensvid.com</t>
  </si>
  <si>
    <t>Online Behavior&gt;United States&gt;Validated Demographic » Gender and Age Combined&gt;Males 18-64</t>
  </si>
  <si>
    <t>livescience.com</t>
  </si>
  <si>
    <t>Online Behavior&gt;United States&gt;Food and Drink&gt;Beverages » Soft Drinks</t>
  </si>
  <si>
    <t>lotterypost.com</t>
  </si>
  <si>
    <t>Online Behavior&gt;United States&gt;Validated Demographic » Age&gt;25-34</t>
  </si>
  <si>
    <t>US » Reach » Propensity Models » Finance » Credit » Debit Card » Major Credit Card User</t>
  </si>
  <si>
    <t>m.timesofindia.com</t>
  </si>
  <si>
    <t>Lotame » Technology</t>
  </si>
  <si>
    <t>US » Reach » Propensity Models » Real Estate » Mortgage Amount » $120,000-$159,999</t>
  </si>
  <si>
    <t>Online Behavior&gt;United States&gt;Food and Drink&gt;Restaurants » Fast Food</t>
  </si>
  <si>
    <t>macrumors.com</t>
  </si>
  <si>
    <t>Online Behavior&gt;United States&gt;Validated Demographic » Age&gt;18-54</t>
  </si>
  <si>
    <t>Online Behavior&gt;United States&gt;Travel&gt;Air Travel » Airport Parking and Transportation</t>
  </si>
  <si>
    <t>mail.aol.com</t>
  </si>
  <si>
    <t>Online Behavior&gt;United States&gt;Sports&gt;Individual Sports » Track and Field</t>
  </si>
  <si>
    <t>Online Behavior&gt;United States&gt;Sports&gt;Individual Sports » Bowling</t>
  </si>
  <si>
    <t>Online Behavior&gt;United States&gt;Autos and Vehicles » Brands&gt;SEAT</t>
  </si>
  <si>
    <t>Online Behavior&gt;United States&gt;Intent » Services&gt;Photography</t>
  </si>
  <si>
    <t>Online Behavior&gt;United States&gt;Autos and Vehicles » Brands&gt;Acura</t>
  </si>
  <si>
    <t>Online Behavior&gt;United States&gt;The Changing Consumer&gt;Delivery Services and Quick Service Restaurants</t>
  </si>
  <si>
    <t>Online Behavior&gt;United States&gt;Intent » Auto Buyers » Type&gt;Sedan</t>
  </si>
  <si>
    <t>Online Behavior&gt;United States&gt;Finance » Grants, Scholarships and Financial Aid&gt;Study Grants and Scholarships</t>
  </si>
  <si>
    <t>Online Behavior&gt;United States&gt;Arts and Entertainment&gt;Events and Listings » Food and Beverage Events</t>
  </si>
  <si>
    <t>US » Reach » Propensity Models » Hobbies and Interest » Music » Streaming</t>
  </si>
  <si>
    <t>US » B2B » B2B Decision Maker Responsibilities » Computer Software</t>
  </si>
  <si>
    <t>US » Brand Propensities » Health » Beauty and Cosmetics » ULTA Buyer Propensity</t>
  </si>
  <si>
    <t>Toledo, Ohio</t>
  </si>
  <si>
    <t>US » Home and Garden Interests » House and Garden Merchandise Buyers</t>
  </si>
  <si>
    <t>Lotame » Offline CPG Purchasers » Product Segment</t>
  </si>
  <si>
    <t>US » Brand Propensities » Apparel » Bare Necessities Buyer Propensity</t>
  </si>
  <si>
    <t>Mobile - US » Travel » Destination » International Travelers » yes</t>
  </si>
  <si>
    <t>US » Brand Propensities » Media and Entertainment » Sony Network Entertainment International Buyer Propensity</t>
  </si>
  <si>
    <t>Travel and Tourism » Interest (Affinity) » Destinations » Europe</t>
  </si>
  <si>
    <t>Online Behavior&gt;United States&gt;Finance » Financial Planning and Management&gt;Financial Planning and Management</t>
  </si>
  <si>
    <t>mail.yahoo.com</t>
  </si>
  <si>
    <t>Online Behavior&gt;United States&gt;Beauty and Fitness&gt;Fitness</t>
  </si>
  <si>
    <t>Online Behavior&gt;United States&gt;The Changing Consumer&gt;Data For Good » Current Affairs - Social Justice</t>
  </si>
  <si>
    <t>Online Behavior&gt;United States&gt;Sports&gt;Team Sports » Rugby</t>
  </si>
  <si>
    <t>Online Behavior&gt;United States&gt;Beauty and Fitness&gt;Fashion and Style » Fashion Designers and Collections</t>
  </si>
  <si>
    <t>Online Behavior&gt;United States&gt;Beauty and Fitness&gt;Weight Loss</t>
  </si>
  <si>
    <t>Online Behavior&gt;United States&gt;Travel&gt;Travel Agencies and Services</t>
  </si>
  <si>
    <t>Online Behavior&gt;United States&gt;Validated Demographic » Gender and Age Combined&gt;Females 18-64</t>
  </si>
  <si>
    <t>Online Behavior&gt;United States&gt;Travel&gt;Specialty Travel » Agritourism</t>
  </si>
  <si>
    <t>Online Behavior&gt;United States&gt;Validated Demographic » Gender and Age Combined&gt;Females 25-64</t>
  </si>
  <si>
    <t>Online Behavior&gt;United States&gt;The Changing Consumer&gt;Home Entertaining</t>
  </si>
  <si>
    <t>Online Behavior&gt;United States&gt;Validated Demographic » Gender and Age Combined&gt;Females 18-44</t>
  </si>
  <si>
    <t>Online Behavior&gt;United States&gt;Food and Drink&gt;Restaurants</t>
  </si>
  <si>
    <t>Online Behavior&gt;United States&gt;Sports&gt;Winter Sports » Ice Skating</t>
  </si>
  <si>
    <t>US » Reach » Propensity Models » Hobbies and Interest » Sports » PGA Tour Enthusiast</t>
  </si>
  <si>
    <t>US » Sociodemographic » ConneXions Lifestage » M4 Elderly Traditionalists</t>
  </si>
  <si>
    <t>US » Reach » Propensity Models » Hobbies and Interest » Sports » NASCAR Enthusiast</t>
  </si>
  <si>
    <t>Mobile - US » Automotive » Vehicle Ownership » yes</t>
  </si>
  <si>
    <t>US » Brand Propensities » Media and Entertainment » Steam Community Buyer Propensity</t>
  </si>
  <si>
    <t>OnAudience » Interest » Travel</t>
  </si>
  <si>
    <t>US » Brand Propensities » Automotive » Tirerack.com Buyer Propensity</t>
  </si>
  <si>
    <t>Lotame » Style, Fashion &amp; Clothing » Clothing Shoppers</t>
  </si>
  <si>
    <t>Transactional » Q3 Home Entertainers</t>
  </si>
  <si>
    <t>Travel and Tourism » Interest (Affinity) » Products » Hotels and Lodging</t>
  </si>
  <si>
    <t>US » Demographic » Family » Households with 3 Adults</t>
  </si>
  <si>
    <t>Online Behavior&gt;United States&gt;Intent » Shopping&gt;Entertainment</t>
  </si>
  <si>
    <t>mapquest.com</t>
  </si>
  <si>
    <t>Online Behavior&gt;United States&gt;The Changing Consumer&gt;Personal Budgeting</t>
  </si>
  <si>
    <t>Mobile - US » Food » Restaurant » Brand » Moes Southwest Grill</t>
  </si>
  <si>
    <t>Online Behavior&gt;United States&gt;Validated Demographic » Gender and Age Combined&gt;Males 25-54</t>
  </si>
  <si>
    <t>marca.com</t>
  </si>
  <si>
    <t>Online Behavior&gt;United States&gt;Travel&gt;Business Travel</t>
  </si>
  <si>
    <t>US Financial » Likely In Market Timing » Not At All Likely to Purchase » Second House/Residence In The Next Year (Financial)</t>
  </si>
  <si>
    <t>maxroll.gg</t>
  </si>
  <si>
    <t>Online Behavior&gt;United States&gt;Hobbies and Leisure&gt;Special Occasions » Party Planning</t>
  </si>
  <si>
    <t>mayoclinic.org</t>
  </si>
  <si>
    <t>Online Behavior&gt;United States&gt;Sports&gt;Individual Sports » Skate Sports</t>
  </si>
  <si>
    <t>medical-news.org</t>
  </si>
  <si>
    <t>US » Reach » Propensity Models » Hobbies and Interest » Sports » NFL Enthusiast</t>
  </si>
  <si>
    <t>medicalnewstoday.com</t>
  </si>
  <si>
    <t>Mobile - US » Device Ownership » Tablets » yes</t>
  </si>
  <si>
    <t>US » Health and Wellbeing » Health and Wellbeing</t>
  </si>
  <si>
    <t>US » Brand Propensities » Telecom and Service Providers » Page Plus Cellular Buyer Propensity</t>
  </si>
  <si>
    <t>merriam-webster.com</t>
  </si>
  <si>
    <t>US » Reach » Propensity Models » Hobbies and Interest » Music » Listens to Pop Music</t>
  </si>
  <si>
    <t>merriam-webster.com/dictionary</t>
  </si>
  <si>
    <t>Media and Entertainment » Sports and Recreational Activities » Interest (Affinity) » Team Sports » Soccer (Football)</t>
  </si>
  <si>
    <t>Online Behavior&gt;United States&gt;B2B » Occupation&gt;ElectricalEngineer</t>
  </si>
  <si>
    <t>miamiherald.com</t>
  </si>
  <si>
    <t>Online Behavior&gt;United States&gt;Beauty and Fitness&gt;Fashion and Style</t>
  </si>
  <si>
    <t>Online Behavior&gt;United States&gt;Autos and Vehicles » Brands&gt;Honda</t>
  </si>
  <si>
    <t>microsoftcasualgames.com</t>
  </si>
  <si>
    <t>Online Behavior&gt;United States&gt;Validated Demographic » Age&gt;25-64</t>
  </si>
  <si>
    <t>US » Reach » Propensity Models » Household Consumer Expenditures » Furniture</t>
  </si>
  <si>
    <t>Louisville, Kentucky</t>
  </si>
  <si>
    <t>US » Reach » Propensity Models » Hobbies and Interest » Music » Listens to Country Music</t>
  </si>
  <si>
    <t>Online Behavior&gt;United States&gt;Intent » Shopping&gt;Wireless Providers</t>
  </si>
  <si>
    <t>milb.com</t>
  </si>
  <si>
    <t>Online Behavior&gt;United States&gt;Hobbies and Leisure&gt;Outdoors » Fishing</t>
  </si>
  <si>
    <t>mlb.com</t>
  </si>
  <si>
    <t>Online Behavior&gt;United States&gt;Autos and Vehicles » Brands&gt;Volkswagen</t>
  </si>
  <si>
    <t>Online Behavior&gt;United States&gt;Autos and Vehicles » Brands&gt;Jaguar</t>
  </si>
  <si>
    <t>US » Interest Propensities » Celebrities » Celebrity Fan Gossip</t>
  </si>
  <si>
    <t>US » Interest Propensities » Insurance » Humana</t>
  </si>
  <si>
    <t>Kargo</t>
  </si>
  <si>
    <t>US » Interest Propensities » Activities and Interests » B2B Job Search</t>
  </si>
  <si>
    <t>Online Behavior&gt;United States&gt;Autos and Vehicles » Brands&gt;Bugatti</t>
  </si>
  <si>
    <t>mobileposse.com</t>
  </si>
  <si>
    <t>Media and Entertainment » Gaming » In-Market</t>
  </si>
  <si>
    <t>moneyppl.com</t>
  </si>
  <si>
    <t>Media and Entertainment » Events and Attractions</t>
  </si>
  <si>
    <t>motor-junkie.com</t>
  </si>
  <si>
    <t>Online Behavior&gt;United States&gt;Finance » Banking&gt;Banking</t>
  </si>
  <si>
    <t>msn.com</t>
  </si>
  <si>
    <t>Online Behavior&gt;United States&gt;Finance » Credit and Lending&gt;Credit and Lending</t>
  </si>
  <si>
    <t>Online Behavior&gt;United States&gt;Finance » Investing&gt;Investing</t>
  </si>
  <si>
    <t>Online Behavior&gt;United States&gt;Beauty and Fitness&gt;Hair Care</t>
  </si>
  <si>
    <t>Online Behavior&gt;United States&gt;Life Event&gt;College Graduation</t>
  </si>
  <si>
    <t>Online Behavior&gt;United States&gt;The Changing Consumer&gt;Happy at Home</t>
  </si>
  <si>
    <t>Online Behavior&gt;United States&gt;Sports&gt;Team Sports » American Football</t>
  </si>
  <si>
    <t>Online Behavior&gt;United States&gt;Autos and Vehicles&gt;Electric and Plug-In Vehicles</t>
  </si>
  <si>
    <t>Online Behavior&gt;United States&gt;Intent » Shopping&gt;Home and Garden</t>
  </si>
  <si>
    <t>Online Behavior&gt;United States&gt;Intent » Auto Buyers » Type&gt;Truck</t>
  </si>
  <si>
    <t>Online Behavior&gt;United States&gt;Intent » Shopping&gt;Consumer Electronics » Televisions/TVs</t>
  </si>
  <si>
    <t>Online Behavior&gt;United States&gt;Intent » Services&gt;Arts and Entertainment</t>
  </si>
  <si>
    <t>Online Behavior&gt;United States&gt;Sports&gt;Individual Sports » Cycling</t>
  </si>
  <si>
    <t>Online Behavior&gt;United States&gt;Autos and Vehicles » Brands&gt;Porsche</t>
  </si>
  <si>
    <t>Online Behavior&gt;United States&gt;Beauty and Fitness&gt;Spas and Beauty Services » Massage Therapy</t>
  </si>
  <si>
    <t>Online Behavior&gt;United States&gt;Arts and Entertainment&gt;TV and Video</t>
  </si>
  <si>
    <t>Online Behavior&gt;United States&gt;Autos and Vehicles » Brands&gt;Mitsubishi</t>
  </si>
  <si>
    <t>Online Behavior&gt;United States&gt;Autos and Vehicles » Brands&gt;GM-Daewoo</t>
  </si>
  <si>
    <t>US » Demo » Age » 65+</t>
  </si>
  <si>
    <t>US » Sociodemographic » P$YCLE Premier Lifestage » Y3 Fiscal Fledglings</t>
  </si>
  <si>
    <t>OnAudience » Interest » News &amp; Magazines</t>
  </si>
  <si>
    <t>US » Brand Propensities » Electronics » RadioShack Buyer Propensity</t>
  </si>
  <si>
    <t>US » Interest Propensities » Activities and Interests » College Life</t>
  </si>
  <si>
    <t>Lotame » Social Media</t>
  </si>
  <si>
    <t>US » Reach » Propensity Models » Hobbies and Interest » Pets » Pet Enthusiast</t>
  </si>
  <si>
    <t>US » Financially in Charge » Performance Score: Top 25%</t>
  </si>
  <si>
    <t>OnAudience » Intent » Travel</t>
  </si>
  <si>
    <t>Media and Entertainment » Sports and Recreational Activities » Interest (Affinity) » Team Sports » Football (American)</t>
  </si>
  <si>
    <t>US Financial » Likely Bank Account and Services » Saving Account » Personal or Join (Financial)</t>
  </si>
  <si>
    <t>Shreveport, Louisiana</t>
  </si>
  <si>
    <t>Online Behavior&gt;United States&gt;B2B » Occupation&gt;SupplyChainManager</t>
  </si>
  <si>
    <t>my.earthlink.net</t>
  </si>
  <si>
    <t>Online Behavior&gt;United States&gt;People and Society&gt;Family and Relationships » Moms</t>
  </si>
  <si>
    <t>my.yahoo.com</t>
  </si>
  <si>
    <t>Online Behavior&gt;United States&gt;Arts and Entertainment&gt;Events and Listings » Live Sporting Events</t>
  </si>
  <si>
    <t>Online Behavior&gt;United States&gt;Intent » Financial Intent&gt;Banking</t>
  </si>
  <si>
    <t>mydailymagazine.com</t>
  </si>
  <si>
    <t>Online Behavior&gt;United States&gt;Finance » Insurance&gt;Health Insurance</t>
  </si>
  <si>
    <t>myfitnesspal.com</t>
  </si>
  <si>
    <t>Media and Entertainment » Sports and Recreational Activities » Interest (Affinity) » Olympics</t>
  </si>
  <si>
    <t>nba.com</t>
  </si>
  <si>
    <t>US » Brand Propensities » Kids Products » Disney Buyer Propensity</t>
  </si>
  <si>
    <t>nbcchicago.com</t>
  </si>
  <si>
    <t>Online Behavior&gt;United States&gt;Arts and Entertainment&gt;Arts and Entertainment</t>
  </si>
  <si>
    <t>Online Behavior&gt;United States&gt;Validated Demographic » Gender and Age Combined&gt;Males 18-34</t>
  </si>
  <si>
    <t>nbcdfw.com</t>
  </si>
  <si>
    <t>Online Behavior&gt;United States&gt;Finance » Investing&gt;Commodities and Futures Trading</t>
  </si>
  <si>
    <t>nbcmiami.com</t>
  </si>
  <si>
    <t>Online Behavior&gt;United States&gt;Autos and Vehicles&gt;Vehicle Shopping » Fuel Economy and Gas Prices</t>
  </si>
  <si>
    <t>nbcnews.com</t>
  </si>
  <si>
    <t>Online Behavior&gt;United States&gt;Travel&gt;Travel Agencies and Services » Tourist Boards and Visitor Centers</t>
  </si>
  <si>
    <t>Online Behavior&gt;United States&gt;Beauty and Fitness&gt;Fitness » Home Exercise</t>
  </si>
  <si>
    <t>Media and Entertainment » News and Current Events</t>
  </si>
  <si>
    <t>US » Interest Propensities » Activities and Interests » National News</t>
  </si>
  <si>
    <t>US » Interest Propensities » TV and Movies » Reality » Game Shows</t>
  </si>
  <si>
    <t>nbcsports.com</t>
  </si>
  <si>
    <t>Online Behavior&gt;United States&gt;Hobbies and Leisure&gt;Crafts</t>
  </si>
  <si>
    <t>news.yahoo.com</t>
  </si>
  <si>
    <t>Online Behavior&gt;United States&gt;Life Event&gt;Wedding Planning</t>
  </si>
  <si>
    <t>Online Behavior&gt;United States&gt;Validated Demographic » Gender and Age Combined&gt;Females 55-64</t>
  </si>
  <si>
    <t>Online Behavior&gt;United States&gt;Home and Garden&gt;Home Appliances</t>
  </si>
  <si>
    <t>OnAudience » Interest » Shopping</t>
  </si>
  <si>
    <t>Media and Entertainment » Sports and Recreational Activities » Interest (Affinity) » Team Sports » Baseball</t>
  </si>
  <si>
    <t>Media and Entertainment » News and Current Events » Online News Websites</t>
  </si>
  <si>
    <t>newsharper.com</t>
  </si>
  <si>
    <t>Online Behavior&gt;United States&gt;Finance » Investing&gt;Brokerages and Day Trading</t>
  </si>
  <si>
    <t>newsmemory.com</t>
  </si>
  <si>
    <t>US » Reach » Propensity Models » Luxury Store Shoppers</t>
  </si>
  <si>
    <t>Online Behavior&gt;United States&gt;Intent » Auto Buyers » Car Make&gt;Honda</t>
  </si>
  <si>
    <t>npr.org</t>
  </si>
  <si>
    <t>Media and Entertainment » Sports and Recreational Activities » Interest (Affinity) » Combat Sports</t>
  </si>
  <si>
    <t>US » Reach » Propensity Models » Travel » High Frequency Travel » Foreign Vacationer</t>
  </si>
  <si>
    <t>nsfas-applications.co.za</t>
  </si>
  <si>
    <t>Online Behavior&gt;United States&gt;Intent » Auto Buyers » Car Make&gt;Vauxhall</t>
  </si>
  <si>
    <t>nypost.com</t>
  </si>
  <si>
    <t>Online Behavior&gt;United States&gt;Intent » Travel&gt;Flights</t>
  </si>
  <si>
    <t>Online Behavior&gt;United States&gt;Home and Garden&gt;Home Furnishings</t>
  </si>
  <si>
    <t>Tech Enthusiasts</t>
  </si>
  <si>
    <t>US Interest » Computers</t>
  </si>
  <si>
    <t>US » Brand Propensities » Health » Beauty and Cosmetics » Beachbody Buyer Propensity</t>
  </si>
  <si>
    <t>Media and Entertainment » Audio and Video Streaming » Streaming Video » Interest (Affinity)</t>
  </si>
  <si>
    <t>nytimes.com</t>
  </si>
  <si>
    <t>US » Interest Propensities » Insurance » New York Life</t>
  </si>
  <si>
    <t>OnAudience » Interest » Science » Weather</t>
  </si>
  <si>
    <t>omnicalculator.com</t>
  </si>
  <si>
    <t>Mobile - US » Demographics » Finance » Rent Value » Highest Rent Value</t>
  </si>
  <si>
    <t>US » AUTO » Primary Vehicle » Owned or Leased » Company Car</t>
  </si>
  <si>
    <t>Hattiesburg-Laurel, Mississippi</t>
  </si>
  <si>
    <t>onechicagocenter.com</t>
  </si>
  <si>
    <t>Online Behavior&gt;United States&gt;Finance » Credit and Lending&gt;Credit Cards</t>
  </si>
  <si>
    <t>outlook.live.com</t>
  </si>
  <si>
    <t>Online Behavior&gt;United States&gt;The Changing Consumer&gt;Trending TV Shows</t>
  </si>
  <si>
    <t>Online Behavior&gt;United States&gt;Travel&gt;Hotels and Accommodations</t>
  </si>
  <si>
    <t>Online Behavior&gt;United States&gt;Intent » Shopping&gt;Fashion</t>
  </si>
  <si>
    <t>Online Behavior&gt;United States&gt;The Changing Consumer&gt;Natural Disasters</t>
  </si>
  <si>
    <t>Online Behavior&gt;United States&gt;Validated Demographic » Gender and Age Combined&gt;Females 25-44</t>
  </si>
  <si>
    <t>OnAudience » Interest » News</t>
  </si>
  <si>
    <t>US » Reach » Propensity Models » Online » Home Office</t>
  </si>
  <si>
    <t>US » Brand Propensities » Apparel » TOMS Buyer Propensity</t>
  </si>
  <si>
    <t>Mobile - US » Financial Services » Digital Payments » Chase Pay</t>
  </si>
  <si>
    <t>Transactional » Q3 Casual Dining Restaurant Goers</t>
  </si>
  <si>
    <t>Media and Entertainment » Sports and Recreational Activities » Interest (Affinity) » Olympics » Winter Olympics</t>
  </si>
  <si>
    <t>Mobile - US » Demographics » Finance » Rent Value » Lowest Rent Value</t>
  </si>
  <si>
    <t>US » Brand Propensities » Big Box Dollar Tree Buyer Propensity</t>
  </si>
  <si>
    <t>Mobile - US » Food » Restaurant » Brand » Chilis</t>
  </si>
  <si>
    <t>Online Behavior&gt;United States&gt;Finance » Accounting and Auditing&gt;Tax Preparation and Planning</t>
  </si>
  <si>
    <t>pandora.com</t>
  </si>
  <si>
    <t>Online Behavior&gt;United States&gt;Beauty and Fitness&gt;Fitness » Bodybuilding</t>
  </si>
  <si>
    <t>Online Behavior&gt;United States&gt;Autos and Vehicles&gt;Vehicle Parts and Accessories</t>
  </si>
  <si>
    <t>US » Brand Propensities » Food and Drug » Postmates Buyer Propensity</t>
  </si>
  <si>
    <t>Online Behavior&gt;United States&gt;Online Communities&gt;Online Goodies</t>
  </si>
  <si>
    <t>people.com</t>
  </si>
  <si>
    <t>Online Behavior&gt;United States&gt;Jobs and Education&gt;Jobs</t>
  </si>
  <si>
    <t>Online Behavior&gt;United States&gt;Intent » Auto Buyers » Category&gt;Sport Cars</t>
  </si>
  <si>
    <t>US » Reach » Propensity Models » Hobbies and Interest » Cultural Arts</t>
  </si>
  <si>
    <t>US » B2B » B2B Decision Maker Responsibilities » Internet Services</t>
  </si>
  <si>
    <t>Mobile - US » Device Ownership » Smartphones » iOS (Apple) » yes</t>
  </si>
  <si>
    <t>US » B2B » Purchase DM » Technology Services, Hardware and » or Software » I am the sole decision maker</t>
  </si>
  <si>
    <t>phys.org</t>
  </si>
  <si>
    <t>OnAudience » Interest » Education</t>
  </si>
  <si>
    <t>politico.com</t>
  </si>
  <si>
    <t>OnAudience » Intent » Software</t>
  </si>
  <si>
    <t>Online Behavior&gt;United States&gt;Home and Garden&gt;Kitchen and Dining</t>
  </si>
  <si>
    <t>poshland.com</t>
  </si>
  <si>
    <t>US » Reach » Propensity Models » Hobbies and Interest » Food and Drinks » Eats at Family Restaurants</t>
  </si>
  <si>
    <t>OnAudience » Intent » Baby &amp; Toddler » Baby Toys</t>
  </si>
  <si>
    <t>Media and Entertainment » Television (TV)</t>
  </si>
  <si>
    <t>Online Behavior&gt;United States&gt;Intent » Auto Buyers » Category&gt;Caravan</t>
  </si>
  <si>
    <t>ranker.com</t>
  </si>
  <si>
    <t>US » Reach » Propensity Models » Hobbies and Interest » Sports » Hunting Enthusiasts</t>
  </si>
  <si>
    <t>Online Behavior&gt;United States&gt;The Changing Consumer&gt;CPG</t>
  </si>
  <si>
    <t>realtor.com</t>
  </si>
  <si>
    <t>Online Behavior&gt;United States&gt;Internet and Telecom&gt;Web Apps and Online Tools</t>
  </si>
  <si>
    <t>Online Behavior&gt;United States&gt;News&gt;Local News</t>
  </si>
  <si>
    <t>Online Behavior&gt;United States&gt;Intent » Auto Buyers » Car Make&gt;Mercedes</t>
  </si>
  <si>
    <t>Online Behavior&gt;United States&gt;Sports&gt;Individual Sports » Golf</t>
  </si>
  <si>
    <t>Online Behavior&gt;United States&gt;Food and Drink&gt;Beverages » Juice</t>
  </si>
  <si>
    <t>Online Behavior&gt;United States&gt;Autos and Vehicles » Brands&gt;Isuzu</t>
  </si>
  <si>
    <t>Online Behavior&gt;United States&gt;Internet and Telecom&gt;Web Services</t>
  </si>
  <si>
    <t>Online Behavior&gt;United States&gt;Validated Demographic » Gender and Age Combined&gt;Males 18-44</t>
  </si>
  <si>
    <t>Online Behavior&gt;United States&gt;B2B » Occupation&gt;ComputerProgrammer</t>
  </si>
  <si>
    <t>US » Reach » Propensity Models » Lifestyle » Healthy Living</t>
  </si>
  <si>
    <t>US » Reach » Propensity Models » Hobbies and Interest » Sports » NHL Enthusiast</t>
  </si>
  <si>
    <t>US » Reach » Propensity Models » Hobbies and Interest » Sports » Fishing</t>
  </si>
  <si>
    <t>US » Interest Propensities » Food and Drink » American Cuisine</t>
  </si>
  <si>
    <t>US » Reach » Propensity Models » Finance » Credit » Debit Card » Store Credit Card User</t>
  </si>
  <si>
    <t>US » Brand Propensities » Apparel » Shoebuy.com Buyer Propensity</t>
  </si>
  <si>
    <t>Travel and Tourism » In-Market</t>
  </si>
  <si>
    <t>US » Interest Propensities » TV and Movies » Network TV</t>
  </si>
  <si>
    <t>US » Sociodemographic » P$YCLE Premier Lifestage » F4 Working-Class USA</t>
  </si>
  <si>
    <t>US » B2B » B2B Decision Maker Responsibilities » Office Services or Moving</t>
  </si>
  <si>
    <t>Telecommunications and Mobile Tech » Mobile Devices and Connected Technology</t>
  </si>
  <si>
    <t>US Home » Property Type » Single</t>
  </si>
  <si>
    <t>US Health and Fitness » Interest » Exercise » Health</t>
  </si>
  <si>
    <t>OnAudience » Interest » Arts &amp; Entertainment » Movies</t>
  </si>
  <si>
    <t>OnAudience » Interest » Arts &amp; Entertainment</t>
  </si>
  <si>
    <t>redfin.com</t>
  </si>
  <si>
    <t>Online Behavior&gt;United States&gt;Validated Demographic » Age&gt;18 or older</t>
  </si>
  <si>
    <t>reference.com</t>
  </si>
  <si>
    <t>US » Multibuyer Behaviors » Entertainment » Pastimes Multibuyer</t>
  </si>
  <si>
    <t>rent.com</t>
  </si>
  <si>
    <t>US » Sociodemographic » PRIZM Premier Social » C2 City Centers</t>
  </si>
  <si>
    <t>Lotame » Personal Finance » Stocks</t>
  </si>
  <si>
    <t>repairlinkshop.com</t>
  </si>
  <si>
    <t>Online Behavior&gt;United States&gt;Autos and Vehicles » Brands&gt;Citroen</t>
  </si>
  <si>
    <t>Little Rock-Pine Bluff, Arkansas</t>
  </si>
  <si>
    <t>reuters.com</t>
  </si>
  <si>
    <t>OnAudience » Intent » Electronics » Video Game Consoles</t>
  </si>
  <si>
    <t>Online Behavior&gt;United States&gt;Sports&gt;Team Sports » Baseball</t>
  </si>
  <si>
    <t>rollingstone.com</t>
  </si>
  <si>
    <t>Online Behavior&gt;United States&gt;Beauty and Fitness&gt;Fitness » Gyms and Health Clubs</t>
  </si>
  <si>
    <t>US » Reach » Propensity Models » Hobbies and Interest » Sports » Plays Tennis</t>
  </si>
  <si>
    <t>Lotame » Style, Fashion &amp; Clothing</t>
  </si>
  <si>
    <t>rvtrader.com</t>
  </si>
  <si>
    <t>Online Behavior&gt;United States&gt;Intent » Travel&gt;Graduation Trip</t>
  </si>
  <si>
    <t>sallysbakingaddiction.com</t>
  </si>
  <si>
    <t>Lotame » Online Shoppers » Online Shoppers</t>
  </si>
  <si>
    <t>sciencealert.com</t>
  </si>
  <si>
    <t>US » Reach » Propensity Models » Young Adult Clothing Shoppers</t>
  </si>
  <si>
    <t>sciencesensei.com</t>
  </si>
  <si>
    <t>Purchase-Based</t>
  </si>
  <si>
    <t>scitechdaily.com</t>
  </si>
  <si>
    <t>US » Reach » Propensity Models » Online » Electronics and Gadgets</t>
  </si>
  <si>
    <t>screenrant.com</t>
  </si>
  <si>
    <t>US » Interest Propensities » Music » Classic Rock</t>
  </si>
  <si>
    <t>OnAudience » Interest » Social life</t>
  </si>
  <si>
    <t>US Travel » Likely Business Travel » Number of Nights Stayed » 0 Nights</t>
  </si>
  <si>
    <t>US »Price-Driven Traditionalist Audience</t>
  </si>
  <si>
    <t>Online Behavior&gt;United States&gt;Intent » Travel&gt;Luxury Travel</t>
  </si>
  <si>
    <t>seedsgames.com</t>
  </si>
  <si>
    <t>Media and Entertainment » Television (TV) » Viewership » TV Genres » Drama</t>
  </si>
  <si>
    <t>semana.com</t>
  </si>
  <si>
    <t>US » Sociodemographic » ConneXions Lifestage » Y2 Emerging Techies</t>
  </si>
  <si>
    <t>shareably.net</t>
  </si>
  <si>
    <t>US » Automotive » Auto Loyalists and Defectors » Auto Make Defectors</t>
  </si>
  <si>
    <t>si.com</t>
  </si>
  <si>
    <t>Online Behavior&gt;United States&gt;Online Communities&gt;Blogging Resources and Services</t>
  </si>
  <si>
    <t>signin.ebay.com</t>
  </si>
  <si>
    <t>US » Brand Propensities » Electronics » Crutchfield Buyer Propensity</t>
  </si>
  <si>
    <t>Online Behavior&gt;United States&gt;Intent » Auto Buyers » Car Make&gt;Subaru</t>
  </si>
  <si>
    <t>signupgenius.com</t>
  </si>
  <si>
    <t>Online Behavior&gt;United States&gt;Finance » Grants, Scholarships and Financial Aid&gt;Government Grants</t>
  </si>
  <si>
    <t>Online Behavior&gt;United States&gt;Autos and Vehicles » Brands&gt;Mini</t>
  </si>
  <si>
    <t>Online Behavior&gt;United States&gt;Autos and Vehicles » Brands&gt;Buick</t>
  </si>
  <si>
    <t>US Financial » Likely In Market Timing » Not At All Likely to Purchase » First Home/Residence In The Next Year (Financial)</t>
  </si>
  <si>
    <t>Transactional » Q3 Gardening Shoppers</t>
  </si>
  <si>
    <t>Online Behavior&gt;United States&gt;Travel&gt;Tourist Destinations » Historical Sites and Buildings</t>
  </si>
  <si>
    <t>slickdeals.net</t>
  </si>
  <si>
    <t>Online Behavior&gt;United States&gt;The Changing Consumer&gt;Telehealth</t>
  </si>
  <si>
    <t>Online Behavior&gt;United States&gt;Travel&gt;Carpooling and Vehicle Sharing</t>
  </si>
  <si>
    <t>Online Behavior&gt;United States&gt;Law and Government&gt;Government</t>
  </si>
  <si>
    <t>US » B2B » B2B Decision Maker Responsibilities » Security Services</t>
  </si>
  <si>
    <t>OnAudience » Intent</t>
  </si>
  <si>
    <t>US Financial » Likely Credit Card » Behavior » Used for Personal Purposes</t>
  </si>
  <si>
    <t>US » Demographic » Family » Male Head of Household</t>
  </si>
  <si>
    <t>US » Reach » Propensity Models » Lifestyle » Charities » Contributes by Volunteering</t>
  </si>
  <si>
    <t>sneakertoast.com</t>
  </si>
  <si>
    <t>OnAudience » Interest » Pets</t>
  </si>
  <si>
    <t>soaps.sheknows.com</t>
  </si>
  <si>
    <t>OnAudience » Interest » Technology &amp; Computing » Email</t>
  </si>
  <si>
    <t>sporcle.com</t>
  </si>
  <si>
    <t>Online Behavior&gt;United States&gt;Autos and Vehicles » Brands&gt;Lexus</t>
  </si>
  <si>
    <t>sportpirate.com</t>
  </si>
  <si>
    <t>Online Behavior&gt;United States&gt;The Changing Consumer&gt;Streaming Services</t>
  </si>
  <si>
    <t>sports.yahoo.com</t>
  </si>
  <si>
    <t>Online Behavior&gt;United States&gt;Autos and Vehicles » Brands&gt;Pontiac</t>
  </si>
  <si>
    <t>Online Behavior&gt;United States&gt;Home and Garden&gt;Bed and Bath</t>
  </si>
  <si>
    <t>streetinsider.com</t>
  </si>
  <si>
    <t>Media and Entertainment » Connected TV and Over-the-Top (CTV and OTT)</t>
  </si>
  <si>
    <t>US » B2B » B2B Decision Maker Responsibilities » Television providers » services</t>
  </si>
  <si>
    <t>US » B2B » Purchase DM » Technology Services, Hardware and » or Software » I make the final decision with input from staff » management</t>
  </si>
  <si>
    <t>taboolanews.com</t>
  </si>
  <si>
    <t>Online Behavior&gt;United States&gt;Intent » Auto Buyers » Category&gt;Van</t>
  </si>
  <si>
    <t>tasteofhome.com</t>
  </si>
  <si>
    <t>Online Behavior&gt;United States&gt;B2B » Occupation&gt;Broker</t>
  </si>
  <si>
    <t>tastesbetterfromscratch.com</t>
  </si>
  <si>
    <t>Online Behavior&gt;United States&gt;The Changing Consumer&gt;DIY</t>
  </si>
  <si>
    <t>techradar.com</t>
  </si>
  <si>
    <t>US » Reach » Propensity Models » Hobbies and Interest » Sports » Canoeing » Kayaking</t>
  </si>
  <si>
    <t>thebigmansworld.com</t>
  </si>
  <si>
    <t>Online Behavior&gt;United States&gt;Autos and Vehicles » Brands&gt;Nissan</t>
  </si>
  <si>
    <t>thefinancechatter.com</t>
  </si>
  <si>
    <t>Online Behavior&gt;United States&gt;Finance » Banking&gt;Debit and Checking Services</t>
  </si>
  <si>
    <t>thegamer.com</t>
  </si>
  <si>
    <t>OnAudience » Interest » Society</t>
  </si>
  <si>
    <t>thehulltruth.com</t>
  </si>
  <si>
    <t>Online Behavior&gt;United States&gt;Autos and Vehicles » Brands&gt;Fiat</t>
  </si>
  <si>
    <t>thekrazycouponlady.com</t>
  </si>
  <si>
    <t>Mobile - US » Automotive » Repair &amp; Oil Change » Intend</t>
  </si>
  <si>
    <t>therighthairstyles.com</t>
  </si>
  <si>
    <t>US » Home Renovation » Home Renovators</t>
  </si>
  <si>
    <t>thesaltymarshmallow.com</t>
  </si>
  <si>
    <t>Online Behavior&gt;United States&gt;News&gt;Politics</t>
  </si>
  <si>
    <t>thesaurus.com</t>
  </si>
  <si>
    <t>Online Behavior&gt;United States&gt;Life Event&gt;Job Search</t>
  </si>
  <si>
    <t>Online Behavior&gt;United States&gt;Food and Drink&gt;Restaurants » Fine Dining</t>
  </si>
  <si>
    <t>US » Brand Propensities » Apparel » Lady Foot Locker Buyer Propensity</t>
  </si>
  <si>
    <t>US » Demographic » Household Income $50k+</t>
  </si>
  <si>
    <t>Mobile - US » Food » Restaurant » Brand » Red Lobster</t>
  </si>
  <si>
    <t>US » B2B » B2B Decision Maker Responsibilities » Print, Copy or Photo Services</t>
  </si>
  <si>
    <t>Online Behavior&gt;United States&gt;Beauty and Fitness&gt;Face and Body Care » Hygiene and Toiletries</t>
  </si>
  <si>
    <t>the-sun.com</t>
  </si>
  <si>
    <t>Online Behavior&gt;United States&gt;Finance » Banking&gt;Savings Accounts</t>
  </si>
  <si>
    <t>Online Behavior&gt;United States&gt;Validated Demographic » Gender and Age Combined&gt;Males 25-64</t>
  </si>
  <si>
    <t>Mobile - US » Gamers » Online » Users</t>
  </si>
  <si>
    <t>US » Interest Propensities » Activities and Interests » Buying and Selling Homes » Real Estate</t>
  </si>
  <si>
    <t>OnAudience » Interest » Shopping » Luxurious Brands</t>
  </si>
  <si>
    <t>Online Behavior&gt;United States&gt;Validated Demographic » Gender and Age Combined&gt;Males 55-64</t>
  </si>
  <si>
    <t>timeanddate.com</t>
  </si>
  <si>
    <t>Restaurants</t>
  </si>
  <si>
    <t>OnAudience » Interest » Hobbies &amp; Interests » Art</t>
  </si>
  <si>
    <t>Online Behavior&gt;United States&gt;Autos and Vehicles » Brands&gt;Peugeot</t>
  </si>
  <si>
    <t>todaysnyc.com</t>
  </si>
  <si>
    <t>OnAudience » Interest</t>
  </si>
  <si>
    <t>tomsguide.com</t>
  </si>
  <si>
    <t>Real Estate » Property Type&gt; Residential</t>
  </si>
  <si>
    <t>Media Source » LBDigital » Open For Business B2B</t>
  </si>
  <si>
    <t>Online Behavior&gt;United States&gt;Life Event&gt;Home Buying</t>
  </si>
  <si>
    <t>topclassactions.com</t>
  </si>
  <si>
    <t>OnAudience » Intent » Baby &amp; Toddler</t>
  </si>
  <si>
    <t>Online Behavior&gt;United States&gt;Beauty and Fitness&gt;Fitness » Fitness Equipment and Accessories</t>
  </si>
  <si>
    <t>travelerdreams.com</t>
  </si>
  <si>
    <t>US Buying Channel Preference » Online</t>
  </si>
  <si>
    <t>Online Behavior&gt;United States&gt;Validated Demographic » Age&gt;65 or older</t>
  </si>
  <si>
    <t>tripadvisor.com</t>
  </si>
  <si>
    <t>US »Made In America Audience</t>
  </si>
  <si>
    <t>upworthy.com</t>
  </si>
  <si>
    <t>Online Behavior&gt;United States&gt;Intent » Shopping&gt;Drug Stores » Walgreens</t>
  </si>
  <si>
    <t>usatoday.com</t>
  </si>
  <si>
    <t>Online Behavior&gt;United States&gt;Validated Demographic » Gender and Age Combined&gt;Males 25 or older</t>
  </si>
  <si>
    <t>Online Behavior&gt;United States&gt;Intent » Auto Buyers » Type&gt;Crossover</t>
  </si>
  <si>
    <t>Online Behavior&gt;United States&gt;Intent » Auto Buyers » Car Make&gt;Peugeot</t>
  </si>
  <si>
    <t>Purchase Behaviors » Q2 Spring Cleaners</t>
  </si>
  <si>
    <t>Mobile - US » Automotive » Vehicle Ownership » Brand » BMW</t>
  </si>
  <si>
    <t>uscellular.com</t>
  </si>
  <si>
    <t>Mobile - US » Food » Restaurant » Brand » Krispy Kreme</t>
  </si>
  <si>
    <t>usnews.com</t>
  </si>
  <si>
    <t>Online Behavior&gt;United States&gt;Arts and Entertainment&gt;Events and Listings » Concerts and Music Festivals</t>
  </si>
  <si>
    <t>usssa.com</t>
  </si>
  <si>
    <t>Online Behavior&gt;United States&gt;Home and Garden&gt;Yard and Patio</t>
  </si>
  <si>
    <t>w3schools.com</t>
  </si>
  <si>
    <t>US » Sociodemographic » PRIZM Premier Lifestage » F2 Young Accumulators</t>
  </si>
  <si>
    <t>OnAudience » Interest » Food &amp; Drink</t>
  </si>
  <si>
    <t>US » Brand Propensities » Travel » MGM Resorts International Buyer Propensity</t>
  </si>
  <si>
    <t>Online Behavior&gt;United States&gt;Law and Government&gt;Legal</t>
  </si>
  <si>
    <t>washingtonpost.com</t>
  </si>
  <si>
    <t>Online Behavior&gt;United States&gt;Sports&gt;College Sports</t>
  </si>
  <si>
    <t>weather.com</t>
  </si>
  <si>
    <t>Online Behavior&gt;United States&gt;B2B » Occupation&gt;Entrepreneur</t>
  </si>
  <si>
    <t>Online Behavior&gt;United States&gt;Food and Drink&gt;Cooking and Recipes</t>
  </si>
  <si>
    <t>Online Behavior&gt;United States&gt;Online Communities&gt;Dating and Personals</t>
  </si>
  <si>
    <t>Online Behavior&gt;United States&gt;Intent » Shopping&gt;CPG� Home Care</t>
  </si>
  <si>
    <t>Online Behavior&gt;United States&gt;Intent » Financial Intent&gt;Insurance » Auto</t>
  </si>
  <si>
    <t>Online Behavior&gt;United States&gt;Intent » Auto Buyers » Car Make&gt;Jeep</t>
  </si>
  <si>
    <t>Online Behavior&gt;United States&gt;Travel&gt;Specialty Travel</t>
  </si>
  <si>
    <t>Online Behavior&gt;United States&gt;Hobbies and Leisure&gt;Clubs and Organizations</t>
  </si>
  <si>
    <t>Online Behavior&gt;United States&gt;Autos and Vehicles » Brands&gt;Kia</t>
  </si>
  <si>
    <t>Online Behavior&gt;United States&gt;Internet and Telecom&gt;Search Engines</t>
  </si>
  <si>
    <t>Online Behavior&gt;United States&gt;Internet and Telecom&gt;Web Portals</t>
  </si>
  <si>
    <t>Online Behavior&gt;United States&gt;Validated Demographic » Age&gt;25-54</t>
  </si>
  <si>
    <t>Online Behavior&gt;United States&gt;Hobbies and Leisure&gt;Water Activities</t>
  </si>
  <si>
    <t>Online Behavior&gt;United States&gt;Finance » Insurance&gt;Travel Insurance</t>
  </si>
  <si>
    <t>Online Behavior&gt;United States&gt;Intent » Services&gt;Restaurants</t>
  </si>
  <si>
    <t>Online Behavior&gt;United States&gt;Intent » Travel&gt;Future Travel</t>
  </si>
  <si>
    <t>Online Behavior&gt;United States&gt;Intent » Shopping&gt;CPG� Cosmetics</t>
  </si>
  <si>
    <t>Online Behavior&gt;United States&gt;Travel&gt;Travel Guides and Travelogues</t>
  </si>
  <si>
    <t>Online Behavior&gt;United States&gt;The Changing Consumer&gt;Pet Adoption</t>
  </si>
  <si>
    <t>Media and Entertainment</t>
  </si>
  <si>
    <t>Retail</t>
  </si>
  <si>
    <t>US » Reach » Propensity Models » Hobbies and Interest » Sports » Boating</t>
  </si>
  <si>
    <t>US » Financially in Charge » Performance Score: Top 50%</t>
  </si>
  <si>
    <t>US » Reach » Propensity Models » Online » Pets</t>
  </si>
  <si>
    <t>US » Interest Propensities » Insurance » Lincoln Heritage</t>
  </si>
  <si>
    <t>Real Estate » Lot Size » Cozy Outdoor Living Space (Less than  an Acre)</t>
  </si>
  <si>
    <t>US Demographic » Age » Specialty Age Range » 21+</t>
  </si>
  <si>
    <t>US Mail Order Buyer</t>
  </si>
  <si>
    <t>US » Brand Propensities » Big Box Dollar General Buyer Propensity</t>
  </si>
  <si>
    <t>OnAudience » Interest » News » International News</t>
  </si>
  <si>
    <t>Mobile Audience » Lifestyle » Arts Enthusiasts</t>
  </si>
  <si>
    <t>US » Interest Propensities » Music » Hip Hop and Rap</t>
  </si>
  <si>
    <t>Lotame » Travel » Thanksgiving Travel</t>
  </si>
  <si>
    <t>Cincinnati, Ohio</t>
  </si>
  <si>
    <t>US » Sociodemographic » ConneXions Lifestage » F2 Suburban Spenders</t>
  </si>
  <si>
    <t>Travel and Tourism » Interest (Affinity) » Destinations » Africa</t>
  </si>
  <si>
    <t>Purchase-Based » Categories » Office Supplies Buyers</t>
  </si>
  <si>
    <t>Online Behavior&gt;United States&gt;Sports&gt;Extreme Sports</t>
  </si>
  <si>
    <t>webmd.com</t>
  </si>
  <si>
    <t>US Financial » Likely Attitude and Behavior » Completely Disagree » When I Find A Financial Product/Service I Like I Typically Recommend It To People I Know (Financial)</t>
  </si>
  <si>
    <t>Online Behavior&gt;United States&gt;Intent » Auto Buyers&gt;New</t>
  </si>
  <si>
    <t>whatismyipaddress.com</t>
  </si>
  <si>
    <t>Online Behavior&gt;United States&gt;The Changing Consumer&gt;Home Learning</t>
  </si>
  <si>
    <t>Online Behavior&gt;United States&gt;B2B » Occupation&gt;PropertyManager</t>
  </si>
  <si>
    <t>US » Entertainment and Pastimes » Entertainment and Pastimes</t>
  </si>
  <si>
    <t>Travel</t>
  </si>
  <si>
    <t>US » AUTO » Auto Car Purchase Next Year » Yes</t>
  </si>
  <si>
    <t>US Financial » Method of Payment » Other</t>
  </si>
  <si>
    <t>Online Behavior&gt;United States&gt;Arts and Entertainment&gt;Events and Listings » Event Ticket Sales</t>
  </si>
  <si>
    <t>wikihow.com</t>
  </si>
  <si>
    <t>Online Behavior&gt;United States&gt;Intent » Travel&gt;Travel</t>
  </si>
  <si>
    <t>US »Quality-First Shopper Audience</t>
  </si>
  <si>
    <t>US Demographic » Preferred Language » Non-Hispanic</t>
  </si>
  <si>
    <t>Online Behavior&gt;United States&gt;News&gt;Weather</t>
  </si>
  <si>
    <t>Mobile - US » Sports » Basketball » NCAA College Basketball</t>
  </si>
  <si>
    <t>wizofawes.com</t>
  </si>
  <si>
    <t>Media and Entertainment » Television (TV) » Viewership</t>
  </si>
  <si>
    <t>womenshealthmag.com</t>
  </si>
  <si>
    <t>Online Behavior&gt;United States&gt;Intent » Shopping&gt;Home Improvement</t>
  </si>
  <si>
    <t>wordunscrambler.me</t>
  </si>
  <si>
    <t>US » Interest Propensities » Activities and Interests » Ecommerce</t>
  </si>
  <si>
    <t>wsj.com</t>
  </si>
  <si>
    <t>Online Behavior&gt;United States&gt;Autos and Vehicles » Brands&gt;Vauxhall-Opel</t>
  </si>
  <si>
    <t>wsmv.com</t>
  </si>
  <si>
    <t>Media and Entertainment » Movies » Enthusiasts</t>
  </si>
  <si>
    <t>wsvn.com</t>
  </si>
  <si>
    <t>OnAudience » Interest » Technology &amp; Computing</t>
  </si>
  <si>
    <t>wunderground.com</t>
  </si>
  <si>
    <t>Media and Entertainment » Audio and Video Streaming » Streaming Video</t>
  </si>
  <si>
    <t>Online Behavior&gt;United States&gt;Intent » Travel&gt;Budget Travel</t>
  </si>
  <si>
    <t>yachtworld.com</t>
  </si>
  <si>
    <t>Online Behavior&gt;United States&gt;Beauty and Fitness&gt;Spas and Beauty Services</t>
  </si>
  <si>
    <t>yahoo.com</t>
  </si>
  <si>
    <t>Online Behavior&gt;United States&gt;Finance » Accounting and Auditing&gt;Accounting and Auditing</t>
  </si>
  <si>
    <t>Online Behavior&gt;United States&gt;Life Event&gt;University Graduation</t>
  </si>
  <si>
    <t>Online Behavior&gt;United States&gt;Life Event&gt;College Applications</t>
  </si>
  <si>
    <t>Online Behavior&gt;United States&gt;Games&gt;Arcade and Coin-Op Games</t>
  </si>
  <si>
    <t>Online Behavior&gt;United States&gt;Life Event&gt;Movers</t>
  </si>
  <si>
    <t>Online Behavior&gt;United States&gt;Intent » Services&gt;Pets</t>
  </si>
  <si>
    <t>Online Behavior&gt;United States&gt;Hobbies and Leisure&gt;Special Occasions » Holidays and Seasonal Events</t>
  </si>
  <si>
    <t>Online Behavior&gt;United States&gt;The Changing Consumer&gt;Virtual Events</t>
  </si>
  <si>
    <t>Online Behavior&gt;United States&gt;Beauty and Fitness&gt;Beauty Pageants</t>
  </si>
  <si>
    <t>Online Behavior&gt;United States&gt;Autos and Vehicles » Brands&gt;Aston Martin</t>
  </si>
  <si>
    <t>US » Reach » Propensity Models » Hobbies and Interest » Books » E-Book Reader</t>
  </si>
  <si>
    <t>US » AUTO » Decision Maker for Auto Purchase » I was the sole decision-maker</t>
  </si>
  <si>
    <t>US » B2B » B2B Decision Maker Responsibilities » Purchasing Vehicles or Automobile Services</t>
  </si>
  <si>
    <t>Media and Entertainment » Audio and Video Streaming » Streaming Video » Interest (Affinity) » Streaming Services</t>
  </si>
  <si>
    <t>Mobile - US » Demographics » Education » High Education Achievement</t>
  </si>
  <si>
    <t>Media and Entertainment » Sports and Recreational Activities » Interest (Affinity) » Individual Sports</t>
  </si>
  <si>
    <t>US » Interest Propensities » TV and Movies » Drama</t>
  </si>
  <si>
    <t>US » Interest Propensities » Insurance » Transamerica</t>
  </si>
  <si>
    <t>Media &amp; Entertainment</t>
  </si>
  <si>
    <t>US » Brand Propensities » Apparel » The Men's Wearhouse Buyer Propensity</t>
  </si>
  <si>
    <t>Travel and Tourism » Interest (Affinity) » Products » Air Travel</t>
  </si>
  <si>
    <t>OnAudience » Interest » Technology &amp; Computing » Entertainment</t>
  </si>
  <si>
    <t>US » Brand Propensities » Restaurants and Dining » Seamless Buyer Propensity</t>
  </si>
  <si>
    <t>Mobile - US » Sports » Motor Sports » NASCAR</t>
  </si>
  <si>
    <t>US » Reach » Propensity Models » Hobbies and Interest » Food and Drinks » Coffee Connoisseurs</t>
  </si>
  <si>
    <t>US » Demographic » Family » Households with 2 Adults</t>
  </si>
  <si>
    <t>US » Interest Propensities » Brands » Big Box Retail</t>
  </si>
  <si>
    <t>yellowpages.com</t>
  </si>
  <si>
    <t>Travel and Tourism » Interest (Affinity)</t>
  </si>
  <si>
    <t>US » Brand Propensities » Media and Entertainment » pokerstars.net Buyer Propensity</t>
  </si>
  <si>
    <t>Online Behavior&gt;United States&gt;Intent » Shopping&gt;Pet Food » Dog</t>
  </si>
  <si>
    <t>yourdailysportfix.com</t>
  </si>
  <si>
    <t>Online Behavior&gt;United States&gt;B2B » Occupation&gt;Architect</t>
  </si>
  <si>
    <t>Online Behavior&gt;United States&gt;Validated Demographic » Gender&gt;Female</t>
  </si>
  <si>
    <t>yourroyals.com</t>
  </si>
  <si>
    <t>Online Behavior&gt;United States&gt;Beauty and Fitness&gt;Face and Body Care » Make-Up and Cosmetics</t>
  </si>
  <si>
    <t>zdnet.com</t>
  </si>
  <si>
    <t>US » Multibuyer Behaviors » Club » Continuity Buyers</t>
  </si>
  <si>
    <t>Online Behavior&gt;United States&gt;Travel&gt;Tourist Destinations » Theme Parks</t>
  </si>
  <si>
    <t>zillow.com</t>
  </si>
  <si>
    <t>Online Behavior&gt;United States&gt;Food and Drink&gt;Beverages » Beer</t>
  </si>
  <si>
    <t>Online Behavior&gt;United States&gt;Arts and Entertainment&gt;Events and Listings » Expos and Conventions</t>
  </si>
  <si>
    <t>US » Reach » Sociodemographic » Household Income » $50,000-$74,999</t>
  </si>
  <si>
    <t>US » Brand Propensities » Automotive » Ford Credit Buyer Propensity</t>
  </si>
  <si>
    <t>US Technology » Social Media » Likely Behavior » Heavy Facebook User</t>
  </si>
  <si>
    <t>US » B2B » B2B Decision Maker Responsibilities » Real Estate Services</t>
  </si>
  <si>
    <t>Transactional » Q3 Fashion Shoppers</t>
  </si>
  <si>
    <t>Lotame » Style, Fashion &amp; Clothing » Men's Clothing Shoppers</t>
  </si>
  <si>
    <t>zone.msn.com</t>
  </si>
  <si>
    <t>Online Behavior&gt;United States&gt;Validated Demographic&gt;Gender and Age Combined&gt;Females 25 or older</t>
  </si>
  <si>
    <t>Online Behavior&gt;United States&gt;Finance&gt;Financial Planning and Management&gt;Retirement and Pension</t>
  </si>
  <si>
    <t>Online Behavior&gt;United States&gt;Hobbies and Leisure&gt;Outdoors&gt;Equestrian</t>
  </si>
  <si>
    <t>Online Behavior&gt;United States&gt;Intent&gt;Auto Buyers&gt;Car Make&gt;Audi Q</t>
  </si>
  <si>
    <t>Xandr - Monetize SSP (AppNexUnited States)</t>
  </si>
  <si>
    <t>Online Behavior&gt;United States&gt;Beauty and Fitness&gt;Fitness&gt;Fitness Instruction and Personal Training</t>
  </si>
  <si>
    <t>Online Behavior&gt;United States&gt;Autos and Vehicles&gt;Brands&gt;Jeep</t>
  </si>
  <si>
    <t>Online Behavior&gt;United States&gt;Autos and Vehicles&gt;Brands&gt;Mercedes-Benz</t>
  </si>
  <si>
    <t>Online Behavior&gt;United States&gt;Validated Demographic&gt;Gender and Age Combined&gt;Males 18-54</t>
  </si>
  <si>
    <t>Online Behavior&gt;United States&gt;Validated Demographic&gt;Age&gt;55-64</t>
  </si>
  <si>
    <t>United States&gt;Interest Propensities&gt;Brands&gt;Quick Service Restaurants</t>
  </si>
  <si>
    <t>United States&gt;B2B&gt;B2B Decision Maker Responsibilities&gt;Purchasing Utilities</t>
  </si>
  <si>
    <t>United States&gt;Interest Propensities&gt;TV and Movies&gt;Sports TV</t>
  </si>
  <si>
    <t>Real Estate&gt;Occupancy&gt;Owner Occupied</t>
  </si>
  <si>
    <t>United States&gt;Financial&gt;Likely Credit Card&gt;Card in Own Name&gt;Any major Credit/Debit Card (Financial)</t>
  </si>
  <si>
    <t>OnAudience&gt;Intent&gt;Electronics&gt;Video&gt;Televisions</t>
  </si>
  <si>
    <t>Online Behavior&gt;United States&gt;Arts and Entertainment&gt;Events and Listings&gt;Bars, Clubs and Nightlife</t>
  </si>
  <si>
    <t>United States&gt;Interest Propensities&gt;Activities and Interests&gt;Local News</t>
  </si>
  <si>
    <t>United States&gt;Reach&gt;Sociodemographic&gt;Dwelling Type&gt;Multi-family Dwelling Unit</t>
  </si>
  <si>
    <t>OnAudience&gt;Intent&gt;Software&gt;Video Game Software</t>
  </si>
  <si>
    <t>Online Behavior&gt;United States&gt;B2B&gt;Occupation&gt;MUnited Statesician</t>
  </si>
  <si>
    <t>Lotame&gt;Travel&gt;Summer Travel</t>
  </si>
  <si>
    <t>United States&gt;Home and Garden Interests&gt;Cooking&gt;Food EnthUnited Statesiasts</t>
  </si>
  <si>
    <t>United States&gt;Demo&gt;Age&gt;55-64</t>
  </si>
  <si>
    <t>Online Behavior&gt;United States&gt;Intent&gt;Auto Buyers&gt;Type&gt;Luxury</t>
  </si>
  <si>
    <r>
      <rPr/>
      <t>United States&gt;Brand Propensities&gt;Media and Entertainment&gt;</t>
    </r>
    <r>
      <rPr>
        <color rgb="FF1155CC"/>
        <u/>
      </rPr>
      <t>wwe.com</t>
    </r>
    <r>
      <rPr/>
      <t xml:space="preserve"> Buyer Propensity</t>
    </r>
  </si>
  <si>
    <t>Online Behavior&gt;United States&gt;Sports&gt;Sports League&gt;NFL</t>
  </si>
  <si>
    <t>Online Behavior&gt;United States&gt;Intent &gt; Auto Buyers &gt; Car Make&gt;Volkswagen</t>
  </si>
  <si>
    <t>United States &gt; B2B &gt; B2B Decision Maker Responsibilities &gt; Financial Services</t>
  </si>
  <si>
    <t>Online Behavior&gt;United States&gt;Sports&gt;Team Sports &gt; Basketball</t>
  </si>
  <si>
    <t>United States &gt; Interest Propensities &gt; MUnited Statesic &gt; Country</t>
  </si>
  <si>
    <t>Media and Entertainment &gt; Sports and Recreational Activities &gt; Interest (Affinity) &gt; Team Sports &gt; Baseball &gt; Major League Baseball (MLB)</t>
  </si>
  <si>
    <t>Online Behavior&gt;United States&gt;Beauty and Fitness&gt;Face and Body Care &gt; Skin and Nail Care</t>
  </si>
  <si>
    <t>United States &gt; Interest Propensities &gt; Activities and Interests &gt; Financial Aid</t>
  </si>
  <si>
    <t>Media and Entertainment &gt; Sports and Recreational Activities &gt; Interest (Affinity) &gt; Olympics &gt; Summer Olympics</t>
  </si>
  <si>
    <t>United States &gt; Demographic &gt; Family &gt; Female Head of HoUnited Statesehold</t>
  </si>
  <si>
    <t>Online Behavior&gt;United States&gt;Sports&gt;Sports League &gt; MLB</t>
  </si>
  <si>
    <t>Online Behavior&gt;United States&gt;Autos and Vehicles &gt; Brands&gt;Dodge</t>
  </si>
  <si>
    <t>United States &gt; Brand Propensities &gt; Travel &gt; Sandals Resorts Buyer Propensity</t>
  </si>
  <si>
    <t>Mobile - United States &gt; Shopping &gt; Brand &gt; Old Navy</t>
  </si>
  <si>
    <t>OnAudience &gt; Intent &gt; Animals &amp; Pet</t>
  </si>
  <si>
    <t>United States &gt; Multibuyer Behaviors &gt; Paid with Credit Card</t>
  </si>
  <si>
    <t>United States &gt; Response Performance &gt; Direct Marketing Responders</t>
  </si>
  <si>
    <t>Online Behavior&gt;United States&gt;Finance &gt; Insurance&gt;Home Insurance</t>
  </si>
  <si>
    <t>United States &gt; Reach &gt; Sociodemographic &gt; Dwelling Size &gt; 1 Unit</t>
  </si>
  <si>
    <t>Online Behavior&gt;United States&gt;B2B &gt; Occupation&gt;MechanicalEngineer</t>
  </si>
  <si>
    <t>United States &gt; Interest Propensities &gt; Insurance &gt; MassMutual</t>
  </si>
  <si>
    <t>United States &gt; Premium Gender &gt; Premium Gender &gt; Males</t>
  </si>
  <si>
    <t>United States &gt; Reach &gt; Propensity Models &gt; Hobbies and Interest &gt; Food and Drinks &gt; Eats at Fast Food Restaurants</t>
  </si>
  <si>
    <t>Online Behavior&gt;United States&gt;Travel&gt;Specialty Travel &gt; Adventure Travel</t>
  </si>
  <si>
    <t>Online Behavior&gt;United States&gt;Travel&gt;Tourist Destinations &gt; Zoos-Aquariums-Preserves</t>
  </si>
  <si>
    <t>Online Behavior&gt;United States&gt;Sports&gt;Sports League &gt; NBA</t>
  </si>
  <si>
    <t>Online Behavior&gt;United States&gt;Finance &gt; Investing&gt;Derivatives</t>
  </si>
  <si>
    <t>AugUnited Statesta, Georgia</t>
  </si>
  <si>
    <t>Online Behavior&gt;United States&gt;Autos and Vehicles &gt; Brands&gt;Ferrari</t>
  </si>
  <si>
    <t>United States &gt; B2B &gt; Purchase DM &gt; Technology Services, Hardware and &gt; or Software &gt; I have no input into the final decision</t>
  </si>
  <si>
    <t>United States &gt; Reach &gt; Propensity Models &gt; Hobbies and Interest &gt; Food and Drinks &gt; Wine Lovers</t>
  </si>
  <si>
    <t>United States &gt; Brand Propensities &gt; Travel &gt; Choice Hotels Buyer Propensity</t>
  </si>
  <si>
    <t>OnAudience &gt; Interest &gt; Careers</t>
  </si>
  <si>
    <t>United States &gt; Brand Propensities &gt; Travel &gt; Hotel Tonight Buyer Propensity</t>
  </si>
  <si>
    <t>OnAudience &gt; Interest &gt; Science &gt; Weather Forecast</t>
  </si>
  <si>
    <t>Media and Entertainment &gt; Sports and Recreational Activities &gt; Interest (Affinity) &gt; Motorsports</t>
  </si>
  <si>
    <t>Mobile - United States &gt; Travel &gt; Destination &gt; International Travelers &gt; Frequent Travelers</t>
  </si>
  <si>
    <t>United States Financial &gt; Estimated Discretionary Spending (Financial) &gt; Greater than $2,499</t>
  </si>
  <si>
    <t>United States &gt; AUTO &gt; Primary Vehicle &gt; New or United Statesed &gt; Pre-owned</t>
  </si>
  <si>
    <t>Media and Entertainment &gt; Gaming &gt; Interest (Affinity) &gt; Video Games</t>
  </si>
  <si>
    <t>Online Behavior&gt;United States&gt;Autos and Vehicles &gt; Brands&gt;Rolls-Royce</t>
  </si>
  <si>
    <t>United States &gt; Reach &gt; Propensity Models &gt; Hobbies and Interest &gt; Photography</t>
  </si>
  <si>
    <t xml:space="preserve">United States </t>
  </si>
  <si>
    <t xml:space="preserve"> Reach </t>
  </si>
  <si>
    <t xml:space="preserve"> Propensity Models </t>
  </si>
  <si>
    <t xml:space="preserve"> Hobbies and Interest </t>
  </si>
  <si>
    <t xml:space="preserve"> Photography</t>
  </si>
  <si>
    <t>Travel and Tourism &gt; Interest (Affinity) &gt; Destinations &gt; North America</t>
  </si>
  <si>
    <t xml:space="preserve">Travel and Tourism </t>
  </si>
  <si>
    <t xml:space="preserve"> Interest (Affinity) </t>
  </si>
  <si>
    <t xml:space="preserve"> Destinations </t>
  </si>
  <si>
    <t xml:space="preserve"> North America</t>
  </si>
  <si>
    <t>United States &gt; Reach &gt; Sociodemographic &gt; Estimated Current Home Value &gt; $160,000-$199,999</t>
  </si>
  <si>
    <t xml:space="preserve"> Sociodemographic </t>
  </si>
  <si>
    <t xml:space="preserve"> Estimated Current Home Value </t>
  </si>
  <si>
    <t xml:space="preserve"> $160,000-$199,999</t>
  </si>
  <si>
    <t>United States &gt;Connected Impulse-Shopper Audience</t>
  </si>
  <si>
    <t>Connected Impulse-Shopper Audience</t>
  </si>
  <si>
    <t>United States &gt; Interest Propensities &gt; Activities and Interests &gt; International News</t>
  </si>
  <si>
    <t xml:space="preserve"> Interest Propensities </t>
  </si>
  <si>
    <t xml:space="preserve"> Activities and Interests </t>
  </si>
  <si>
    <t xml:space="preserve"> International News</t>
  </si>
  <si>
    <t>bridesblUnited Statesh.com</t>
  </si>
  <si>
    <t>Online Behavior&gt;United States&gt;Intent &gt; Auto Buyers &gt; Car Make&gt;Nissan</t>
  </si>
  <si>
    <t>bUnited Statesinessinsider.com</t>
  </si>
  <si>
    <t>Lotame &gt; Personal Finance &gt; Estate Planning</t>
  </si>
  <si>
    <t xml:space="preserve">Lotame </t>
  </si>
  <si>
    <t xml:space="preserve"> Personal Finance </t>
  </si>
  <si>
    <t xml:space="preserve"> Estate Planning</t>
  </si>
  <si>
    <t>Online Behavior&gt;United States&gt;Sports&gt;Team Sports &gt; Volleyball</t>
  </si>
  <si>
    <t>Mobile - United States &gt; Food &gt; Restaurant &gt; Brand &gt; Outback SteakhoUnited Statese</t>
  </si>
  <si>
    <t xml:space="preserve">Mobile - United States </t>
  </si>
  <si>
    <t xml:space="preserve"> Food </t>
  </si>
  <si>
    <t xml:space="preserve"> Restaurant </t>
  </si>
  <si>
    <t xml:space="preserve"> Brand </t>
  </si>
  <si>
    <t xml:space="preserve"> Outback SteakhoUnited Statese</t>
  </si>
  <si>
    <t>Online Behavior&gt;United States&gt;Sports&gt;Winter Sports &gt; Skiing and Snowboarding</t>
  </si>
  <si>
    <t>United States &gt; Reach &gt; Propensity Models &gt; HoUnited Statesehold Consumer Expenditures &gt; Home Office</t>
  </si>
  <si>
    <t xml:space="preserve"> HoUnited Statesehold Consumer Expenditures </t>
  </si>
  <si>
    <t xml:space="preserve"> Home Office</t>
  </si>
  <si>
    <t>OnAudience &gt; Intent &gt; Sporting Goods</t>
  </si>
  <si>
    <t>Online Behavior&gt;United States&gt;Intent &gt; Shopping&gt;Consumer Electronics &gt; Computers, Laptops</t>
  </si>
  <si>
    <t>cargurUnited States.com</t>
  </si>
  <si>
    <t>United States &gt; Interest Propensities &gt; Oil &amp; Gas &gt; QuickTrip</t>
  </si>
  <si>
    <t xml:space="preserve"> Oil &amp; Gas </t>
  </si>
  <si>
    <t xml:space="preserve"> QuickTrip</t>
  </si>
  <si>
    <t>OnAudience &gt; Interest &gt; Shopping &gt; Shopping Mall Buyers</t>
  </si>
  <si>
    <t>Online Behavior&gt;United States&gt;Travel&gt;BUnited States and Rail</t>
  </si>
  <si>
    <t>Online Behavior&gt;United States&gt;Validated Demographic &gt; Age&gt;18-64</t>
  </si>
  <si>
    <t>Online Behavior&gt;United States&gt;Validated Demographic &gt; Gender and Age Combined&gt;Males 25-44</t>
  </si>
  <si>
    <t>Purchase Behaviors &gt; Q2 Environmentally Concerned Shoppers</t>
  </si>
  <si>
    <t xml:space="preserve">Purchase Behaviors </t>
  </si>
  <si>
    <t xml:space="preserve"> Q2 Environmentally Concerned Shoppers</t>
  </si>
  <si>
    <t>Travel and Tourism &gt; Interest (Affinity) &gt; Destinations &gt; North America &gt; United States</t>
  </si>
  <si>
    <t xml:space="preserve"> North America </t>
  </si>
  <si>
    <t xml:space="preserve"> United States</t>
  </si>
  <si>
    <t>Media and Entertainment &gt; Connected TV and Over-the-Top (CTV and OTT) &gt; Streaming Television and Film Viewership &gt; OTT Movie Viewers &gt; Genre &gt; Crime Movie Streamers</t>
  </si>
  <si>
    <t>United States Financial &gt; Likely Attitude and Behavior &gt; Bank Selection &gt; CUnited Statestomer Service Very Important (Financial)</t>
  </si>
  <si>
    <t>Online Behavior&gt;United States&gt;Sports&gt;Individual Sports &gt; Running and Walking</t>
  </si>
  <si>
    <t>Online Behavior&gt;United States&gt;People and Society&gt;Family and Relationships &gt; Parents</t>
  </si>
  <si>
    <t>Online Behavior&gt;United States&gt;Travel&gt;Tourist Destinations &gt; Regional Parks and Gardens</t>
  </si>
  <si>
    <t>Online Behavior&gt;United States&gt;Autos and Vehicles &gt; Brands&gt;Mazda</t>
  </si>
  <si>
    <t>Online Behavior&gt;United States&gt;Travel&gt;Tourist Destinations &gt; Mountain and Ski Resorts</t>
  </si>
  <si>
    <t>Online Behavior&gt;United States&gt;Validated Demographic &gt; Gender and Age Combined&gt;Females 45-54</t>
  </si>
  <si>
    <t>United States &gt; Reach &gt; Propensity Models &gt; Hobbies and Interest &gt; Sports &gt; Avid Runners</t>
  </si>
  <si>
    <t>OnAudience &gt; Interest &gt; BUnited Statesiness</t>
  </si>
  <si>
    <t>United States &gt; Reach &gt; Propensity Models &gt; Real Estate &gt; Monthly Mortgage Payment &gt; $800-$999</t>
  </si>
  <si>
    <t>United States &gt;Green Consumer Audience</t>
  </si>
  <si>
    <t>United States &gt; Reach &gt; Propensity Models &gt; HoUnited Statesehold Consumer Expenditures &gt; Lawn and Garden</t>
  </si>
  <si>
    <t>United States Interest &gt; Home &gt; Home Improvement &gt; Home Improvement Grouping</t>
  </si>
  <si>
    <t>United States &gt; Reach &gt; Propensity Models &gt; Hobbies and Interest &gt; Food and Drinks &gt; High-end Spirit Drinkers</t>
  </si>
  <si>
    <t>OnAudience &gt; Intent &gt; Sporting Goods &gt; Team Sports</t>
  </si>
  <si>
    <t>Online Behavior&gt;United States&gt;Validated Demographic &gt; Age&gt;25-44</t>
  </si>
  <si>
    <t>Media and Entertainment &gt; Sports and Recreational Activities &gt; Interest (Affinity)</t>
  </si>
  <si>
    <t>Online Behavior&gt;United States&gt;Travel&gt;Tourist Destinations &gt; Beaches and Islands</t>
  </si>
  <si>
    <t>Online Behavior&gt;United States&gt;Arts and Entertainment&gt;MUnited Statesic and Audio</t>
  </si>
  <si>
    <t>Online Behavior&gt;United States&gt;Autos and Vehicles &gt; Brands&gt;Volvo</t>
  </si>
  <si>
    <t>United States &gt; B2B &gt; B2B Decision Maker Responsibilities &gt; Company Liability or Insurance</t>
  </si>
  <si>
    <t>United States &gt; Reach &gt; Propensity Models &gt; Luxury Home Goods Store Shopper</t>
  </si>
  <si>
    <t>United States &gt; B2B &gt; B2B Decision Maker Responsibilities &gt; Employee Benefits</t>
  </si>
  <si>
    <t>United States &gt; Brand Propensities &gt; Travel &gt; American Airlines Buyer Propensity</t>
  </si>
  <si>
    <t>Media and Entertainment &gt; Audio and Video Streaming &gt; Streaming Audio</t>
  </si>
  <si>
    <t>United States &gt;Rural Improvement Fanatic</t>
  </si>
  <si>
    <t>Online Behavior&gt;United States&gt;Sports&gt;Sports League &gt; Premier League</t>
  </si>
  <si>
    <t>Online Behavior&gt;United States&gt;Beauty and Fitness&gt;Face and Body Care &gt; Unwanted Body and Facial Hair Removal</t>
  </si>
  <si>
    <t>Online Behavior&gt;United States&gt;Intent &gt; Auto Buyers &gt; Car Make&gt;Toyota</t>
  </si>
  <si>
    <t>Online Behavior&gt;United States&gt;Food and Drink&gt;Restaurants &gt; Dining Guides</t>
  </si>
  <si>
    <t>Media and Entertainment &gt; MUnited Statesic</t>
  </si>
  <si>
    <t>OnAudience &gt; Interest &gt; Technology</t>
  </si>
  <si>
    <t>United States &gt; Interest Propensities &gt; Social &gt; Premium United Stateser Generated Content</t>
  </si>
  <si>
    <t>OnAudience &gt; Interest &gt; BUnited Statesiness &gt; Economy</t>
  </si>
  <si>
    <t>United States &gt; Reach &gt; Propensity Models &gt; Lifestyle &gt; Charities &gt; Contributes to Charities</t>
  </si>
  <si>
    <t>United States &gt; Reach &gt; Propensity Models &gt; HoUnited Statesehold Consumer Expenditures &gt; Kitchen</t>
  </si>
  <si>
    <t>Online Behavior&gt;United States&gt;Finance &gt; Financial Planning and Management&gt;Asset and Portfolio Management</t>
  </si>
  <si>
    <t>Online Behavior&gt;United States&gt;B2B &gt; Occupation&gt;OfficeManager</t>
  </si>
  <si>
    <t>Online Behavior&gt;United States&gt;Intent &gt; Shopping&gt;CPG&gt; Grocery</t>
  </si>
  <si>
    <t>Online Behavior&gt;United States&gt;Intent &gt; Auto Buyers &gt; Car Make&gt;Hyundai</t>
  </si>
  <si>
    <t>Online Behavior&gt;United States&gt;Validated Demographic &gt; Gender and Age Combined&gt;Females 18-54</t>
  </si>
  <si>
    <t>Telecommunications (Telco) &gt; Subscribers</t>
  </si>
  <si>
    <t>Online Behavior&gt;United States&gt;Finance &gt; Banking&gt;ATMs and Branch Locations</t>
  </si>
  <si>
    <t>Online Behavior&gt;United States&gt;Intent &gt; Travel&gt;Accommodation &gt; Hotels</t>
  </si>
  <si>
    <t>United States &gt; Sociodemographic &gt; P$YCLE Premier Lifestage &gt; M2 Wealthy Achievers</t>
  </si>
  <si>
    <t>United States &gt; Brand Propensities &gt; Health &gt; Beauty and Cosmetics &gt; Bare Escentuals Buyer Propensity</t>
  </si>
  <si>
    <t>Mobile - United States &gt; Device Ownership &gt; Smartphones &gt; Huawei</t>
  </si>
  <si>
    <t>Mobile - United States &gt; Food &gt; Restaurant &gt; Style &gt; Desserts</t>
  </si>
  <si>
    <t>United States &gt; AUTO &gt; Primary Vehicle &gt; New or United Statesed &gt; New</t>
  </si>
  <si>
    <t>United States &gt; B2B &gt; B2B Decision Maker Responsibilities &gt; Advertising Services</t>
  </si>
  <si>
    <t>Online Behavior&gt;United States&gt;Intent &gt; Travel&gt;Cruises</t>
  </si>
  <si>
    <t>United States &gt; B2B &gt; B2B Decision Maker Responsibilities &gt; Accounting or Tax Services</t>
  </si>
  <si>
    <t>Online Behavior&gt;United States&gt;Finance &gt; Insurance&gt;Life Insurance</t>
  </si>
  <si>
    <t>Online Behavior&gt;United States&gt;Intent &gt; Shopping&gt;Drug Stores &gt; CVS</t>
  </si>
  <si>
    <t>United States &gt; Composite Segment &gt; Women Born to Shop</t>
  </si>
  <si>
    <t>Real Estate &gt; Rent Amount &gt; Sensible  Rentals ($1000-$3000)</t>
  </si>
  <si>
    <t>Online Behavior&gt;United States&gt;Finance &gt; Credit and Lending&gt;Loans</t>
  </si>
  <si>
    <t>Online Behavior&gt;United States&gt;Finance &gt; Banking&gt;Money Transfer and Wire Services</t>
  </si>
  <si>
    <t>Online Behavior&gt;United States&gt;Finance &gt; Investing&gt;Stocks and Bonds</t>
  </si>
  <si>
    <t>Online Behavior&gt;United States&gt;Hobbies and Leisure&gt;Outdoors &gt; Hiking and Camping</t>
  </si>
  <si>
    <t>Online Behavior&gt;United States&gt;Intent &gt; Financial Intent&gt;Loans and Credit</t>
  </si>
  <si>
    <t>Online Behavior&gt;United States&gt;Arts and Entertainment&gt;Events and Listings &gt; Film Festivals</t>
  </si>
  <si>
    <t>Online Behavior&gt;United States&gt;B2B &gt; Occupation&gt;Student</t>
  </si>
  <si>
    <t>Online Behavior&gt;United States&gt;Autos and Vehicles &gt; Brands&gt;LandRover</t>
  </si>
  <si>
    <t>Online Behavior&gt;United States&gt;Sports&gt;Sports League &gt; NHL</t>
  </si>
  <si>
    <t>Online Behavior&gt;United States&gt;Sports&gt;Water Sports &gt; Surfing</t>
  </si>
  <si>
    <t>United States &gt; AUTO &gt; Decision Maker for Auto Purchase &gt; I shared equally in the decision</t>
  </si>
  <si>
    <t>United States &gt; B2B &gt; B2B Decision Maker Responsibilities &gt; Office Supplies or Equipment</t>
  </si>
  <si>
    <t>United States &gt; Reach &gt; Propensity Models &gt; Hobbies and Interest &gt; Pets &gt; Cat Owners</t>
  </si>
  <si>
    <t>OnAudience &gt; Interest &gt; Life Stage</t>
  </si>
  <si>
    <t>United States &gt; Interest Propensities &gt; Activities and Interests &gt; Fashion</t>
  </si>
  <si>
    <t>Mobile - United States &gt; Travel &gt; Car Rentals &gt; Hertz</t>
  </si>
  <si>
    <t>OnAudience &gt; Interest &gt; Arts &amp; Entertainment &gt; Celebrity Fan &gt; Gossip</t>
  </si>
  <si>
    <t>Mobile - United States &gt; Device Ownership &gt; Smartphones &gt; ZTE</t>
  </si>
  <si>
    <t>United States &gt; Brand Propensities &gt; Health &gt; Beauty and Cosmetics &gt; SkinCareRx Buyer Propensity</t>
  </si>
  <si>
    <t>Mobile - United States &gt; Food &gt; Restaurant &gt; Brand &gt; Five Guys</t>
  </si>
  <si>
    <t>United States &gt; Brand Propensities &gt; Health &gt; Beauty and Cosmetics &gt; Mary Kay Buyer Propensity</t>
  </si>
  <si>
    <t>United States Financial &gt; Estimated Discretionary Spending &gt; Greater than $2,500</t>
  </si>
  <si>
    <t>United States &gt; Interest Propensities &gt; Insurance &gt; Northwestern Mutual</t>
  </si>
  <si>
    <t>Transactional &gt; Q2 Graduation Gift Shoppers</t>
  </si>
  <si>
    <t>OnAudience &gt; Intent &gt; Auto &gt; Vehicle Parts &amp; Accessories</t>
  </si>
  <si>
    <t>Lotame &gt; Offline CPG Purchasers &gt; Product Segment &gt; Home Supplies</t>
  </si>
  <si>
    <t>Media and Entertainment &gt; Consumer Entertainment Technology</t>
  </si>
  <si>
    <t>Online Behavior&gt;United States&gt;Autos and Vehicles &gt; Brands&gt;Cadillac</t>
  </si>
  <si>
    <t>Lotame &gt; Travel &gt; International Travel</t>
  </si>
  <si>
    <t>Online Behavior&gt;United States&gt;Validated Demographic &gt; Gender and Age Combined&gt;Females 35-44</t>
  </si>
  <si>
    <t>Online Behavior&gt;United States&gt;B2B &gt; Occupation&gt;SystemsAnalyst</t>
  </si>
  <si>
    <t>OnAudience &gt; Interest &gt; Personal Finance</t>
  </si>
  <si>
    <t>Mobile - United States &gt; Demographics &gt; Education &gt; Lowest Education Achievement</t>
  </si>
  <si>
    <t>Mobile - United States &gt; Food &gt; Restaurant &gt; Brand &gt; Buffalo Wild Wings</t>
  </si>
  <si>
    <t>United States Interest &gt; Cooking &gt; General</t>
  </si>
  <si>
    <t>Travel and Tourism &gt; Interest (Affinity) &gt; Destinations &gt; Latin America</t>
  </si>
  <si>
    <t>Online Behavior&gt;United States&gt;Intent &gt; Shopping&gt;Consumer Electronics &gt; Video Game Consoles</t>
  </si>
  <si>
    <t>Online Behavior&gt;United States&gt;Intent &gt; Auto Buyers &gt; Category&gt;Motorcycle</t>
  </si>
  <si>
    <t>United States Financial &gt; Credit Card Type &gt; Credit Card Holder - Unknown Type</t>
  </si>
  <si>
    <t>United States &gt; Brand Propensities &gt; Travel &gt; Booking.com Buyer Propensity</t>
  </si>
  <si>
    <t>United States Financial &gt; Estimated Disposable Income &gt; $0 - $99,999</t>
  </si>
  <si>
    <t>Online Behavior&gt;United States&gt;Beauty and Fitness&gt;Fitness &gt; Yoga and Pilates</t>
  </si>
  <si>
    <t>United States &gt; Reach &gt; Propensity Models &gt; Hobbies and Interest &gt; Sports &gt; Fitness EnthUnited Statesiasts</t>
  </si>
  <si>
    <t>OnAudience &gt; Interest &gt; Sports</t>
  </si>
  <si>
    <t>Online Behavior&gt;United States&gt;News&gt;BUnited Statesiness News</t>
  </si>
  <si>
    <t>Online Behavior&gt;United States&gt;Intent &gt; Auto Buyers &gt; Car Make&gt;Opel</t>
  </si>
  <si>
    <t>Online Behavior&gt;United States&gt;The Changing Consumer&gt;Active Facebook United Statesers</t>
  </si>
  <si>
    <t>Online Behavior&gt;United States&gt;Validated Demographic &gt; Gender and Age Combined&gt;Females 65 or older</t>
  </si>
  <si>
    <t>United States &gt; B2B &gt; B2B Decision Maker Responsibilities &gt; Computer Hardware</t>
  </si>
  <si>
    <t>United States &gt; Brand Propensities &gt; Media and Entertainment &gt; Regal Cinemas Buyer Propensity</t>
  </si>
  <si>
    <t>United States &gt; Premium Entertainment and Pastimes &gt; Premium Magazine EnthUnited Statesiasts</t>
  </si>
  <si>
    <t>Mobile - United States &gt; Device Ownership &gt; Smartphones &gt; iOS (Apple) &gt; iPhone X</t>
  </si>
  <si>
    <t>Mobile - United States &gt; Device Ownership &gt; Smartphones &gt; iOS (Apple) &gt; iPhone 11</t>
  </si>
  <si>
    <t>Online Behavior&gt;United States&gt;Intent &gt; Shopping&gt;Sports and Outdoors</t>
  </si>
  <si>
    <t>United States &gt; Reach &gt; Propensity Models &gt; Lifestyle &gt; Loyalty Programs &gt; Loyalty Card United Stateser</t>
  </si>
  <si>
    <t>Online Behavior&gt;United States&gt;Intent &gt; Shopping&gt;Consumer Electronics &gt; Tablets</t>
  </si>
  <si>
    <t>Online Behavior&gt;United States&gt;Intent &gt; Auto Buyers &gt; Car Make&gt;BMW</t>
  </si>
  <si>
    <t>Online Behavior&gt;United States&gt;Travel&gt;Tourist Destinations &gt; Lakes and Rivers</t>
  </si>
  <si>
    <t>Online Behavior&gt;United States&gt;Beauty and Fitness&gt;Fashion and Style &gt; Fashion Modeling</t>
  </si>
  <si>
    <t>Online Behavior&gt;United States&gt;Autos and Vehicles &gt; Brands&gt;BMW</t>
  </si>
  <si>
    <t>Online Behavior&gt;United States&gt;Food and Drink&gt;Beverages &gt; Bottled Water</t>
  </si>
  <si>
    <t>United States &gt; Reach &gt; Sociodemographic &gt; Age &gt; 45-49</t>
  </si>
  <si>
    <t>Real Estate &gt; Sale Activity &gt; JUnited Statest Sold</t>
  </si>
  <si>
    <t>United States &gt; Sociodemographic &gt; ConneXions Lifestage &gt; F1 Early Adopting Elite</t>
  </si>
  <si>
    <t>OnAudience &gt; Interest &gt; Arts &amp; Entertainment &gt; Television</t>
  </si>
  <si>
    <t>United States Interest &gt; Consumer Electronics</t>
  </si>
  <si>
    <t>United States &gt; Interest Propensities &gt; Insurance &gt; Unitedhealth Group</t>
  </si>
  <si>
    <t>United States &gt; B2B &gt; B2B Decision Maker Responsibilities &gt; Marketing or Market Research</t>
  </si>
  <si>
    <t>United States &gt; Interest Propensities &gt; Insurance &gt; Aetna Group</t>
  </si>
  <si>
    <t>foxbUnited Statesiness.com</t>
  </si>
  <si>
    <t>Online Behavior&gt;United States&gt;Finance &gt; Insurance&gt;Insurance</t>
  </si>
  <si>
    <t>Online Behavior&gt;United States&gt;Food and Drink&gt;Beverages &gt; Coffee and Tea</t>
  </si>
  <si>
    <t>Online Behavior&gt;United States&gt;Intent &gt; Auto Buyers &gt; Car Make&gt;Ford</t>
  </si>
  <si>
    <t>Online Behavior&gt;United States&gt;Autos and Vehicles &gt; Brands&gt;Maserati</t>
  </si>
  <si>
    <t>United States &gt; Reach &gt; Sociodemographic &gt; Homeowner StatUnited States &gt; Renter</t>
  </si>
  <si>
    <t>United States &gt; B2B &gt; B2B Decision Maker Responsibilities &gt; HR or Personnel Services</t>
  </si>
  <si>
    <t>United States &gt; B2B &gt; B2B Decision Maker Responsibilities &gt; Sales</t>
  </si>
  <si>
    <t>Mobile - United States &gt; Travel &gt; Vacation Rentals &gt; HomeAway</t>
  </si>
  <si>
    <t>OnAudience &gt; Interest &gt; News &gt; Local News</t>
  </si>
  <si>
    <t>OnAudience &gt; Interest &gt; Arts &amp; Entertainment &gt; MUnited Statesic Lovers</t>
  </si>
  <si>
    <t>United States &gt; Sociodemographic &gt; PRIZM Premier Social &gt; T2 Country Comfort</t>
  </si>
  <si>
    <t>Online Behavior&gt;United States&gt;Intent &gt; Shopping&gt;Consumer Electronics &gt; Cameras and Photography Equip</t>
  </si>
  <si>
    <t>Online Behavior&gt;United States&gt;Intent &gt; Travel&gt;BUnited Statesiness Travel</t>
  </si>
  <si>
    <t>United States Home &gt; Dwelling Type &gt; Single-Family</t>
  </si>
  <si>
    <t>OnAudience &gt; Interest &gt; Games</t>
  </si>
  <si>
    <t>United States &gt; Response Performance &gt; Direct Marketing Purchasers</t>
  </si>
  <si>
    <t>Online Behavior&gt;United States&gt;Autos and Vehicles &gt; Brands&gt;Saab</t>
  </si>
  <si>
    <t>United States &gt; Sociodemographic &gt; ConneXions Lifestage &gt; M3 Offline Seniors</t>
  </si>
  <si>
    <t>United States &gt; Brand Propensities &gt; Apparel &gt; JCPenney Buyer Propensity</t>
  </si>
  <si>
    <t>OnAudience &gt; Interest &gt; News &gt; National News</t>
  </si>
  <si>
    <t>United States &gt; Reach &gt; Propensity Models &gt; Hobbies and Interest &gt; Sports &gt; Plays Soccer</t>
  </si>
  <si>
    <t>health.United Statesnews.com</t>
  </si>
  <si>
    <t>Mobile - United States &gt; Sports &gt; Water Sports &gt; Boating</t>
  </si>
  <si>
    <t>hindUnited Statestantimes.com</t>
  </si>
  <si>
    <t>Mobile - United States &gt; Travel &gt; Activity &gt; Ski Travelers</t>
  </si>
  <si>
    <t>United States &gt; Sociodemographic &gt; P$YCLE Premier Lifestage &gt; M3 Upscale Empty Nests</t>
  </si>
  <si>
    <t>Online Behavior&gt;United States&gt;Intent &gt; Auto Buyers &gt; Car Make&gt;Dodge</t>
  </si>
  <si>
    <t>Online Behavior&gt;United States&gt;Intent &gt; Auto Buyers &gt; Type&gt;SUV</t>
  </si>
  <si>
    <t>Online Behavior&gt;United States&gt;Validated Demographic &gt; Age&gt;35-44</t>
  </si>
  <si>
    <t>United States Demographic &gt; Preferred Language &gt; Individual &gt; Non-Hispanic</t>
  </si>
  <si>
    <t>hoUnited Stateseplans.net</t>
  </si>
  <si>
    <t>OnAudience &gt; Intent &gt; Education</t>
  </si>
  <si>
    <t>Online Behavior&gt;United States&gt;Intent &gt; Auto Buyers &gt; Car Make&gt;Mazda</t>
  </si>
  <si>
    <t>Online Behavior&gt;United States&gt;Validated Demographic &gt; Gender and Age Combined&gt;Females 25-34</t>
  </si>
  <si>
    <t>OnAudience &gt; Interest &gt; Technology &amp; Computing &gt; Internet Technology</t>
  </si>
  <si>
    <t>Mobile - United States &gt; Sports &gt; UFC Fans</t>
  </si>
  <si>
    <t>Online Behavior&gt;United States&gt;Intent &gt; Shopping&gt;Auto Parts Stores</t>
  </si>
  <si>
    <t>Online Behavior&gt;United States&gt;Autos and Vehicles &gt; Brands&gt;Ford</t>
  </si>
  <si>
    <t>Lotame &gt; Technology &gt; Mobile Phones</t>
  </si>
  <si>
    <t>Online Behavior&gt;United States&gt;Autos and Vehicles &gt; Brands&gt;Maybach</t>
  </si>
  <si>
    <t>Online Behavior&gt;United States&gt;Finance &gt; Financial Planning and Management&gt;Inheritance and Estate Planning</t>
  </si>
  <si>
    <t>Lotame &gt; Travel &gt; Winter Holiday Travel</t>
  </si>
  <si>
    <t>United States &gt; Brand Propensities &gt; Home and HoUnited Statesehold Goods &gt; Pottery Barn Kids Buyer Propensity</t>
  </si>
  <si>
    <t>Online Behavior&gt;United States&gt;Intent &gt; Shopping&gt;Drug Stores</t>
  </si>
  <si>
    <t>Media and Entertainment &gt; Sports and Recreational Activities &gt; Interest (Affinity) &gt; Individual Sports &gt; Tennis and Racquet Sports</t>
  </si>
  <si>
    <t>United States &gt; Reach &gt; Propensity Models &gt; Hobbies and Interest &gt; Sports &gt; NBA EnthUnited Statesiast</t>
  </si>
  <si>
    <t>Mobile - United States &gt; Device Ownership &gt; Smartphones &gt; Vivo</t>
  </si>
  <si>
    <t>Lotame &gt; Style, Fashion &amp; Clothing &gt; Women's Clothing Shoppers</t>
  </si>
  <si>
    <t>Online Behavior&gt;United States&gt;Intent &gt; Shopping&gt;Office Supplies</t>
  </si>
  <si>
    <t>Online Behavior&gt;United States&gt;Validated Demographic &gt; Gender&gt;Male</t>
  </si>
  <si>
    <t>Online Behavior&gt;United States&gt;B2B &gt; Occupation&gt;Teacher</t>
  </si>
  <si>
    <t>Online Behavior&gt;United States&gt;Finance &gt; Accounting and Auditing&gt;Bookkeeping</t>
  </si>
  <si>
    <t>OnAudience &gt; Interest &gt; Arts &amp; Entertainment &gt; Fine Art</t>
  </si>
  <si>
    <t>Lotame &gt; Technology &gt; Electronics &amp; Gadgets</t>
  </si>
  <si>
    <t>OnAudience &gt; Intent &gt; Toys &amp; Games</t>
  </si>
  <si>
    <t>Online Behavior&gt;United States&gt;Validated Demographic &gt; Age&gt;25 or older</t>
  </si>
  <si>
    <t>Lotame &gt; Style, Fashion &amp; Clothing &gt; Children's Clothing Shoppers</t>
  </si>
  <si>
    <t>Online Behavior&gt;United States&gt;Validated Demographic &gt; Gender and Age Combined&gt;Males 18-64</t>
  </si>
  <si>
    <t>Online Behavior&gt;United States&gt;Food and Drink&gt;Beverages &gt; Soft Drinks</t>
  </si>
  <si>
    <t>Online Behavior&gt;United States&gt;Validated Demographic &gt; Age&gt;25-34</t>
  </si>
  <si>
    <t>United States &gt; Reach &gt; Propensity Models &gt; Finance &gt; Credit &gt; Debit Card &gt; Major Credit Card United Stateser</t>
  </si>
  <si>
    <t>Lotame &gt; Technology</t>
  </si>
  <si>
    <t>United States &gt; Reach &gt; Propensity Models &gt; Real Estate &gt; Mortgage Amount &gt; $120,000-$159,999</t>
  </si>
  <si>
    <t>Online Behavior&gt;United States&gt;Food and Drink&gt;Restaurants &gt; Fast Food</t>
  </si>
  <si>
    <t>Online Behavior&gt;United States&gt;Validated Demographic &gt; Age&gt;18-54</t>
  </si>
  <si>
    <t>Online Behavior&gt;United States&gt;Travel&gt;Air Travel &gt; Airport Parking and Transportation</t>
  </si>
  <si>
    <t>Online Behavior&gt;United States&gt;Sports&gt;Individual Sports &gt; Track and Field</t>
  </si>
  <si>
    <t>Online Behavior&gt;United States&gt;Sports&gt;Individual Sports &gt; Bowling</t>
  </si>
  <si>
    <t>Online Behavior&gt;United States&gt;Autos and Vehicles &gt; Brands&gt;SEAT</t>
  </si>
  <si>
    <t>Online Behavior&gt;United States&gt;Intent &gt; Services&gt;Photography</t>
  </si>
  <si>
    <t>Online Behavior&gt;United States&gt;Autos and Vehicles &gt; Brands&gt;Acura</t>
  </si>
  <si>
    <t>Online Behavior&gt;United States&gt;Intent &gt; Auto Buyers &gt; Type&gt;Sedan</t>
  </si>
  <si>
    <t>Online Behavior&gt;United States&gt;Finance &gt; Grants, Scholarships and Financial Aid&gt;Study Grants and Scholarships</t>
  </si>
  <si>
    <t>Online Behavior&gt;United States&gt;Arts and Entertainment&gt;Events and Listings &gt; Food and Beverage Events</t>
  </si>
  <si>
    <t>United States &gt; Reach &gt; Propensity Models &gt; Hobbies and Interest &gt; MUnited Statesic &gt; Streaming</t>
  </si>
  <si>
    <t>United States &gt; B2B &gt; B2B Decision Maker Responsibilities &gt; Computer Software</t>
  </si>
  <si>
    <t>United States &gt; Brand Propensities &gt; Health &gt; Beauty and Cosmetics &gt; ULTA Buyer Propensity</t>
  </si>
  <si>
    <t>United States &gt; Home and Garden Interests &gt; HoUnited Statese and Garden Merchandise Buyers</t>
  </si>
  <si>
    <t>Lotame &gt; Offline CPG Purchasers &gt; Product Segment</t>
  </si>
  <si>
    <t>United States &gt; Brand Propensities &gt; Apparel &gt; Bare Necessities Buyer Propensity</t>
  </si>
  <si>
    <t>Mobile - United States &gt; Travel &gt; Destination &gt; International Travelers &gt; yes</t>
  </si>
  <si>
    <t>United States &gt; Brand Propensities &gt; Media and Entertainment &gt; Sony Network Entertainment International Buyer Propensity</t>
  </si>
  <si>
    <t>Travel and Tourism &gt; Interest (Affinity) &gt; Destinations &gt; Europe</t>
  </si>
  <si>
    <t>Online Behavior&gt;United States&gt;Finance &gt; Financial Planning and Management&gt;Financial Planning and Management</t>
  </si>
  <si>
    <t>Online Behavior&gt;United States&gt;The Changing Consumer&gt;Data For Good &gt; Current Affairs - Social JUnited Statestice</t>
  </si>
  <si>
    <t>Online Behavior&gt;United States&gt;Sports&gt;Team Sports &gt; Rugby</t>
  </si>
  <si>
    <t>Online Behavior&gt;United States&gt;Beauty and Fitness&gt;Fashion and Style &gt; Fashion Designers and Collections</t>
  </si>
  <si>
    <t>Online Behavior&gt;United States&gt;Validated Demographic &gt; Gender and Age Combined&gt;Females 18-64</t>
  </si>
  <si>
    <t>Online Behavior&gt;United States&gt;Travel&gt;Specialty Travel &gt; Agritourism</t>
  </si>
  <si>
    <t>Online Behavior&gt;United States&gt;Validated Demographic &gt; Gender and Age Combined&gt;Females 25-64</t>
  </si>
  <si>
    <t>Online Behavior&gt;United States&gt;Validated Demographic &gt; Gender and Age Combined&gt;Females 18-44</t>
  </si>
  <si>
    <t>Online Behavior&gt;United States&gt;Sports&gt;Winter Sports &gt; Ice Skating</t>
  </si>
  <si>
    <t>United States &gt; Reach &gt; Propensity Models &gt; Hobbies and Interest &gt; Sports &gt; PGA Tour EnthUnited Statesiast</t>
  </si>
  <si>
    <t>United States &gt; Sociodemographic &gt; ConneXions Lifestage &gt; M4 Elderly Traditionalists</t>
  </si>
  <si>
    <t>United States &gt; Reach &gt; Propensity Models &gt; Hobbies and Interest &gt; Sports &gt; NASCAR EnthUnited Statesiast</t>
  </si>
  <si>
    <t>Mobile - United States &gt; Automotive &gt; Vehicle Ownership &gt; yes</t>
  </si>
  <si>
    <t>United States &gt; Brand Propensities &gt; Media and Entertainment &gt; Steam Community Buyer Propensity</t>
  </si>
  <si>
    <t>OnAudience &gt; Interest &gt; Travel</t>
  </si>
  <si>
    <t>United States &gt; Brand Propensities &gt; Automotive &gt; Tirerack.com Buyer Propensity</t>
  </si>
  <si>
    <t>Lotame &gt; Style, Fashion &amp; Clothing &gt; Clothing Shoppers</t>
  </si>
  <si>
    <t>Transactional &gt; Q3 Home Entertainers</t>
  </si>
  <si>
    <t>Travel and Tourism &gt; Interest (Affinity) &gt; Products &gt; Hotels and Lodging</t>
  </si>
  <si>
    <t>United States &gt; Demographic &gt; Family &gt; HoUnited Stateseholds with 3 Adults</t>
  </si>
  <si>
    <t>Online Behavior&gt;United States&gt;Intent &gt; Shopping&gt;Entertainment</t>
  </si>
  <si>
    <t>Mobile - United States &gt; Food &gt; Restaurant &gt; Brand &gt; Moes Southwest Grill</t>
  </si>
  <si>
    <t>Online Behavior&gt;United States&gt;Validated Demographic &gt; Gender and Age Combined&gt;Males 25-54</t>
  </si>
  <si>
    <t>Online Behavior&gt;United States&gt;Travel&gt;BUnited Statesiness Travel</t>
  </si>
  <si>
    <t>United States Financial &gt; Likely In Market Timing &gt; Not At All Likely to Purchase &gt; Second HoUnited Statese/Residence In The Next Year (Financial)</t>
  </si>
  <si>
    <t>Online Behavior&gt;United States&gt;Hobbies and Leisure&gt;Special Occasions &gt; Party Planning</t>
  </si>
  <si>
    <t>Online Behavior&gt;United States&gt;Sports&gt;Individual Sports &gt; Skate Sports</t>
  </si>
  <si>
    <t>United States &gt; Reach &gt; Propensity Models &gt; Hobbies and Interest &gt; Sports &gt; NFL EnthUnited Statesiast</t>
  </si>
  <si>
    <t>Mobile - United States &gt; Device Ownership &gt; Tablets &gt; yes</t>
  </si>
  <si>
    <t>United States &gt; Health and Wellbeing &gt; Health and Wellbeing</t>
  </si>
  <si>
    <t>United States &gt; Brand Propensities &gt; Telecom and Service Providers &gt; Page PlUnited States Cellular Buyer Propensity</t>
  </si>
  <si>
    <t>United States &gt; Reach &gt; Propensity Models &gt; Hobbies and Interest &gt; MUnited Statesic &gt; Listens to Pop MUnited Statesic</t>
  </si>
  <si>
    <t>Media and Entertainment &gt; Sports and Recreational Activities &gt; Interest (Affinity) &gt; Team Sports &gt; Soccer (Football)</t>
  </si>
  <si>
    <t>Online Behavior&gt;United States&gt;B2B &gt; Occupation&gt;ElectricalEngineer</t>
  </si>
  <si>
    <t>Online Behavior&gt;United States&gt;Autos and Vehicles &gt; Brands&gt;Honda</t>
  </si>
  <si>
    <t>Online Behavior&gt;United States&gt;Validated Demographic &gt; Age&gt;25-64</t>
  </si>
  <si>
    <t>United States &gt; Reach &gt; Propensity Models &gt; HoUnited Statesehold Consumer Expenditures &gt; Furniture</t>
  </si>
  <si>
    <t>United States &gt; Reach &gt; Propensity Models &gt; Hobbies and Interest &gt; MUnited Statesic &gt; Listens to Country MUnited Statesic</t>
  </si>
  <si>
    <t>Online Behavior&gt;United States&gt;Intent &gt; Shopping&gt;Wireless Providers</t>
  </si>
  <si>
    <t>Online Behavior&gt;United States&gt;Hobbies and Leisure&gt;Outdoors &gt; Fishing</t>
  </si>
  <si>
    <t>Online Behavior&gt;United States&gt;Autos and Vehicles &gt; Brands&gt;Volkswagen</t>
  </si>
  <si>
    <t>Online Behavior&gt;United States&gt;Autos and Vehicles &gt; Brands&gt;Jaguar</t>
  </si>
  <si>
    <t>United States &gt; Interest Propensities &gt; Celebrities &gt; Celebrity Fan Gossip</t>
  </si>
  <si>
    <t>United States &gt; Interest Propensities &gt; Insurance &gt; Humana</t>
  </si>
  <si>
    <t>United States &gt; Interest Propensities &gt; Activities and Interests &gt; B2B Job Search</t>
  </si>
  <si>
    <t>Online Behavior&gt;United States&gt;Autos and Vehicles &gt; Brands&gt;Bugatti</t>
  </si>
  <si>
    <t>Media and Entertainment &gt; Gaming &gt; In-Market</t>
  </si>
  <si>
    <t>Media and Entertainment &gt; Events and Attractions</t>
  </si>
  <si>
    <t>Online Behavior&gt;United States&gt;Finance &gt; Banking&gt;Banking</t>
  </si>
  <si>
    <t>Online Behavior&gt;United States&gt;Finance &gt; Credit and Lending&gt;Credit and Lending</t>
  </si>
  <si>
    <t>Online Behavior&gt;United States&gt;Finance &gt; Investing&gt;Investing</t>
  </si>
  <si>
    <t>Online Behavior&gt;United States&gt;Sports&gt;Team Sports &gt; American Football</t>
  </si>
  <si>
    <t>Online Behavior&gt;United States&gt;Intent &gt; Shopping&gt;Home and Garden</t>
  </si>
  <si>
    <t>Online Behavior&gt;United States&gt;Intent &gt; Auto Buyers &gt; Type&gt;Truck</t>
  </si>
  <si>
    <t>Online Behavior&gt;United States&gt;Intent &gt; Shopping&gt;Consumer Electronics &gt; Televisions/TVs</t>
  </si>
  <si>
    <t>Online Behavior&gt;United States&gt;Intent &gt; Services&gt;Arts and Entertainment</t>
  </si>
  <si>
    <t>Online Behavior&gt;United States&gt;Sports&gt;Individual Sports &gt; Cycling</t>
  </si>
  <si>
    <t>Online Behavior&gt;United States&gt;Autos and Vehicles &gt; Brands&gt;Porsche</t>
  </si>
  <si>
    <t>Online Behavior&gt;United States&gt;Beauty and Fitness&gt;Spas and Beauty Services &gt; Massage Therapy</t>
  </si>
  <si>
    <t>Online Behavior&gt;United States&gt;Autos and Vehicles &gt; Brands&gt;Mitsubishi</t>
  </si>
  <si>
    <t>Online Behavior&gt;United States&gt;Autos and Vehicles &gt; Brands&gt;GM-Daewoo</t>
  </si>
  <si>
    <t>United States &gt; Demo &gt; Age &gt; 65+</t>
  </si>
  <si>
    <t>United States &gt; Sociodemographic &gt; P$YCLE Premier Lifestage &gt; Y3 Fiscal Fledglings</t>
  </si>
  <si>
    <t>OnAudience &gt; Interest &gt; News &amp; Magazines</t>
  </si>
  <si>
    <t>United States &gt; Brand Propensities &gt; Electronics &gt; RadioShack Buyer Propensity</t>
  </si>
  <si>
    <t>United States &gt; Interest Propensities &gt; Activities and Interests &gt; College Life</t>
  </si>
  <si>
    <t>Lotame &gt; Social Media</t>
  </si>
  <si>
    <t>United States &gt; Reach &gt; Propensity Models &gt; Hobbies and Interest &gt; Pets &gt; Pet EnthUnited Statesiast</t>
  </si>
  <si>
    <t>United States &gt; Financially in Charge &gt; Performance Score: Top 25%</t>
  </si>
  <si>
    <t>OnAudience &gt; Intent &gt; Travel</t>
  </si>
  <si>
    <t>Media and Entertainment &gt; Sports and Recreational Activities &gt; Interest (Affinity) &gt; Team Sports &gt; Football (American)</t>
  </si>
  <si>
    <t>United States Financial &gt; Likely Bank Account and Services &gt; Saving Account &gt; Personal or Join (Financial)</t>
  </si>
  <si>
    <t>Online Behavior&gt;United States&gt;B2B &gt; Occupation&gt;SupplyChainManager</t>
  </si>
  <si>
    <t>Online Behavior&gt;United States&gt;People and Society&gt;Family and Relationships &gt; Moms</t>
  </si>
  <si>
    <t>Online Behavior&gt;United States&gt;Arts and Entertainment&gt;Events and Listings &gt; Live Sporting Events</t>
  </si>
  <si>
    <t>Online Behavior&gt;United States&gt;Intent &gt; Financial Intent&gt;Banking</t>
  </si>
  <si>
    <t>Online Behavior&gt;United States&gt;Finance &gt; Insurance&gt;Health Insurance</t>
  </si>
  <si>
    <t>Media and Entertainment &gt; Sports and Recreational Activities &gt; Interest (Affinity) &gt; Olympics</t>
  </si>
  <si>
    <t>United States &gt; Brand Propensities &gt; Kids Products &gt; Disney Buyer Propensity</t>
  </si>
  <si>
    <t>Online Behavior&gt;United States&gt;Validated Demographic &gt; Gender and Age Combined&gt;Males 18-34</t>
  </si>
  <si>
    <t>Online Behavior&gt;United States&gt;Finance &gt; Investing&gt;Commodities and Futures Trading</t>
  </si>
  <si>
    <t>Online Behavior&gt;United States&gt;Autos and Vehicles&gt;Vehicle Shopping &gt; Fuel Economy and Gas Prices</t>
  </si>
  <si>
    <t>Online Behavior&gt;United States&gt;Travel&gt;Travel Agencies and Services &gt; Tourist Boards and Visitor Centers</t>
  </si>
  <si>
    <t>Online Behavior&gt;United States&gt;Beauty and Fitness&gt;Fitness &gt; Home Exercise</t>
  </si>
  <si>
    <t>Media and Entertainment &gt; News and Current Events</t>
  </si>
  <si>
    <t>United States &gt; Interest Propensities &gt; Activities and Interests &gt; National News</t>
  </si>
  <si>
    <t>United States &gt; Interest Propensities &gt; TV and Movies &gt; Reality &gt; Game Shows</t>
  </si>
  <si>
    <t>Online Behavior&gt;United States&gt;Validated Demographic &gt; Gender and Age Combined&gt;Females 55-64</t>
  </si>
  <si>
    <t>OnAudience &gt; Interest &gt; Shopping</t>
  </si>
  <si>
    <t>Media and Entertainment &gt; Sports and Recreational Activities &gt; Interest (Affinity) &gt; Team Sports &gt; Baseball</t>
  </si>
  <si>
    <t>Media and Entertainment &gt; News and Current Events &gt; Online News Websites</t>
  </si>
  <si>
    <t>Online Behavior&gt;United States&gt;Finance &gt; Investing&gt;Brokerages and Day Trading</t>
  </si>
  <si>
    <t>United States &gt; Reach &gt; Propensity Models &gt; Luxury Store Shoppers</t>
  </si>
  <si>
    <t>Online Behavior&gt;United States&gt;Intent &gt; Auto Buyers &gt; Car Make&gt;Honda</t>
  </si>
  <si>
    <t>Media and Entertainment &gt; Sports and Recreational Activities &gt; Interest (Affinity) &gt; Combat Sports</t>
  </si>
  <si>
    <t>United States &gt; Reach &gt; Propensity Models &gt; Travel &gt; High Frequency Travel &gt; Foreign Vacationer</t>
  </si>
  <si>
    <t>Online Behavior&gt;United States&gt;Intent &gt; Auto Buyers &gt; Car Make&gt;Vauxhall</t>
  </si>
  <si>
    <t>Online Behavior&gt;United States&gt;Intent &gt; Travel&gt;Flights</t>
  </si>
  <si>
    <t>Tech EnthUnited Statesiasts</t>
  </si>
  <si>
    <t>United States Interest &gt; Computers</t>
  </si>
  <si>
    <t>United States &gt; Brand Propensities &gt; Health &gt; Beauty and Cosmetics &gt; Beachbody Buyer Propensity</t>
  </si>
  <si>
    <t>Media and Entertainment &gt; Audio and Video Streaming &gt; Streaming Video &gt; Interest (Affinity)</t>
  </si>
  <si>
    <t>United States &gt; Interest Propensities &gt; Insurance &gt; New York Life</t>
  </si>
  <si>
    <t>OnAudience &gt; Interest &gt; Science &gt; Weather</t>
  </si>
  <si>
    <t>Mobile - United States &gt; Demographics &gt; Finance &gt; Rent Value &gt; Highest Rent Value</t>
  </si>
  <si>
    <t>United States &gt; AUTO &gt; Primary Vehicle &gt; Owned or Leased &gt; Company Car</t>
  </si>
  <si>
    <t>Online Behavior&gt;United States&gt;Finance &gt; Credit and Lending&gt;Credit Cards</t>
  </si>
  <si>
    <t>Online Behavior&gt;United States&gt;Intent &gt; Shopping&gt;Fashion</t>
  </si>
  <si>
    <t>Online Behavior&gt;United States&gt;Validated Demographic &gt; Gender and Age Combined&gt;Females 25-44</t>
  </si>
  <si>
    <t>OnAudience &gt; Interest &gt; News</t>
  </si>
  <si>
    <t>United States &gt; Reach &gt; Propensity Models &gt; Online &gt; Home Office</t>
  </si>
  <si>
    <t>United States &gt; Brand Propensities &gt; Apparel &gt; TOMS Buyer Propensity</t>
  </si>
  <si>
    <t>Mobile - United States &gt; Financial Services &gt; Digital Payments &gt; Chase Pay</t>
  </si>
  <si>
    <t>Transactional &gt; Q3 Casual Dining Restaurant Goers</t>
  </si>
  <si>
    <t>Media and Entertainment &gt; Sports and Recreational Activities &gt; Interest (Affinity) &gt; Olympics &gt; Winter Olympics</t>
  </si>
  <si>
    <t>Mobile - United States &gt; Demographics &gt; Finance &gt; Rent Value &gt; Lowest Rent Value</t>
  </si>
  <si>
    <t>United States &gt; Brand Propensities &gt; Big Box Dollar Tree Buyer Propensity</t>
  </si>
  <si>
    <t>Mobile - United States &gt; Food &gt; Restaurant &gt; Brand &gt; Chilis</t>
  </si>
  <si>
    <t>Online Behavior&gt;United States&gt;Finance &gt; Accounting and Auditing&gt;Tax Preparation and Planning</t>
  </si>
  <si>
    <t>Online Behavior&gt;United States&gt;Beauty and Fitness&gt;Fitness &gt; Bodybuilding</t>
  </si>
  <si>
    <t>United States &gt; Brand Propensities &gt; Food and Drug &gt; Postmates Buyer Propensity</t>
  </si>
  <si>
    <t>Online Behavior&gt;United States&gt;Intent &gt; Auto Buyers &gt; Category&gt;Sport Cars</t>
  </si>
  <si>
    <t>United States &gt; Reach &gt; Propensity Models &gt; Hobbies and Interest &gt; Cultural Arts</t>
  </si>
  <si>
    <t>United States &gt; B2B &gt; B2B Decision Maker Responsibilities &gt; Internet Services</t>
  </si>
  <si>
    <t>Mobile - United States &gt; Device Ownership &gt; Smartphones &gt; iOS (Apple) &gt; yes</t>
  </si>
  <si>
    <t>United States &gt; B2B &gt; Purchase DM &gt; Technology Services, Hardware and &gt; or Software &gt; I am the sole decision maker</t>
  </si>
  <si>
    <t>OnAudience &gt; Interest &gt; Education</t>
  </si>
  <si>
    <t>OnAudience &gt; Intent &gt; Software</t>
  </si>
  <si>
    <t>United States &gt; Reach &gt; Propensity Models &gt; Hobbies and Interest &gt; Food and Drinks &gt; Eats at Family Restaurants</t>
  </si>
  <si>
    <t>OnAudience &gt; Intent &gt; Baby &amp; Toddler &gt; Baby Toys</t>
  </si>
  <si>
    <t>Media and Entertainment &gt; Television (TV)</t>
  </si>
  <si>
    <t>Online Behavior&gt;United States&gt;Intent &gt; Auto Buyers &gt; Category&gt;Caravan</t>
  </si>
  <si>
    <t>United States &gt; Reach &gt; Propensity Models &gt; Hobbies and Interest &gt; Sports &gt; Hunting EnthUnited Statesiasts</t>
  </si>
  <si>
    <t>Online Behavior&gt;United States&gt;Intent &gt; Auto Buyers &gt; Car Make&gt;Mercedes</t>
  </si>
  <si>
    <t>Online Behavior&gt;United States&gt;Sports&gt;Individual Sports &gt; Golf</t>
  </si>
  <si>
    <t>Online Behavior&gt;United States&gt;Food and Drink&gt;Beverages &gt; Juice</t>
  </si>
  <si>
    <t>Online Behavior&gt;United States&gt;Autos and Vehicles &gt; Brands&gt;Isuzu</t>
  </si>
  <si>
    <t>Online Behavior&gt;United States&gt;Validated Demographic &gt; Gender and Age Combined&gt;Males 18-44</t>
  </si>
  <si>
    <t>Online Behavior&gt;United States&gt;B2B &gt; Occupation&gt;ComputerProgrammer</t>
  </si>
  <si>
    <t>United States &gt; Reach &gt; Propensity Models &gt; Lifestyle &gt; Healthy Living</t>
  </si>
  <si>
    <t>United States &gt; Reach &gt; Propensity Models &gt; Hobbies and Interest &gt; Sports &gt; NHL EnthUnited Statesiast</t>
  </si>
  <si>
    <t>United States &gt; Reach &gt; Propensity Models &gt; Hobbies and Interest &gt; Sports &gt; Fishing</t>
  </si>
  <si>
    <t>United States &gt; Interest Propensities &gt; Food and Drink &gt; American Cuisine</t>
  </si>
  <si>
    <t>United States &gt; Reach &gt; Propensity Models &gt; Finance &gt; Credit &gt; Debit Card &gt; Store Credit Card United Stateser</t>
  </si>
  <si>
    <t>United States &gt; Brand Propensities &gt; Apparel &gt; Shoebuy.com Buyer Propensity</t>
  </si>
  <si>
    <t>Travel and Tourism &gt; In-Market</t>
  </si>
  <si>
    <t>United States &gt; Interest Propensities &gt; TV and Movies &gt; Network TV</t>
  </si>
  <si>
    <t>United States &gt; Sociodemographic &gt; P$YCLE Premier Lifestage &gt; F4 Working-Class United StatesA</t>
  </si>
  <si>
    <t>United States &gt; B2B &gt; B2B Decision Maker Responsibilities &gt; Office Services or Moving</t>
  </si>
  <si>
    <t>Telecommunications and Mobile Tech &gt; Mobile Devices and Connected Technology</t>
  </si>
  <si>
    <t>United States Home &gt; Property Type &gt; Single</t>
  </si>
  <si>
    <t>United States Health and Fitness &gt; Interest &gt; Exercise &gt; Health</t>
  </si>
  <si>
    <t>OnAudience &gt; Interest &gt; Arts &amp; Entertainment &gt; Movies</t>
  </si>
  <si>
    <t>OnAudience &gt; Interest &gt; Arts &amp; Entertainment</t>
  </si>
  <si>
    <t>Online Behavior&gt;United States&gt;Validated Demographic &gt; Age&gt;18 or older</t>
  </si>
  <si>
    <t>United States &gt; Multibuyer Behaviors &gt; Entertainment &gt; Pastimes Multibuyer</t>
  </si>
  <si>
    <t>United States &gt; Sociodemographic &gt; PRIZM Premier Social &gt; C2 City Centers</t>
  </si>
  <si>
    <t>Lotame &gt; Personal Finance &gt; Stocks</t>
  </si>
  <si>
    <t>Online Behavior&gt;United States&gt;Autos and Vehicles &gt; Brands&gt;Citroen</t>
  </si>
  <si>
    <t>OnAudience &gt; Intent &gt; Electronics &gt; Video Game Consoles</t>
  </si>
  <si>
    <t>Online Behavior&gt;United States&gt;Sports&gt;Team Sports &gt; Baseball</t>
  </si>
  <si>
    <t>Online Behavior&gt;United States&gt;Beauty and Fitness&gt;Fitness &gt; Gyms and Health Clubs</t>
  </si>
  <si>
    <t>United States &gt; Reach &gt; Propensity Models &gt; Hobbies and Interest &gt; Sports &gt; Plays Tennis</t>
  </si>
  <si>
    <t>Lotame &gt; Style, Fashion &amp; Clothing</t>
  </si>
  <si>
    <t>Online Behavior&gt;United States&gt;Intent &gt; Travel&gt;Graduation Trip</t>
  </si>
  <si>
    <t>Lotame &gt; Online Shoppers &gt; Online Shoppers</t>
  </si>
  <si>
    <t>United States &gt; Reach &gt; Propensity Models &gt; Young Adult Clothing Shoppers</t>
  </si>
  <si>
    <t>United States &gt; Reach &gt; Propensity Models &gt; Online &gt; Electronics and Gadgets</t>
  </si>
  <si>
    <t>United States &gt; Interest Propensities &gt; MUnited Statesic &gt; Classic Rock</t>
  </si>
  <si>
    <t>OnAudience &gt; Interest &gt; Social life</t>
  </si>
  <si>
    <t>United States Travel &gt; Likely BUnited Statesiness Travel &gt; Number of Nights Stayed &gt; 0 Nights</t>
  </si>
  <si>
    <t>United States &gt;Price-Driven Traditionalist Audience</t>
  </si>
  <si>
    <t>Online Behavior&gt;United States&gt;Intent &gt; Travel&gt;Luxury Travel</t>
  </si>
  <si>
    <t>Media and Entertainment &gt; Television (TV) &gt; Viewership &gt; TV Genres &gt; Drama</t>
  </si>
  <si>
    <t>United States &gt; Sociodemographic &gt; ConneXions Lifestage &gt; Y2 Emerging Techies</t>
  </si>
  <si>
    <t>United States &gt; Automotive &gt; Auto Loyalists and Defectors &gt; Auto Make Defectors</t>
  </si>
  <si>
    <t>United States &gt; Brand Propensities &gt; Electronics &gt; Crutchfield Buyer Propensity</t>
  </si>
  <si>
    <t>Online Behavior&gt;United States&gt;Intent &gt; Auto Buyers &gt; Car Make&gt;Subaru</t>
  </si>
  <si>
    <t>signupgeniUnited States.com</t>
  </si>
  <si>
    <t>Online Behavior&gt;United States&gt;Finance &gt; Grants, Scholarships and Financial Aid&gt;Government Grants</t>
  </si>
  <si>
    <t>Online Behavior&gt;United States&gt;Autos and Vehicles &gt; Brands&gt;Mini</t>
  </si>
  <si>
    <t>Online Behavior&gt;United States&gt;Autos and Vehicles &gt; Brands&gt;Buick</t>
  </si>
  <si>
    <t>United States Financial &gt; Likely In Market Timing &gt; Not At All Likely to Purchase &gt; First Home/Residence In The Next Year (Financial)</t>
  </si>
  <si>
    <t>Transactional &gt; Q3 Gardening Shoppers</t>
  </si>
  <si>
    <t>Online Behavior&gt;United States&gt;Travel&gt;Tourist Destinations &gt; Historical Sites and Buildings</t>
  </si>
  <si>
    <t>United States &gt; B2B &gt; B2B Decision Maker Responsibilities &gt; Security Services</t>
  </si>
  <si>
    <t>OnAudience &gt; Intent</t>
  </si>
  <si>
    <t>United States Financial &gt; Likely Credit Card &gt; Behavior &gt; United Statesed for Personal Purposes</t>
  </si>
  <si>
    <t>United States &gt; Demographic &gt; Family &gt; Male Head of HoUnited Statesehold</t>
  </si>
  <si>
    <t>United States &gt; Reach &gt; Propensity Models &gt; Lifestyle &gt; Charities &gt; Contributes by Volunteering</t>
  </si>
  <si>
    <t>OnAudience &gt; Interest &gt; Pets</t>
  </si>
  <si>
    <t>OnAudience &gt; Interest &gt; Technology &amp; Computing &gt; Email</t>
  </si>
  <si>
    <t>Online Behavior&gt;United States&gt;Autos and Vehicles &gt; Brands&gt;LexUnited States</t>
  </si>
  <si>
    <t>Online Behavior&gt;United States&gt;Autos and Vehicles &gt; Brands&gt;Pontiac</t>
  </si>
  <si>
    <t>Media and Entertainment &gt; Connected TV and Over-the-Top (CTV and OTT)</t>
  </si>
  <si>
    <t>United States &gt; B2B &gt; B2B Decision Maker Responsibilities &gt; Television providers &gt; services</t>
  </si>
  <si>
    <t>United States &gt; B2B &gt; Purchase DM &gt; Technology Services, Hardware and &gt; or Software &gt; I make the final decision with input from staff &gt; management</t>
  </si>
  <si>
    <t>Online Behavior&gt;United States&gt;Intent &gt; Auto Buyers &gt; Category&gt;Van</t>
  </si>
  <si>
    <t>Online Behavior&gt;United States&gt;B2B &gt; Occupation&gt;Broker</t>
  </si>
  <si>
    <t>United States &gt; Reach &gt; Propensity Models &gt; Hobbies and Interest &gt; Sports &gt; Canoeing &gt; Kayaking</t>
  </si>
  <si>
    <t>Online Behavior&gt;United States&gt;Autos and Vehicles &gt; Brands&gt;Nissan</t>
  </si>
  <si>
    <t>Online Behavior&gt;United States&gt;Finance &gt; Banking&gt;Debit and Checking Services</t>
  </si>
  <si>
    <t>OnAudience &gt; Interest &gt; Society</t>
  </si>
  <si>
    <t>Online Behavior&gt;United States&gt;Autos and Vehicles &gt; Brands&gt;Fiat</t>
  </si>
  <si>
    <t>Mobile - United States &gt; Automotive &gt; Repair &amp; Oil Change &gt; Intend</t>
  </si>
  <si>
    <t>United States &gt; Home Renovation &gt; Home Renovators</t>
  </si>
  <si>
    <t>thesaurUnited States.com</t>
  </si>
  <si>
    <t>Online Behavior&gt;United States&gt;Food and Drink&gt;Restaurants &gt; Fine Dining</t>
  </si>
  <si>
    <t>United States &gt; Brand Propensities &gt; Apparel &gt; Lady Foot Locker Buyer Propensity</t>
  </si>
  <si>
    <t>United States &gt; Demographic &gt; HoUnited Statesehold Income $50k+</t>
  </si>
  <si>
    <t>Mobile - United States &gt; Food &gt; Restaurant &gt; Brand &gt; Red Lobster</t>
  </si>
  <si>
    <t>United States &gt; B2B &gt; B2B Decision Maker Responsibilities &gt; Print, Copy or Photo Services</t>
  </si>
  <si>
    <t>Online Behavior&gt;United States&gt;Beauty and Fitness&gt;Face and Body Care &gt; Hygiene and Toiletries</t>
  </si>
  <si>
    <t>Online Behavior&gt;United States&gt;Finance &gt; Banking&gt;Savings Accounts</t>
  </si>
  <si>
    <t>Online Behavior&gt;United States&gt;Validated Demographic &gt; Gender and Age Combined&gt;Males 25-64</t>
  </si>
  <si>
    <t>Mobile - United States &gt; Gamers &gt; Online &gt; United Statesers</t>
  </si>
  <si>
    <t>United States &gt; Interest Propensities &gt; Activities and Interests &gt; Buying and Selling Homes &gt; Real Estate</t>
  </si>
  <si>
    <t>OnAudience &gt; Interest &gt; Shopping &gt; LuxurioUnited States Brands</t>
  </si>
  <si>
    <t>Online Behavior&gt;United States&gt;Validated Demographic &gt; Gender and Age Combined&gt;Males 55-64</t>
  </si>
  <si>
    <t>OnAudience &gt; Interest &gt; Hobbies &amp; Interests &gt; Art</t>
  </si>
  <si>
    <t>Online Behavior&gt;United States&gt;Autos and Vehicles &gt; Brands&gt;Peugeot</t>
  </si>
  <si>
    <t>OnAudience &gt; Interest</t>
  </si>
  <si>
    <t>Real Estate &gt; Property Type&gt; Residential</t>
  </si>
  <si>
    <t>Media Source &gt; LBDigital &gt; Open For BUnited Statesiness B2B</t>
  </si>
  <si>
    <t>OnAudience &gt; Intent &gt; Baby &amp; Toddler</t>
  </si>
  <si>
    <t>Online Behavior&gt;United States&gt;Beauty and Fitness&gt;Fitness &gt; Fitness Equipment and Accessories</t>
  </si>
  <si>
    <t>United States Buying Channel Preference &gt; Online</t>
  </si>
  <si>
    <t>Online Behavior&gt;United States&gt;Validated Demographic &gt; Age&gt;65 or older</t>
  </si>
  <si>
    <t>United States &gt;Made In America Audience</t>
  </si>
  <si>
    <t>Online Behavior&gt;United States&gt;Intent &gt; Shopping&gt;Drug Stores &gt; Walgreens</t>
  </si>
  <si>
    <t>United Statesatoday.com</t>
  </si>
  <si>
    <t>Online Behavior&gt;United States&gt;Validated Demographic &gt; Gender and Age Combined&gt;Males 25 or older</t>
  </si>
  <si>
    <t>Online Behavior&gt;United States&gt;Intent &gt; Auto Buyers &gt; Type&gt;Crossover</t>
  </si>
  <si>
    <t>Online Behavior&gt;United States&gt;Intent &gt; Auto Buyers &gt; Car Make&gt;Peugeot</t>
  </si>
  <si>
    <t>Purchase Behaviors &gt; Q2 Spring Cleaners</t>
  </si>
  <si>
    <t>Mobile - United States &gt; Automotive &gt; Vehicle Ownership &gt; Brand &gt; BMW</t>
  </si>
  <si>
    <t>United Statescellular.com</t>
  </si>
  <si>
    <t>Mobile - United States &gt; Food &gt; Restaurant &gt; Brand &gt; Krispy Kreme</t>
  </si>
  <si>
    <t>United Statesnews.com</t>
  </si>
  <si>
    <t>Online Behavior&gt;United States&gt;Arts and Entertainment&gt;Events and Listings &gt; Concerts and MUnited Statesic Festivals</t>
  </si>
  <si>
    <t>United Statesssa.com</t>
  </si>
  <si>
    <t>United States &gt; Sociodemographic &gt; PRIZM Premier Lifestage &gt; F2 Young Accumulators</t>
  </si>
  <si>
    <t>OnAudience &gt; Interest &gt; Food &amp; Drink</t>
  </si>
  <si>
    <t>United States &gt; Brand Propensities &gt; Travel &gt; MGM Resorts International Buyer Propensity</t>
  </si>
  <si>
    <t>Online Behavior&gt;United States&gt;B2B &gt; Occupation&gt;Entrepreneur</t>
  </si>
  <si>
    <t>Online Behavior&gt;United States&gt;Intent &gt; Shopping&gt;CPG&gt; Home Care</t>
  </si>
  <si>
    <t>Online Behavior&gt;United States&gt;Intent &gt; Financial Intent&gt;Insurance &gt; Auto</t>
  </si>
  <si>
    <t>Online Behavior&gt;United States&gt;Intent &gt; Auto Buyers &gt; Car Make&gt;Jeep</t>
  </si>
  <si>
    <t>Online Behavior&gt;United States&gt;Autos and Vehicles &gt; Brands&gt;Kia</t>
  </si>
  <si>
    <t>Online Behavior&gt;United States&gt;Validated Demographic &gt; Age&gt;25-54</t>
  </si>
  <si>
    <t>Online Behavior&gt;United States&gt;Finance &gt; Insurance&gt;Travel Insurance</t>
  </si>
  <si>
    <t>Online Behavior&gt;United States&gt;Intent &gt; Services&gt;Restaurants</t>
  </si>
  <si>
    <t>Online Behavior&gt;United States&gt;Intent &gt; Travel&gt;Future Travel</t>
  </si>
  <si>
    <t>Online Behavior&gt;United States&gt;Intent &gt; Shopping&gt;CPG&gt; Cosmetics</t>
  </si>
  <si>
    <t>United States &gt; Reach &gt; Propensity Models &gt; Hobbies and Interest &gt; Sports &gt; Boating</t>
  </si>
  <si>
    <t>United States &gt; Financially in Charge &gt; Performance Score: Top 50%</t>
  </si>
  <si>
    <t>United States &gt; Reach &gt; Propensity Models &gt; Online &gt; Pets</t>
  </si>
  <si>
    <t>United States &gt; Interest Propensities &gt; Insurance &gt; Lincoln Heritage</t>
  </si>
  <si>
    <t>Real Estate &gt; Lot Size &gt; Cozy Outdoor Living Space (Less than  an Acre)</t>
  </si>
  <si>
    <t>United States Demographic &gt; Age &gt; Specialty Age Range &gt; 21+</t>
  </si>
  <si>
    <t>United States Mail Order Buyer</t>
  </si>
  <si>
    <t>United States &gt; Brand Propensities &gt; Big Box Dollar General Buyer Propensity</t>
  </si>
  <si>
    <t>OnAudience &gt; Interest &gt; News &gt; International News</t>
  </si>
  <si>
    <t>Mobile Audience &gt; Lifestyle &gt; Arts EnthUnited Statesiasts</t>
  </si>
  <si>
    <t>United States &gt; Interest Propensities &gt; MUnited Statesic &gt; Hip Hop and Rap</t>
  </si>
  <si>
    <t>Lotame &gt; Travel &gt; Thanksgiving Travel</t>
  </si>
  <si>
    <t>United States &gt; Sociodemographic &gt; ConneXions Lifestage &gt; F2 Suburban Spenders</t>
  </si>
  <si>
    <t>Travel and Tourism &gt; Interest (Affinity) &gt; Destinations &gt; Africa</t>
  </si>
  <si>
    <t>Purchase-Based &gt; Categories &gt; Office Supplies Buyers</t>
  </si>
  <si>
    <t>United States Financial &gt; Likely Attitude and Behavior &gt; Completely Disagree &gt; When I Find A Financial Product/Service I Like I Typically Recommend It To People I Know (Financial)</t>
  </si>
  <si>
    <t>Online Behavior&gt;United States&gt;Intent &gt; Auto Buyers&gt;New</t>
  </si>
  <si>
    <t>Online Behavior&gt;United States&gt;B2B &gt; Occupation&gt;PropertyManager</t>
  </si>
  <si>
    <t>United States &gt; Entertainment and Pastimes &gt; Entertainment and Pastimes</t>
  </si>
  <si>
    <t>United States &gt; AUTO &gt; Auto Car Purchase Next Year &gt; Yes</t>
  </si>
  <si>
    <t>United States Financial &gt; Method of Payment &gt; Other</t>
  </si>
  <si>
    <t>Online Behavior&gt;United States&gt;Arts and Entertainment&gt;Events and Listings &gt; Event Ticket Sales</t>
  </si>
  <si>
    <t>Online Behavior&gt;United States&gt;Intent &gt; Travel&gt;Travel</t>
  </si>
  <si>
    <t>United States &gt;Quality-First Shopper Audience</t>
  </si>
  <si>
    <t>United States Demographic &gt; Preferred Language &gt; Non-Hispanic</t>
  </si>
  <si>
    <t>Mobile - United States &gt; Sports &gt; Basketball &gt; NCAA College Basketball</t>
  </si>
  <si>
    <t>Media and Entertainment &gt; Television (TV) &gt; Viewership</t>
  </si>
  <si>
    <t>Online Behavior&gt;United States&gt;Intent &gt; Shopping&gt;Home Improvement</t>
  </si>
  <si>
    <t>United States &gt; Interest Propensities &gt; Activities and Interests &gt; Ecommerce</t>
  </si>
  <si>
    <t>Online Behavior&gt;United States&gt;Autos and Vehicles &gt; Brands&gt;Vauxhall-Opel</t>
  </si>
  <si>
    <t>Media and Entertainment &gt; Movies &gt; EnthUnited Statesiasts</t>
  </si>
  <si>
    <t>OnAudience &gt; Interest &gt; Technology &amp; Computing</t>
  </si>
  <si>
    <t>Media and Entertainment &gt; Audio and Video Streaming &gt; Streaming Video</t>
  </si>
  <si>
    <t>Online Behavior&gt;United States&gt;Intent &gt; Travel&gt;Budget Travel</t>
  </si>
  <si>
    <t>Online Behavior&gt;United States&gt;Finance &gt; Accounting and Auditing&gt;Accounting and Auditing</t>
  </si>
  <si>
    <t>Online Behavior&gt;United States&gt;Intent &gt; Services&gt;Pets</t>
  </si>
  <si>
    <t>Online Behavior&gt;United States&gt;Hobbies and Leisure&gt;Special Occasions &gt; Holidays and Seasonal Events</t>
  </si>
  <si>
    <t>Online Behavior&gt;United States&gt;Autos and Vehicles &gt; Brands&gt;Aston Martin</t>
  </si>
  <si>
    <t>United States &gt; Reach &gt; Propensity Models &gt; Hobbies and Interest &gt; Books &gt; E-Book Reader</t>
  </si>
  <si>
    <t>United States &gt; AUTO &gt; Decision Maker for Auto Purchase &gt; I was the sole decision-maker</t>
  </si>
  <si>
    <t>United States &gt; B2B &gt; B2B Decision Maker Responsibilities &gt; Purchasing Vehicles or Automobile Services</t>
  </si>
  <si>
    <t>Media and Entertainment &gt; Audio and Video Streaming &gt; Streaming Video &gt; Interest (Affinity) &gt; Streaming Services</t>
  </si>
  <si>
    <t>Mobile - United States &gt; Demographics &gt; Education &gt; High Education Achievement</t>
  </si>
  <si>
    <t>Media and Entertainment &gt; Sports and Recreational Activities &gt; Interest (Affinity) &gt; Individual Sports</t>
  </si>
  <si>
    <t>United States &gt; Interest Propensities &gt; TV and Movies &gt; Drama</t>
  </si>
  <si>
    <t>United States &gt; Interest Propensities &gt; Insurance &gt; Transamerica</t>
  </si>
  <si>
    <t>United States &gt; Brand Propensities &gt; Apparel &gt; The Men's WearhoUnited Statese Buyer Propensity</t>
  </si>
  <si>
    <t>Travel and Tourism &gt; Interest (Affinity) &gt; Products &gt; Air Travel</t>
  </si>
  <si>
    <t>OnAudience &gt; Interest &gt; Technology &amp; Computing &gt; Entertainment</t>
  </si>
  <si>
    <t>United States &gt; Brand Propensities &gt; Restaurants and Dining &gt; Seamless Buyer Propensity</t>
  </si>
  <si>
    <t>Mobile - United States &gt; Sports &gt; Motor Sports &gt; NASCAR</t>
  </si>
  <si>
    <t>United States &gt; Reach &gt; Propensity Models &gt; Hobbies and Interest &gt; Food and Drinks &gt; Coffee Connoisseurs</t>
  </si>
  <si>
    <t>United States &gt; Demographic &gt; Family &gt; HoUnited Stateseholds with 2 Adults</t>
  </si>
  <si>
    <t>United States &gt; Interest Propensities &gt; Brands &gt; Big Box Retail</t>
  </si>
  <si>
    <t>Travel and Tourism &gt; Interest (Affinity)</t>
  </si>
  <si>
    <t>United States &gt; Brand Propensities &gt; Media and Entertainment &gt; pokerstars.net Buyer Propensity</t>
  </si>
  <si>
    <t>Online Behavior&gt;United States&gt;Intent &gt; Shopping&gt;Pet Food &gt; Dog</t>
  </si>
  <si>
    <t>Online Behavior&gt;United States&gt;B2B &gt; Occupation&gt;Architect</t>
  </si>
  <si>
    <t>Online Behavior&gt;United States&gt;Validated Demographic &gt; Gender&gt;Female</t>
  </si>
  <si>
    <t>Online Behavior&gt;United States&gt;Beauty and Fitness&gt;Face and Body Care &gt; Make-Up and Cosmetics</t>
  </si>
  <si>
    <t>United States &gt; Multibuyer Behaviors &gt; Club &gt; Continuity Buyers</t>
  </si>
  <si>
    <t>Online Behavior&gt;United States&gt;Travel&gt;Tourist Destinations &gt; Theme Parks</t>
  </si>
  <si>
    <t>Online Behavior&gt;United States&gt;Food and Drink&gt;Beverages &gt; Beer</t>
  </si>
  <si>
    <t>Online Behavior&gt;United States&gt;Arts and Entertainment&gt;Events and Listings &gt; Expos and Conventions</t>
  </si>
  <si>
    <t>United States &gt; Reach &gt; Sociodemographic &gt; HoUnited Statesehold Income &gt; $50,000-$74,999</t>
  </si>
  <si>
    <t>United States &gt; Brand Propensities &gt; Automotive &gt; Ford Credit Buyer Propensity</t>
  </si>
  <si>
    <t>United States Technology &gt; Social Media &gt; Likely Behavior &gt; Heavy Facebook United Stateser</t>
  </si>
  <si>
    <t>United States &gt; B2B &gt; B2B Decision Maker Responsibilities &gt; Real Estate Services</t>
  </si>
  <si>
    <t>Transactional &gt; Q3 Fashion Shoppers</t>
  </si>
  <si>
    <t>Lotame &gt; Style, Fashion &amp; Clothing &gt; Men's Clothing Shoppers</t>
  </si>
  <si>
    <t>CPA</t>
  </si>
  <si>
    <t>CTR</t>
  </si>
  <si>
    <t>AVG CPA</t>
  </si>
  <si>
    <t>AVG CTR</t>
  </si>
  <si>
    <t xml:space="preserve">AVG CPA: </t>
  </si>
  <si>
    <t>AVG CTR:</t>
  </si>
  <si>
    <t>Online Behavior&gt;United States&gt;Validated Demographic &gt; Gender and Age Combined&gt;Females 25 or older</t>
  </si>
  <si>
    <t>Online Behavior&gt;United States&gt;Finance &gt; Financial Planning and Management&gt;Retirement and Pension</t>
  </si>
  <si>
    <t>Online Behavior&gt;United States&gt;Hobbies and Leisure&gt;Outdoors &gt; Equestrian</t>
  </si>
  <si>
    <t>Online Behavior&gt;United States&gt;Intent &gt; Auto Buyers &gt; Car Make&gt;Audi Q</t>
  </si>
  <si>
    <t>Online Behavior&gt;United States&gt;Beauty and Fitness&gt;Fitness &gt; Fitness Instruction and Personal Training</t>
  </si>
  <si>
    <t>Online Behavior&gt;United States&gt;Autos and Vehicles &gt; Brands&gt;Jeep</t>
  </si>
  <si>
    <t>Online Behavior&gt;United States&gt;Autos and Vehicles &gt; Brands&gt;Mercedes-Benz</t>
  </si>
  <si>
    <t>Online Behavior&gt;United States&gt;Validated Demographic &gt; Gender and Age Combined&gt;Males 18-54</t>
  </si>
  <si>
    <t>Online Behavior&gt;United States&gt;Validated Demographic &gt; Age&gt;55-64</t>
  </si>
  <si>
    <t>US &gt; Interest Propensities &gt; Brands &gt; Quick Service Restaurants</t>
  </si>
  <si>
    <t>US &gt; B2B &gt; B2B Decision Maker Responsibilities &gt; Purchasing Utilities</t>
  </si>
  <si>
    <t>US &gt; Interest Propensities &gt; TV and Movies &gt; Sports TV</t>
  </si>
  <si>
    <t>Real Estate &gt; Occupancy &gt; Owner Occupied</t>
  </si>
  <si>
    <t>US Financial &gt; Likely Credit Card &gt; Card in Own Name &gt; Any major Credit/Debit Card (Financial)</t>
  </si>
  <si>
    <t>OnAudience &gt; Intent &gt; Electronics &gt; Video &gt; Televisions</t>
  </si>
  <si>
    <t>Online Behavior&gt;United States&gt;Arts and Entertainment&gt;Events and Listings &gt; Bars, Clubs and Nightlife</t>
  </si>
  <si>
    <t>US &gt; Interest Propensities &gt; Activities and Interests &gt; Local News</t>
  </si>
  <si>
    <t>US &gt; Reach &gt; Sociodemographic &gt; Dwelling Type &gt; Multi-family Dwelling Unit</t>
  </si>
  <si>
    <t>OnAudience &gt; Intent &gt; Software &gt; Video Game Software</t>
  </si>
  <si>
    <t>Online Behavior&gt;United States&gt;B2B &gt; Occupation&gt;Musician</t>
  </si>
  <si>
    <t>Lotame &gt; Travel &gt; Summer Travel</t>
  </si>
  <si>
    <t>US &gt; Home and Garden Interests &gt; Cooking &gt; Food Enthusiasts</t>
  </si>
  <si>
    <t>US &gt; Demo &gt; Age &gt; 55-64</t>
  </si>
  <si>
    <t>Online Behavior&gt;United States&gt;Intent &gt; Auto Buyers &gt; Type&gt;Luxury</t>
  </si>
  <si>
    <t>US &gt; Brand Propensities &gt; Media and Entertainment &gt; wwe.com Buyer Propensity</t>
  </si>
  <si>
    <t>Online Behavior&gt;United States&gt;Sports&gt;Sports League &gt; NFL</t>
  </si>
  <si>
    <t>US &gt; B2B &gt; B2B Decision Maker Responsibilities &gt; Financial Services</t>
  </si>
  <si>
    <t>US &gt; Interest Propensities &gt; Music &gt; Country</t>
  </si>
  <si>
    <t>US &gt; Interest Propensities &gt; Activities and Interests &gt; Financial Aid</t>
  </si>
  <si>
    <t>US &gt; Demographic &gt; Family &gt; Female Head of Household</t>
  </si>
  <si>
    <t>US &gt; Brand Propensities &gt; Travel &gt; Sandals Resorts Buyer Propensity</t>
  </si>
  <si>
    <t>Mobile - US &gt; Shopping &gt; Brand &gt; Old Navy</t>
  </si>
  <si>
    <t>US &gt; Multibuyer Behaviors &gt; Paid with Credit Card</t>
  </si>
  <si>
    <t>US &gt; Response Performance &gt; Direct Marketing Responders</t>
  </si>
  <si>
    <t>US &gt; Reach &gt; Sociodemographic &gt; Dwelling Size &gt; 1 Unit</t>
  </si>
  <si>
    <t>US &gt; Interest Propensities &gt; Insurance &gt; MassMutual</t>
  </si>
  <si>
    <t>US &gt; Premium Gender &gt; Premium Gender &gt; Males</t>
  </si>
  <si>
    <t>US &gt; Reach &gt; Propensity Models &gt; Hobbies and Interest &gt; Food and Drinks &gt; Eats at Fast Food Restaurants</t>
  </si>
  <si>
    <t>US &gt; B2B &gt; Purchase DM &gt; Technology Services, Hardware and &gt; or Software &gt; I have no input into the final decision</t>
  </si>
  <si>
    <t>US &gt; Reach &gt; Propensity Models &gt; Hobbies and Interest &gt; Food and Drinks &gt; Wine Lovers</t>
  </si>
  <si>
    <t>US &gt; Brand Propensities &gt; Travel &gt; Choice Hotels Buyer Propensity</t>
  </si>
  <si>
    <t>US &gt; Brand Propensities &gt; Travel &gt; Hotel Tonight Buyer Propensity</t>
  </si>
  <si>
    <t>Mobile - US &gt; Travel &gt; Destination &gt; International Travelers &gt; Frequent Travelers</t>
  </si>
  <si>
    <t>US Financial &gt; Estimated Discretionary Spending (Financial) &gt; Greater than $2,499</t>
  </si>
  <si>
    <t>US &gt; AUTO &gt; Primary Vehicle &gt; New or Used &gt; Pre-owned</t>
  </si>
  <si>
    <t>US &gt; Reach &gt; Propensity Models &gt; Hobbies and Interest &gt; Photography</t>
  </si>
  <si>
    <t>US &gt; Reach &gt; Sociodemographic &gt; Estimated Current Home Value &gt; $160,000-$199,999</t>
  </si>
  <si>
    <t>US &gt;Connected Impulse-Shopper Audience</t>
  </si>
  <si>
    <t>US &gt; Interest Propensities &gt; Activities and Interests &gt; International News</t>
  </si>
  <si>
    <t>Mobile - US &gt; Food &gt; Restaurant &gt; Brand &gt; Outback Steakhouse</t>
  </si>
  <si>
    <t>US &gt; Reach &gt; Propensity Models &gt; Household Consumer Expenditures &gt; Home Office</t>
  </si>
  <si>
    <t>US &gt; Interest Propensities &gt; Oil &amp; Gas &gt; QuickTrip</t>
  </si>
  <si>
    <t>US Financial &gt; Likely Attitude and Behavior &gt; Bank Selection &gt; Customer Service Very Important (Financial)</t>
  </si>
  <si>
    <t>US &gt; Reach &gt; Propensity Models &gt; Hobbies and Interest &gt; Sports &gt; Avid Runners</t>
  </si>
  <si>
    <t>OnAudience &gt; Interest &gt; Business</t>
  </si>
  <si>
    <t>US &gt; Reach &gt; Propensity Models &gt; Real Estate &gt; Monthly Mortgage Payment &gt; $800-$999</t>
  </si>
  <si>
    <t>US &gt;Green Consumer Audience</t>
  </si>
  <si>
    <t>US &gt; Reach &gt; Propensity Models &gt; Household Consumer Expenditures &gt; Lawn and Garden</t>
  </si>
  <si>
    <t>US Interest &gt; Home &gt; Home Improvement &gt; Home Improvement Grouping</t>
  </si>
  <si>
    <t>US &gt; Reach &gt; Propensity Models &gt; Hobbies and Interest &gt; Food and Drinks &gt; High-end Spirit Drinkers</t>
  </si>
  <si>
    <t>US &gt; B2B &gt; B2B Decision Maker Responsibilities &gt; Company Liability or Insurance</t>
  </si>
  <si>
    <t>US &gt; Reach &gt; Propensity Models &gt; Luxury Home Goods Store Shopper</t>
  </si>
  <si>
    <t>US &gt; B2B &gt; B2B Decision Maker Responsibilities &gt; Employee Benefits</t>
  </si>
  <si>
    <t>US &gt; Brand Propensities &gt; Travel &gt; American Airlines Buyer Propensity</t>
  </si>
  <si>
    <t>US &gt;Rural Improvement Fanatic</t>
  </si>
  <si>
    <t>Media and Entertainment &gt; Music</t>
  </si>
  <si>
    <t>US &gt; Interest Propensities &gt; Social &gt; Premium User Generated Content</t>
  </si>
  <si>
    <t>OnAudience &gt; Interest &gt; Business &gt; Economy</t>
  </si>
  <si>
    <t>US &gt; Reach &gt; Propensity Models &gt; Lifestyle &gt; Charities &gt; Contributes to Charities</t>
  </si>
  <si>
    <t>US &gt; Reach &gt; Propensity Models &gt; Household Consumer Expenditures &gt; Kitchen</t>
  </si>
  <si>
    <t>Online Behavior&gt;United States&gt;Intent &gt; Shopping&gt;CPG� Grocery</t>
  </si>
  <si>
    <t>US &gt; Sociodemographic &gt; P$YCLE Premier Lifestage &gt; M2 Wealthy Achievers</t>
  </si>
  <si>
    <t>US &gt; Brand Propensities &gt; Health &gt; Beauty and Cosmetics &gt; Bare Escentuals Buyer Propensity</t>
  </si>
  <si>
    <t>Mobile - US &gt; Device Ownership &gt; Smartphones &gt; Huawei</t>
  </si>
  <si>
    <t>Mobile - US &gt; Food &gt; Restaurant &gt; Style &gt; Desserts</t>
  </si>
  <si>
    <t>US &gt; AUTO &gt; Primary Vehicle &gt; New or Used &gt; New</t>
  </si>
  <si>
    <t>US &gt; B2B &gt; B2B Decision Maker Responsibilities &gt; Advertising Services</t>
  </si>
  <si>
    <t>US &gt; B2B &gt; B2B Decision Maker Responsibilities &gt; Accounting or Tax Services</t>
  </si>
  <si>
    <t>US &gt; Composite Segment &gt; Women Born to Shop</t>
  </si>
  <si>
    <t>US &gt; AUTO &gt; Decision Maker for Auto Purchase &gt; I shared equally in the decision</t>
  </si>
  <si>
    <t>US &gt; B2B &gt; B2B Decision Maker Responsibilities &gt; Office Supplies or Equipment</t>
  </si>
  <si>
    <t>US &gt; Reach &gt; Propensity Models &gt; Hobbies and Interest &gt; Pets &gt; Cat Owners</t>
  </si>
  <si>
    <t>US &gt; Interest Propensities &gt; Activities and Interests &gt; Fashion</t>
  </si>
  <si>
    <t>Mobile - US &gt; Travel &gt; Car Rentals &gt; Hertz</t>
  </si>
  <si>
    <t>Mobile - US &gt; Device Ownership &gt; Smartphones &gt; ZTE</t>
  </si>
  <si>
    <t>US &gt; Brand Propensities &gt; Health &gt; Beauty and Cosmetics &gt; SkinCareRx Buyer Propensity</t>
  </si>
  <si>
    <t>Mobile - US &gt; Food &gt; Restaurant &gt; Brand &gt; Five Guys</t>
  </si>
  <si>
    <t>US &gt; Brand Propensities &gt; Health &gt; Beauty and Cosmetics &gt; Mary Kay Buyer Propensity</t>
  </si>
  <si>
    <t>US Financial &gt; Estimated Discretionary Spending &gt; Greater than $2,500</t>
  </si>
  <si>
    <t>US &gt; Interest Propensities &gt; Insurance &gt; Northwestern Mutual</t>
  </si>
  <si>
    <t>Mobile - US &gt; Demographics &gt; Education &gt; Lowest Education Achievement</t>
  </si>
  <si>
    <t>Mobile - US &gt; Food &gt; Restaurant &gt; Brand &gt; Buffalo Wild Wings</t>
  </si>
  <si>
    <t>US Interest &gt; Cooking &gt; General</t>
  </si>
  <si>
    <t>US Financial &gt; Credit Card Type &gt; Credit Card Holder - Unknown Type</t>
  </si>
  <si>
    <t>US &gt; Brand Propensities &gt; Travel &gt; Booking.com Buyer Propensity</t>
  </si>
  <si>
    <t>US Financial &gt; Estimated Disposable Income &gt; $0 - $99,999</t>
  </si>
  <si>
    <t>US &gt; Reach &gt; Propensity Models &gt; Hobbies and Interest &gt; Sports &gt; Fitness Enthusiasts</t>
  </si>
  <si>
    <t>US &gt; B2B &gt; B2B Decision Maker Responsibilities &gt; Computer Hardware</t>
  </si>
  <si>
    <t>US &gt; Brand Propensities &gt; Media and Entertainment &gt; Regal Cinemas Buyer Propensity</t>
  </si>
  <si>
    <t>US &gt; Premium Entertainment and Pastimes &gt; Premium Magazine Enthusiasts</t>
  </si>
  <si>
    <t>Mobile - US &gt; Device Ownership &gt; Smartphones &gt; iOS (Apple) &gt; iPhone X</t>
  </si>
  <si>
    <t>Mobile - US &gt; Device Ownership &gt; Smartphones &gt; iOS (Apple) &gt; iPhone 11</t>
  </si>
  <si>
    <t>US &gt; Reach &gt; Propensity Models &gt; Lifestyle &gt; Loyalty Programs &gt; Loyalty Card User</t>
  </si>
  <si>
    <t>US &gt; Reach &gt; Sociodemographic &gt; Age &gt; 45-49</t>
  </si>
  <si>
    <t>Real Estate &gt; Sale Activity &gt; Just Sold</t>
  </si>
  <si>
    <t>US &gt; Sociodemographic &gt; ConneXions Lifestage &gt; F1 Early Adopting Elite</t>
  </si>
  <si>
    <t>US Interest &gt; Consumer Electronics</t>
  </si>
  <si>
    <t>US &gt; Interest Propensities &gt; Insurance &gt; Unitedhealth Group</t>
  </si>
  <si>
    <t>US &gt; B2B &gt; B2B Decision Maker Responsibilities &gt; Marketing or Market Research</t>
  </si>
  <si>
    <t>US &gt; Interest Propensities &gt; Insurance &gt; Aetna Group</t>
  </si>
  <si>
    <t>US &gt; Reach &gt; Sociodemographic &gt; Homeowner Status &gt; Renter</t>
  </si>
  <si>
    <t>US &gt; B2B &gt; B2B Decision Maker Responsibilities &gt; HR or Personnel Services</t>
  </si>
  <si>
    <t>US &gt; B2B &gt; B2B Decision Maker Responsibilities &gt; Sales</t>
  </si>
  <si>
    <t>Mobile - US &gt; Travel &gt; Vacation Rentals &gt; HomeAway</t>
  </si>
  <si>
    <t>OnAudience &gt; Interest &gt; Arts &amp; Entertainment &gt; Music Lovers</t>
  </si>
  <si>
    <t>US &gt; Sociodemographic &gt; PRIZM Premier Social &gt; T2 Country Comfort</t>
  </si>
  <si>
    <t>Online Behavior&gt;United States&gt;Intent &gt; Travel&gt;Business Travel</t>
  </si>
  <si>
    <t>US Home &gt; Dwelling Type &gt; Single-Family</t>
  </si>
  <si>
    <t>US &gt; Response Performance &gt; Direct Marketing Purchasers</t>
  </si>
  <si>
    <t>US &gt; Sociodemographic &gt; ConneXions Lifestage &gt; M3 Offline Seniors</t>
  </si>
  <si>
    <t>US &gt; Brand Propensities &gt; Apparel &gt; JCPenney Buyer Propensity</t>
  </si>
  <si>
    <t>US &gt; Reach &gt; Propensity Models &gt; Hobbies and Interest &gt; Sports &gt; Plays Soccer</t>
  </si>
  <si>
    <t>Mobile - US &gt; Sports &gt; Water Sports &gt; Boating</t>
  </si>
  <si>
    <t>Mobile - US &gt; Travel &gt; Activity &gt; Ski Travelers</t>
  </si>
  <si>
    <t>US &gt; Sociodemographic &gt; P$YCLE Premier Lifestage &gt; M3 Upscale Empty Nests</t>
  </si>
  <si>
    <t>US Demographic &gt; Preferred Language &gt; Individual &gt; Non-Hispanic</t>
  </si>
  <si>
    <t>Mobile - US &gt; Sports &gt; UFC Fans</t>
  </si>
  <si>
    <t>US &gt; Brand Propensities &gt; Home and Household Goods &gt; Pottery Barn Kids Buyer Propensity</t>
  </si>
  <si>
    <t>US &gt; Reach &gt; Propensity Models &gt; Hobbies and Interest &gt; Sports &gt; NBA Enthusiast</t>
  </si>
  <si>
    <t>Mobile - US &gt; Device Ownership &gt; Smartphones &gt; Vivo</t>
  </si>
  <si>
    <t>US &gt; Reach &gt; Propensity Models &gt; Finance &gt; Credit &gt; Debit Card &gt; Major Credit Card User</t>
  </si>
  <si>
    <t>US &gt; Reach &gt; Propensity Models &gt; Real Estate &gt; Mortgage Amount &gt; $120,000-$159,999</t>
  </si>
  <si>
    <t>US &gt; Reach &gt; Propensity Models &gt; Hobbies and Interest &gt; Music &gt; Streaming</t>
  </si>
  <si>
    <t>US &gt; B2B &gt; B2B Decision Maker Responsibilities &gt; Computer Software</t>
  </si>
  <si>
    <t>US &gt; Brand Propensities &gt; Health &gt; Beauty and Cosmetics &gt; ULTA Buyer Propensity</t>
  </si>
  <si>
    <t>US &gt; Home and Garden Interests &gt; House and Garden Merchandise Buyers</t>
  </si>
  <si>
    <t>US &gt; Brand Propensities &gt; Apparel &gt; Bare Necessities Buyer Propensity</t>
  </si>
  <si>
    <t>Mobile - US &gt; Travel &gt; Destination &gt; International Travelers &gt; yes</t>
  </si>
  <si>
    <t>US &gt; Brand Propensities &gt; Media and Entertainment &gt; Sony Network Entertainment International Buyer Propensity</t>
  </si>
  <si>
    <t>Online Behavior&gt;United States&gt;The Changing Consumer&gt;Data For Good &gt; Current Affairs - Social Justice</t>
  </si>
  <si>
    <t>US &gt; Reach &gt; Propensity Models &gt; Hobbies and Interest &gt; Sports &gt; PGA Tour Enthusiast</t>
  </si>
  <si>
    <t>US &gt; Sociodemographic &gt; ConneXions Lifestage &gt; M4 Elderly Traditionalists</t>
  </si>
  <si>
    <t>US &gt; Reach &gt; Propensity Models &gt; Hobbies and Interest &gt; Sports &gt; NASCAR Enthusiast</t>
  </si>
  <si>
    <t>Mobile - US &gt; Automotive &gt; Vehicle Ownership &gt; yes</t>
  </si>
  <si>
    <t>US &gt; Brand Propensities &gt; Media and Entertainment &gt; Steam Community Buyer Propensity</t>
  </si>
  <si>
    <t>US &gt; Brand Propensities &gt; Automotive &gt; Tirerack.com Buyer Propensity</t>
  </si>
  <si>
    <t>US &gt; Demographic &gt; Family &gt; Households with 3 Adults</t>
  </si>
  <si>
    <t>Mobile - US &gt; Food &gt; Restaurant &gt; Brand &gt; Moes Southwest Grill</t>
  </si>
  <si>
    <t>US Financial &gt; Likely In Market Timing &gt; Not At All Likely to Purchase &gt; Second House/Residence In The Next Year (Financial)</t>
  </si>
  <si>
    <t>US &gt; Reach &gt; Propensity Models &gt; Hobbies and Interest &gt; Sports &gt; NFL Enthusiast</t>
  </si>
  <si>
    <t>Mobile - US &gt; Device Ownership &gt; Tablets &gt; yes</t>
  </si>
  <si>
    <t>US &gt; Health and Wellbeing &gt; Health and Wellbeing</t>
  </si>
  <si>
    <t>US &gt; Brand Propensities &gt; Telecom and Service Providers &gt; Page Plus Cellular Buyer Propensity</t>
  </si>
  <si>
    <t>US &gt; Reach &gt; Propensity Models &gt; Hobbies and Interest &gt; Music &gt; Listens to Pop Music</t>
  </si>
  <si>
    <t>US &gt; Reach &gt; Propensity Models &gt; Household Consumer Expenditures &gt; Furniture</t>
  </si>
  <si>
    <t>US &gt; Reach &gt; Propensity Models &gt; Hobbies and Interest &gt; Music &gt; Listens to Country Music</t>
  </si>
  <si>
    <t>US &gt; Interest Propensities &gt; Celebrities &gt; Celebrity Fan Gossip</t>
  </si>
  <si>
    <t>US &gt; Interest Propensities &gt; Insurance &gt; Humana</t>
  </si>
  <si>
    <t>US &gt; Interest Propensities &gt; Activities and Interests &gt; B2B Job Search</t>
  </si>
  <si>
    <t>US &gt; Demo &gt; Age &gt; 65+</t>
  </si>
  <si>
    <t>US &gt; Sociodemographic &gt; P$YCLE Premier Lifestage &gt; Y3 Fiscal Fledglings</t>
  </si>
  <si>
    <t>US &gt; Brand Propensities &gt; Electronics &gt; RadioShack Buyer Propensity</t>
  </si>
  <si>
    <t>US &gt; Interest Propensities &gt; Activities and Interests &gt; College Life</t>
  </si>
  <si>
    <t>US &gt; Reach &gt; Propensity Models &gt; Hobbies and Interest &gt; Pets &gt; Pet Enthusiast</t>
  </si>
  <si>
    <t>US &gt; Financially in Charge &gt; Performance Score: Top 25%</t>
  </si>
  <si>
    <t>US Financial &gt; Likely Bank Account and Services &gt; Saving Account &gt; Personal or Join (Financial)</t>
  </si>
  <si>
    <t>US &gt; Brand Propensities &gt; Kids Products &gt; Disney Buyer Propensity</t>
  </si>
  <si>
    <t>US &gt; Interest Propensities &gt; Activities and Interests &gt; National News</t>
  </si>
  <si>
    <t>US &gt; Interest Propensities &gt; TV and Movies &gt; Reality &gt; Game Shows</t>
  </si>
  <si>
    <t>US &gt; Reach &gt; Propensity Models &gt; Luxury Store Shoppers</t>
  </si>
  <si>
    <t>US &gt; Reach &gt; Propensity Models &gt; Travel &gt; High Frequency Travel &gt; Foreign Vacationer</t>
  </si>
  <si>
    <t>US Interest &gt; Computers</t>
  </si>
  <si>
    <t>US &gt; Brand Propensities &gt; Health &gt; Beauty and Cosmetics &gt; Beachbody Buyer Propensity</t>
  </si>
  <si>
    <t>US &gt; Interest Propensities &gt; Insurance &gt; New York Life</t>
  </si>
  <si>
    <t>Mobile - US &gt; Demographics &gt; Finance &gt; Rent Value &gt; Highest Rent Value</t>
  </si>
  <si>
    <t>US &gt; AUTO &gt; Primary Vehicle &gt; Owned or Leased &gt; Company Car</t>
  </si>
  <si>
    <t>US &gt; Reach &gt; Propensity Models &gt; Online &gt; Home Office</t>
  </si>
  <si>
    <t>US &gt; Brand Propensities &gt; Apparel &gt; TOMS Buyer Propensity</t>
  </si>
  <si>
    <t>Mobile - US &gt; Financial Services &gt; Digital Payments &gt; Chase Pay</t>
  </si>
  <si>
    <t>Mobile - US &gt; Demographics &gt; Finance &gt; Rent Value &gt; Lowest Rent Value</t>
  </si>
  <si>
    <t>US &gt; Brand Propensities &gt; Big Box Dollar Tree Buyer Propensity</t>
  </si>
  <si>
    <t>Mobile - US &gt; Food &gt; Restaurant &gt; Brand &gt; Chilis</t>
  </si>
  <si>
    <t>US &gt; Brand Propensities &gt; Food and Drug &gt; Postmates Buyer Propensity</t>
  </si>
  <si>
    <t>US &gt; Reach &gt; Propensity Models &gt; Hobbies and Interest &gt; Cultural Arts</t>
  </si>
  <si>
    <t>US &gt; B2B &gt; B2B Decision Maker Responsibilities &gt; Internet Services</t>
  </si>
  <si>
    <t>Mobile - US &gt; Device Ownership &gt; Smartphones &gt; iOS (Apple) &gt; yes</t>
  </si>
  <si>
    <t>US &gt; B2B &gt; Purchase DM &gt; Technology Services, Hardware and &gt; or Software &gt; I am the sole decision maker</t>
  </si>
  <si>
    <t>US &gt; Reach &gt; Propensity Models &gt; Hobbies and Interest &gt; Food and Drinks &gt; Eats at Family Restaurants</t>
  </si>
  <si>
    <t>US &gt; Reach &gt; Propensity Models &gt; Hobbies and Interest &gt; Sports &gt; Hunting Enthusiasts</t>
  </si>
  <si>
    <t>US &gt; Reach &gt; Propensity Models &gt; Lifestyle &gt; Healthy Living</t>
  </si>
  <si>
    <t>US &gt; Reach &gt; Propensity Models &gt; Hobbies and Interest &gt; Sports &gt; NHL Enthusiast</t>
  </si>
  <si>
    <t>US &gt; Reach &gt; Propensity Models &gt; Hobbies and Interest &gt; Sports &gt; Fishing</t>
  </si>
  <si>
    <t>US &gt; Interest Propensities &gt; Food and Drink &gt; American Cuisine</t>
  </si>
  <si>
    <t>US &gt; Reach &gt; Propensity Models &gt; Finance &gt; Credit &gt; Debit Card &gt; Store Credit Card User</t>
  </si>
  <si>
    <t>US &gt; Brand Propensities &gt; Apparel &gt; Shoebuy.com Buyer Propensity</t>
  </si>
  <si>
    <t>US &gt; Interest Propensities &gt; TV and Movies &gt; Network TV</t>
  </si>
  <si>
    <t>US &gt; Sociodemographic &gt; P$YCLE Premier Lifestage &gt; F4 Working-Class USA</t>
  </si>
  <si>
    <t>US &gt; B2B &gt; B2B Decision Maker Responsibilities &gt; Office Services or Moving</t>
  </si>
  <si>
    <t>US Home &gt; Property Type &gt; Single</t>
  </si>
  <si>
    <t>US Health and Fitness &gt; Interest &gt; Exercise &gt; Health</t>
  </si>
  <si>
    <t>US &gt; Multibuyer Behaviors &gt; Entertainment &gt; Pastimes Multibuyer</t>
  </si>
  <si>
    <t>US &gt; Sociodemographic &gt; PRIZM Premier Social &gt; C2 City Centers</t>
  </si>
  <si>
    <t>US &gt; Reach &gt; Propensity Models &gt; Hobbies and Interest &gt; Sports &gt; Plays Tennis</t>
  </si>
  <si>
    <t>US &gt; Reach &gt; Propensity Models &gt; Young Adult Clothing Shoppers</t>
  </si>
  <si>
    <t>US &gt; Reach &gt; Propensity Models &gt; Online &gt; Electronics and Gadgets</t>
  </si>
  <si>
    <t>US &gt; Interest Propensities &gt; Music &gt; Classic Rock</t>
  </si>
  <si>
    <t>US Travel &gt; Likely Business Travel &gt; Number of Nights Stayed &gt; 0 Nights</t>
  </si>
  <si>
    <t>US &gt;Price-Driven Traditionalist Audience</t>
  </si>
  <si>
    <t>US &gt; Sociodemographic &gt; ConneXions Lifestage &gt; Y2 Emerging Techies</t>
  </si>
  <si>
    <t>US &gt; Automotive &gt; Auto Loyalists and Defectors &gt; Auto Make Defectors</t>
  </si>
  <si>
    <t>US &gt; Brand Propensities &gt; Electronics &gt; Crutchfield Buyer Propensity</t>
  </si>
  <si>
    <t>US Financial &gt; Likely In Market Timing &gt; Not At All Likely to Purchase &gt; First Home/Residence In The Next Year (Financial)</t>
  </si>
  <si>
    <t>US &gt; B2B &gt; B2B Decision Maker Responsibilities &gt; Security Services</t>
  </si>
  <si>
    <t>US Financial &gt; Likely Credit Card &gt; Behavior &gt; Used for Personal Purposes</t>
  </si>
  <si>
    <t>US &gt; Demographic &gt; Family &gt; Male Head of Household</t>
  </si>
  <si>
    <t>US &gt; Reach &gt; Propensity Models &gt; Lifestyle &gt; Charities &gt; Contributes by Volunteering</t>
  </si>
  <si>
    <t>Online Behavior&gt;United States&gt;Autos and Vehicles &gt; Brands&gt;Lexus</t>
  </si>
  <si>
    <t>US &gt; B2B &gt; B2B Decision Maker Responsibilities &gt; Television providers &gt; services</t>
  </si>
  <si>
    <t>US &gt; B2B &gt; Purchase DM &gt; Technology Services, Hardware and &gt; or Software &gt; I make the final decision with input from staff &gt; management</t>
  </si>
  <si>
    <t>US &gt; Reach &gt; Propensity Models &gt; Hobbies and Interest &gt; Sports &gt; Canoeing &gt; Kayaking</t>
  </si>
  <si>
    <t>Mobile - US &gt; Automotive &gt; Repair &amp; Oil Change &gt; Intend</t>
  </si>
  <si>
    <t>US &gt; Home Renovation &gt; Home Renovators</t>
  </si>
  <si>
    <t>US &gt; Brand Propensities &gt; Apparel &gt; Lady Foot Locker Buyer Propensity</t>
  </si>
  <si>
    <t>US &gt; Demographic &gt; Household Income $50k+</t>
  </si>
  <si>
    <t>Mobile - US &gt; Food &gt; Restaurant &gt; Brand &gt; Red Lobster</t>
  </si>
  <si>
    <t>US &gt; B2B &gt; B2B Decision Maker Responsibilities &gt; Print, Copy or Photo Services</t>
  </si>
  <si>
    <t>Mobile - US &gt; Gamers &gt; Online &gt; Users</t>
  </si>
  <si>
    <t>US &gt; Interest Propensities &gt; Activities and Interests &gt; Buying and Selling Homes &gt; Real Estate</t>
  </si>
  <si>
    <t>OnAudience &gt; Interest &gt; Shopping &gt; Luxurious Brands</t>
  </si>
  <si>
    <t>Media Source &gt; LBDigital &gt; Open For Business B2B</t>
  </si>
  <si>
    <t>US Buying Channel Preference &gt; Online</t>
  </si>
  <si>
    <t>US &gt;Made In America Audience</t>
  </si>
  <si>
    <t>Mobile - US &gt; Automotive &gt; Vehicle Ownership &gt; Brand &gt; BMW</t>
  </si>
  <si>
    <t>Mobile - US &gt; Food &gt; Restaurant &gt; Brand &gt; Krispy Kreme</t>
  </si>
  <si>
    <t>Online Behavior&gt;United States&gt;Arts and Entertainment&gt;Events and Listings &gt; Concerts and Music Festivals</t>
  </si>
  <si>
    <t>US &gt; Sociodemographic &gt; PRIZM Premier Lifestage &gt; F2 Young Accumulators</t>
  </si>
  <si>
    <t>US &gt; Brand Propensities &gt; Travel &gt; MGM Resorts International Buyer Propensity</t>
  </si>
  <si>
    <t>Online Behavior&gt;United States&gt;Intent &gt; Shopping&gt;CPG� Home Care</t>
  </si>
  <si>
    <t>Online Behavior&gt;United States&gt;Intent &gt; Shopping&gt;CPG� Cosmetics</t>
  </si>
  <si>
    <t>US &gt; Reach &gt; Propensity Models &gt; Hobbies and Interest &gt; Sports &gt; Boating</t>
  </si>
  <si>
    <t>US &gt; Financially in Charge &gt; Performance Score: Top 50%</t>
  </si>
  <si>
    <t>US &gt; Reach &gt; Propensity Models &gt; Online &gt; Pets</t>
  </si>
  <si>
    <t>US &gt; Interest Propensities &gt; Insurance &gt; Lincoln Heritage</t>
  </si>
  <si>
    <t>US Demographic &gt; Age &gt; Specialty Age Range &gt; 21+</t>
  </si>
  <si>
    <t>US &gt; Brand Propensities &gt; Big Box Dollar General Buyer Propensity</t>
  </si>
  <si>
    <t>Mobile Audience &gt; Lifestyle &gt; Arts Enthusiasts</t>
  </si>
  <si>
    <t>US &gt; Interest Propensities &gt; Music &gt; Hip Hop and Rap</t>
  </si>
  <si>
    <t>US &gt; Sociodemographic &gt; ConneXions Lifestage &gt; F2 Suburban Spenders</t>
  </si>
  <si>
    <t>US Financial &gt; Likely Attitude and Behavior &gt; Completely Disagree &gt; When I Find A Financial Product/Service I Like I Typically Recommend It To People I Know (Financial)</t>
  </si>
  <si>
    <t>US &gt; Entertainment and Pastimes &gt; Entertainment and Pastimes</t>
  </si>
  <si>
    <t>US &gt; AUTO &gt; Auto Car Purchase Next Year &gt; Yes</t>
  </si>
  <si>
    <t>US Financial &gt; Method of Payment &gt; Other</t>
  </si>
  <si>
    <t>US &gt;Quality-First Shopper Audience</t>
  </si>
  <si>
    <t>US Demographic &gt; Preferred Language &gt; Non-Hispanic</t>
  </si>
  <si>
    <t>Mobile - US &gt; Sports &gt; Basketball &gt; NCAA College Basketball</t>
  </si>
  <si>
    <t>US &gt; Interest Propensities &gt; Activities and Interests &gt; Ecommerce</t>
  </si>
  <si>
    <t>Media and Entertainment &gt; Movies &gt; Enthusiasts</t>
  </si>
  <si>
    <t>US &gt; Reach &gt; Propensity Models &gt; Hobbies and Interest &gt; Books &gt; E-Book Reader</t>
  </si>
  <si>
    <t>US &gt; AUTO &gt; Decision Maker for Auto Purchase &gt; I was the sole decision-maker</t>
  </si>
  <si>
    <t>US &gt; B2B &gt; B2B Decision Maker Responsibilities &gt; Purchasing Vehicles or Automobile Services</t>
  </si>
  <si>
    <t>Mobile - US &gt; Demographics &gt; Education &gt; High Education Achievement</t>
  </si>
  <si>
    <t>US &gt; Interest Propensities &gt; TV and Movies &gt; Drama</t>
  </si>
  <si>
    <t>US &gt; Interest Propensities &gt; Insurance &gt; Transamerica</t>
  </si>
  <si>
    <t>US &gt; Brand Propensities &gt; Apparel &gt; The Men's Wearhouse Buyer Propensity</t>
  </si>
  <si>
    <t>US &gt; Brand Propensities &gt; Restaurants and Dining &gt; Seamless Buyer Propensity</t>
  </si>
  <si>
    <t>Mobile - US &gt; Sports &gt; Motor Sports &gt; NASCAR</t>
  </si>
  <si>
    <t>US &gt; Reach &gt; Propensity Models &gt; Hobbies and Interest &gt; Food and Drinks &gt; Coffee Connoisseurs</t>
  </si>
  <si>
    <t>US &gt; Demographic &gt; Family &gt; Households with 2 Adults</t>
  </si>
  <si>
    <t>US &gt; Interest Propensities &gt; Brands &gt; Big Box Retail</t>
  </si>
  <si>
    <t>US &gt; Brand Propensities &gt; Media and Entertainment &gt; pokerstars.net Buyer Propensity</t>
  </si>
  <si>
    <t>US &gt; Multibuyer Behaviors &gt; Club &gt; Continuity Buyers</t>
  </si>
  <si>
    <t>US &gt; Reach &gt; Sociodemographic &gt; Household Income &gt; $50,000-$74,999</t>
  </si>
  <si>
    <t>US &gt; Brand Propensities &gt; Automotive &gt; Ford Credit Buyer Propensity</t>
  </si>
  <si>
    <t>US Technology &gt; Social Media &gt; Likely Behavior &gt; Heavy Facebook User</t>
  </si>
  <si>
    <t>US &gt; B2B &gt; B2B Decision Maker Responsibilities &gt; Real Estate Services</t>
  </si>
  <si>
    <t>CPM</t>
  </si>
  <si>
    <t>vCPM</t>
  </si>
  <si>
    <t>CVR</t>
  </si>
  <si>
    <t>CPC</t>
  </si>
  <si>
    <t>Values</t>
  </si>
  <si>
    <t>Grand Total</t>
  </si>
  <si>
    <t>COUNTA of Creative Size</t>
  </si>
  <si>
    <t>AVERAGE of CPA</t>
  </si>
  <si>
    <t>AVERAGE of CPC</t>
  </si>
  <si>
    <t>AVERAGE of CVR</t>
  </si>
  <si>
    <t>AVERAGE of CPM</t>
  </si>
  <si>
    <t>AVERAGE of CTR</t>
  </si>
  <si>
    <t>Insights</t>
  </si>
  <si>
    <t>COUNTA of Location</t>
  </si>
  <si>
    <t>State</t>
  </si>
  <si>
    <t>Count</t>
  </si>
  <si>
    <t>Alabama</t>
  </si>
  <si>
    <t>Arkansas</t>
  </si>
  <si>
    <t>California</t>
  </si>
  <si>
    <t>Florida</t>
  </si>
  <si>
    <t>Georgia</t>
  </si>
  <si>
    <t>Illinois</t>
  </si>
  <si>
    <t>Indiana</t>
  </si>
  <si>
    <t>Kentucky</t>
  </si>
  <si>
    <t>Louisiana</t>
  </si>
  <si>
    <t>Michigan</t>
  </si>
  <si>
    <t xml:space="preserve">Mississippi </t>
  </si>
  <si>
    <t>New York</t>
  </si>
  <si>
    <t>Ohio</t>
  </si>
  <si>
    <t>South Carolina</t>
  </si>
  <si>
    <t>Tennessee</t>
  </si>
  <si>
    <t>Tennessee-Virginia</t>
  </si>
  <si>
    <t>COUNTA of Creative Messaging</t>
  </si>
  <si>
    <t>Audience Segment Type</t>
  </si>
  <si>
    <t>Audience Segment Location</t>
  </si>
  <si>
    <t>Audience Affinity Group</t>
  </si>
  <si>
    <t>Market Categories</t>
  </si>
  <si>
    <t>Market Subcategories</t>
  </si>
  <si>
    <t>Gender</t>
  </si>
  <si>
    <t>Age Group</t>
  </si>
  <si>
    <t xml:space="preserve">CPA </t>
  </si>
  <si>
    <t>Online Behavior</t>
  </si>
  <si>
    <t>United States</t>
  </si>
  <si>
    <t xml:space="preserve">Validated Demographic </t>
  </si>
  <si>
    <t xml:space="preserve"> Gender and Age Combined</t>
  </si>
  <si>
    <t>Females 65 or older</t>
  </si>
  <si>
    <t>Females</t>
  </si>
  <si>
    <t>65 or older</t>
  </si>
  <si>
    <t>Females 18-44</t>
  </si>
  <si>
    <t>18-44</t>
  </si>
  <si>
    <t xml:space="preserve"> Age</t>
  </si>
  <si>
    <t>25-54</t>
  </si>
  <si>
    <t>N/A</t>
  </si>
  <si>
    <t>25-34</t>
  </si>
  <si>
    <t>Females 25-64</t>
  </si>
  <si>
    <t>25-64</t>
  </si>
  <si>
    <t xml:space="preserve"> Gender</t>
  </si>
  <si>
    <t>Males</t>
  </si>
  <si>
    <t>Females 18-54</t>
  </si>
  <si>
    <t>18-54</t>
  </si>
  <si>
    <t>Validated Demographic</t>
  </si>
  <si>
    <t>Age</t>
  </si>
  <si>
    <t>55-64</t>
  </si>
  <si>
    <t>Females 55-64</t>
  </si>
  <si>
    <t>18 or older</t>
  </si>
  <si>
    <t>Females 45-54</t>
  </si>
  <si>
    <t>45-54</t>
  </si>
  <si>
    <t>Females 25-44</t>
  </si>
  <si>
    <t>25-44</t>
  </si>
  <si>
    <t>Females 18-64</t>
  </si>
  <si>
    <t>18-64</t>
  </si>
  <si>
    <t>Gender and Age Combined</t>
  </si>
  <si>
    <t>Females 25 or older</t>
  </si>
  <si>
    <t>25 or older</t>
  </si>
  <si>
    <t>Females 35-44</t>
  </si>
  <si>
    <t>35-44</t>
  </si>
  <si>
    <t>Females 25-34</t>
  </si>
  <si>
    <t>Males 25-44</t>
  </si>
  <si>
    <t>Males 55-64</t>
  </si>
  <si>
    <t>Males 25-64</t>
  </si>
  <si>
    <t>Males 25 or older</t>
  </si>
  <si>
    <t>Males 18-34</t>
  </si>
  <si>
    <t>18-34</t>
  </si>
  <si>
    <t>Males 18-54</t>
  </si>
  <si>
    <t>Males 18-44</t>
  </si>
  <si>
    <t>Males 25-54</t>
  </si>
  <si>
    <t>Males 18-64</t>
  </si>
  <si>
    <t>Averages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</si>
</sst>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quot;$&quot;#,##0"/>
  </numFmts>
  <fonts count="10">
    <font>
      <sz val="10.0"/>
      <color rgb="FF000000"/>
      <name val="Arial"/>
      <scheme val="minor"/>
    </font>
    <font>
      <b/>
      <color rgb="FFFFFFFF"/>
      <name val="Arial"/>
      <scheme val="minor"/>
    </font>
    <font>
      <color theme="1"/>
      <name val="Arial"/>
      <scheme val="minor"/>
    </font>
    <font>
      <u/>
      <color rgb="FF0000FF"/>
    </font>
    <font>
      <u/>
      <color rgb="FF0000FF"/>
    </font>
    <font>
      <u/>
      <color rgb="FF0000FF"/>
    </font>
    <font>
      <sz val="12.0"/>
      <color rgb="FF0F1114"/>
      <name val="Unset"/>
    </font>
    <font>
      <color rgb="FFFFFFFF"/>
      <name val="Arial"/>
      <scheme val="minor"/>
    </font>
    <font>
      <color theme="1"/>
      <name val="Arial"/>
    </font>
    <font>
      <b/>
      <color rgb="FFFFFFFF"/>
      <name val="Arial"/>
    </font>
  </fonts>
  <fills count="87">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EFEFEF"/>
        <bgColor rgb="FFEFEFEF"/>
      </patternFill>
    </fill>
    <fill>
      <patternFill patternType="solid">
        <fgColor rgb="FF00FF00"/>
        <bgColor rgb="FF00FF00"/>
      </patternFill>
    </fill>
    <fill>
      <patternFill patternType="solid">
        <fgColor rgb="FFCCCCCC"/>
        <bgColor rgb="FFCCCCCC"/>
      </patternFill>
    </fill>
    <fill>
      <patternFill patternType="solid">
        <fgColor rgb="FF57BB8A"/>
        <bgColor rgb="FF57BB8A"/>
      </patternFill>
    </fill>
    <fill>
      <patternFill patternType="solid">
        <fgColor rgb="FFFAD667"/>
        <bgColor rgb="FFFAD667"/>
      </patternFill>
    </fill>
    <fill>
      <patternFill patternType="solid">
        <fgColor rgb="FF83C281"/>
        <bgColor rgb="FF83C281"/>
      </patternFill>
    </fill>
    <fill>
      <patternFill patternType="solid">
        <fgColor rgb="FF6FBE85"/>
        <bgColor rgb="FF6FBE85"/>
      </patternFill>
    </fill>
    <fill>
      <patternFill patternType="solid">
        <fgColor rgb="FFE67C73"/>
        <bgColor rgb="FFE67C73"/>
      </patternFill>
    </fill>
    <fill>
      <patternFill patternType="solid">
        <fgColor rgb="FF58BB8A"/>
        <bgColor rgb="FF58BB8A"/>
      </patternFill>
    </fill>
    <fill>
      <patternFill patternType="solid">
        <fgColor rgb="FFFFD666"/>
        <bgColor rgb="FFFFD666"/>
      </patternFill>
    </fill>
    <fill>
      <patternFill patternType="solid">
        <fgColor rgb="FF80C182"/>
        <bgColor rgb="FF80C182"/>
      </patternFill>
    </fill>
    <fill>
      <patternFill patternType="solid">
        <fgColor rgb="FF72BF85"/>
        <bgColor rgb="FF72BF85"/>
      </patternFill>
    </fill>
    <fill>
      <patternFill patternType="solid">
        <fgColor rgb="FFEE996F"/>
        <bgColor rgb="FFEE996F"/>
      </patternFill>
    </fill>
    <fill>
      <patternFill patternType="solid">
        <fgColor rgb="FF6ABE86"/>
        <bgColor rgb="FF6ABE86"/>
      </patternFill>
    </fill>
    <fill>
      <patternFill patternType="solid">
        <fgColor rgb="FFBECC74"/>
        <bgColor rgb="FFBECC74"/>
      </patternFill>
    </fill>
    <fill>
      <patternFill patternType="solid">
        <fgColor rgb="FFD7CF6F"/>
        <bgColor rgb="FFD7CF6F"/>
      </patternFill>
    </fill>
    <fill>
      <patternFill patternType="solid">
        <fgColor rgb="FFE6D26C"/>
        <bgColor rgb="FFE6D26C"/>
      </patternFill>
    </fill>
    <fill>
      <patternFill patternType="solid">
        <fgColor rgb="FFE6D26B"/>
        <bgColor rgb="FFE6D26B"/>
      </patternFill>
    </fill>
    <fill>
      <patternFill patternType="solid">
        <fgColor rgb="FF96C57D"/>
        <bgColor rgb="FF96C57D"/>
      </patternFill>
    </fill>
    <fill>
      <patternFill patternType="solid">
        <fgColor rgb="FFDBD16D"/>
        <bgColor rgb="FFDBD16D"/>
      </patternFill>
    </fill>
    <fill>
      <patternFill patternType="solid">
        <fgColor rgb="FFF3D469"/>
        <bgColor rgb="FFF3D469"/>
      </patternFill>
    </fill>
    <fill>
      <patternFill patternType="solid">
        <fgColor rgb="FFFDD567"/>
        <bgColor rgb="FFFDD567"/>
      </patternFill>
    </fill>
    <fill>
      <patternFill patternType="solid">
        <fgColor rgb="FFEAD36A"/>
        <bgColor rgb="FFEAD36A"/>
      </patternFill>
    </fill>
    <fill>
      <patternFill patternType="solid">
        <fgColor rgb="FFA9C879"/>
        <bgColor rgb="FFA9C879"/>
      </patternFill>
    </fill>
    <fill>
      <patternFill patternType="solid">
        <fgColor rgb="FFE88572"/>
        <bgColor rgb="FFE88572"/>
      </patternFill>
    </fill>
    <fill>
      <patternFill patternType="solid">
        <fgColor rgb="FFF1A56E"/>
        <bgColor rgb="FFF1A56E"/>
      </patternFill>
    </fill>
    <fill>
      <patternFill patternType="solid">
        <fgColor rgb="FFCECE71"/>
        <bgColor rgb="FFCECE71"/>
      </patternFill>
    </fill>
    <fill>
      <patternFill patternType="solid">
        <fgColor rgb="FFB0CA77"/>
        <bgColor rgb="FFB0CA77"/>
      </patternFill>
    </fill>
    <fill>
      <patternFill patternType="solid">
        <fgColor rgb="FFFBC668"/>
        <bgColor rgb="FFFBC668"/>
      </patternFill>
    </fill>
    <fill>
      <patternFill patternType="solid">
        <fgColor rgb="FFFCCC67"/>
        <bgColor rgb="FFFCCC67"/>
      </patternFill>
    </fill>
    <fill>
      <patternFill patternType="solid">
        <fgColor rgb="FFFDD666"/>
        <bgColor rgb="FFFDD666"/>
      </patternFill>
    </fill>
    <fill>
      <patternFill patternType="solid">
        <fgColor rgb="FFCFCE71"/>
        <bgColor rgb="FFCFCE71"/>
      </patternFill>
    </fill>
    <fill>
      <patternFill patternType="solid">
        <fgColor rgb="FFFCD666"/>
        <bgColor rgb="FFFCD666"/>
      </patternFill>
    </fill>
    <fill>
      <patternFill patternType="solid">
        <fgColor rgb="FFF2D369"/>
        <bgColor rgb="FFF2D369"/>
      </patternFill>
    </fill>
    <fill>
      <patternFill patternType="solid">
        <fgColor rgb="FFE8D36A"/>
        <bgColor rgb="FFE8D36A"/>
      </patternFill>
    </fill>
    <fill>
      <patternFill patternType="solid">
        <fgColor rgb="FFD0CE70"/>
        <bgColor rgb="FFD0CE70"/>
      </patternFill>
    </fill>
    <fill>
      <patternFill patternType="solid">
        <fgColor rgb="FFF7D567"/>
        <bgColor rgb="FFF7D567"/>
      </patternFill>
    </fill>
    <fill>
      <patternFill patternType="solid">
        <fgColor rgb="FFE7D26C"/>
        <bgColor rgb="FFE7D26C"/>
      </patternFill>
    </fill>
    <fill>
      <patternFill patternType="solid">
        <fgColor rgb="FFFED467"/>
        <bgColor rgb="FFFED467"/>
      </patternFill>
    </fill>
    <fill>
      <patternFill patternType="solid">
        <fgColor rgb="FFDBD06E"/>
        <bgColor rgb="FFDBD06E"/>
      </patternFill>
    </fill>
    <fill>
      <patternFill patternType="solid">
        <fgColor rgb="FFF0D36A"/>
        <bgColor rgb="FFF0D36A"/>
      </patternFill>
    </fill>
    <fill>
      <patternFill patternType="solid">
        <fgColor rgb="FFFFD566"/>
        <bgColor rgb="FFFFD566"/>
      </patternFill>
    </fill>
    <fill>
      <patternFill patternType="solid">
        <fgColor rgb="FFDAD06E"/>
        <bgColor rgb="FFDAD06E"/>
      </patternFill>
    </fill>
    <fill>
      <patternFill patternType="solid">
        <fgColor rgb="FFFAD567"/>
        <bgColor rgb="FFFAD567"/>
      </patternFill>
    </fill>
    <fill>
      <patternFill patternType="solid">
        <fgColor rgb="FFF2D468"/>
        <bgColor rgb="FFF2D468"/>
      </patternFill>
    </fill>
    <fill>
      <patternFill patternType="solid">
        <fgColor rgb="FFFED166"/>
        <bgColor rgb="FFFED166"/>
      </patternFill>
    </fill>
    <fill>
      <patternFill patternType="solid">
        <fgColor rgb="FFE5D16C"/>
        <bgColor rgb="FFE5D16C"/>
      </patternFill>
    </fill>
    <fill>
      <patternFill patternType="solid">
        <fgColor rgb="FFEA8A71"/>
        <bgColor rgb="FFEA8A71"/>
      </patternFill>
    </fill>
    <fill>
      <patternFill patternType="solid">
        <fgColor rgb="FFEA8B71"/>
        <bgColor rgb="FFEA8B71"/>
      </patternFill>
    </fill>
    <fill>
      <patternFill patternType="solid">
        <fgColor rgb="FF6EBE85"/>
        <bgColor rgb="FF6EBE85"/>
      </patternFill>
    </fill>
    <fill>
      <patternFill patternType="solid">
        <fgColor rgb="FF67BD87"/>
        <bgColor rgb="FF67BD87"/>
      </patternFill>
    </fill>
    <fill>
      <patternFill patternType="solid">
        <fgColor rgb="FFF2A76D"/>
        <bgColor rgb="FFF2A76D"/>
      </patternFill>
    </fill>
    <fill>
      <patternFill patternType="solid">
        <fgColor rgb="FFE78173"/>
        <bgColor rgb="FFE78173"/>
      </patternFill>
    </fill>
    <fill>
      <patternFill patternType="solid">
        <fgColor rgb="FFF4AF6C"/>
        <bgColor rgb="FFF4AF6C"/>
      </patternFill>
    </fill>
    <fill>
      <patternFill patternType="solid">
        <fgColor rgb="FF77C183"/>
        <bgColor rgb="FF77C183"/>
      </patternFill>
    </fill>
    <fill>
      <patternFill patternType="solid">
        <fgColor rgb="FFF3AB6C"/>
        <bgColor rgb="FFF3AB6C"/>
      </patternFill>
    </fill>
    <fill>
      <patternFill patternType="solid">
        <fgColor rgb="FFEE976F"/>
        <bgColor rgb="FFEE976F"/>
      </patternFill>
    </fill>
    <fill>
      <patternFill patternType="solid">
        <fgColor rgb="FFBACB74"/>
        <bgColor rgb="FFBACB74"/>
      </patternFill>
    </fill>
    <fill>
      <patternFill patternType="solid">
        <fgColor rgb="FFFDCF67"/>
        <bgColor rgb="FFFDCF67"/>
      </patternFill>
    </fill>
    <fill>
      <patternFill patternType="solid">
        <fgColor rgb="FFE98872"/>
        <bgColor rgb="FFE98872"/>
      </patternFill>
    </fill>
    <fill>
      <patternFill patternType="solid">
        <fgColor rgb="FF7EC182"/>
        <bgColor rgb="FF7EC182"/>
      </patternFill>
    </fill>
    <fill>
      <patternFill patternType="solid">
        <fgColor rgb="FFFBC568"/>
        <bgColor rgb="FFFBC568"/>
      </patternFill>
    </fill>
    <fill>
      <patternFill patternType="solid">
        <fgColor rgb="FFC4CD72"/>
        <bgColor rgb="FFC4CD72"/>
      </patternFill>
    </fill>
    <fill>
      <patternFill patternType="solid">
        <fgColor rgb="FFE77D72"/>
        <bgColor rgb="FFE77D72"/>
      </patternFill>
    </fill>
    <fill>
      <patternFill patternType="solid">
        <fgColor rgb="FFEE996E"/>
        <bgColor rgb="FFEE996E"/>
      </patternFill>
    </fill>
    <fill>
      <patternFill patternType="solid">
        <fgColor rgb="FFF9C369"/>
        <bgColor rgb="FFF9C369"/>
      </patternFill>
    </fill>
    <fill>
      <patternFill patternType="solid">
        <fgColor rgb="FFC9CE71"/>
        <bgColor rgb="FFC9CE71"/>
      </patternFill>
    </fill>
    <fill>
      <patternFill patternType="solid">
        <fgColor rgb="FFE88172"/>
        <bgColor rgb="FFE88172"/>
      </patternFill>
    </fill>
    <fill>
      <patternFill patternType="solid">
        <fgColor rgb="FFE98972"/>
        <bgColor rgb="FFE98972"/>
      </patternFill>
    </fill>
    <fill>
      <patternFill patternType="solid">
        <fgColor rgb="FFFAC268"/>
        <bgColor rgb="FFFAC268"/>
      </patternFill>
    </fill>
    <fill>
      <patternFill patternType="solid">
        <fgColor rgb="FFF2A96D"/>
        <bgColor rgb="FFF2A96D"/>
      </patternFill>
    </fill>
    <fill>
      <patternFill patternType="solid">
        <fgColor rgb="FFFBC868"/>
        <bgColor rgb="FFFBC868"/>
      </patternFill>
    </fill>
    <fill>
      <patternFill patternType="solid">
        <fgColor rgb="FFF7B66A"/>
        <bgColor rgb="FFF7B66A"/>
      </patternFill>
    </fill>
    <fill>
      <patternFill patternType="solid">
        <fgColor rgb="FFA1C77A"/>
        <bgColor rgb="FFA1C77A"/>
      </patternFill>
    </fill>
    <fill>
      <patternFill patternType="solid">
        <fgColor rgb="FFF3A86C"/>
        <bgColor rgb="FFF3A86C"/>
      </patternFill>
    </fill>
    <fill>
      <patternFill patternType="solid">
        <fgColor rgb="FFE98A71"/>
        <bgColor rgb="FFE98A71"/>
      </patternFill>
    </fill>
    <fill>
      <patternFill patternType="solid">
        <fgColor rgb="FFEB8C70"/>
        <bgColor rgb="FFEB8C70"/>
      </patternFill>
    </fill>
    <fill>
      <patternFill patternType="solid">
        <fgColor rgb="FFF1A16D"/>
        <bgColor rgb="FFF1A16D"/>
      </patternFill>
    </fill>
    <fill>
      <patternFill patternType="solid">
        <fgColor rgb="FFE77F72"/>
        <bgColor rgb="FFE77F72"/>
      </patternFill>
    </fill>
    <fill>
      <patternFill patternType="solid">
        <fgColor rgb="FFEF9C6F"/>
        <bgColor rgb="FFEF9C6F"/>
      </patternFill>
    </fill>
    <fill>
      <patternFill patternType="solid">
        <fgColor rgb="FFEF9A6E"/>
        <bgColor rgb="FFEF9A6E"/>
      </patternFill>
    </fill>
    <fill>
      <patternFill patternType="solid">
        <fgColor rgb="FFEE966F"/>
        <bgColor rgb="FFEE966F"/>
      </patternFill>
    </fill>
    <fill>
      <patternFill patternType="solid">
        <fgColor rgb="FFDED16D"/>
        <bgColor rgb="FFDED16D"/>
      </patternFill>
    </fill>
  </fills>
  <borders count="10">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xf>
    <xf borderId="0" fillId="2" fontId="1" numFmtId="0" xfId="0" applyFont="1"/>
    <xf borderId="0" fillId="0" fontId="2"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xf>
    <xf borderId="0" fillId="0" fontId="2" numFmtId="3" xfId="0" applyAlignment="1" applyFont="1" applyNumberFormat="1">
      <alignment readingOrder="0"/>
    </xf>
    <xf borderId="0" fillId="0" fontId="2" numFmtId="0" xfId="0" applyAlignment="1" applyFont="1">
      <alignment shrinkToFit="0" wrapText="1"/>
    </xf>
    <xf borderId="0" fillId="0" fontId="2" numFmtId="164" xfId="0" applyAlignment="1" applyFont="1" applyNumberFormat="1">
      <alignment readingOrder="0"/>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5" numFmtId="0" xfId="0" applyAlignment="1" applyFont="1">
      <alignment readingOrder="0"/>
    </xf>
    <xf borderId="0" fillId="3" fontId="2" numFmtId="0" xfId="0" applyAlignment="1" applyFill="1" applyFont="1">
      <alignment readingOrder="0" shrinkToFit="0" wrapText="1"/>
    </xf>
    <xf borderId="0" fillId="0" fontId="2" numFmtId="164" xfId="0" applyFont="1" applyNumberFormat="1"/>
    <xf borderId="0" fillId="0" fontId="2" numFmtId="10" xfId="0" applyFont="1" applyNumberFormat="1"/>
    <xf borderId="0" fillId="4" fontId="2" numFmtId="0" xfId="0" applyAlignment="1" applyFill="1" applyFont="1">
      <alignment readingOrder="0"/>
    </xf>
    <xf borderId="0" fillId="4" fontId="2" numFmtId="164" xfId="0" applyFont="1" applyNumberFormat="1"/>
    <xf borderId="0" fillId="4" fontId="2" numFmtId="10" xfId="0" applyFont="1" applyNumberFormat="1"/>
    <xf borderId="0" fillId="2" fontId="1" numFmtId="0" xfId="0" applyAlignment="1" applyFont="1">
      <alignment horizontal="center" readingOrder="0"/>
    </xf>
    <xf borderId="0" fillId="0" fontId="2" numFmtId="0" xfId="0" applyAlignment="1" applyFont="1">
      <alignment horizontal="center"/>
    </xf>
    <xf borderId="1" fillId="0" fontId="2" numFmtId="0" xfId="0" applyBorder="1" applyFont="1"/>
    <xf borderId="0" fillId="0" fontId="2" numFmtId="0" xfId="0" applyFont="1"/>
    <xf borderId="1" fillId="0" fontId="2" numFmtId="0" xfId="0" applyAlignment="1" applyBorder="1" applyFont="1">
      <alignment horizontal="center"/>
    </xf>
    <xf borderId="0" fillId="0" fontId="6" numFmtId="0" xfId="0" applyAlignment="1" applyFont="1">
      <alignment readingOrder="0"/>
    </xf>
    <xf borderId="2" fillId="0" fontId="2" numFmtId="0" xfId="0" applyBorder="1" applyFont="1"/>
    <xf borderId="3" fillId="0" fontId="2" numFmtId="0" xfId="0" applyBorder="1" applyFont="1"/>
    <xf borderId="4" fillId="0" fontId="2" numFmtId="0" xfId="0" applyBorder="1" applyFont="1"/>
    <xf borderId="1" fillId="0" fontId="2" numFmtId="0" xfId="0" applyAlignment="1" applyBorder="1" applyFont="1">
      <alignment readingOrder="0"/>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2" fontId="7" numFmtId="0" xfId="0" applyAlignment="1" applyFont="1">
      <alignment readingOrder="0" shrinkToFit="0" wrapText="1"/>
    </xf>
    <xf borderId="0" fillId="0" fontId="2" numFmtId="164" xfId="0" applyAlignment="1" applyFont="1" applyNumberFormat="1">
      <alignment readingOrder="0" shrinkToFit="0" wrapText="1"/>
    </xf>
    <xf borderId="0" fillId="5" fontId="2" numFmtId="164" xfId="0" applyAlignment="1" applyFill="1" applyFont="1" applyNumberFormat="1">
      <alignment shrinkToFit="0" wrapText="1"/>
    </xf>
    <xf borderId="0" fillId="0" fontId="2" numFmtId="10" xfId="0" applyAlignment="1" applyFont="1" applyNumberFormat="1">
      <alignment shrinkToFit="0" wrapText="1"/>
    </xf>
    <xf borderId="0" fillId="0" fontId="2" numFmtId="164" xfId="0" applyAlignment="1" applyFont="1" applyNumberFormat="1">
      <alignment shrinkToFit="0" wrapText="1"/>
    </xf>
    <xf borderId="0" fillId="0" fontId="8" numFmtId="0" xfId="0" applyAlignment="1" applyFont="1">
      <alignment shrinkToFit="0" vertical="bottom" wrapText="1"/>
    </xf>
    <xf borderId="0" fillId="5" fontId="2" numFmtId="10" xfId="0" applyAlignment="1" applyFont="1" applyNumberFormat="1">
      <alignment shrinkToFit="0" wrapText="1"/>
    </xf>
    <xf borderId="0" fillId="3" fontId="2" numFmtId="0" xfId="0" applyAlignment="1" applyFont="1">
      <alignment shrinkToFit="0" wrapText="1"/>
    </xf>
    <xf borderId="0" fillId="6" fontId="2" numFmtId="0" xfId="0" applyAlignment="1" applyFill="1" applyFont="1">
      <alignment shrinkToFit="0" wrapText="1"/>
    </xf>
    <xf borderId="0" fillId="6" fontId="2" numFmtId="0" xfId="0" applyAlignment="1" applyFont="1">
      <alignment readingOrder="0" shrinkToFit="0" wrapText="1"/>
    </xf>
    <xf borderId="0" fillId="6" fontId="2" numFmtId="164" xfId="0" applyAlignment="1" applyFont="1" applyNumberFormat="1">
      <alignment shrinkToFit="0" wrapText="1"/>
    </xf>
    <xf borderId="0" fillId="6" fontId="2" numFmtId="10" xfId="0" applyAlignment="1" applyFont="1" applyNumberFormat="1">
      <alignment shrinkToFit="0" wrapText="1"/>
    </xf>
    <xf borderId="0" fillId="3" fontId="0" numFmtId="165" xfId="0" applyAlignment="1" applyFont="1" applyNumberFormat="1">
      <alignment readingOrder="0"/>
    </xf>
    <xf borderId="0" fillId="3" fontId="0" numFmtId="0" xfId="0" applyAlignment="1" applyFont="1">
      <alignment readingOrder="0"/>
    </xf>
    <xf borderId="0" fillId="2" fontId="9" numFmtId="0" xfId="0" applyAlignment="1" applyFont="1">
      <alignment shrinkToFit="0" vertical="bottom" wrapText="1"/>
    </xf>
    <xf borderId="0" fillId="2" fontId="9" numFmtId="0" xfId="0" applyAlignment="1" applyFont="1">
      <alignment vertical="bottom"/>
    </xf>
    <xf borderId="0" fillId="2" fontId="8" numFmtId="0" xfId="0" applyAlignment="1" applyFont="1">
      <alignment vertical="bottom"/>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0" fontId="8" numFmtId="164" xfId="0" applyAlignment="1" applyFont="1" applyNumberFormat="1">
      <alignment horizontal="right" shrinkToFit="0" vertical="bottom" wrapText="1"/>
    </xf>
    <xf borderId="0" fillId="7" fontId="8" numFmtId="164" xfId="0" applyAlignment="1" applyFill="1" applyFont="1" applyNumberFormat="1">
      <alignment horizontal="right" shrinkToFit="0" vertical="bottom" wrapText="1"/>
    </xf>
    <xf borderId="0" fillId="8" fontId="8" numFmtId="10" xfId="0" applyAlignment="1" applyFill="1" applyFont="1" applyNumberFormat="1">
      <alignment horizontal="right" shrinkToFit="0" vertical="bottom" wrapText="1"/>
    </xf>
    <xf borderId="0" fillId="9" fontId="8" numFmtId="164" xfId="0" applyAlignment="1" applyFill="1" applyFont="1" applyNumberFormat="1">
      <alignment horizontal="right" shrinkToFit="0" vertical="bottom" wrapText="1"/>
    </xf>
    <xf borderId="0" fillId="10" fontId="8" numFmtId="164" xfId="0" applyAlignment="1" applyFill="1" applyFont="1" applyNumberFormat="1">
      <alignment horizontal="right" shrinkToFit="0" vertical="bottom" wrapText="1"/>
    </xf>
    <xf borderId="0" fillId="11" fontId="8" numFmtId="10" xfId="0" applyAlignment="1" applyFill="1" applyFont="1" applyNumberFormat="1">
      <alignment horizontal="right" shrinkToFit="0" vertical="bottom" wrapText="1"/>
    </xf>
    <xf borderId="0" fillId="0" fontId="8" numFmtId="0" xfId="0" applyAlignment="1" applyFont="1">
      <alignment vertical="bottom"/>
    </xf>
    <xf borderId="0" fillId="12" fontId="8" numFmtId="164" xfId="0" applyAlignment="1" applyFill="1" applyFont="1" applyNumberFormat="1">
      <alignment horizontal="right" shrinkToFit="0" vertical="bottom" wrapText="1"/>
    </xf>
    <xf borderId="0" fillId="13" fontId="8" numFmtId="10" xfId="0" applyAlignment="1" applyFill="1" applyFont="1" applyNumberFormat="1">
      <alignment horizontal="right" shrinkToFit="0" vertical="bottom" wrapText="1"/>
    </xf>
    <xf borderId="0" fillId="14" fontId="8" numFmtId="164" xfId="0" applyAlignment="1" applyFill="1" applyFont="1" applyNumberFormat="1">
      <alignment horizontal="right" shrinkToFit="0" vertical="bottom" wrapText="1"/>
    </xf>
    <xf borderId="0" fillId="15" fontId="8" numFmtId="164" xfId="0" applyAlignment="1" applyFill="1" applyFont="1" applyNumberFormat="1">
      <alignment horizontal="right" shrinkToFit="0" vertical="bottom" wrapText="1"/>
    </xf>
    <xf borderId="0" fillId="16" fontId="8" numFmtId="10" xfId="0" applyAlignment="1" applyFill="1" applyFont="1" applyNumberFormat="1">
      <alignment horizontal="right" shrinkToFit="0" vertical="bottom" wrapText="1"/>
    </xf>
    <xf borderId="0" fillId="17" fontId="8" numFmtId="164" xfId="0" applyAlignment="1" applyFill="1" applyFont="1" applyNumberFormat="1">
      <alignment horizontal="right" shrinkToFit="0" vertical="bottom" wrapText="1"/>
    </xf>
    <xf borderId="0" fillId="18" fontId="8" numFmtId="10" xfId="0" applyAlignment="1" applyFill="1" applyFont="1" applyNumberFormat="1">
      <alignment horizontal="right" shrinkToFit="0" vertical="bottom" wrapText="1"/>
    </xf>
    <xf borderId="0" fillId="19" fontId="8" numFmtId="164" xfId="0" applyAlignment="1" applyFill="1" applyFont="1" applyNumberFormat="1">
      <alignment horizontal="right" shrinkToFit="0" vertical="bottom" wrapText="1"/>
    </xf>
    <xf borderId="0" fillId="20" fontId="8" numFmtId="164" xfId="0" applyAlignment="1" applyFill="1" applyFont="1" applyNumberFormat="1">
      <alignment horizontal="right" shrinkToFit="0" vertical="bottom" wrapText="1"/>
    </xf>
    <xf borderId="0" fillId="21" fontId="8" numFmtId="10" xfId="0" applyAlignment="1" applyFill="1" applyFont="1" applyNumberFormat="1">
      <alignment horizontal="right" shrinkToFit="0" vertical="bottom" wrapText="1"/>
    </xf>
    <xf borderId="0" fillId="22" fontId="8" numFmtId="164" xfId="0" applyAlignment="1" applyFill="1" applyFont="1" applyNumberFormat="1">
      <alignment horizontal="right" shrinkToFit="0" vertical="bottom" wrapText="1"/>
    </xf>
    <xf borderId="0" fillId="23" fontId="8" numFmtId="10" xfId="0" applyAlignment="1" applyFill="1" applyFont="1" applyNumberFormat="1">
      <alignment horizontal="right" shrinkToFit="0" vertical="bottom" wrapText="1"/>
    </xf>
    <xf borderId="0" fillId="24" fontId="8" numFmtId="164" xfId="0" applyAlignment="1" applyFill="1" applyFont="1" applyNumberFormat="1">
      <alignment horizontal="right" shrinkToFit="0" vertical="bottom" wrapText="1"/>
    </xf>
    <xf borderId="0" fillId="25" fontId="8" numFmtId="164" xfId="0" applyAlignment="1" applyFill="1" applyFont="1" applyNumberFormat="1">
      <alignment horizontal="right" shrinkToFit="0" vertical="bottom" wrapText="1"/>
    </xf>
    <xf borderId="0" fillId="26" fontId="8" numFmtId="10" xfId="0" applyAlignment="1" applyFill="1" applyFont="1" applyNumberFormat="1">
      <alignment horizontal="right" shrinkToFit="0" vertical="bottom" wrapText="1"/>
    </xf>
    <xf borderId="0" fillId="27" fontId="8" numFmtId="164" xfId="0" applyAlignment="1" applyFill="1" applyFont="1" applyNumberFormat="1">
      <alignment horizontal="right" shrinkToFit="0" vertical="bottom" wrapText="1"/>
    </xf>
    <xf borderId="0" fillId="28" fontId="8" numFmtId="10" xfId="0" applyAlignment="1" applyFill="1" applyFont="1" applyNumberFormat="1">
      <alignment horizontal="right" shrinkToFit="0" vertical="bottom" wrapText="1"/>
    </xf>
    <xf borderId="0" fillId="29" fontId="8" numFmtId="10" xfId="0" applyAlignment="1" applyFill="1" applyFont="1" applyNumberFormat="1">
      <alignment horizontal="right" shrinkToFit="0" vertical="bottom" wrapText="1"/>
    </xf>
    <xf borderId="0" fillId="30" fontId="8" numFmtId="164" xfId="0" applyAlignment="1" applyFill="1" applyFont="1" applyNumberFormat="1">
      <alignment horizontal="right" shrinkToFit="0" vertical="bottom" wrapText="1"/>
    </xf>
    <xf borderId="0" fillId="31" fontId="8" numFmtId="10" xfId="0" applyAlignment="1" applyFill="1" applyFont="1" applyNumberFormat="1">
      <alignment horizontal="right" shrinkToFit="0" vertical="bottom" wrapText="1"/>
    </xf>
    <xf borderId="0" fillId="32" fontId="8" numFmtId="164" xfId="0" applyAlignment="1" applyFill="1" applyFont="1" applyNumberFormat="1">
      <alignment horizontal="right" shrinkToFit="0" vertical="bottom" wrapText="1"/>
    </xf>
    <xf borderId="0" fillId="33" fontId="8" numFmtId="164" xfId="0" applyAlignment="1" applyFill="1" applyFont="1" applyNumberFormat="1">
      <alignment horizontal="right" shrinkToFit="0" vertical="bottom" wrapText="1"/>
    </xf>
    <xf borderId="0" fillId="34" fontId="8" numFmtId="10" xfId="0" applyAlignment="1" applyFill="1" applyFont="1" applyNumberFormat="1">
      <alignment horizontal="right" shrinkToFit="0" vertical="bottom" wrapText="1"/>
    </xf>
    <xf borderId="0" fillId="35" fontId="8" numFmtId="164" xfId="0" applyAlignment="1" applyFill="1" applyFont="1" applyNumberFormat="1">
      <alignment horizontal="right" shrinkToFit="0" vertical="bottom" wrapText="1"/>
    </xf>
    <xf borderId="0" fillId="36" fontId="8" numFmtId="10" xfId="0" applyAlignment="1" applyFill="1" applyFont="1" applyNumberFormat="1">
      <alignment horizontal="right" shrinkToFit="0" vertical="bottom" wrapText="1"/>
    </xf>
    <xf borderId="0" fillId="37" fontId="8" numFmtId="164" xfId="0" applyAlignment="1" applyFill="1" applyFont="1" applyNumberFormat="1">
      <alignment horizontal="right" shrinkToFit="0" vertical="bottom" wrapText="1"/>
    </xf>
    <xf borderId="0" fillId="13" fontId="8" numFmtId="164" xfId="0" applyAlignment="1" applyFont="1" applyNumberFormat="1">
      <alignment horizontal="right" shrinkToFit="0" vertical="bottom" wrapText="1"/>
    </xf>
    <xf borderId="0" fillId="38" fontId="8" numFmtId="10" xfId="0" applyAlignment="1" applyFill="1" applyFont="1" applyNumberFormat="1">
      <alignment horizontal="right" shrinkToFit="0" vertical="bottom" wrapText="1"/>
    </xf>
    <xf borderId="0" fillId="39" fontId="8" numFmtId="164" xfId="0" applyAlignment="1" applyFill="1" applyFont="1" applyNumberFormat="1">
      <alignment horizontal="right" shrinkToFit="0" vertical="bottom" wrapText="1"/>
    </xf>
    <xf borderId="0" fillId="40" fontId="8" numFmtId="10" xfId="0" applyAlignment="1" applyFill="1" applyFont="1" applyNumberFormat="1">
      <alignment horizontal="right" shrinkToFit="0" vertical="bottom" wrapText="1"/>
    </xf>
    <xf borderId="0" fillId="41" fontId="8" numFmtId="164" xfId="0" applyAlignment="1" applyFill="1" applyFont="1" applyNumberFormat="1">
      <alignment horizontal="right" shrinkToFit="0" vertical="bottom" wrapText="1"/>
    </xf>
    <xf borderId="0" fillId="42" fontId="8" numFmtId="10" xfId="0" applyAlignment="1" applyFill="1" applyFont="1" applyNumberFormat="1">
      <alignment horizontal="right" shrinkToFit="0" vertical="bottom" wrapText="1"/>
    </xf>
    <xf borderId="0" fillId="43" fontId="8" numFmtId="164" xfId="0" applyAlignment="1" applyFill="1" applyFont="1" applyNumberFormat="1">
      <alignment horizontal="right" shrinkToFit="0" vertical="bottom" wrapText="1"/>
    </xf>
    <xf borderId="0" fillId="44" fontId="8" numFmtId="164" xfId="0" applyAlignment="1" applyFill="1" applyFont="1" applyNumberFormat="1">
      <alignment horizontal="right" shrinkToFit="0" vertical="bottom" wrapText="1"/>
    </xf>
    <xf borderId="0" fillId="45" fontId="8" numFmtId="164" xfId="0" applyAlignment="1" applyFill="1" applyFont="1" applyNumberFormat="1">
      <alignment horizontal="right" shrinkToFit="0" vertical="bottom" wrapText="1"/>
    </xf>
    <xf borderId="0" fillId="46" fontId="8" numFmtId="10" xfId="0" applyAlignment="1" applyFill="1" applyFont="1" applyNumberFormat="1">
      <alignment horizontal="right" shrinkToFit="0" vertical="bottom" wrapText="1"/>
    </xf>
    <xf borderId="0" fillId="47" fontId="8" numFmtId="164" xfId="0" applyAlignment="1" applyFill="1" applyFont="1" applyNumberFormat="1">
      <alignment horizontal="right" shrinkToFit="0" vertical="bottom" wrapText="1"/>
    </xf>
    <xf borderId="0" fillId="48" fontId="8" numFmtId="10" xfId="0" applyAlignment="1" applyFill="1" applyFont="1" applyNumberFormat="1">
      <alignment horizontal="right" shrinkToFit="0" vertical="bottom" wrapText="1"/>
    </xf>
    <xf borderId="0" fillId="49" fontId="8" numFmtId="164" xfId="0" applyAlignment="1" applyFill="1" applyFont="1" applyNumberFormat="1">
      <alignment horizontal="right" shrinkToFit="0" vertical="bottom" wrapText="1"/>
    </xf>
    <xf borderId="0" fillId="50" fontId="8" numFmtId="164" xfId="0" applyAlignment="1" applyFill="1" applyFont="1" applyNumberFormat="1">
      <alignment horizontal="right" shrinkToFit="0" vertical="bottom" wrapText="1"/>
    </xf>
    <xf borderId="0" fillId="51" fontId="8" numFmtId="10" xfId="0" applyAlignment="1" applyFill="1" applyFont="1" applyNumberFormat="1">
      <alignment horizontal="right" shrinkToFit="0" vertical="bottom" wrapText="1"/>
    </xf>
    <xf borderId="0" fillId="52" fontId="8" numFmtId="10" xfId="0" applyAlignment="1" applyFill="1" applyFont="1" applyNumberFormat="1">
      <alignment horizontal="right" shrinkToFit="0" vertical="bottom" wrapText="1"/>
    </xf>
    <xf borderId="0" fillId="53" fontId="8" numFmtId="164" xfId="0" applyAlignment="1" applyFill="1" applyFont="1" applyNumberFormat="1">
      <alignment horizontal="right" shrinkToFit="0" vertical="bottom" wrapText="1"/>
    </xf>
    <xf borderId="0" fillId="54" fontId="8" numFmtId="164" xfId="0" applyAlignment="1" applyFill="1" applyFont="1" applyNumberFormat="1">
      <alignment horizontal="right" shrinkToFit="0" vertical="bottom" wrapText="1"/>
    </xf>
    <xf borderId="0" fillId="55" fontId="8" numFmtId="10" xfId="0" applyAlignment="1" applyFill="1" applyFont="1" applyNumberFormat="1">
      <alignment horizontal="right" shrinkToFit="0" vertical="bottom" wrapText="1"/>
    </xf>
    <xf borderId="0" fillId="56" fontId="8" numFmtId="10" xfId="0" applyAlignment="1" applyFill="1" applyFont="1" applyNumberFormat="1">
      <alignment horizontal="right" shrinkToFit="0" vertical="bottom" wrapText="1"/>
    </xf>
    <xf borderId="0" fillId="57" fontId="8" numFmtId="10" xfId="0" applyAlignment="1" applyFill="1" applyFont="1" applyNumberFormat="1">
      <alignment horizontal="right" shrinkToFit="0" vertical="bottom" wrapText="1"/>
    </xf>
    <xf borderId="0" fillId="58" fontId="8" numFmtId="10" xfId="0" applyAlignment="1" applyFill="1" applyFont="1" applyNumberFormat="1">
      <alignment horizontal="right" shrinkToFit="0" vertical="bottom" wrapText="1"/>
    </xf>
    <xf borderId="0" fillId="59" fontId="8" numFmtId="164" xfId="0" applyAlignment="1" applyFill="1" applyFont="1" applyNumberFormat="1">
      <alignment horizontal="right" shrinkToFit="0" vertical="bottom" wrapText="1"/>
    </xf>
    <xf borderId="0" fillId="60" fontId="8" numFmtId="164" xfId="0" applyAlignment="1" applyFill="1" applyFont="1" applyNumberFormat="1">
      <alignment horizontal="right" shrinkToFit="0" vertical="bottom" wrapText="1"/>
    </xf>
    <xf borderId="0" fillId="61" fontId="8" numFmtId="10" xfId="0" applyAlignment="1" applyFill="1" applyFont="1" applyNumberFormat="1">
      <alignment horizontal="right" shrinkToFit="0" vertical="bottom" wrapText="1"/>
    </xf>
    <xf borderId="0" fillId="62" fontId="8" numFmtId="164" xfId="0" applyAlignment="1" applyFill="1" applyFont="1" applyNumberFormat="1">
      <alignment horizontal="right" shrinkToFit="0" vertical="bottom" wrapText="1"/>
    </xf>
    <xf borderId="0" fillId="63" fontId="8" numFmtId="10" xfId="0" applyAlignment="1" applyFill="1" applyFont="1" applyNumberFormat="1">
      <alignment horizontal="right" shrinkToFit="0" vertical="bottom" wrapText="1"/>
    </xf>
    <xf borderId="0" fillId="64" fontId="8" numFmtId="164" xfId="0" applyAlignment="1" applyFill="1" applyFont="1" applyNumberFormat="1">
      <alignment horizontal="right" shrinkToFit="0" vertical="bottom" wrapText="1"/>
    </xf>
    <xf borderId="0" fillId="62" fontId="8" numFmtId="10" xfId="0" applyAlignment="1" applyFont="1" applyNumberFormat="1">
      <alignment horizontal="right" shrinkToFit="0" vertical="bottom" wrapText="1"/>
    </xf>
    <xf borderId="0" fillId="65" fontId="8" numFmtId="164" xfId="0" applyAlignment="1" applyFill="1" applyFont="1" applyNumberFormat="1">
      <alignment horizontal="right" shrinkToFit="0" vertical="bottom" wrapText="1"/>
    </xf>
    <xf borderId="0" fillId="66" fontId="8" numFmtId="10" xfId="0" applyAlignment="1" applyFill="1" applyFont="1" applyNumberFormat="1">
      <alignment horizontal="right" shrinkToFit="0" vertical="bottom" wrapText="1"/>
    </xf>
    <xf borderId="0" fillId="67" fontId="8" numFmtId="164" xfId="0" applyAlignment="1" applyFill="1" applyFont="1" applyNumberFormat="1">
      <alignment horizontal="right" shrinkToFit="0" vertical="bottom" wrapText="1"/>
    </xf>
    <xf borderId="0" fillId="68" fontId="8" numFmtId="164" xfId="0" applyAlignment="1" applyFill="1" applyFont="1" applyNumberFormat="1">
      <alignment horizontal="right" shrinkToFit="0" vertical="bottom" wrapText="1"/>
    </xf>
    <xf borderId="0" fillId="69" fontId="8" numFmtId="10" xfId="0" applyAlignment="1" applyFill="1" applyFont="1" applyNumberFormat="1">
      <alignment horizontal="right" shrinkToFit="0" vertical="bottom" wrapText="1"/>
    </xf>
    <xf borderId="0" fillId="70" fontId="8" numFmtId="10" xfId="0" applyAlignment="1" applyFill="1" applyFont="1" applyNumberFormat="1">
      <alignment horizontal="right" shrinkToFit="0" vertical="bottom" wrapText="1"/>
    </xf>
    <xf borderId="0" fillId="71" fontId="8" numFmtId="164" xfId="0" applyAlignment="1" applyFill="1" applyFont="1" applyNumberFormat="1">
      <alignment horizontal="right" shrinkToFit="0" vertical="bottom" wrapText="1"/>
    </xf>
    <xf borderId="0" fillId="72" fontId="8" numFmtId="10" xfId="0" applyAlignment="1" applyFill="1" applyFont="1" applyNumberFormat="1">
      <alignment horizontal="right" shrinkToFit="0" vertical="bottom" wrapText="1"/>
    </xf>
    <xf borderId="0" fillId="73" fontId="8" numFmtId="164" xfId="0" applyAlignment="1" applyFill="1" applyFont="1" applyNumberFormat="1">
      <alignment horizontal="right" shrinkToFit="0" vertical="bottom" wrapText="1"/>
    </xf>
    <xf borderId="0" fillId="74" fontId="8" numFmtId="10" xfId="0" applyAlignment="1" applyFill="1" applyFont="1" applyNumberFormat="1">
      <alignment horizontal="right" shrinkToFit="0" vertical="bottom" wrapText="1"/>
    </xf>
    <xf borderId="0" fillId="75" fontId="8" numFmtId="164" xfId="0" applyAlignment="1" applyFill="1" applyFont="1" applyNumberFormat="1">
      <alignment horizontal="right" shrinkToFit="0" vertical="bottom" wrapText="1"/>
    </xf>
    <xf borderId="0" fillId="76" fontId="8" numFmtId="164" xfId="0" applyAlignment="1" applyFill="1" applyFont="1" applyNumberFormat="1">
      <alignment horizontal="right" shrinkToFit="0" vertical="bottom" wrapText="1"/>
    </xf>
    <xf borderId="0" fillId="77" fontId="8" numFmtId="10" xfId="0" applyAlignment="1" applyFill="1" applyFont="1" applyNumberFormat="1">
      <alignment horizontal="right" shrinkToFit="0" vertical="bottom" wrapText="1"/>
    </xf>
    <xf borderId="0" fillId="11" fontId="8" numFmtId="164" xfId="0" applyAlignment="1" applyFont="1" applyNumberFormat="1">
      <alignment horizontal="right" shrinkToFit="0" vertical="bottom" wrapText="1"/>
    </xf>
    <xf borderId="0" fillId="78" fontId="8" numFmtId="164" xfId="0" applyAlignment="1" applyFill="1" applyFont="1" applyNumberFormat="1">
      <alignment horizontal="right" shrinkToFit="0" vertical="bottom" wrapText="1"/>
    </xf>
    <xf borderId="0" fillId="79" fontId="8" numFmtId="10" xfId="0" applyAlignment="1" applyFill="1" applyFont="1" applyNumberFormat="1">
      <alignment horizontal="right" shrinkToFit="0" vertical="bottom" wrapText="1"/>
    </xf>
    <xf borderId="0" fillId="80" fontId="8" numFmtId="164" xfId="0" applyAlignment="1" applyFill="1" applyFont="1" applyNumberFormat="1">
      <alignment horizontal="right" shrinkToFit="0" vertical="bottom" wrapText="1"/>
    </xf>
    <xf borderId="0" fillId="81" fontId="8" numFmtId="164" xfId="0" applyAlignment="1" applyFill="1" applyFont="1" applyNumberFormat="1">
      <alignment horizontal="right" shrinkToFit="0" vertical="bottom" wrapText="1"/>
    </xf>
    <xf borderId="0" fillId="7" fontId="8" numFmtId="10" xfId="0" applyAlignment="1" applyFont="1" applyNumberFormat="1">
      <alignment horizontal="right" shrinkToFit="0" vertical="bottom" wrapText="1"/>
    </xf>
    <xf borderId="0" fillId="82" fontId="8" numFmtId="164" xfId="0" applyAlignment="1" applyFill="1" applyFont="1" applyNumberFormat="1">
      <alignment horizontal="right" shrinkToFit="0" vertical="bottom" wrapText="1"/>
    </xf>
    <xf borderId="0" fillId="83" fontId="8" numFmtId="10" xfId="0" applyAlignment="1" applyFill="1" applyFont="1" applyNumberFormat="1">
      <alignment horizontal="right" shrinkToFit="0" vertical="bottom" wrapText="1"/>
    </xf>
    <xf borderId="0" fillId="84" fontId="8" numFmtId="164" xfId="0" applyAlignment="1" applyFill="1" applyFont="1" applyNumberFormat="1">
      <alignment horizontal="right" shrinkToFit="0" vertical="bottom" wrapText="1"/>
    </xf>
    <xf borderId="0" fillId="85" fontId="8" numFmtId="164" xfId="0" applyAlignment="1" applyFill="1" applyFont="1" applyNumberFormat="1">
      <alignment horizontal="right" shrinkToFit="0" vertical="bottom" wrapText="1"/>
    </xf>
    <xf borderId="0" fillId="86" fontId="8" numFmtId="10" xfId="0" applyAlignment="1" applyFill="1" applyFont="1" applyNumberFormat="1">
      <alignment horizontal="right" shrinkToFit="0" vertical="bottom" wrapText="1"/>
    </xf>
    <xf borderId="0" fillId="3" fontId="8" numFmtId="165" xfId="0" applyAlignment="1" applyFont="1" applyNumberFormat="1">
      <alignment vertical="bottom"/>
    </xf>
    <xf borderId="0" fillId="3" fontId="8" numFmtId="0" xfId="0" applyAlignment="1" applyFon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pivotCacheDefinition" Target="pivotCache/pivotCacheDefinition2.xml"/><Relationship Id="rId21" Type="http://schemas.openxmlformats.org/officeDocument/2006/relationships/pivotCacheDefinition" Target="pivotCache/pivotCacheDefinition1.xml"/><Relationship Id="rId24" Type="http://schemas.openxmlformats.org/officeDocument/2006/relationships/pivotCacheDefinition" Target="pivotCache/pivotCacheDefinition4.xml"/><Relationship Id="rId23" Type="http://schemas.openxmlformats.org/officeDocument/2006/relationships/pivotCacheDefinition" Target="pivotCache/pivotCacheDefinition3.xml"/><Relationship Id="rId25" Type="http://schemas.microsoft.com/office/2007/relationships/slicerCache" Target="slicerCaches/slicerCache1.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300x50</c:v>
          </c:tx>
          <c:spPr>
            <a:solidFill>
              <a:schemeClr val="accent1"/>
            </a:solidFill>
            <a:ln cmpd="sng">
              <a:solidFill>
                <a:srgbClr val="000000"/>
              </a:solidFill>
            </a:ln>
          </c:spPr>
          <c:cat>
            <c:strRef>
              <c:f>'Creative Device Make Pivot'!$A$4:$A$7</c:f>
            </c:strRef>
          </c:cat>
          <c:val>
            <c:numRef>
              <c:f>'Creative Device Make Pivot'!$B$4:$B$7</c:f>
              <c:numCache/>
            </c:numRef>
          </c:val>
        </c:ser>
        <c:ser>
          <c:idx val="1"/>
          <c:order val="1"/>
          <c:tx>
            <c:v>300 x 250</c:v>
          </c:tx>
          <c:spPr>
            <a:solidFill>
              <a:schemeClr val="accent2"/>
            </a:solidFill>
            <a:ln cmpd="sng">
              <a:solidFill>
                <a:srgbClr val="000000"/>
              </a:solidFill>
            </a:ln>
          </c:spPr>
          <c:cat>
            <c:strRef>
              <c:f>'Creative Device Make Pivot'!$A$4:$A$7</c:f>
            </c:strRef>
          </c:cat>
          <c:val>
            <c:numRef>
              <c:f>'Creative Device Make Pivot'!$A$4:$A$7</c:f>
              <c:numCache/>
            </c:numRef>
          </c:val>
        </c:ser>
        <c:ser>
          <c:idx val="2"/>
          <c:order val="2"/>
          <c:tx>
            <c:v>320x250</c:v>
          </c:tx>
          <c:spPr>
            <a:solidFill>
              <a:schemeClr val="accent3"/>
            </a:solidFill>
            <a:ln cmpd="sng">
              <a:solidFill>
                <a:srgbClr val="000000"/>
              </a:solidFill>
            </a:ln>
          </c:spPr>
          <c:dPt>
            <c:idx val="1"/>
          </c:dPt>
          <c:cat>
            <c:strRef>
              <c:f>'Creative Device Make Pivot'!$A$4:$A$7</c:f>
            </c:strRef>
          </c:cat>
          <c:val>
            <c:numRef>
              <c:f>'Creative Device Make Pivot'!$H$4:$H$7</c:f>
              <c:numCache/>
            </c:numRef>
          </c:val>
        </c:ser>
        <c:ser>
          <c:idx val="3"/>
          <c:order val="3"/>
          <c:tx>
            <c:v>300 x 250</c:v>
          </c:tx>
          <c:spPr>
            <a:solidFill>
              <a:schemeClr val="accent4"/>
            </a:solidFill>
            <a:ln cmpd="sng">
              <a:solidFill>
                <a:srgbClr val="000000"/>
              </a:solidFill>
            </a:ln>
          </c:spPr>
          <c:dPt>
            <c:idx val="1"/>
          </c:dPt>
          <c:cat>
            <c:strRef>
              <c:f>'Creative Device Make Pivot'!$A$4:$A$7</c:f>
            </c:strRef>
          </c:cat>
          <c:val>
            <c:numRef>
              <c:f>'Creative Device Make Pivot'!$N$4:$N$7</c:f>
              <c:numCache/>
            </c:numRef>
          </c:val>
        </c:ser>
        <c:ser>
          <c:idx val="4"/>
          <c:order val="4"/>
          <c:tx>
            <c:strRef>
              <c:f>'Creative Device Make Pivot'!$T$1:$T$3</c:f>
            </c:strRef>
          </c:tx>
          <c:cat>
            <c:strRef>
              <c:f>'Creative Device Make Pivot'!$A$4:$A$7</c:f>
            </c:strRef>
          </c:cat>
          <c:val>
            <c:numRef>
              <c:f>'Creative Device Make Pivot'!$T$4:$T$7</c:f>
              <c:numCache/>
            </c:numRef>
          </c:val>
        </c:ser>
        <c:axId val="1001923670"/>
        <c:axId val="1788218574"/>
      </c:barChart>
      <c:catAx>
        <c:axId val="10019236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8218574"/>
      </c:catAx>
      <c:valAx>
        <c:axId val="17882185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192367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States with Highest and Lowest Creative Sizes</a:t>
            </a:r>
          </a:p>
        </c:rich>
      </c:tx>
      <c:overlay val="0"/>
    </c:title>
    <c:plotArea>
      <c:layout/>
      <c:barChart>
        <c:barDir val="col"/>
        <c:ser>
          <c:idx val="0"/>
          <c:order val="0"/>
          <c:tx>
            <c:strRef>
              <c:f>'Creative Size Location Pivot'!$G$1</c:f>
            </c:strRef>
          </c:tx>
          <c:spPr>
            <a:solidFill>
              <a:schemeClr val="accent1"/>
            </a:solidFill>
            <a:ln cmpd="sng">
              <a:solidFill>
                <a:srgbClr val="000000"/>
              </a:solidFill>
            </a:ln>
          </c:spPr>
          <c:cat>
            <c:strRef>
              <c:f>'Creative Size Location Pivot'!$F$2:$F$18</c:f>
            </c:strRef>
          </c:cat>
          <c:val>
            <c:numRef>
              <c:f>'Creative Size Location Pivot'!$G$2:$G$18</c:f>
              <c:numCache/>
            </c:numRef>
          </c:val>
        </c:ser>
        <c:axId val="590067203"/>
        <c:axId val="43457556"/>
      </c:barChart>
      <c:catAx>
        <c:axId val="5900672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c:txPr>
          <a:bodyPr/>
          <a:lstStyle/>
          <a:p>
            <a:pPr lvl="0">
              <a:defRPr b="0">
                <a:solidFill>
                  <a:srgbClr val="000000"/>
                </a:solidFill>
                <a:latin typeface="+mn-lt"/>
              </a:defRPr>
            </a:pPr>
          </a:p>
        </c:txPr>
        <c:crossAx val="43457556"/>
      </c:catAx>
      <c:valAx>
        <c:axId val="434575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Creative Sizes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0067203"/>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914400</xdr:colOff>
      <xdr:row>10</xdr:row>
      <xdr:rowOff>19050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1485900</xdr:colOff>
      <xdr:row>18</xdr:row>
      <xdr:rowOff>76200</xdr:rowOff>
    </xdr:from>
    <xdr:ext cx="5715000" cy="59150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552450</xdr:colOff>
      <xdr:row>8</xdr:row>
      <xdr:rowOff>190500</xdr:rowOff>
    </xdr:from>
    <xdr:ext cx="2857500" cy="2857500"/>
    <mc:AlternateContent>
      <mc:Choice Requires="sle15">
        <xdr:graphicFrame>
          <xdr:nvGraphicFramePr>
            <xdr:cNvPr id="1" name="Audience Segment_1"/>
            <xdr:cNvGraphicFramePr/>
          </xdr:nvGraphicFramePr>
          <xdr:xfrm>
            <a:off x="0" y="0"/>
            <a:ext cx="0" cy="0"/>
          </xdr:xfrm>
          <a:graphic>
            <a:graphicData uri="http://schemas.microsoft.com/office/drawing/2010/slicer">
              <x3Unk:slicer name="Audience Segmen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722" sheet="CREATIVE DATA"/>
  </cacheSource>
  <cacheFields>
    <cacheField name="Audience Segment" numFmtId="0">
      <sharedItems>
        <s v="Online Behavior&gt;United States&gt;Validated Demographic &gt; Gender and Age Combined&gt;Females 25 or older"/>
        <s v="Online Behavior&gt;United States&gt;Finance &gt; Financial Planning and Management&gt;Retirement and Pension"/>
        <s v="Online Behavior&gt;United States&gt;Hobbies and Leisure&gt;Outdoors &gt; Equestrian"/>
        <s v="Online Behavior&gt;United States&gt;Intent &gt; Auto Buyers &gt; Car Make&gt;Audi Q"/>
        <s v="Online Behavior&gt;United States&gt;Beauty and Fitness&gt;Fitness &gt; Fitness Instruction and Personal Training"/>
        <s v="Online Behavior&gt;United States&gt;Autos and Vehicles &gt; Brands&gt;Jeep"/>
        <s v="Online Behavior&gt;United States&gt;Autos and Vehicles &gt; Brands&gt;Mercedes-Benz"/>
        <s v="Online Behavior&gt;United States&gt;Validated Demographic &gt; Gender and Age Combined&gt;Males 18-54"/>
        <s v="Online Behavior&gt;United States&gt;Validated Demographic &gt; Age&gt;55-64"/>
        <s v="US &gt; Interest Propensities &gt; Brands &gt; Quick Service Restaurants"/>
        <s v="US &gt; B2B &gt; B2B Decision Maker Responsibilities &gt; Purchasing Utilities"/>
        <s v="US &gt; Interest Propensities &gt; TV and Movies &gt; Sports TV"/>
        <s v="Real Estate &gt; Occupancy &gt; Owner Occupied"/>
        <s v="US Financial &gt; Likely Credit Card &gt; Card in Own Name &gt; Any major Credit/Debit Card (Financial)"/>
        <s v="Online Behavior&gt;United States&gt;People and Society&gt;Millennials"/>
        <s v="OnAudience &gt; Intent &gt; Electronics &gt; Video &gt; Televisions"/>
        <s v="Online Behavior&gt;United States&gt;Arts and Entertainment&gt;Events and Listings &gt; Bars, Clubs and Nightlife"/>
        <s v="US &gt; Interest Propensities &gt; Activities and Interests &gt; Local News"/>
        <s v="US &gt; Reach &gt; Sociodemographic &gt; Dwelling Type &gt; Multi-family Dwelling Unit"/>
        <s v="OnAudience &gt; Intent &gt; Software &gt; Video Game Software"/>
        <s v="Online Behavior&gt;United States&gt;B2B &gt; Occupation&gt;Musician"/>
        <s v="Lotame &gt; Travel &gt; Summer Travel"/>
        <s v="US &gt; Home and Garden Interests &gt; Cooking &gt; Food Enthusiasts"/>
        <s v="US &gt; Demo &gt; Age &gt; 55-64"/>
        <s v="Online Behavior&gt;United States&gt;Intent &gt; Auto Buyers &gt; Type&gt;Luxury"/>
        <s v="US &gt; Brand Propensities &gt; Media and Entertainment &gt; wwe.com Buyer Propensity"/>
        <s v="Online Behavior&gt;United States&gt;Sports&gt;Sports League &gt; NFL"/>
        <s v="Online Behavior&gt;United States&gt;Intent &gt; Auto Buyers &gt; Car Make&gt;Volkswagen"/>
        <s v="US &gt; B2B &gt; B2B Decision Maker Responsibilities &gt; Financial Services"/>
        <s v="Online Behavior&gt;United States&gt;Sports&gt;Team Sports &gt; Basketball"/>
        <s v="US &gt; Interest Propensities &gt; Music &gt; Country"/>
        <s v="Media and Entertainment &gt; Sports and Recreational Activities &gt; Interest (Affinity) &gt; Team Sports &gt; Baseball &gt; Major League Baseball (MLB)"/>
        <s v="Online Behavior&gt;United States&gt;Beauty and Fitness&gt;Face and Body Care &gt; Skin and Nail Care"/>
        <s v="US &gt; Interest Propensities &gt; Activities and Interests &gt; Financial Aid"/>
        <s v="Media and Entertainment &gt; Sports and Recreational Activities &gt; Interest (Affinity) &gt; Olympics &gt; Summer Olympics"/>
        <s v="US &gt; Demographic &gt; Family &gt; Female Head of Household"/>
        <s v="Online Behavior&gt;United States&gt;Sports&gt;Sports League &gt; MLB"/>
        <s v="Online Behavior&gt;United States&gt;Autos and Vehicles &gt; Brands&gt;Dodge"/>
        <s v="US &gt; Brand Propensities &gt; Travel &gt; Sandals Resorts Buyer Propensity"/>
        <s v="Mobile - US &gt; Shopping &gt; Brand &gt; Old Navy"/>
        <s v="OnAudience &gt; Intent &gt; Animals &amp; Pet"/>
        <s v="US &gt; Multibuyer Behaviors &gt; Paid with Credit Card"/>
        <s v="US &gt; Response Performance &gt; Direct Marketing Responders"/>
        <s v="Online Behavior&gt;United States&gt;Games&gt;Computer and Video Games"/>
        <s v="Online Behavior&gt;United States&gt;Finance &gt; Insurance&gt;Home Insurance"/>
        <s v="US &gt; Reach &gt; Sociodemographic &gt; Dwelling Size &gt; 1 Unit"/>
        <s v="Online Behavior&gt;United States&gt;B2B &gt; Occupation&gt;MechanicalEngineer"/>
        <s v="US &gt; Interest Propensities &gt; Insurance &gt; MassMutual"/>
        <s v="US &gt; Premium Gender &gt; Premium Gender &gt; Males"/>
        <s v="US &gt; Reach &gt; Propensity Models &gt; Hobbies and Interest &gt; Food and Drinks &gt; Eats at Fast Food Restaurants"/>
        <s v="Online Behavior&gt;United States&gt;Travel&gt;Specialty Travel &gt; Adventure Travel"/>
        <s v="Online Behavior&gt;United States&gt;Travel&gt;Tourist Destinations &gt; Zoos-Aquariums-Preserves"/>
        <s v="Online Behavior&gt;United States&gt;Sports&gt;Sports League &gt; NBA"/>
        <s v="Online Behavior&gt;United States&gt;Finance &gt; Investing&gt;Derivatives"/>
        <s v="Online Behavior&gt;United States&gt;Law and Government&gt;Public Safety"/>
        <s v="Online Behavior&gt;United States&gt;Jobs and Education&gt;Education"/>
        <s v="Online Behavior&gt;United States&gt;Autos and Vehicles &gt; Brands&gt;Ferrari"/>
        <s v="Online Behavior&gt;United States&gt;News&gt;Sports News"/>
        <s v="Telecommunications (Telco)"/>
        <s v="US &gt; B2B &gt; Purchase DM &gt; Technology Services, Hardware and &gt; or Software &gt; I have no input into the final decision"/>
        <s v="US &gt; Reach &gt; Propensity Models &gt; Hobbies and Interest &gt; Food and Drinks &gt; Wine Lovers"/>
        <s v="US &gt; Brand Propensities &gt; Travel &gt; Choice Hotels Buyer Propensity"/>
        <s v="OnAudience &gt; Interest &gt; Careers"/>
        <s v="US &gt; Brand Propensities &gt; Travel &gt; Hotel Tonight Buyer Propensity"/>
        <s v="OnAudience &gt; Interest &gt; Science &gt; Weather Forecast"/>
        <s v="Media and Entertainment &gt; Sports and Recreational Activities &gt; Interest (Affinity) &gt; Motorsports"/>
        <s v="Mobile - US &gt; Travel &gt; Destination &gt; International Travelers &gt; Frequent Travelers"/>
        <s v="US Financial &gt; Estimated Discretionary Spending (Financial) &gt; Greater than $2,499"/>
        <s v="US &gt; AUTO &gt; Primary Vehicle &gt; New or Used &gt; Pre-owned"/>
        <s v="Media and Entertainment &gt; Gaming &gt; Interest (Affinity) &gt; Video Games"/>
        <s v="Online Behavior&gt;United States&gt;Games&gt;Card Games"/>
        <s v="Online Behavior&gt;United States&gt;Autos and Vehicles &gt; Brands&gt;Rolls-Royce"/>
        <s v="US &gt; Reach &gt; Propensity Models &gt; Hobbies and Interest &gt; Photography"/>
        <s v="Travel and Tourism &gt; Interest (Affinity) &gt; Destinations &gt; North America"/>
        <s v="US &gt; Reach &gt; Sociodemographic &gt; Estimated Current Home Value &gt; $160,000-$199,999"/>
        <s v="US &gt;Connected Impulse-Shopper Audience"/>
        <s v="US &gt; Interest Propensities &gt; Activities and Interests &gt; International News"/>
        <s v="Online Behavior&gt;United States&gt;Intent &gt; Auto Buyers &gt; Car Make&gt;Nissan"/>
        <s v="Online Behavior&gt;United States&gt;Life Event&gt;Bride"/>
        <s v="Online Behavior&gt;United States&gt;Life Event&gt;Engagement"/>
        <s v="Online Behavior&gt;United States&gt;The Changing Consumer&gt;Internet Connection"/>
        <s v="Lotame &gt; Personal Finance &gt; Estate Planning"/>
        <s v="Online Behavior&gt;United States&gt;Sports&gt;Team Sports &gt; Volleyball"/>
        <s v="Mobile - US &gt; Food &gt; Restaurant &gt; Brand &gt; Outback Steakhouse"/>
        <s v="Online Behavior&gt;United States&gt;Sports&gt;Sporting Goods"/>
        <s v="Online Behavior&gt;United States&gt;News&gt;Newspapers"/>
        <s v="Online Behavior&gt;United States&gt;Sports&gt;Winter Sports &gt; Skiing and Snowboarding"/>
        <s v="US &gt; Reach &gt; Propensity Models &gt; Household Consumer Expenditures &gt; Home Office"/>
        <s v="OnAudience &gt; Intent &gt; Sporting Goods"/>
        <s v="Online Behavior&gt;United States&gt;Intent &gt; Shopping&gt;Consumer Electronics &gt; Computers, Laptops"/>
        <s v="Online Behavior&gt;United States&gt;Sports&gt;Fantasy Sports"/>
        <s v="US &gt; Interest Propensities &gt; Oil &amp; Gas &gt; QuickTrip"/>
        <s v="OnAudience &gt; Interest &gt; Shopping &gt; Shopping Mall Buyers"/>
        <s v="Online Behavior&gt;United States&gt;Law and Government&gt;Military"/>
        <s v="Online Behavior&gt;United States&gt;Travel&gt;Bus and Rail"/>
        <s v="Online Behavior&gt;United States&gt;Validated Demographic &gt; Age&gt;18-64"/>
        <s v="Online Behavior&gt;United States&gt;Validated Demographic &gt; Gender and Age Combined&gt;Males 25-44"/>
        <s v="Purchase Behaviors &gt; Q2 Environmentally Concerned Shoppers"/>
        <s v="Travel and Tourism &gt; Interest (Affinity) &gt; Destinations &gt; North America &gt; United States"/>
        <s v="Media and Entertainment &gt; Connected TV and Over-the-Top (CTV and OTT) &gt; Streaming Television and Film Viewership &gt; OTT Movie Viewers &gt; Genre &gt; Crime Movie Streamers"/>
        <s v="US Financial &gt; Likely Attitude and Behavior &gt; Bank Selection &gt; Customer Service Very Important (Financial)"/>
        <s v="Online Behavior&gt;United States&gt;Sports&gt;Individual Sports &gt; Running and Walking"/>
        <s v="Online Behavior&gt;United States&gt;People and Society&gt;Family and Relationships &gt; Parents"/>
        <s v="Online Behavior&gt;United States&gt;Travel&gt;Tourist Destinations &gt; Regional Parks and Gardens"/>
        <s v="Online Behavior&gt;United States&gt;Autos and Vehicles &gt; Brands&gt;Mazda"/>
        <s v="Online Behavior&gt;United States&gt;Travel&gt;Tourist Destinations &gt; Mountain and Ski Resorts"/>
        <s v="Online Behavior&gt;United States&gt;Validated Demographic &gt; Gender and Age Combined&gt;Females 45-54"/>
        <s v="US &gt; Reach &gt; Propensity Models &gt; Hobbies and Interest &gt; Sports &gt; Avid Runners"/>
        <s v="OnAudience &gt; Interest &gt; Business"/>
        <s v="US &gt; Reach &gt; Propensity Models &gt; Real Estate &gt; Monthly Mortgage Payment &gt; $800-$999"/>
        <s v="US &gt;Green Consumer Audience"/>
        <s v="US &gt; Reach &gt; Propensity Models &gt; Household Consumer Expenditures &gt; Lawn and Garden"/>
        <s v="US Interest &gt; Home &gt; Home Improvement &gt; Home Improvement Grouping"/>
        <s v="Online Behavior&gt;United States&gt;Real Estate&gt;Apartments and Residential Rentals"/>
        <s v="US &gt; Reach &gt; Propensity Models &gt; Hobbies and Interest &gt; Food and Drinks &gt; High-end Spirit Drinkers"/>
        <s v="OnAudience &gt; Intent &gt; Sporting Goods &gt; Team Sports"/>
        <s v="Online Behavior&gt;United States&gt;Validated Demographic &gt; Age&gt;25-44"/>
        <s v="Media and Entertainment &gt; Sports and Recreational Activities &gt; Interest (Affinity)"/>
        <s v="Online Behavior&gt;United States&gt;Travel&gt;Tourist Destinations &gt; Beaches and Islands"/>
        <s v="Online Behavior&gt;United States&gt;The Changing Consumer&gt;Direct to Consumer"/>
        <s v="Online Behavior&gt;United States&gt;Arts and Entertainment&gt;Music and Audio"/>
        <s v="Online Behavior&gt;United States&gt;Autos and Vehicles &gt; Brands&gt;Volvo"/>
        <s v="US &gt; B2B &gt; B2B Decision Maker Responsibilities &gt; Company Liability or Insurance"/>
        <s v="US &gt; Reach &gt; Propensity Models &gt; Luxury Home Goods Store Shopper"/>
        <s v="US &gt; B2B &gt; B2B Decision Maker Responsibilities &gt; Employee Benefits"/>
        <s v="US &gt; Brand Propensities &gt; Travel &gt; American Airlines Buyer Propensity"/>
        <s v="OnAudience"/>
        <s v="Media and Entertainment &gt; Audio and Video Streaming &gt; Streaming Audio"/>
        <s v="US &gt;Rural Improvement Fanatic"/>
        <s v="Online Behavior&gt;United States&gt;Sports&gt;Sports League &gt; Premier League"/>
        <s v="Online Behavior&gt;United States&gt;The Changing Consumer&gt;Gaming Equipment"/>
        <s v="Online Behavior&gt;United States&gt;Travel&gt;Travel"/>
        <s v="Online Behavior&gt;United States&gt;Beauty and Fitness&gt;Face and Body Care &gt; Unwanted Body and Facial Hair Removal"/>
        <s v="Online Behavior&gt;United States&gt;Intent &gt; Auto Buyers &gt; Car Make&gt;Toyota"/>
        <s v="Online Behavior&gt;United States&gt;Food and Drink&gt;Restaurants &gt; Dining Guides"/>
        <s v="Media and Entertainment &gt; Music"/>
        <s v="OnAudience &gt; Interest &gt; Technology"/>
        <s v="US &gt; Interest Propensities &gt; Social &gt; Premium User Generated Content"/>
        <s v="OnAudience &gt; Interest &gt; Business &gt; Economy"/>
        <s v="US &gt; Reach &gt; Propensity Models &gt; Lifestyle &gt; Charities &gt; Contributes to Charities"/>
        <s v="US &gt; Reach &gt; Propensity Models &gt; Household Consumer Expenditures &gt; Kitchen"/>
        <s v="Online Behavior&gt;United States&gt;Finance &gt; Financial Planning and Management&gt;Asset and Portfolio Management"/>
        <s v="Online Behavior&gt;United States&gt;Intent &gt; Auto Buyers &gt; Car Make&gt;Hyundai"/>
        <s v="Online Behavior&gt;United States&gt;Validated Demographic &gt; Gender and Age Combined&gt;Females 18-54"/>
        <s v="Telecommunications (Telco) &gt; Subscribers"/>
        <s v="Online Behavior&gt;United States&gt;Finance &gt; Banking&gt;ATMs and Branch Locations"/>
        <s v="Online Behavior&gt;United States&gt;Intent &gt; Travel&gt;Accommodation &gt; Hotels"/>
        <s v="Online Behavior&gt;United States&gt;Home and Garden&gt;Homemaking and Interior Decor"/>
        <s v="US &gt; Sociodemographic &gt; P$YCLE Premier Lifestage &gt; M2 Wealthy Achievers"/>
        <s v="US &gt; Brand Propensities &gt; Health &gt; Beauty and Cosmetics &gt; Bare Escentuals Buyer Propensity"/>
        <s v="Online Behavior&gt;United States&gt;Internet and Telecom&gt;Email and Messaging"/>
        <s v="Online Behavior&gt;United States&gt;Travel&gt;Car Rental and Taxi Services"/>
        <s v="Mobile - US &gt; Food &gt; Restaurant &gt; Style &gt; Desserts"/>
        <s v="US &gt; AUTO &gt; Primary Vehicle &gt; New or Used &gt; New"/>
        <s v="US &gt; B2B &gt; B2B Decision Maker Responsibilities &gt; Advertising Services"/>
        <s v="Online Behavior&gt;United States&gt;Intent &gt; Travel&gt;Cruises"/>
        <s v="US &gt; B2B &gt; B2B Decision Maker Responsibilities &gt; Accounting or Tax Services"/>
        <s v="Online Behavior&gt;United States&gt;Beauty and Fitness&gt;Cosmetology and Beauty Professionals"/>
        <s v="Online Behavior&gt;United States&gt;Finance &gt; Insurance&gt;Life Insurance"/>
        <s v="Online Behavior&gt;United States&gt;Food and Drink&gt;Food and Grocery Retailers"/>
        <s v="Online Behavior&gt;United States&gt;Intent &gt; Shopping&gt;Drug Stores &gt; CVS"/>
        <s v="US &gt; Composite Segment &gt; Women Born to Shop"/>
        <s v="Real Estate &gt; Rent Amount &gt; Sensible  Rentals ($1000-$3000)"/>
        <s v="Online Behavior&gt;United States&gt;Finance &gt; Credit and Lending&gt;Loans"/>
        <s v="Online Behavior&gt;United States&gt;Finance &gt; Banking&gt;Money Transfer and Wire Services"/>
        <s v="Online Behavior&gt;United States&gt;Travel&gt;Tourist Destinations"/>
        <s v="Online Behavior&gt;United States&gt;Finance &gt; Investing&gt;Stocks and Bonds"/>
        <s v="Online Behavior&gt;United States&gt;Life Event&gt;New Parent"/>
        <s v="Online Behavior&gt;United States&gt;Hobbies and Leisure&gt;Outdoors &gt; Hiking and Camping"/>
        <s v="Online Behavior&gt;United States&gt;Intent &gt; Financial Intent&gt;Loans and Credit"/>
        <s v="Online Behavior&gt;United States&gt;Real Estate&gt;Homeowner"/>
        <s v="Online Behavior&gt;United States&gt;Arts and Entertainment&gt;Events and Listings &gt; Film Festivals"/>
        <s v="Online Behavior&gt;United States&gt;Travel&gt;Cruises and Charters"/>
        <s v="Online Behavior&gt;United States&gt;B2B &gt; Occupation&gt;Student"/>
        <s v="Online Behavior&gt;United States&gt;Online Communities&gt;File Sharing and Hosting"/>
        <s v="Online Behavior&gt;United States&gt;Autos and Vehicles &gt; Brands&gt;LandRover"/>
        <s v="Online Behavior&gt;United States&gt;Food and Drink&gt;Food and Grocery Delivery"/>
        <s v="Online Behavior&gt;United States&gt;Sports&gt;Sports League &gt; NHL"/>
        <s v="US &gt; AUTO &gt; Decision Maker for Auto Purchase &gt; I shared equally in the decision"/>
        <s v="US &gt; B2B &gt; B2B Decision Maker Responsibilities &gt; Office Supplies or Equipment"/>
        <s v="US &gt; Reach &gt; Propensity Models &gt; Hobbies and Interest &gt; Pets &gt; Cat Owners"/>
        <s v="OnAudience &gt; Interest &gt; Life Stage"/>
        <s v="US &gt; Interest Propensities &gt; Activities and Interests &gt; Fashion"/>
        <s v="Mobile - US &gt; Travel &gt; Car Rentals &gt; Hertz"/>
        <s v="OnAudience &gt; Interest &gt; Arts &amp; Entertainment &gt; Celebrity Fan &gt; Gossip"/>
        <s v="Mobile - US &gt; Device Ownership &gt; Smartphones &gt; ZTE"/>
        <s v="US &gt; Brand Propensities &gt; Health &gt; Beauty and Cosmetics &gt; SkinCareRx Buyer Propensity"/>
        <s v="Mobile - US &gt; Food &gt; Restaurant &gt; Brand &gt; Five Guys"/>
        <s v="US &gt; Brand Propensities &gt; Health &gt; Beauty and Cosmetics &gt; Mary Kay Buyer Propensity"/>
        <s v="US Financial &gt; Estimated Discretionary Spending &gt; Greater than $2,500"/>
        <s v="US &gt; Interest Propensities &gt; Insurance &gt; Northwestern Mutual"/>
        <s v="Transactional &gt; Q2 Graduation Gift Shoppers"/>
        <s v="OnAudience &gt; Intent &gt; Auto &gt; Vehicle Parts &amp; Accessories"/>
        <s v="Lotame &gt; Offline CPG Purchasers &gt; Product Segment &gt; Home Supplies"/>
        <s v="Media and Entertainment &gt; Consumer Entertainment Technology"/>
        <s v="Online Behavior&gt;United States&gt;Autos and Vehicles &gt; Brands&gt;Cadillac"/>
        <s v="Lotame &gt; Travel &gt; International Travel"/>
        <s v="Online Behavior&gt;United States&gt;Validated Demographic &gt; Gender and Age Combined&gt;Females 35-44"/>
        <s v="Online Behavior&gt;United States&gt;B2B &gt; Occupation&gt;SystemsAnalyst"/>
        <s v="OnAudience &gt; Interest &gt; Personal Finance"/>
        <s v="Mobile - US &gt; Demographics &gt; Education &gt; Lowest Education Achievement"/>
        <s v="Mobile - US &gt; Food &gt; Restaurant &gt; Brand &gt; Buffalo Wild Wings"/>
        <s v="US Interest &gt; Cooking &gt; General"/>
        <s v="Travel and Tourism &gt; Interest (Affinity) &gt; Destinations &gt; Latin America"/>
        <s v="Online Behavior&gt;United States&gt;Intent &gt; Shopping&gt;Consumer Electronics &gt; Video Game Consoles"/>
        <s v="Online Behavior&gt;United States&gt;Intent &gt; Auto Buyers &gt; Category&gt;Motorcycle"/>
        <s v="US Financial &gt; Credit Card Type &gt; Credit Card Holder - Unknown Type"/>
        <s v="US &gt; Brand Propensities &gt; Travel &gt; Booking.com Buyer Propensity"/>
        <s v="US Financial &gt; Estimated Disposable Income &gt; $0 - $99,999"/>
        <s v="Online Behavior&gt;United States&gt;Autos and Vehicles&gt;Boats and Watercraft"/>
        <s v="Online Behavior&gt;United States&gt;Beauty and Fitness&gt;Fitness &gt; Yoga and Pilates"/>
        <s v="US &gt; Reach &gt; Propensity Models &gt; Hobbies and Interest &gt; Sports &gt; Fitness Enthusiasts"/>
        <s v="Online Behavior&gt;United States&gt;News&gt;Technology News"/>
        <s v="OnAudience &gt; Interest &gt; Sports"/>
        <s v="Online Behavior&gt;United States&gt;Travel&gt;Air Travel"/>
        <s v="Online Behavior&gt;United States&gt;Beauty and Fitness&gt;Body Art"/>
        <s v="Online Behavior&gt;United States&gt;Home and Garden&gt;Home Improvement"/>
        <s v="Online Behavior&gt;United States&gt;News&gt;Business News"/>
        <s v="Online Behavior&gt;United States&gt;Intent &gt; Auto Buyers &gt; Car Make&gt;Opel"/>
        <s v="Online Behavior&gt;United States&gt;The Changing Consumer&gt;Active Facebook Users"/>
        <s v="Online Behavior&gt;United States&gt;Validated Demographic &gt; Gender and Age Combined&gt;Females 65 or older"/>
        <s v="US &gt; B2B &gt; B2B Decision Maker Responsibilities &gt; Computer Hardware"/>
        <s v="US &gt; Brand Propensities &gt; Media and Entertainment &gt; Regal Cinemas Buyer Propensity"/>
        <s v="US &gt; Premium Entertainment and Pastimes &gt; Premium Magazine Enthusiasts"/>
        <s v="Mobile - US &gt; Device Ownership &gt; Smartphones &gt; iOS (Apple) &gt; iPhone X"/>
        <s v="Mobile - US &gt; Device Ownership &gt; Smartphones &gt; iOS (Apple) &gt; iPhone 11"/>
        <s v="Online Behavior&gt;United States&gt;Games&gt;Family-Oriented Games and Activities"/>
        <s v="Online Behavior&gt;United States&gt;Intent &gt; Shopping&gt;Sports and Outdoors"/>
        <s v="US &gt; Reach &gt; Propensity Models &gt; Lifestyle &gt; Loyalty Programs &gt; Loyalty Card User"/>
        <s v="Online Behavior&gt;United States&gt;Intent &gt; Shopping&gt;Consumer Electronics &gt; Tablets"/>
        <s v="Online Behavior&gt;United States&gt;Intent &gt; Auto Buyers &gt; Car Make&gt;BMW"/>
        <s v="Online Behavior&gt;United States&gt;Travel&gt;Tourist Destinations &gt; Lakes and Rivers"/>
        <s v="Online Behavior&gt;United States&gt;Online Communities&gt;Social Networks"/>
        <s v="Online Behavior&gt;United States&gt;Online Communities&gt;Photo and Video Sharing"/>
        <s v="Online Behavior&gt;United States&gt;Internet and Telecom&gt;Mobile and Wireless"/>
        <s v="Online Behavior&gt;United States&gt;Beauty and Fitness&gt;Fashion and Style &gt; Fashion Modeling"/>
        <s v="Online Behavior&gt;United States&gt;Games&gt;Educational Games"/>
        <s v="Online Behavior&gt;United States&gt;Sports&gt;Motor Sports"/>
        <s v="Online Behavior&gt;United States&gt;Autos and Vehicles &gt; Brands&gt;BMW"/>
        <s v="Online Behavior&gt;United States&gt;Food and Drink&gt;Beverages &gt; Bottled Water"/>
        <s v="US &gt; Reach &gt; Sociodemographic &gt; Age &gt; 45-49"/>
        <s v="Real Estate &gt; Sale Activity &gt; Just Sold"/>
        <s v="US &gt; Sociodemographic &gt; ConneXions Lifestage &gt; F1 Early Adopting Elite"/>
        <s v="OnAudience &gt; Interest &gt; Arts &amp; Entertainment &gt; Television"/>
        <s v="US Interest &gt; Consumer Electronics"/>
        <s v="US &gt; Interest Propensities &gt; Insurance &gt; Unitedhealth Group"/>
        <s v="US &gt; B2B &gt; B2B Decision Maker Responsibilities &gt; Marketing or Market Research"/>
        <s v="Online Behavior&gt;United States&gt;Arts and Entertainment&gt;Comics and Animation"/>
        <s v="US &gt; Interest Propensities &gt; Insurance &gt; Aetna Group"/>
        <s v="Online Behavior&gt;United States&gt;Finance &gt; Insurance&gt;Insurance"/>
        <s v="Online Behavior&gt;United States&gt;Food and Drink&gt;Beverages &gt; Coffee and Tea"/>
        <s v="Online Behavior&gt;United States&gt;Intent &gt; Auto Buyers &gt; Car Make&gt;Ford"/>
        <s v="Online Behavior&gt;United States&gt;Autos and Vehicles &gt; Brands&gt;Maserati"/>
        <s v="US &gt; Reach &gt; Sociodemographic &gt; Homeowner Status &gt; Renter"/>
        <s v="US &gt; B2B &gt; B2B Decision Maker Responsibilities &gt; HR or Personnel Services"/>
        <s v="US &gt; B2B &gt; B2B Decision Maker Responsibilities &gt; Sales"/>
        <s v="Mobile - US &gt; Travel &gt; Vacation Rentals &gt; HomeAway"/>
        <s v="OnAudience &gt; Interest &gt; News &gt; Local News"/>
        <s v="OnAudience &gt; Interest &gt; Arts &amp; Entertainment &gt; Music Lovers"/>
        <s v="US &gt; Sociodemographic &gt; PRIZM Premier Social &gt; T2 Country Comfort"/>
        <s v="Online Behavior&gt;United States&gt;Arts and Entertainment&gt;Movies"/>
        <s v="Online Behavior&gt;United States&gt;Intent &gt; Shopping&gt;Consumer Electronics &gt; Cameras and Photography Equip"/>
        <s v="Online Behavior&gt;United States&gt;Intent &gt; Travel&gt;Business Travel"/>
        <s v="US Home &gt; Dwelling Type &gt; Single-Family"/>
        <s v="OnAudience &gt; Interest &gt; Games"/>
        <s v="US &gt; Response Performance &gt; Direct Marketing Purchasers"/>
        <s v="Online Behavior&gt;United States&gt;Autos and Vehicles &gt; Brands&gt;Saab"/>
        <s v="Online Behavior&gt;United States&gt;Hobbies and Leisure&gt;Contests, Awards and Prizes"/>
        <s v="Online Behavior&gt;United States&gt;The Changing Consumer&gt;B2B Work from Home"/>
        <s v="US &gt; Sociodemographic &gt; ConneXions Lifestage &gt; M3 Offline Seniors"/>
        <s v="US &gt; Brand Propensities &gt; Apparel &gt; JCPenney Buyer Propensity"/>
        <s v="OnAudience &gt; Interest &gt; News &gt; National News"/>
        <s v="US &gt; Reach &gt; Propensity Models &gt; Hobbies and Interest &gt; Sports &gt; Plays Soccer"/>
        <s v="Online Behavior&gt;United States&gt;People and Society&gt;Seniors and Retirement"/>
        <s v="Media Source"/>
        <s v="Mobile - US &gt; Sports &gt; Water Sports &gt; Boating"/>
        <s v="Online Behavior&gt;United States&gt;Autos and Vehicles&gt;Hybrid and Alternative Vehicles"/>
        <s v="Mobile - US &gt; Travel &gt; Activity &gt; Ski Travelers"/>
        <s v="US &gt; Sociodemographic &gt; P$YCLE Premier Lifestage &gt; M3 Upscale Empty Nests"/>
        <s v="Online Behavior&gt;United States&gt;Intent &gt; Auto Buyers &gt; Car Make&gt;Dodge"/>
        <s v="Online Behavior&gt;United States&gt;Intent &gt; Auto Buyers &gt; Type&gt;SUV"/>
        <s v="Online Behavior&gt;United States&gt;Validated Demographic &gt; Age&gt;35-44"/>
        <s v="US Demographic &gt; Preferred Language &gt; Individual &gt; Non-Hispanic"/>
        <s v="Online Behavior&gt;United States&gt;Arts and Entertainment&gt;Celebrities and Entertainment News"/>
        <s v="OnAudience &gt; Intent &gt; Education"/>
        <s v="Online Behavior&gt;United States&gt;Intent &gt; Auto Buyers &gt; Car Make&gt;Mazda"/>
        <s v="Online Behavior&gt;United States&gt;Validated Demographic &gt; Gender and Age Combined&gt;Females 25-34"/>
        <s v="OnAudience &gt; Interest &gt; Technology &amp; Computing &gt; Internet Technology"/>
        <s v="Mobile - US &gt; Sports &gt; UFC Fans"/>
        <s v="Online Behavior&gt;United States&gt;Intent &gt; Shopping&gt;Auto Parts Stores"/>
        <s v="Online Behavior&gt;United States&gt;Autos and Vehicles &gt; Brands&gt;Ford"/>
        <s v="Lotame &gt; Technology &gt; Mobile Phones"/>
        <s v="Online Behavior&gt;United States&gt;Autos and Vehicles &gt; Brands&gt;Maybach"/>
        <s v="Online Behavior&gt;United States&gt;The Changing Consumer&gt;Online Retailers"/>
        <s v="Online Behavior&gt;United States&gt;Finance &gt; Financial Planning and Management&gt;Inheritance and Estate Planning"/>
        <s v="Lotame &gt; Travel &gt; Winter Holiday Travel"/>
        <s v="US &gt; Brand Propensities &gt; Home and Household Goods &gt; Pottery Barn Kids Buyer Propensity"/>
        <s v="Online Behavior&gt;United States&gt;Intent &gt; Shopping&gt;Drug Stores"/>
        <s v="Media and Entertainment &gt; Sports and Recreational Activities &gt; Interest (Affinity) &gt; Individual Sports &gt; Tennis and Racquet Sports"/>
        <s v="US &gt; Reach &gt; Propensity Models &gt; Hobbies and Interest &gt; Sports &gt; NBA Enthusiast"/>
        <s v="Mobile - US &gt; Device Ownership &gt; Smartphones &gt; Vivo"/>
        <s v="Lotame &gt; Style, Fashion &amp; Clothing &gt; Women's Clothing Shoppers"/>
        <s v="Online Behavior&gt;United States&gt;Intent &gt; Shopping&gt;Office Supplies"/>
        <s v="Online Behavior&gt;United States&gt;Validated Demographic &gt; Gender&gt;Male"/>
        <s v="Online Behavior&gt;United States&gt;The Changing Consumer&gt;Home Cooking"/>
        <s v="Online Behavior&gt;United States&gt;B2B &gt; Occupation&gt;Teacher"/>
        <s v="Online Behavior&gt;United States&gt;Finance &gt; Accounting and Auditing&gt;Bookkeeping"/>
        <s v="OnAudience &gt; Interest &gt; Arts &amp; Entertainment &gt; Fine Art"/>
        <s v="Lotame &gt; Technology &gt; Electronics &amp; Gadgets"/>
        <s v="OnAudience &gt; Intent &gt; Toys &amp; Games"/>
        <s v="Online Behavior&gt;United States&gt;Validated Demographic &gt; Age&gt;25 or older"/>
        <s v="Lotame &gt; Style, Fashion &amp; Clothing &gt; Children's Clothing Shoppers"/>
        <s v="Online Behavior&gt;United States&gt;Validated Demographic &gt; Gender and Age Combined&gt;Males 18-64"/>
        <s v="Online Behavior&gt;United States&gt;Food and Drink&gt;Beverages &gt; Soft Drinks"/>
        <s v="Online Behavior&gt;United States&gt;Validated Demographic &gt; Age&gt;25-34"/>
        <s v="US &gt; Reach &gt; Propensity Models &gt; Finance &gt; Credit &gt; Debit Card &gt; Major Credit Card User"/>
        <s v="Lotame &gt; Technology"/>
        <s v="US &gt; Reach &gt; Propensity Models &gt; Real Estate &gt; Mortgage Amount &gt; $120,000-$159,999"/>
        <s v="Online Behavior&gt;United States&gt;Food and Drink&gt;Restaurants &gt; Fast Food"/>
        <s v="Online Behavior&gt;United States&gt;Validated Demographic &gt; Age&gt;18-54"/>
        <s v="Online Behavior&gt;United States&gt;Travel&gt;Air Travel &gt; Airport Parking and Transportation"/>
        <s v="Online Behavior&gt;United States&gt;Sports&gt;Individual Sports &gt; Track and Field"/>
        <s v="Online Behavior&gt;United States&gt;Sports&gt;Individual Sports &gt; Bowling"/>
        <s v="Online Behavior&gt;United States&gt;Autos and Vehicles &gt; Brands&gt;SEAT"/>
        <s v="Online Behavior&gt;United States&gt;Intent &gt; Services&gt;Photography"/>
        <s v="Online Behavior&gt;United States&gt;Autos and Vehicles &gt; Brands&gt;Acura"/>
        <s v="Online Behavior&gt;United States&gt;The Changing Consumer&gt;Delivery Services and Quick Service Restaurants"/>
        <s v="Online Behavior&gt;United States&gt;Intent &gt; Auto Buyers &gt; Type&gt;Sedan"/>
        <s v="Online Behavior&gt;United States&gt;Finance &gt; Grants, Scholarships and Financial Aid&gt;Study Grants and Scholarships"/>
        <s v="Online Behavior&gt;United States&gt;Arts and Entertainment&gt;Events and Listings &gt; Food and Beverage Events"/>
        <s v="US &gt; Reach &gt; Propensity Models &gt; Hobbies and Interest &gt; Music &gt; Streaming"/>
        <s v="US &gt; B2B &gt; B2B Decision Maker Responsibilities &gt; Computer Software"/>
        <s v="US &gt; Brand Propensities &gt; Health &gt; Beauty and Cosmetics &gt; ULTA Buyer Propensity"/>
        <s v="US &gt; Home and Garden Interests &gt; House and Garden Merchandise Buyers"/>
        <s v="Lotame &gt; Offline CPG Purchasers &gt; Product Segment"/>
        <s v="US &gt; Brand Propensities &gt; Apparel &gt; Bare Necessities Buyer Propensity"/>
        <s v="Mobile - US &gt; Travel &gt; Destination &gt; International Travelers &gt; yes"/>
        <s v="US &gt; Brand Propensities &gt; Media and Entertainment &gt; Sony Network Entertainment International Buyer Propensity"/>
        <s v="Travel and Tourism &gt; Interest (Affinity) &gt; Destinations &gt; Europe"/>
        <s v="Online Behavior&gt;United States&gt;Finance &gt; Financial Planning and Management&gt;Financial Planning and Management"/>
        <s v="Online Behavior&gt;United States&gt;Beauty and Fitness&gt;Fitness"/>
        <s v="Online Behavior&gt;United States&gt;The Changing Consumer&gt;Data For Good &gt; Current Affairs - Social Justice"/>
        <s v="Online Behavior&gt;United States&gt;Sports&gt;Team Sports &gt; Rugby"/>
        <s v="Online Behavior&gt;United States&gt;Beauty and Fitness&gt;Fashion and Style &gt; Fashion Designers and Collections"/>
        <s v="Online Behavior&gt;United States&gt;Beauty and Fitness&gt;Weight Loss"/>
        <s v="Online Behavior&gt;United States&gt;Travel&gt;Travel Agencies and Services"/>
        <s v="Online Behavior&gt;United States&gt;Validated Demographic &gt; Gender and Age Combined&gt;Females 18-64"/>
        <s v="Online Behavior&gt;United States&gt;Travel&gt;Specialty Travel &gt; Agritourism"/>
        <s v="Online Behavior&gt;United States&gt;Validated Demographic &gt; Gender and Age Combined&gt;Females 25-64"/>
        <s v="Online Behavior&gt;United States&gt;The Changing Consumer&gt;Home Entertaining"/>
        <s v="Online Behavior&gt;United States&gt;Validated Demographic &gt; Gender and Age Combined&gt;Females 18-44"/>
        <s v="Online Behavior&gt;United States&gt;Food and Drink&gt;Restaurants"/>
        <s v="Online Behavior&gt;United States&gt;Sports&gt;Winter Sports &gt; Ice Skating"/>
        <s v="US &gt; Reach &gt; Propensity Models &gt; Hobbies and Interest &gt; Sports &gt; PGA Tour Enthusiast"/>
        <s v="US &gt; Sociodemographic &gt; ConneXions Lifestage &gt; M4 Elderly Traditionalists"/>
        <s v="US &gt; Reach &gt; Propensity Models &gt; Hobbies and Interest &gt; Sports &gt; NASCAR Enthusiast"/>
        <s v="Mobile - US &gt; Automotive &gt; Vehicle Ownership &gt; yes"/>
        <s v="US &gt; Brand Propensities &gt; Media and Entertainment &gt; Steam Community Buyer Propensity"/>
        <s v="OnAudience &gt; Interest &gt; Travel"/>
        <s v="US &gt; Brand Propensities &gt; Automotive &gt; Tirerack.com Buyer Propensity"/>
        <s v="Lotame &gt; Style, Fashion &amp; Clothing &gt; Clothing Shoppers"/>
        <s v="Transactional &gt; Q3 Home Entertainers"/>
        <s v="Travel and Tourism &gt; Interest (Affinity) &gt; Products &gt; Hotels and Lodging"/>
        <s v="US &gt; Demographic &gt; Family &gt; Households with 3 Adults"/>
        <s v="Online Behavior&gt;United States&gt;Intent &gt; Shopping&gt;Entertainment"/>
        <s v="Online Behavior&gt;United States&gt;The Changing Consumer&gt;Personal Budgeting"/>
        <s v="Mobile - US &gt; Food &gt; Restaurant &gt; Brand &gt; Moes Southwest Grill"/>
        <s v="Online Behavior&gt;United States&gt;Validated Demographic &gt; Gender and Age Combined&gt;Males 25-54"/>
        <s v="Online Behavior&gt;United States&gt;Travel&gt;Business Travel"/>
        <s v="US Financial &gt; Likely In Market Timing &gt; Not At All Likely to Purchase &gt; Second House/Residence In The Next Year (Financial)"/>
        <s v="Online Behavior&gt;United States&gt;Hobbies and Leisure&gt;Special Occasions &gt; Party Planning"/>
        <s v="Online Behavior&gt;United States&gt;Sports&gt;Individual Sports &gt; Skate Sports"/>
        <s v="US &gt; Reach &gt; Propensity Models &gt; Hobbies and Interest &gt; Sports &gt; NFL Enthusiast"/>
        <s v="Mobile - US &gt; Device Ownership &gt; Tablets &gt; yes"/>
        <s v="US &gt; Health and Wellbeing &gt; Health and Wellbeing"/>
        <s v="US &gt; Brand Propensities &gt; Telecom and Service Providers &gt; Page Plus Cellular Buyer Propensity"/>
        <s v="US &gt; Reach &gt; Propensity Models &gt; Hobbies and Interest &gt; Music &gt; Listens to Pop Music"/>
        <s v="Media and Entertainment &gt; Sports and Recreational Activities &gt; Interest (Affinity) &gt; Team Sports &gt; Soccer (Football)"/>
        <s v="Online Behavior&gt;United States&gt;B2B &gt; Occupation&gt;ElectricalEngineer"/>
        <s v="Online Behavior&gt;United States&gt;Beauty and Fitness&gt;Fashion and Style"/>
        <s v="Online Behavior&gt;United States&gt;Autos and Vehicles &gt; Brands&gt;Honda"/>
        <s v="Online Behavior&gt;United States&gt;Validated Demographic &gt; Age&gt;25-64"/>
        <s v="US &gt; Reach &gt; Propensity Models &gt; Household Consumer Expenditures &gt; Furniture"/>
        <s v="US &gt; Reach &gt; Propensity Models &gt; Hobbies and Interest &gt; Music &gt; Listens to Country Music"/>
        <s v="Online Behavior&gt;United States&gt;Intent &gt; Shopping&gt;Wireless Providers"/>
        <s v="Online Behavior&gt;United States&gt;Hobbies and Leisure&gt;Outdoors &gt; Fishing"/>
        <s v="Online Behavior&gt;United States&gt;Autos and Vehicles &gt; Brands&gt;Volkswagen"/>
        <s v="Online Behavior&gt;United States&gt;Autos and Vehicles &gt; Brands&gt;Jaguar"/>
        <s v="US &gt; Interest Propensities &gt; Celebrities &gt; Celebrity Fan Gossip"/>
        <s v="US &gt; Interest Propensities &gt; Insurance &gt; Humana"/>
        <s v="US &gt; Interest Propensities &gt; Activities and Interests &gt; B2B Job Search"/>
        <s v="Online Behavior&gt;United States&gt;Autos and Vehicles &gt; Brands&gt;Bugatti"/>
        <s v="Media and Entertainment &gt; Gaming &gt; In-Market"/>
        <s v="Media and Entertainment &gt; Events and Attractions"/>
        <s v="Online Behavior&gt;United States&gt;Finance &gt; Banking&gt;Banking"/>
        <s v="Online Behavior&gt;United States&gt;Finance &gt; Credit and Lending&gt;Credit and Lending"/>
        <s v="Online Behavior&gt;United States&gt;Finance &gt; Investing&gt;Investing"/>
        <s v="Online Behavior&gt;United States&gt;Beauty and Fitness&gt;Hair Care"/>
        <s v="Online Behavior&gt;United States&gt;Life Event&gt;College Graduation"/>
        <s v="Online Behavior&gt;United States&gt;The Changing Consumer&gt;Happy at Home"/>
        <s v="Online Behavior&gt;United States&gt;Sports&gt;Team Sports &gt; American Football"/>
        <s v="Online Behavior&gt;United States&gt;Autos and Vehicles&gt;Electric and Plug-In Vehicles"/>
        <s v="Online Behavior&gt;United States&gt;Intent &gt; Shopping&gt;Home and Garden"/>
        <s v="Online Behavior&gt;United States&gt;Intent &gt; Auto Buyers &gt; Type&gt;Truck"/>
        <s v="Online Behavior&gt;United States&gt;Intent &gt; Shopping&gt;Consumer Electronics &gt; Televisions/TVs"/>
        <s v="Online Behavior&gt;United States&gt;Intent &gt; Services&gt;Arts and Entertainment"/>
        <s v="Online Behavior&gt;United States&gt;Sports&gt;Individual Sports &gt; Cycling"/>
        <s v="Online Behavior&gt;United States&gt;Autos and Vehicles &gt; Brands&gt;Porsche"/>
        <s v="Online Behavior&gt;United States&gt;Beauty and Fitness&gt;Spas and Beauty Services &gt; Massage Therapy"/>
        <s v="Online Behavior&gt;United States&gt;Arts and Entertainment&gt;TV and Video"/>
        <s v="Online Behavior&gt;United States&gt;Autos and Vehicles &gt; Brands&gt;Mitsubishi"/>
        <s v="Online Behavior&gt;United States&gt;Autos and Vehicles &gt; Brands&gt;GM-Daewoo"/>
        <s v="US &gt; Demo &gt; Age &gt; 65+"/>
        <s v="US &gt; Sociodemographic &gt; P$YCLE Premier Lifestage &gt; Y3 Fiscal Fledglings"/>
        <s v="OnAudience &gt; Interest &gt; News &amp; Magazines"/>
        <s v="US &gt; Brand Propensities &gt; Electronics &gt; RadioShack Buyer Propensity"/>
        <s v="US &gt; Interest Propensities &gt; Activities and Interests &gt; College Life"/>
        <s v="Lotame &gt; Social Media"/>
        <s v="US &gt; Reach &gt; Propensity Models &gt; Hobbies and Interest &gt; Pets &gt; Pet Enthusiast"/>
        <s v="US &gt; Financially in Charge &gt; Performance Score: Top 25%"/>
        <s v="OnAudience &gt; Intent &gt; Travel"/>
        <s v="Media and Entertainment &gt; Sports and Recreational Activities &gt; Interest (Affinity) &gt; Team Sports &gt; Football (American)"/>
        <s v="US Financial &gt; Likely Bank Account and Services &gt; Saving Account &gt; Personal or Join (Financial)"/>
        <s v="Online Behavior&gt;United States&gt;People and Society&gt;Family and Relationships &gt; Moms"/>
        <s v="Online Behavior&gt;United States&gt;Arts and Entertainment&gt;Events and Listings &gt; Live Sporting Events"/>
        <s v="Online Behavior&gt;United States&gt;Intent &gt; Financial Intent&gt;Banking"/>
        <s v="Online Behavior&gt;United States&gt;Finance &gt; Insurance&gt;Health Insurance"/>
        <s v="Media and Entertainment &gt; Sports and Recreational Activities &gt; Interest (Affinity) &gt; Olympics"/>
        <s v="US &gt; Brand Propensities &gt; Kids Products &gt; Disney Buyer Propensity"/>
        <s v="Online Behavior&gt;United States&gt;Arts and Entertainment&gt;Arts and Entertainment"/>
        <s v="Online Behavior&gt;United States&gt;Validated Demographic &gt; Gender and Age Combined&gt;Males 18-34"/>
        <s v="Online Behavior&gt;United States&gt;Finance &gt; Investing&gt;Commodities and Futures Trading"/>
        <s v="Online Behavior&gt;United States&gt;Autos and Vehicles&gt;Vehicle Shopping &gt; Fuel Economy and Gas Prices"/>
        <s v="Online Behavior&gt;United States&gt;Travel&gt;Travel Agencies and Services &gt; Tourist Boards and Visitor Centers"/>
        <s v="Online Behavior&gt;United States&gt;Beauty and Fitness&gt;Fitness &gt; Home Exercise"/>
        <s v="Media and Entertainment &gt; News and Current Events"/>
        <s v="US &gt; Interest Propensities &gt; Activities and Interests &gt; National News"/>
        <s v="US &gt; Interest Propensities &gt; TV and Movies &gt; Reality &gt; Game Shows"/>
        <s v="Online Behavior&gt;United States&gt;Hobbies and Leisure&gt;Crafts"/>
        <s v="Online Behavior&gt;United States&gt;Life Event&gt;Wedding Planning"/>
        <s v="Online Behavior&gt;United States&gt;Validated Demographic &gt; Gender and Age Combined&gt;Females 55-64"/>
        <s v="Online Behavior&gt;United States&gt;Home and Garden&gt;Home Appliances"/>
        <s v="OnAudience &gt; Interest &gt; Shopping"/>
        <s v="Media and Entertainment &gt; Sports and Recreational Activities &gt; Interest (Affinity) &gt; Team Sports &gt; Baseball"/>
        <s v="Media and Entertainment &gt; News and Current Events &gt; Online News Websites"/>
        <s v="Online Behavior&gt;United States&gt;Finance &gt; Investing&gt;Brokerages and Day Trading"/>
        <s v="US &gt; Reach &gt; Propensity Models &gt; Luxury Store Shoppers"/>
        <s v="Online Behavior&gt;United States&gt;Intent &gt; Auto Buyers &gt; Car Make&gt;Honda"/>
        <s v="Media and Entertainment &gt; Sports and Recreational Activities &gt; Interest (Affinity) &gt; Combat Sports"/>
        <s v="US &gt; Reach &gt; Propensity Models &gt; Travel &gt; High Frequency Travel &gt; Foreign Vacationer"/>
        <s v="Online Behavior&gt;United States&gt;Intent &gt; Auto Buyers &gt; Car Make&gt;Vauxhall"/>
        <s v="Online Behavior&gt;United States&gt;Intent &gt; Travel&gt;Flights"/>
        <s v="Online Behavior&gt;United States&gt;Home and Garden&gt;Home Furnishings"/>
        <s v="Tech Enthusiasts"/>
        <s v="US Interest &gt; Computers"/>
        <s v="US &gt; Brand Propensities &gt; Health &gt; Beauty and Cosmetics &gt; Beachbody Buyer Propensity"/>
        <s v="Media and Entertainment &gt; Audio and Video Streaming &gt; Streaming Video &gt; Interest (Affinity)"/>
        <s v="US &gt; Interest Propensities &gt; Insurance &gt; New York Life"/>
        <s v="OnAudience &gt; Interest &gt; Science &gt; Weather"/>
        <s v="Mobile - US &gt; Demographics &gt; Finance &gt; Rent Value &gt; Highest Rent Value"/>
        <s v="US &gt; AUTO &gt; Primary Vehicle &gt; Owned or Leased &gt; Company Car"/>
        <s v="Online Behavior&gt;United States&gt;Finance &gt; Credit and Lending&gt;Credit Cards"/>
        <s v="Online Behavior&gt;United States&gt;The Changing Consumer&gt;Trending TV Shows"/>
        <s v="Online Behavior&gt;United States&gt;Travel&gt;Hotels and Accommodations"/>
        <s v="Online Behavior&gt;United States&gt;Intent &gt; Shopping&gt;Fashion"/>
        <s v="Online Behavior&gt;United States&gt;The Changing Consumer&gt;Natural Disasters"/>
        <s v="Online Behavior&gt;United States&gt;Validated Demographic &gt; Gender and Age Combined&gt;Females 25-44"/>
        <s v="OnAudience &gt; Interest &gt; News"/>
        <s v="US &gt; Reach &gt; Propensity Models &gt; Online &gt; Home Office"/>
        <s v="US &gt; Brand Propensities &gt; Apparel &gt; TOMS Buyer Propensity"/>
        <s v="Mobile - US &gt; Financial Services &gt; Digital Payments &gt; Chase Pay"/>
        <s v="Transactional &gt; Q3 Casual Dining Restaurant Goers"/>
        <s v="Media and Entertainment &gt; Sports and Recreational Activities &gt; Interest (Affinity) &gt; Olympics &gt; Winter Olympics"/>
        <s v="Mobile - US &gt; Demographics &gt; Finance &gt; Rent Value &gt; Lowest Rent Value"/>
        <s v="US &gt; Brand Propensities &gt; Big Box Dollar Tree Buyer Propensity"/>
        <s v="Mobile - US &gt; Food &gt; Restaurant &gt; Brand &gt; Chilis"/>
        <s v="Online Behavior&gt;United States&gt;Finance &gt; Accounting and Auditing&gt;Tax Preparation and Planning"/>
        <s v="Online Behavior&gt;United States&gt;Beauty and Fitness&gt;Fitness &gt; Bodybuilding"/>
        <s v="Online Behavior&gt;United States&gt;Autos and Vehicles&gt;Vehicle Parts and Accessories"/>
        <s v="US &gt; Brand Propensities &gt; Food and Drug &gt; Postmates Buyer Propensity"/>
        <s v="Online Behavior&gt;United States&gt;Online Communities&gt;Online Goodies"/>
        <s v="Online Behavior&gt;United States&gt;Jobs and Education&gt;Jobs"/>
        <s v="Online Behavior&gt;United States&gt;Intent &gt; Auto Buyers &gt; Category&gt;Sport Cars"/>
        <s v="US &gt; Reach &gt; Propensity Models &gt; Hobbies and Interest &gt; Cultural Arts"/>
        <s v="US &gt; B2B &gt; B2B Decision Maker Responsibilities &gt; Internet Services"/>
        <s v="Mobile - US &gt; Device Ownership &gt; Smartphones &gt; iOS (Apple) &gt; yes"/>
        <s v="US &gt; B2B &gt; Purchase DM &gt; Technology Services, Hardware and &gt; or Software &gt; I am the sole decision maker"/>
        <s v="OnAudience &gt; Interest &gt; Education"/>
        <s v="OnAudience &gt; Intent &gt; Software"/>
        <s v="Online Behavior&gt;United States&gt;Home and Garden&gt;Kitchen and Dining"/>
        <s v="US &gt; Reach &gt; Propensity Models &gt; Hobbies and Interest &gt; Food and Drinks &gt; Eats at Family Restaurants"/>
        <s v="OnAudience &gt; Intent &gt; Baby &amp; Toddler &gt; Baby Toys"/>
        <s v="Media and Entertainment &gt; Television (TV)"/>
        <s v="Online Behavior&gt;United States&gt;Intent &gt; Auto Buyers &gt; Category&gt;Caravan"/>
        <s v="US &gt; Reach &gt; Propensity Models &gt; Hobbies and Interest &gt; Sports &gt; Hunting Enthusiasts"/>
        <s v="Online Behavior&gt;United States&gt;The Changing Consumer&gt;CPG"/>
        <s v="Online Behavior&gt;United States&gt;Internet and Telecom&gt;Web Apps and Online Tools"/>
        <s v="Online Behavior&gt;United States&gt;News&gt;Local News"/>
        <s v="Online Behavior&gt;United States&gt;Intent &gt; Auto Buyers &gt; Car Make&gt;Mercedes"/>
        <s v="Online Behavior&gt;United States&gt;Sports&gt;Individual Sports &gt; Golf"/>
        <s v="Online Behavior&gt;United States&gt;Food and Drink&gt;Beverages &gt; Juice"/>
        <s v="Online Behavior&gt;United States&gt;Autos and Vehicles &gt; Brands&gt;Isuzu"/>
        <s v="Online Behavior&gt;United States&gt;Internet and Telecom&gt;Web Services"/>
        <s v="Online Behavior&gt;United States&gt;Validated Demographic &gt; Gender and Age Combined&gt;Males 18-44"/>
        <s v="Online Behavior&gt;United States&gt;B2B &gt; Occupation&gt;ComputerProgrammer"/>
        <s v="US &gt; Reach &gt; Propensity Models &gt; Lifestyle &gt; Healthy Living"/>
        <s v="US &gt; Reach &gt; Propensity Models &gt; Hobbies and Interest &gt; Sports &gt; NHL Enthusiast"/>
        <s v="US &gt; Reach &gt; Propensity Models &gt; Hobbies and Interest &gt; Sports &gt; Fishing"/>
        <s v="US &gt; Interest Propensities &gt; Food and Drink &gt; American Cuisine"/>
        <s v="US &gt; Reach &gt; Propensity Models &gt; Finance &gt; Credit &gt; Debit Card &gt; Store Credit Card User"/>
        <s v="US &gt; Brand Propensities &gt; Apparel &gt; Shoebuy.com Buyer Propensity"/>
        <s v="Travel and Tourism &gt; In-Market"/>
        <s v="US &gt; Interest Propensities &gt; TV and Movies &gt; Network TV"/>
        <s v="US &gt; Sociodemographic &gt; P$YCLE Premier Lifestage &gt; F4 Working-Class USA"/>
        <s v="US &gt; B2B &gt; B2B Decision Maker Responsibilities &gt; Office Services or Moving"/>
        <s v="Telecommunications and Mobile Tech &gt; Mobile Devices and Connected Technology"/>
        <s v="US Home &gt; Property Type &gt; Single"/>
        <s v="US Health and Fitness &gt; Interest &gt; Exercise &gt; Health"/>
        <s v="OnAudience &gt; Interest &gt; Arts &amp; Entertainment &gt; Movies"/>
        <s v="OnAudience &gt; Interest &gt; Arts &amp; Entertainment"/>
        <s v="Online Behavior&gt;United States&gt;Validated Demographic &gt; Age&gt;18 or older"/>
        <s v="US &gt; Multibuyer Behaviors &gt; Entertainment &gt; Pastimes Multibuyer"/>
        <s v="US &gt; Sociodemographic &gt; PRIZM Premier Social &gt; C2 City Centers"/>
        <s v="Lotame &gt; Personal Finance &gt; Stocks"/>
        <s v="Online Behavior&gt;United States&gt;Autos and Vehicles &gt; Brands&gt;Citroen"/>
        <s v="OnAudience &gt; Intent &gt; Electronics &gt; Video Game Consoles"/>
        <s v="Online Behavior&gt;United States&gt;Sports&gt;Team Sports &gt; Baseball"/>
        <s v="Online Behavior&gt;United States&gt;Beauty and Fitness&gt;Fitness &gt; Gyms and Health Clubs"/>
        <s v="US &gt; Reach &gt; Propensity Models &gt; Hobbies and Interest &gt; Sports &gt; Plays Tennis"/>
        <s v="Lotame &gt; Style, Fashion &amp; Clothing"/>
        <s v="Online Behavior&gt;United States&gt;Intent &gt; Travel&gt;Graduation Trip"/>
        <s v="Lotame &gt; Online Shoppers &gt; Online Shoppers"/>
        <s v="US &gt; Reach &gt; Propensity Models &gt; Young Adult Clothing Shoppers"/>
        <s v="Purchase-Based"/>
        <s v="US &gt; Reach &gt; Propensity Models &gt; Online &gt; Electronics and Gadgets"/>
        <s v="US &gt; Interest Propensities &gt; Music &gt; Classic Rock"/>
        <s v="OnAudience &gt; Interest &gt; Social life"/>
        <s v="US Travel &gt; Likely Business Travel &gt; Number of Nights Stayed &gt; 0 Nights"/>
        <s v="US &gt;Price-Driven Traditionalist Audience"/>
        <s v="Online Behavior&gt;United States&gt;Intent &gt; Travel&gt;Luxury Travel"/>
        <s v="Media and Entertainment &gt; Television (TV) &gt; Viewership &gt; TV Genres &gt; Drama"/>
        <s v="US &gt; Sociodemographic &gt; ConneXions Lifestage &gt; Y2 Emerging Techies"/>
        <s v="US &gt; Automotive &gt; Auto Loyalists and Defectors &gt; Auto Make Defectors"/>
        <s v="Online Behavior&gt;United States&gt;Online Communities&gt;Blogging Resources and Services"/>
        <s v="US &gt; Brand Propensities &gt; Electronics &gt; Crutchfield Buyer Propensity"/>
        <s v="Online Behavior&gt;United States&gt;Intent &gt; Auto Buyers &gt; Car Make&gt;Subaru"/>
        <s v="Online Behavior&gt;United States&gt;Finance &gt; Grants, Scholarships and Financial Aid&gt;Government Grants"/>
        <s v="Online Behavior&gt;United States&gt;Autos and Vehicles &gt; Brands&gt;Mini"/>
        <s v="Online Behavior&gt;United States&gt;Autos and Vehicles &gt; Brands&gt;Buick"/>
        <s v="US Financial &gt; Likely In Market Timing &gt; Not At All Likely to Purchase &gt; First Home/Residence In The Next Year (Financial)"/>
        <s v="Transactional &gt; Q3 Gardening Shoppers"/>
        <s v="Online Behavior&gt;United States&gt;Travel&gt;Tourist Destinations &gt; Historical Sites and Buildings"/>
        <s v="Online Behavior&gt;United States&gt;The Changing Consumer&gt;Telehealth"/>
        <s v="Online Behavior&gt;United States&gt;Travel&gt;Carpooling and Vehicle Sharing"/>
        <s v="Online Behavior&gt;United States&gt;Law and Government&gt;Government"/>
        <s v="US &gt; B2B &gt; B2B Decision Maker Responsibilities &gt; Security Services"/>
        <s v="OnAudience &gt; Intent"/>
        <s v="US Financial &gt; Likely Credit Card &gt; Behavior &gt; Used for Personal Purposes"/>
        <s v="US &gt; Demographic &gt; Family &gt; Male Head of Household"/>
        <s v="US &gt; Reach &gt; Propensity Models &gt; Lifestyle &gt; Charities &gt; Contributes by Volunteering"/>
        <s v="OnAudience &gt; Interest &gt; Pets"/>
        <s v="OnAudience &gt; Interest &gt; Technology &amp; Computing &gt; Email"/>
        <s v="Online Behavior&gt;United States&gt;Autos and Vehicles &gt; Brands&gt;Lexus"/>
        <s v="Online Behavior&gt;United States&gt;The Changing Consumer&gt;Streaming Services"/>
        <s v="Online Behavior&gt;United States&gt;Autos and Vehicles &gt; Brands&gt;Pontiac"/>
        <s v="Online Behavior&gt;United States&gt;Home and Garden&gt;Bed and Bath"/>
        <s v="Media and Entertainment &gt; Connected TV and Over-the-Top (CTV and OTT)"/>
        <s v="US &gt; B2B &gt; B2B Decision Maker Responsibilities &gt; Television providers &gt; services"/>
        <s v="US &gt; B2B &gt; Purchase DM &gt; Technology Services, Hardware and &gt; or Software &gt; I make the final decision with input from staff &gt; management"/>
        <s v="Online Behavior&gt;United States&gt;Intent &gt; Auto Buyers &gt; Category&gt;Van"/>
        <s v="Online Behavior&gt;United States&gt;B2B &gt; Occupation&gt;Broker"/>
        <s v="Online Behavior&gt;United States&gt;The Changing Consumer&gt;DIY"/>
        <s v="US &gt; Reach &gt; Propensity Models &gt; Hobbies and Interest &gt; Sports &gt; Canoeing &gt; Kayaking"/>
        <s v="Online Behavior&gt;United States&gt;Finance &gt; Banking&gt;Debit and Checking Services"/>
        <s v="OnAudience &gt; Interest &gt; Society"/>
        <s v="Online Behavior&gt;United States&gt;Autos and Vehicles &gt; Brands&gt;Fiat"/>
        <s v="Mobile - US &gt; Automotive &gt; Repair &amp; Oil Change &gt; Intend"/>
        <s v="US &gt; Home Renovation &gt; Home Renovators"/>
        <s v="Online Behavior&gt;United States&gt;News&gt;Politics"/>
        <s v="Online Behavior&gt;United States&gt;Life Event&gt;Job Search"/>
        <s v="Online Behavior&gt;United States&gt;Food and Drink&gt;Restaurants &gt; Fine Dining"/>
        <s v="US &gt; Brand Propensities &gt; Apparel &gt; Lady Foot Locker Buyer Propensity"/>
        <s v="US &gt; Demographic &gt; Household Income $50k+"/>
        <s v="Mobile - US &gt; Food &gt; Restaurant &gt; Brand &gt; Red Lobster"/>
        <s v="US &gt; B2B &gt; B2B Decision Maker Responsibilities &gt; Print, Copy or Photo Services"/>
        <s v="Online Behavior&gt;United States&gt;Beauty and Fitness&gt;Face and Body Care &gt; Hygiene and Toiletries"/>
        <s v="Online Behavior&gt;United States&gt;Finance &gt; Banking&gt;Savings Accounts"/>
        <s v="Online Behavior&gt;United States&gt;Validated Demographic &gt; Gender and Age Combined&gt;Males 25-64"/>
        <s v="Mobile - US &gt; Gamers &gt; Online &gt; Users"/>
        <s v="US &gt; Interest Propensities &gt; Activities and Interests &gt; Buying and Selling Homes &gt; Real Estate"/>
        <s v="OnAudience &gt; Interest &gt; Shopping &gt; Luxurious Brands"/>
        <s v="Online Behavior&gt;United States&gt;Validated Demographic &gt; Gender and Age Combined&gt;Males 55-64"/>
        <s v="Restaurants"/>
        <s v="OnAudience &gt; Interest &gt; Hobbies &amp; Interests &gt; Art"/>
        <s v="Online Behavior&gt;United States&gt;Autos and Vehicles &gt; Brands&gt;Peugeot"/>
        <s v="OnAudience &gt; Interest"/>
        <s v="Real Estate &gt; Property Type&gt; Residential"/>
        <s v="Media Source &gt; LBDigital &gt; Open For Business B2B"/>
        <s v="Online Behavior&gt;United States&gt;Life Event&gt;Home Buying"/>
        <s v="OnAudience &gt; Intent &gt; Baby &amp; Toddler"/>
        <s v="Online Behavior&gt;United States&gt;Beauty and Fitness&gt;Fitness &gt; Fitness Equipment and Accessories"/>
        <s v="US Buying Channel Preference &gt; Online"/>
        <s v="Online Behavior&gt;United States&gt;Validated Demographic &gt; Age&gt;65 or older"/>
        <s v="US &gt;Made In America Audience"/>
        <s v="Online Behavior&gt;United States&gt;Intent &gt; Shopping&gt;Drug Stores &gt; Walgreens"/>
        <s v="Online Behavior&gt;United States&gt;Validated Demographic &gt; Gender and Age Combined&gt;Males 25 or older"/>
        <s v="Online Behavior&gt;United States&gt;Intent &gt; Auto Buyers &gt; Type&gt;Crossover"/>
        <s v="Online Behavior&gt;United States&gt;Intent &gt; Auto Buyers &gt; Car Make&gt;Peugeot"/>
        <s v="Purchase Behaviors &gt; Q2 Spring Cleaners"/>
        <s v="Mobile - US &gt; Automotive &gt; Vehicle Ownership &gt; Brand &gt; BMW"/>
        <s v="Mobile - US &gt; Food &gt; Restaurant &gt; Brand &gt; Krispy Kreme"/>
        <s v="Online Behavior&gt;United States&gt;Arts and Entertainment&gt;Events and Listings &gt; Concerts and Music Festivals"/>
        <s v="Online Behavior&gt;United States&gt;Home and Garden&gt;Yard and Patio"/>
        <s v="US &gt; Sociodemographic &gt; PRIZM Premier Lifestage &gt; F2 Young Accumulators"/>
        <s v="OnAudience &gt; Interest &gt; Food &amp; Drink"/>
        <s v="US &gt; Brand Propensities &gt; Travel &gt; MGM Resorts International Buyer Propensity"/>
        <s v="Online Behavior&gt;United States&gt;Law and Government&gt;Legal"/>
        <s v="Online Behavior&gt;United States&gt;Sports&gt;College Sports"/>
        <s v="Online Behavior&gt;United States&gt;B2B &gt; Occupation&gt;Entrepreneur"/>
        <s v="Online Behavior&gt;United States&gt;Food and Drink&gt;Cooking and Recipes"/>
        <s v="Online Behavior&gt;United States&gt;Online Communities&gt;Dating and Personals"/>
        <s v="Online Behavior&gt;United States&gt;Intent &gt; Shopping&gt;CPG� Home Care"/>
        <s v="Online Behavior&gt;United States&gt;Intent &gt; Financial Intent&gt;Insurance &gt; Auto"/>
        <s v="Online Behavior&gt;United States&gt;Intent &gt; Auto Buyers &gt; Car Make&gt;Jeep"/>
        <s v="Online Behavior&gt;United States&gt;Travel&gt;Specialty Travel"/>
        <s v="Online Behavior&gt;United States&gt;Hobbies and Leisure&gt;Clubs and Organizations"/>
        <s v="Online Behavior&gt;United States&gt;Autos and Vehicles &gt; Brands&gt;Kia"/>
        <s v="Online Behavior&gt;United States&gt;Internet and Telecom&gt;Search Engines"/>
        <s v="Online Behavior&gt;United States&gt;Internet and Telecom&gt;Web Portals"/>
        <s v="Online Behavior&gt;United States&gt;Validated Demographic &gt; Age&gt;25-54"/>
        <s v="Online Behavior&gt;United States&gt;Hobbies and Leisure&gt;Water Activities"/>
        <s v="Online Behavior&gt;United States&gt;Finance &gt; Insurance&gt;Travel Insurance"/>
        <s v="Online Behavior&gt;United States&gt;Intent &gt; Services&gt;Restaurants"/>
        <s v="Online Behavior&gt;United States&gt;Intent &gt; Travel&gt;Future Travel"/>
        <s v="Online Behavior&gt;United States&gt;Intent &gt; Shopping&gt;CPG� Cosmetics"/>
        <s v="Online Behavior&gt;United States&gt;Travel&gt;Travel Guides and Travelogues"/>
        <s v="Online Behavior&gt;United States&gt;The Changing Consumer&gt;Pet Adoption"/>
        <s v="Media and Entertainment"/>
        <s v="Retail"/>
        <s v="US &gt; Reach &gt; Propensity Models &gt; Hobbies and Interest &gt; Sports &gt; Boating"/>
        <s v="US &gt; Financially in Charge &gt; Performance Score: Top 50%"/>
        <s v="US &gt; Reach &gt; Propensity Models &gt; Online &gt; Pets"/>
        <s v="US &gt; Interest Propensities &gt; Insurance &gt; Lincoln Heritage"/>
        <s v="Real Estate &gt; Lot Size &gt; Cozy Outdoor Living Space (Less than  an Acre)"/>
        <s v="US Demographic &gt; Age &gt; Specialty Age Range &gt; 21+"/>
        <s v="US Mail Order Buyer"/>
        <s v="US &gt; Brand Propensities &gt; Big Box Dollar General Buyer Propensity"/>
        <s v="OnAudience &gt; Interest &gt; News &gt; International News"/>
        <s v="Mobile Audience &gt; Lifestyle &gt; Arts Enthusiasts"/>
        <s v="US &gt; Interest Propensities &gt; Music &gt; Hip Hop and Rap"/>
        <s v="Lotame &gt; Travel &gt; Thanksgiving Travel"/>
        <s v="US &gt; Sociodemographic &gt; ConneXions Lifestage &gt; F2 Suburban Spenders"/>
        <s v="Travel and Tourism &gt; Interest (Affinity) &gt; Destinations &gt; Africa"/>
        <s v="Purchase-Based &gt; Categories &gt; Office Supplies Buyers"/>
        <s v="Online Behavior&gt;United States&gt;Sports&gt;Extreme Sports"/>
        <s v="US Financial &gt; Likely Attitude and Behavior &gt; Completely Disagree &gt; When I Find A Financial Product/Service I Like I Typically Recommend It To People I Know (Financial)"/>
        <s v="Online Behavior&gt;United States&gt;Intent &gt; Auto Buyers&gt;New"/>
        <s v="Online Behavior&gt;United States&gt;The Changing Consumer&gt;Home Learning"/>
        <s v="Online Behavior&gt;United States&gt;B2B &gt; Occupation&gt;PropertyManager"/>
        <s v="US &gt; Entertainment and Pastimes &gt; Entertainment and Pastimes"/>
        <s v="Travel"/>
        <s v="US &gt; AUTO &gt; Auto Car Purchase Next Year &gt; Yes"/>
        <s v="US Financial &gt; Method of Payment &gt; Other"/>
        <s v="Online Behavior&gt;United States&gt;Arts and Entertainment&gt;Events and Listings &gt; Event Ticket Sales"/>
        <s v="Online Behavior&gt;United States&gt;Intent &gt; Travel&gt;Travel"/>
        <s v="US &gt;Quality-First Shopper Audience"/>
        <s v="US Demographic &gt; Preferred Language &gt; Non-Hispanic"/>
        <s v="Online Behavior&gt;United States&gt;News&gt;Weather"/>
        <s v="Mobile - US &gt; Sports &gt; Basketball &gt; NCAA College Basketball"/>
        <s v="Media and Entertainment &gt; Television (TV) &gt; Viewership"/>
        <s v="Online Behavior&gt;United States&gt;Intent &gt; Shopping&gt;Home Improvement"/>
        <s v="US &gt; Interest Propensities &gt; Activities and Interests &gt; Ecommerce"/>
        <s v="Online Behavior&gt;United States&gt;Autos and Vehicles &gt; Brands&gt;Vauxhall-Opel"/>
        <s v="Media and Entertainment &gt; Movies &gt; Enthusiasts"/>
        <s v="OnAudience &gt; Interest &gt; Technology &amp; Computing"/>
        <s v="Media and Entertainment &gt; Audio and Video Streaming &gt; Streaming Video"/>
        <s v="Online Behavior&gt;United States&gt;Intent &gt; Travel&gt;Budget Travel"/>
        <s v="Online Behavior&gt;United States&gt;Beauty and Fitness&gt;Spas and Beauty Services"/>
        <s v="Online Behavior&gt;United States&gt;Finance &gt; Accounting and Auditing&gt;Accounting and Auditing"/>
        <s v="Online Behavior&gt;United States&gt;Life Event&gt;University Graduation"/>
        <s v="Online Behavior&gt;United States&gt;Life Event&gt;College Applications"/>
        <s v="Online Behavior&gt;United States&gt;Games&gt;Arcade and Coin-Op Games"/>
        <s v="Online Behavior&gt;United States&gt;Life Event&gt;Movers"/>
        <s v="Online Behavior&gt;United States&gt;Intent &gt; Services&gt;Pets"/>
        <s v="Online Behavior&gt;United States&gt;Hobbies and Leisure&gt;Special Occasions &gt; Holidays and Seasonal Events"/>
        <s v="Online Behavior&gt;United States&gt;The Changing Consumer&gt;Virtual Events"/>
        <s v="Online Behavior&gt;United States&gt;Beauty and Fitness&gt;Beauty Pageants"/>
        <s v="Online Behavior&gt;United States&gt;Autos and Vehicles &gt; Brands&gt;Aston Martin"/>
        <s v="US &gt; Reach &gt; Propensity Models &gt; Hobbies and Interest &gt; Books &gt; E-Book Reader"/>
        <s v="US &gt; AUTO &gt; Decision Maker for Auto Purchase &gt; I was the sole decision-maker"/>
        <s v="US &gt; B2B &gt; B2B Decision Maker Responsibilities &gt; Purchasing Vehicles or Automobile Services"/>
        <s v="Media and Entertainment &gt; Audio and Video Streaming &gt; Streaming Video &gt; Interest (Affinity) &gt; Streaming Services"/>
        <s v="Mobile - US &gt; Demographics &gt; Education &gt; High Education Achievement"/>
        <s v="Media and Entertainment &gt; Sports and Recreational Activities &gt; Interest (Affinity) &gt; Individual Sports"/>
        <s v="US &gt; Interest Propensities &gt; TV and Movies &gt; Drama"/>
        <s v="US &gt; Interest Propensities &gt; Insurance &gt; Transamerica"/>
        <s v="Media &amp; Entertainment"/>
        <s v="US &gt; Brand Propensities &gt; Apparel &gt; The Men's Wearhouse Buyer Propensity"/>
        <s v="Travel and Tourism &gt; Interest (Affinity) &gt; Products &gt; Air Travel"/>
        <s v="OnAudience &gt; Interest &gt; Technology &amp; Computing &gt; Entertainment"/>
        <s v="US &gt; Brand Propensities &gt; Restaurants and Dining &gt; Seamless Buyer Propensity"/>
        <s v="Mobile - US &gt; Sports &gt; Motor Sports &gt; NASCAR"/>
        <s v="US &gt; Reach &gt; Propensity Models &gt; Hobbies and Interest &gt; Food and Drinks &gt; Coffee Connoisseurs"/>
        <s v="US &gt; Demographic &gt; Family &gt; Households with 2 Adults"/>
        <s v="US &gt; Interest Propensities &gt; Brands &gt; Big Box Retail"/>
        <s v="Travel and Tourism &gt; Interest (Affinity)"/>
        <s v="US &gt; Brand Propensities &gt; Media and Entertainment &gt; pokerstars.net Buyer Propensity"/>
        <s v="Online Behavior&gt;United States&gt;Intent &gt; Shopping&gt;Pet Food &gt; Dog"/>
        <s v="Online Behavior&gt;United States&gt;B2B &gt; Occupation&gt;Architect"/>
        <s v="Online Behavior&gt;United States&gt;Validated Demographic &gt; Gender&gt;Female"/>
        <s v="Online Behavior&gt;United States&gt;Beauty and Fitness&gt;Face and Body Care &gt; Make-Up and Cosmetics"/>
        <s v="US &gt; Multibuyer Behaviors &gt; Club &gt; Continuity Buyers"/>
        <s v="Online Behavior&gt;United States&gt;Travel&gt;Tourist Destinations &gt; Theme Parks"/>
        <s v="Online Behavior&gt;United States&gt;Food and Drink&gt;Beverages &gt; Beer"/>
        <s v="Online Behavior&gt;United States&gt;Arts and Entertainment&gt;Events and Listings &gt; Expos and Conventions"/>
        <s v="US &gt; Reach &gt; Sociodemographic &gt; Household Income &gt; $50,000-$74,999"/>
        <s v="US &gt; Brand Propensities &gt; Automotive &gt; Ford Credit Buyer Propensity"/>
        <s v="US Technology &gt; Social Media &gt; Likely Behavior &gt; Heavy Facebook User"/>
        <s v="US &gt; B2B &gt; B2B Decision Maker Responsibilities &gt; Real Estate Services"/>
        <s v="Transactional &gt; Q3 Fashion Shoppers"/>
        <s v="Lotame &gt; Style, Fashion &amp; Clothing &gt; Men's Clothing Shoppers"/>
      </sharedItems>
    </cacheField>
    <cacheField name=" " numFmtId="0">
      <sharedItems>
        <s v="Online Behavior"/>
        <s v="US "/>
        <s v="Real Estate "/>
        <s v="US Financial "/>
        <s v="OnAudience "/>
        <s v="Lotame "/>
        <s v="Media and Entertainment "/>
        <s v="Mobile - US "/>
        <s v="Telecommunications (Telco)"/>
        <s v="Travel and Tourism "/>
        <s v="Purchase Behaviors "/>
        <s v="US Interest "/>
        <s v="OnAudience"/>
        <s v="Telecommunications (Telco) "/>
        <s v="Transactional "/>
        <s v="US Home "/>
        <s v="Media Source"/>
        <s v="US Demographic "/>
        <s v="Tech Enthusiasts"/>
        <s v="Telecommunications and Mobile Tech "/>
        <s v="US Health and Fitness "/>
        <s v="Purchase-Based"/>
        <s v="US Travel "/>
        <s v="Restaurants"/>
        <s v="Media Source "/>
        <s v="US Buying Channel Preference "/>
        <s v="Media and Entertainment"/>
        <s v="Retail"/>
        <s v="US Mail Order Buyer"/>
        <s v="Mobile Audience "/>
        <s v="Purchase-Based "/>
        <s v="Travel"/>
        <s v="Media &amp; Entertainment"/>
        <s v="US Technology "/>
      </sharedItems>
    </cacheField>
    <cacheField name=" 2" numFmtId="0">
      <sharedItems containsBlank="1">
        <s v="United States"/>
        <s v=" Interest Propensities "/>
        <s v=" B2B "/>
        <s v=" Occupancy "/>
        <s v=" Likely Credit Card "/>
        <s v=" Intent "/>
        <s v=" Reach "/>
        <s v=" Travel "/>
        <s v=" Home and Garden Interests "/>
        <s v=" Demo "/>
        <s v=" Brand Propensities "/>
        <s v=" Sports and Recreational Activities "/>
        <s v=" Demographic "/>
        <s v=" Shopping "/>
        <s v=" Multibuyer Behaviors "/>
        <s v=" Response Performance "/>
        <s v=" Premium Gender "/>
        <m/>
        <s v=" Interest "/>
        <s v=" Estimated Discretionary Spending (Financial) "/>
        <s v=" AUTO "/>
        <s v=" Gaming "/>
        <s v=" Interest (Affinity) "/>
        <s v="Connected Impulse-Shopper Audience"/>
        <s v=" Personal Finance "/>
        <s v=" Food "/>
        <s v=" Q2 Environmentally Concerned Shoppers"/>
        <s v=" Connected TV and Over-the-Top (CTV and OTT) "/>
        <s v=" Likely Attitude and Behavior "/>
        <s v="Green Consumer Audience"/>
        <s v=" Home "/>
        <s v=" Audio and Video Streaming "/>
        <s v="Rural Improvement Fanatic"/>
        <s v=" Music"/>
        <s v=" Subscribers"/>
        <s v=" Sociodemographic "/>
        <s v=" Composite Segment "/>
        <s v=" Rent Amount "/>
        <s v=" Device Ownership "/>
        <s v=" Estimated Discretionary Spending "/>
        <s v=" Q2 Graduation Gift Shoppers"/>
        <s v=" Offline CPG Purchasers "/>
        <s v=" Consumer Entertainment Technology"/>
        <s v=" Demographics "/>
        <s v=" Cooking "/>
        <s v=" Credit Card Type "/>
        <s v=" Estimated Disposable Income "/>
        <s v=" Premium Entertainment and Pastimes "/>
        <s v=" Sale Activity "/>
        <s v=" Consumer Electronics"/>
        <s v=" Dwelling Type "/>
        <s v=" Sports "/>
        <s v=" Preferred Language "/>
        <s v=" Technology "/>
        <s v=" Style, Fashion &amp; Clothing "/>
        <s v=" Technology"/>
        <s v=" Automotive "/>
        <s v=" Q3 Home Entertainers"/>
        <s v=" Likely In Market Timing "/>
        <s v=" Health and Wellbeing "/>
        <s v=" Events and Attractions"/>
        <s v=" Social Media"/>
        <s v=" Financially in Charge "/>
        <s v=" Likely Bank Account and Services "/>
        <s v=" News and Current Events"/>
        <s v=" News and Current Events "/>
        <s v=" Computers"/>
        <s v=" Financial Services "/>
        <s v=" Q3 Casual Dining Restaurant Goers"/>
        <s v=" Television (TV)"/>
        <s v=" In-Market"/>
        <s v=" Mobile Devices and Connected Technology"/>
        <s v=" Property Type "/>
        <s v=" Style, Fashion &amp; Clothing"/>
        <s v=" Online Shoppers "/>
        <s v=" Likely Business Travel "/>
        <s v="Price-Driven Traditionalist Audience"/>
        <s v=" Television (TV) "/>
        <s v=" Q3 Gardening Shoppers"/>
        <s v=" Intent"/>
        <s v=" Connected TV and Over-the-Top (CTV and OTT)"/>
        <s v=" Home Renovation "/>
        <s v=" Gamers "/>
        <s v=" Interest"/>
        <s v=" Property Type"/>
        <s v=" LBDigital "/>
        <s v=" Online"/>
        <s v="Made In America Audience"/>
        <s v=" Q2 Spring Cleaners"/>
        <s v=" Lot Size "/>
        <s v=" Age "/>
        <s v=" Lifestyle "/>
        <s v=" Categories "/>
        <s v=" Entertainment and Pastimes "/>
        <s v=" Method of Payment "/>
        <s v="Quality-First Shopper Audience"/>
        <s v=" Movies "/>
        <s v=" Interest (Affinity)"/>
        <s v=" Social Media "/>
        <s v=" Q3 Fashion Shoppers"/>
      </sharedItems>
    </cacheField>
    <cacheField name=" 3" numFmtId="0">
      <sharedItems containsBlank="1">
        <s v="Validated Demographic "/>
        <s v="Finance "/>
        <s v="Hobbies and Leisure"/>
        <s v="Intent "/>
        <s v="Beauty and Fitness"/>
        <s v="Autos and Vehicles "/>
        <s v=" Brands "/>
        <s v=" B2B Decision Maker Responsibilities "/>
        <s v=" TV and Movies "/>
        <s v=" Owner Occupied"/>
        <s v=" Card in Own Name "/>
        <s v="People and Society"/>
        <s v=" Electronics "/>
        <s v="Arts and Entertainment"/>
        <s v=" Activities and Interests "/>
        <s v=" Sociodemographic "/>
        <s v=" Software "/>
        <s v="B2B "/>
        <s v=" Summer Travel"/>
        <s v=" Cooking "/>
        <s v=" Age "/>
        <s v=" Media and Entertainment "/>
        <s v="Sports"/>
        <s v=" Music "/>
        <s v=" Interest (Affinity) "/>
        <s v=" Family "/>
        <s v=" Travel "/>
        <s v=" Brand "/>
        <s v=" Animals &amp; Pet"/>
        <s v=" Paid with Credit Card"/>
        <s v=" Direct Marketing Responders"/>
        <s v="Games"/>
        <s v=" Insurance "/>
        <s v=" Premium Gender "/>
        <s v=" Propensity Models "/>
        <s v="Travel"/>
        <s v="Law and Government"/>
        <s v="Jobs and Education"/>
        <s v="News"/>
        <m/>
        <s v=" Purchase DM "/>
        <s v=" Careers"/>
        <s v=" Science "/>
        <s v=" Destination "/>
        <s v=" Greater than $2,499"/>
        <s v=" Primary Vehicle "/>
        <s v=" Destinations "/>
        <s v="Life Event"/>
        <s v="The Changing Consumer"/>
        <s v=" Estate Planning"/>
        <s v=" Restaurant "/>
        <s v=" Sporting Goods"/>
        <s v=" Oil &amp; Gas "/>
        <s v=" Shopping "/>
        <s v=" Streaming Television and Film Viewership "/>
        <s v=" Bank Selection "/>
        <s v=" Business"/>
        <s v=" Home Improvement "/>
        <s v="Real Estate"/>
        <s v=" Sporting Goods "/>
        <s v=" Interest (Affinity)"/>
        <s v=" Streaming Audio"/>
        <s v="Food and Drink"/>
        <s v=" Technology"/>
        <s v=" Social "/>
        <s v=" Business "/>
        <s v="Home and Garden"/>
        <s v=" P$YCLE Premier Lifestage "/>
        <s v=" Health "/>
        <s v="Internet and Telecom"/>
        <s v=" Women Born to Shop"/>
        <s v=" Sensible  Rentals ($1000-$3000)"/>
        <s v="Online Communities"/>
        <s v=" Decision Maker for Auto Purchase "/>
        <s v=" Life Stage"/>
        <s v=" Car Rentals "/>
        <s v=" Arts &amp; Entertainment "/>
        <s v=" Smartphones "/>
        <s v=" Greater than $2,500"/>
        <s v=" Auto "/>
        <s v=" Product Segment "/>
        <s v=" International Travel"/>
        <s v=" Personal Finance"/>
        <s v=" Education "/>
        <s v=" General"/>
        <s v=" Credit Card Holder - Unknown Type"/>
        <s v=" $0 - $99,999"/>
        <s v="Autos and Vehicles"/>
        <s v=" Sports"/>
        <s v=" Premium Magazine Enthusiasts"/>
        <s v=" Just Sold"/>
        <s v=" ConneXions Lifestage "/>
        <s v=" Vacation Rentals "/>
        <s v=" News "/>
        <s v=" PRIZM Premier Social "/>
        <s v=" Single-Family"/>
        <s v=" Games"/>
        <s v=" Direct Marketing Purchasers"/>
        <s v=" Apparel "/>
        <s v=" Water Sports "/>
        <s v=" Activity "/>
        <s v=" Individual "/>
        <s v=" Education"/>
        <s v=" Technology &amp; Computing "/>
        <s v=" UFC Fans"/>
        <s v=" Mobile Phones"/>
        <s v=" Winter Holiday Travel"/>
        <s v=" Home and Household Goods "/>
        <s v=" Women's Clothing Shoppers"/>
        <s v=" Electronics &amp; Gadgets"/>
        <s v=" Toys &amp; Games"/>
        <s v=" Children's Clothing Shoppers"/>
        <s v=" House and Garden Merchandise Buyers"/>
        <s v=" Product Segment"/>
        <s v=" Vehicle Ownership "/>
        <s v=" Travel"/>
        <s v=" Automotive "/>
        <s v=" Clothing Shoppers"/>
        <s v=" Products "/>
        <s v=" Not At All Likely to Purchase "/>
        <s v=" Tablets "/>
        <s v=" Health and Wellbeing"/>
        <s v=" Telecom and Service Providers "/>
        <s v=" Celebrities "/>
        <s v=" In-Market"/>
        <s v=" News &amp; Magazines"/>
        <s v=" Performance Score: Top 25%"/>
        <s v=" Saving Account "/>
        <s v=" Kids Products "/>
        <s v=" Shopping"/>
        <s v=" Online News Websites"/>
        <s v=" Streaming Video "/>
        <s v=" Finance "/>
        <s v=" News"/>
        <s v=" Digital Payments "/>
        <s v=" Big Box Dollar Tree Buyer Propensity"/>
        <s v=" Food and Drug "/>
        <s v=" Software"/>
        <s v=" Baby &amp; Toddler "/>
        <s v=" Food and Drink "/>
        <s v=" Single"/>
        <s v=" Exercise "/>
        <s v=" Arts &amp; Entertainment"/>
        <s v=" Entertainment "/>
        <s v=" Stocks"/>
        <s v=" Online Shoppers"/>
        <s v=" Social life"/>
        <s v=" Number of Nights Stayed "/>
        <s v=" Viewership "/>
        <s v=" Auto Loyalists and Defectors "/>
        <s v=" Behavior "/>
        <s v=" Pets"/>
        <s v=" Society"/>
        <s v=" Repair &amp; Oil Change "/>
        <s v=" Home Renovators"/>
        <s v=" Household Income $50k+"/>
        <s v=" Online "/>
        <s v=" Hobbies &amp; Interests "/>
        <s v=" Residential"/>
        <s v=" Open For Business B2B"/>
        <s v=" Baby &amp; Toddler"/>
        <s v=" PRIZM Premier Lifestage "/>
        <s v=" Food &amp; Drink"/>
        <s v=" Performance Score: Top 50%"/>
        <s v=" Cozy Outdoor Living Space (Less than  an Acre)"/>
        <s v=" Specialty Age Range "/>
        <s v=" Big Box Dollar General Buyer Propensity"/>
        <s v=" Arts Enthusiasts"/>
        <s v=" Thanksgiving Travel"/>
        <s v=" Office Supplies Buyers"/>
        <s v=" Completely Disagree "/>
        <s v=" Entertainment and Pastimes"/>
        <s v=" Auto Car Purchase Next Year "/>
        <s v=" Other"/>
        <s v=" Non-Hispanic"/>
        <s v=" Basketball "/>
        <s v=" Viewership"/>
        <s v=" Enthusiasts"/>
        <s v=" Technology &amp; Computing"/>
        <s v=" Streaming Video"/>
        <s v=" Restaurants and Dining "/>
        <s v=" Motor Sports "/>
        <s v=" Club "/>
        <s v=" Likely Behavior "/>
        <s v=" Men's Clothing Shoppers"/>
      </sharedItems>
    </cacheField>
    <cacheField name=" 4" numFmtId="0">
      <sharedItems containsBlank="1">
        <s v=" Gender and Age Combined"/>
        <s v=" Financial Planning and Management"/>
        <s v="Outdoors "/>
        <s v=" Auto Buyers "/>
        <s v="Fitness "/>
        <s v=" Brands"/>
        <s v=" Age"/>
        <s v=" Quick Service Restaurants"/>
        <s v=" Purchasing Utilities"/>
        <s v=" Sports TV"/>
        <m/>
        <s v=" Any major Credit/Debit Card (Financial)"/>
        <s v="Millennials"/>
        <s v=" Video "/>
        <s v="Events and Listings "/>
        <s v=" Local News"/>
        <s v=" Dwelling Type "/>
        <s v=" Video Game Software"/>
        <s v=" Occupation"/>
        <s v=" Food Enthusiasts"/>
        <s v=" 55-64"/>
        <s v=" wwe.com Buyer Propensity"/>
        <s v="Sports League "/>
        <s v=" Financial Services"/>
        <s v="Team Sports "/>
        <s v=" Country"/>
        <s v=" Team Sports "/>
        <s v="Face and Body Care "/>
        <s v=" Financial Aid"/>
        <s v=" Olympics "/>
        <s v=" Female Head of Household"/>
        <s v=" Sandals Resorts Buyer Propensity"/>
        <s v=" Old Navy"/>
        <s v="Computer and Video Games"/>
        <s v=" Insurance"/>
        <s v=" Dwelling Size "/>
        <s v=" MassMutual"/>
        <s v=" Males"/>
        <s v=" Hobbies and Interest "/>
        <s v="Specialty Travel "/>
        <s v="Tourist Destinations "/>
        <s v=" Investing"/>
        <s v="Public Safety"/>
        <s v="Education"/>
        <s v="Sports News"/>
        <s v=" Technology Services, Hardware and "/>
        <s v=" Choice Hotels Buyer Propensity"/>
        <s v=" Hotel Tonight Buyer Propensity"/>
        <s v=" Weather Forecast"/>
        <s v=" Motorsports"/>
        <s v=" International Travelers "/>
        <s v=" New or Used "/>
        <s v=" Video Games"/>
        <s v="Card Games"/>
        <s v=" North America"/>
        <s v=" Estimated Current Home Value "/>
        <s v=" International News"/>
        <s v="Bride"/>
        <s v="Engagement"/>
        <s v="Internet Connection"/>
        <s v=" Brand "/>
        <s v="Sporting Goods"/>
        <s v="Newspapers"/>
        <s v="Winter Sports "/>
        <s v=" Household Consumer Expenditures "/>
        <s v=" Shopping"/>
        <s v="Fantasy Sports"/>
        <s v=" QuickTrip"/>
        <s v=" Shopping Mall Buyers"/>
        <s v="Military"/>
        <s v="Bus and Rail"/>
        <s v=" North America "/>
        <s v=" OTT Movie Viewers "/>
        <s v=" Customer Service Very Important (Financial)"/>
        <s v="Individual Sports "/>
        <s v="Family and Relationships "/>
        <s v=" Real Estate "/>
        <s v=" Home Improvement Grouping"/>
        <s v="Apartments and Residential Rentals"/>
        <s v=" Team Sports"/>
        <s v="Direct to Consumer"/>
        <s v="Music and Audio"/>
        <s v=" Company Liability or Insurance"/>
        <s v=" Luxury Home Goods Store Shopper"/>
        <s v=" Employee Benefits"/>
        <s v=" American Airlines Buyer Propensity"/>
        <s v="Gaming Equipment"/>
        <s v="Travel"/>
        <s v="Restaurants "/>
        <s v=" Premium User Generated Content"/>
        <s v=" Economy"/>
        <s v=" Lifestyle "/>
        <s v=" Banking"/>
        <s v=" Travel"/>
        <s v="Homemaking and Interior Decor"/>
        <s v=" M2 Wealthy Achievers"/>
        <s v=" Beauty and Cosmetics "/>
        <s v="Email and Messaging"/>
        <s v="Car Rental and Taxi Services"/>
        <s v=" Style "/>
        <s v=" Advertising Services"/>
        <s v=" Accounting or Tax Services"/>
        <s v="Cosmetology and Beauty Professionals"/>
        <s v="Food and Grocery Retailers"/>
        <s v=" Credit and Lending"/>
        <s v="Tourist Destinations"/>
        <s v="New Parent"/>
        <s v=" Financial Intent"/>
        <s v="Homeowner"/>
        <s v="Cruises and Charters"/>
        <s v="File Sharing and Hosting"/>
        <s v="Food and Grocery Delivery"/>
        <s v=" I shared equally in the decision"/>
        <s v=" Office Supplies or Equipment"/>
        <s v=" Fashion"/>
        <s v=" Hertz"/>
        <s v=" Celebrity Fan "/>
        <s v=" ZTE"/>
        <s v=" Northwestern Mutual"/>
        <s v=" Vehicle Parts &amp; Accessories"/>
        <s v=" Home Supplies"/>
        <s v=" Lowest Education Achievement"/>
        <s v=" Latin America"/>
        <s v=" Booking.com Buyer Propensity"/>
        <s v="Boats and Watercraft"/>
        <s v="Technology News"/>
        <s v="Air Travel"/>
        <s v="Body Art"/>
        <s v="Home Improvement"/>
        <s v="Business News"/>
        <s v="Active Facebook Users"/>
        <s v=" Computer Hardware"/>
        <s v=" Regal Cinemas Buyer Propensity"/>
        <s v=" iOS (Apple) "/>
        <s v="Family-Oriented Games and Activities"/>
        <s v="Social Networks"/>
        <s v="Photo and Video Sharing"/>
        <s v="Mobile and Wireless"/>
        <s v="Fashion and Style "/>
        <s v="Educational Games"/>
        <s v="Motor Sports"/>
        <s v="Beverages "/>
        <s v=" Age "/>
        <s v=" F1 Early Adopting Elite"/>
        <s v=" Television"/>
        <s v=" Unitedhealth Group"/>
        <s v=" Marketing or Market Research"/>
        <s v="Comics and Animation"/>
        <s v=" Aetna Group"/>
        <s v=" Homeowner Status "/>
        <s v=" HR or Personnel Services"/>
        <s v=" Sales"/>
        <s v=" HomeAway"/>
        <s v=" Music Lovers"/>
        <s v=" T2 Country Comfort"/>
        <s v="Movies"/>
        <s v="Contests, Awards and Prizes"/>
        <s v="B2B Work from Home"/>
        <s v=" M3 Offline Seniors"/>
        <s v=" JCPenney Buyer Propensity"/>
        <s v=" National News"/>
        <s v="Seniors and Retirement"/>
        <s v=" Boating"/>
        <s v="Hybrid and Alternative Vehicles"/>
        <s v=" Ski Travelers"/>
        <s v=" M3 Upscale Empty Nests"/>
        <s v=" Non-Hispanic"/>
        <s v="Celebrities and Entertainment News"/>
        <s v=" Internet Technology"/>
        <s v="Online Retailers"/>
        <s v=" Pottery Barn Kids Buyer Propensity"/>
        <s v=" Individual Sports "/>
        <s v=" Vivo"/>
        <s v=" Gender"/>
        <s v="Home Cooking"/>
        <s v=" Accounting and Auditing"/>
        <s v=" Fine Art"/>
        <s v=" Finance "/>
        <s v="Air Travel "/>
        <s v=" Services"/>
        <s v="Delivery Services and Quick Service Restaurants"/>
        <s v=" Grants, Scholarships and Financial Aid"/>
        <s v=" Computer Software"/>
        <s v=" Bare Necessities Buyer Propensity"/>
        <s v=" Sony Network Entertainment International Buyer Propensity"/>
        <s v=" Europe"/>
        <s v="Fitness"/>
        <s v="Data For Good "/>
        <s v="Weight Loss"/>
        <s v="Travel Agencies and Services"/>
        <s v="Home Entertaining"/>
        <s v="Restaurants"/>
        <s v=" M4 Elderly Traditionalists"/>
        <s v=" yes"/>
        <s v=" Steam Community Buyer Propensity"/>
        <s v=" Tirerack.com Buyer Propensity"/>
        <s v=" Hotels and Lodging"/>
        <s v=" Households with 3 Adults"/>
        <s v="Personal Budgeting"/>
        <s v="Business Travel"/>
        <s v=" Second House/Residence In The Next Year (Financial)"/>
        <s v="Special Occasions "/>
        <s v=" Page Plus Cellular Buyer Propensity"/>
        <s v="Fashion and Style"/>
        <s v=" Celebrity Fan Gossip"/>
        <s v=" Humana"/>
        <s v=" B2B Job Search"/>
        <s v="Hair Care"/>
        <s v="College Graduation"/>
        <s v="Happy at Home"/>
        <s v="Electric and Plug-In Vehicles"/>
        <s v="Spas and Beauty Services "/>
        <s v="TV and Video"/>
        <s v=" 65+"/>
        <s v=" Y3 Fiscal Fledglings"/>
        <s v=" RadioShack Buyer Propensity"/>
        <s v=" College Life"/>
        <s v=" Personal or Join (Financial)"/>
        <s v=" Olympics"/>
        <s v=" Disney Buyer Propensity"/>
        <s v="Arts and Entertainment"/>
        <s v="Vehicle Shopping "/>
        <s v="Travel Agencies and Services "/>
        <s v=" Reality "/>
        <s v="Crafts"/>
        <s v="Wedding Planning"/>
        <s v="Home Appliances"/>
        <s v=" Luxury Store Shoppers"/>
        <s v=" Combat Sports"/>
        <s v=" Travel "/>
        <s v="Home Furnishings"/>
        <s v=" Interest (Affinity)"/>
        <s v=" New York Life"/>
        <s v=" Weather"/>
        <s v=" Rent Value "/>
        <s v=" Owned or Leased "/>
        <s v="Trending TV Shows"/>
        <s v="Hotels and Accommodations"/>
        <s v="Natural Disasters"/>
        <s v=" Online "/>
        <s v=" TOMS Buyer Propensity"/>
        <s v=" Chase Pay"/>
        <s v="Vehicle Parts and Accessories"/>
        <s v=" Postmates Buyer Propensity"/>
        <s v="Online Goodies"/>
        <s v="Jobs"/>
        <s v=" Internet Services"/>
        <s v="Kitchen and Dining"/>
        <s v=" Baby Toys"/>
        <s v="CPG"/>
        <s v="Web Apps and Online Tools"/>
        <s v="Local News"/>
        <s v="Web Services"/>
        <s v=" American Cuisine"/>
        <s v=" Shoebuy.com Buyer Propensity"/>
        <s v=" Network TV"/>
        <s v=" F4 Working-Class USA"/>
        <s v=" Office Services or Moving"/>
        <s v=" Health"/>
        <s v=" Movies"/>
        <s v=" Pastimes Multibuyer"/>
        <s v=" C2 City Centers"/>
        <s v=" Video Game Consoles"/>
        <s v=" Young Adult Clothing Shoppers"/>
        <s v=" Classic Rock"/>
        <s v=" 0 Nights"/>
        <s v=" TV Genres "/>
        <s v=" Y2 Emerging Techies"/>
        <s v=" Auto Make Defectors"/>
        <s v="Blogging Resources and Services"/>
        <s v=" Crutchfield Buyer Propensity"/>
        <s v=" First Home/Residence In The Next Year (Financial)"/>
        <s v="Telehealth"/>
        <s v="Carpooling and Vehicle Sharing"/>
        <s v="Government"/>
        <s v=" Security Services"/>
        <s v=" Used for Personal Purposes"/>
        <s v=" Male Head of Household"/>
        <s v=" Email"/>
        <s v="Streaming Services"/>
        <s v="Bed and Bath"/>
        <s v=" Television providers "/>
        <s v="DIY"/>
        <s v=" Intend"/>
        <s v="Politics"/>
        <s v="Job Search"/>
        <s v=" Lady Foot Locker Buyer Propensity"/>
        <s v=" Print, Copy or Photo Services"/>
        <s v=" Users"/>
        <s v=" Buying and Selling Homes "/>
        <s v=" Luxurious Brands"/>
        <s v=" Art"/>
        <s v="Home Buying"/>
        <s v="Yard and Patio"/>
        <s v=" F2 Young Accumulators"/>
        <s v=" MGM Resorts International Buyer Propensity"/>
        <s v="Legal"/>
        <s v="College Sports"/>
        <s v="Cooking and Recipes"/>
        <s v="Dating and Personals"/>
        <s v="Specialty Travel"/>
        <s v="Clubs and Organizations"/>
        <s v="Search Engines"/>
        <s v="Web Portals"/>
        <s v="Water Activities"/>
        <s v="Travel Guides and Travelogues"/>
        <s v="Pet Adoption"/>
        <s v=" Lincoln Heritage"/>
        <s v=" 21+"/>
        <s v=" Hip Hop and Rap"/>
        <s v=" F2 Suburban Spenders"/>
        <s v=" Africa"/>
        <s v="Extreme Sports"/>
        <s v=" When I Find A Financial Product/Service I Like I Typically Recommend It To People I Know (Financial)"/>
        <s v=" Auto Buyers"/>
        <s v="Home Learning"/>
        <s v="Weather"/>
        <s v=" NCAA College Basketball"/>
        <s v=" Ecommerce"/>
        <s v="Spas and Beauty Services"/>
        <s v="University Graduation"/>
        <s v="College Applications"/>
        <s v="Arcade and Coin-Op Games"/>
        <s v="Movers"/>
        <s v="Virtual Events"/>
        <s v="Beauty Pageants"/>
        <s v=" I was the sole decision-maker"/>
        <s v=" Purchasing Vehicles or Automobile Services"/>
        <s v=" Interest (Affinity) "/>
        <s v=" High Education Achievement"/>
        <s v=" Individual Sports"/>
        <s v=" Drama"/>
        <s v=" Transamerica"/>
        <s v=" The Men's Wearhouse Buyer Propensity"/>
        <s v=" Air Travel"/>
        <s v=" Entertainment"/>
        <s v=" Seamless Buyer Propensity"/>
        <s v=" NASCAR"/>
        <s v=" Households with 2 Adults"/>
        <s v=" Big Box Retail"/>
        <s v=" pokerstars.net Buyer Propensity"/>
        <s v=" Continuity Buyers"/>
        <s v=" Household Income "/>
        <s v=" Ford Credit Buyer Propensity"/>
        <s v=" Heavy Facebook User"/>
        <s v=" Real Estate Services"/>
      </sharedItems>
    </cacheField>
    <cacheField name=" 5" numFmtId="0">
      <sharedItems containsBlank="1">
        <s v="Females 25 or older"/>
        <s v="Retirement and Pension"/>
        <s v=" Equestrian"/>
        <s v=" Car Make"/>
        <s v=" Fitness Instruction and Personal Training"/>
        <s v="Jeep"/>
        <s v="Mercedes-Benz"/>
        <s v="Males 18-54"/>
        <s v="55-64"/>
        <m/>
        <s v=" Televisions"/>
        <s v=" Bars, Clubs and Nightlife"/>
        <s v=" Multi-family Dwelling Unit"/>
        <s v="Musician"/>
        <s v=" Type"/>
        <s v=" NFL"/>
        <s v=" Basketball"/>
        <s v=" Baseball "/>
        <s v=" Skin and Nail Care"/>
        <s v=" Summer Olympics"/>
        <s v=" MLB"/>
        <s v="Dodge"/>
        <s v="Home Insurance"/>
        <s v=" 1 Unit"/>
        <s v="MechanicalEngineer"/>
        <s v=" Food and Drinks "/>
        <s v=" Adventure Travel"/>
        <s v=" Zoos-Aquariums-Preserves"/>
        <s v=" NBA"/>
        <s v="Derivatives"/>
        <s v="Ferrari"/>
        <s v=" or Software "/>
        <s v=" Frequent Travelers"/>
        <s v=" Pre-owned"/>
        <s v="Rolls-Royce"/>
        <s v=" Photography"/>
        <s v=" $160,000-$199,999"/>
        <s v=" Volleyball"/>
        <s v=" Outback Steakhouse"/>
        <s v=" Skiing and Snowboarding"/>
        <s v=" Home Office"/>
        <s v="Consumer Electronics "/>
        <s v="18-64"/>
        <s v="Males 25-44"/>
        <s v=" United States"/>
        <s v=" Genre "/>
        <s v=" Running and Walking"/>
        <s v=" Parents"/>
        <s v=" Regional Parks and Gardens"/>
        <s v="Mazda"/>
        <s v=" Mountain and Ski Resorts"/>
        <s v="Females 45-54"/>
        <s v=" Sports "/>
        <s v=" Monthly Mortgage Payment "/>
        <s v=" Lawn and Garden"/>
        <s v="25-44"/>
        <s v=" Beaches and Islands"/>
        <s v="Volvo"/>
        <s v=" Premier League"/>
        <s v=" Unwanted Body and Facial Hair Removal"/>
        <s v=" Dining Guides"/>
        <s v=" Charities "/>
        <s v=" Kitchen"/>
        <s v="Asset and Portfolio Management"/>
        <s v="Females 18-54"/>
        <s v="ATMs and Branch Locations"/>
        <s v="Accommodation "/>
        <s v=" Bare Escentuals Buyer Propensity"/>
        <s v=" Desserts"/>
        <s v=" New"/>
        <s v="Cruises"/>
        <s v="Life Insurance"/>
        <s v="Drug Stores "/>
        <s v="Loans"/>
        <s v="Money Transfer and Wire Services"/>
        <s v="Stocks and Bonds"/>
        <s v=" Hiking and Camping"/>
        <s v="Loans and Credit"/>
        <s v=" Film Festivals"/>
        <s v="Student"/>
        <s v="LandRover"/>
        <s v=" NHL"/>
        <s v=" Pets "/>
        <s v=" Gossip"/>
        <s v=" SkinCareRx Buyer Propensity"/>
        <s v=" Five Guys"/>
        <s v=" Mary Kay Buyer Propensity"/>
        <s v="Cadillac"/>
        <s v="Females 35-44"/>
        <s v="SystemsAnalyst"/>
        <s v=" Buffalo Wild Wings"/>
        <s v=" Category"/>
        <s v=" Yoga and Pilates"/>
        <s v="Females 65 or older"/>
        <s v=" iPhone X"/>
        <s v=" iPhone 11"/>
        <s v="Sports and Outdoors"/>
        <s v=" Loyalty Programs "/>
        <s v=" Lakes and Rivers"/>
        <s v=" Fashion Modeling"/>
        <s v="BMW"/>
        <s v=" Bottled Water"/>
        <s v=" 45-49"/>
        <s v="Insurance"/>
        <s v=" Coffee and Tea"/>
        <s v="Maserati"/>
        <s v=" Renter"/>
        <s v="Business Travel"/>
        <s v="Saab"/>
        <s v="35-44"/>
        <s v="Females 25-34"/>
        <s v="Auto Parts Stores"/>
        <s v="Ford"/>
        <s v="Maybach"/>
        <s v="Inheritance and Estate Planning"/>
        <s v="Drug Stores"/>
        <s v=" Tennis and Racquet Sports"/>
        <s v="Office Supplies"/>
        <s v="Male"/>
        <s v="Teacher"/>
        <s v="Bookkeeping"/>
        <s v="25 or older"/>
        <s v="Males 18-64"/>
        <s v=" Soft Drinks"/>
        <s v="25-34"/>
        <s v=" Credit "/>
        <s v=" Mortgage Amount "/>
        <s v=" Fast Food"/>
        <s v="18-54"/>
        <s v=" Airport Parking and Transportation"/>
        <s v=" Track and Field"/>
        <s v=" Bowling"/>
        <s v="SEAT"/>
        <s v="Photography"/>
        <s v="Acura"/>
        <s v="Study Grants and Scholarships"/>
        <s v=" Food and Beverage Events"/>
        <s v=" Music "/>
        <s v=" ULTA Buyer Propensity"/>
        <s v=" yes"/>
        <s v="Financial Planning and Management"/>
        <s v=" Current Affairs - Social Justice"/>
        <s v=" Rugby"/>
        <s v=" Fashion Designers and Collections"/>
        <s v="Females 18-64"/>
        <s v=" Agritourism"/>
        <s v="Females 25-64"/>
        <s v="Females 18-44"/>
        <s v=" Ice Skating"/>
        <s v="Entertainment"/>
        <s v=" Moes Southwest Grill"/>
        <s v="Males 25-54"/>
        <s v=" Party Planning"/>
        <s v=" Skate Sports"/>
        <s v=" Soccer (Football)"/>
        <s v="ElectricalEngineer"/>
        <s v="Honda"/>
        <s v="25-64"/>
        <s v=" Furniture"/>
        <s v="Wireless Providers"/>
        <s v=" Fishing"/>
        <s v="Volkswagen"/>
        <s v="Jaguar"/>
        <s v="Bugatti"/>
        <s v="Banking"/>
        <s v="Credit and Lending"/>
        <s v="Investing"/>
        <s v=" American Football"/>
        <s v="Home and Garden"/>
        <s v="Arts and Entertainment"/>
        <s v=" Cycling"/>
        <s v="Porsche"/>
        <s v=" Massage Therapy"/>
        <s v="Mitsubishi"/>
        <s v="GM-Daewoo"/>
        <s v=" Football (American)"/>
        <s v=" Moms"/>
        <s v=" Live Sporting Events"/>
        <s v="Health Insurance"/>
        <s v="Males 18-34"/>
        <s v="Commodities and Futures Trading"/>
        <s v=" Fuel Economy and Gas Prices"/>
        <s v=" Tourist Boards and Visitor Centers"/>
        <s v=" Home Exercise"/>
        <s v=" Game Shows"/>
        <s v="Females 55-64"/>
        <s v=" Baseball"/>
        <s v="Brokerages and Day Trading"/>
        <s v=" High Frequency Travel "/>
        <s v="Flights"/>
        <s v=" Beachbody Buyer Propensity"/>
        <s v=" Highest Rent Value"/>
        <s v=" Company Car"/>
        <s v="Credit Cards"/>
        <s v="Fashion"/>
        <s v="Females 25-44"/>
        <s v=" Winter Olympics"/>
        <s v=" Lowest Rent Value"/>
        <s v=" Chilis"/>
        <s v="Tax Preparation and Planning"/>
        <s v=" Bodybuilding"/>
        <s v=" Cultural Arts"/>
        <s v=" Golf"/>
        <s v=" Juice"/>
        <s v="Isuzu"/>
        <s v="Males 18-44"/>
        <s v="ComputerProgrammer"/>
        <s v=" Healthy Living"/>
        <s v="18 or older"/>
        <s v="Citroen"/>
        <s v=" Gyms and Health Clubs"/>
        <s v="Graduation Trip"/>
        <s v=" Electronics and Gadgets"/>
        <s v="Luxury Travel"/>
        <s v=" Drama"/>
        <s v="Government Grants"/>
        <s v="Mini"/>
        <s v="Buick"/>
        <s v=" Historical Sites and Buildings"/>
        <s v="Lexus"/>
        <s v="Pontiac"/>
        <s v=" services"/>
        <s v="Broker"/>
        <s v="Debit and Checking Services"/>
        <s v="Fiat"/>
        <s v=" Fine Dining"/>
        <s v=" Red Lobster"/>
        <s v=" Hygiene and Toiletries"/>
        <s v="Savings Accounts"/>
        <s v="Males 25-64"/>
        <s v=" Real Estate"/>
        <s v="Males 55-64"/>
        <s v="Peugeot"/>
        <s v=" Fitness Equipment and Accessories"/>
        <s v="65 or older"/>
        <s v="Males 25 or older"/>
        <s v=" BMW"/>
        <s v=" Krispy Kreme"/>
        <s v=" Concerts and Music Festivals"/>
        <s v="Entrepreneur"/>
        <s v="CPG� Home Care"/>
        <s v="Insurance "/>
        <s v="Kia"/>
        <s v="25-54"/>
        <s v="Travel Insurance"/>
        <s v="Restaurants"/>
        <s v="Future Travel"/>
        <s v="CPG� Cosmetics"/>
        <s v=" Pets"/>
        <s v="New"/>
        <s v="PropertyManager"/>
        <s v=" Event Ticket Sales"/>
        <s v="Travel"/>
        <s v="Home Improvement"/>
        <s v="Vauxhall-Opel"/>
        <s v="Budget Travel"/>
        <s v="Accounting and Auditing"/>
        <s v="Pets"/>
        <s v=" Holidays and Seasonal Events"/>
        <s v="Aston Martin"/>
        <s v=" Books "/>
        <s v=" Streaming Services"/>
        <s v="Pet Food "/>
        <s v="Architect"/>
        <s v="Female"/>
        <s v=" Make-Up and Cosmetics"/>
        <s v=" Theme Parks"/>
        <s v=" Beer"/>
        <s v=" Expos and Conventions"/>
        <s v=" $50,000-$74,999"/>
      </sharedItems>
    </cacheField>
    <cacheField name=" 6" numFmtId="0">
      <sharedItems containsBlank="1">
        <m/>
        <s v="Audi Q"/>
        <s v="Luxury"/>
        <s v="Volkswagen"/>
        <s v=" Major League Baseball (MLB)"/>
        <s v=" Eats at Fast Food Restaurants"/>
        <s v=" I have no input into the final decision"/>
        <s v=" Wine Lovers"/>
        <s v="Nissan"/>
        <s v=" Computers, Laptops"/>
        <s v=" Crime Movie Streamers"/>
        <s v=" Avid Runners"/>
        <s v=" $800-$999"/>
        <s v=" High-end Spirit Drinkers"/>
        <s v="Toyota"/>
        <s v=" Contributes to Charities"/>
        <s v="Hyundai"/>
        <s v=" Hotels"/>
        <s v=" CVS"/>
        <s v=" Cat Owners"/>
        <s v=" Video Game Consoles"/>
        <s v="Motorcycle"/>
        <s v=" Fitness Enthusiasts"/>
        <s v="Opel"/>
        <s v=" Loyalty Card User"/>
        <s v=" Tablets"/>
        <s v="BMW"/>
        <s v="Ford"/>
        <s v=" Cameras and Photography Equip"/>
        <s v=" Plays Soccer"/>
        <s v="Dodge"/>
        <s v="SUV"/>
        <s v="Mazda"/>
        <s v=" NBA Enthusiast"/>
        <s v=" Debit Card "/>
        <s v=" $120,000-$159,999"/>
        <s v="Sedan"/>
        <s v=" Streaming"/>
        <s v=" PGA Tour Enthusiast"/>
        <s v=" NASCAR Enthusiast"/>
        <s v=" NFL Enthusiast"/>
        <s v=" Listens to Pop Music"/>
        <s v=" Listens to Country Music"/>
        <s v="Truck"/>
        <s v=" Televisions/TVs"/>
        <s v=" Pet Enthusiast"/>
        <s v="Honda"/>
        <s v=" Foreign Vacationer"/>
        <s v="Vauxhall"/>
        <s v="Sport Cars"/>
        <s v=" I am the sole decision maker"/>
        <s v=" Eats at Family Restaurants"/>
        <s v="Caravan"/>
        <s v=" Hunting Enthusiasts"/>
        <s v="Mercedes"/>
        <s v=" NHL Enthusiast"/>
        <s v=" Fishing"/>
        <s v=" Plays Tennis"/>
        <s v="Subaru"/>
        <s v=" Contributes by Volunteering"/>
        <s v=" I make the final decision with input from staff "/>
        <s v="Van"/>
        <s v=" Canoeing "/>
        <s v=" Walgreens"/>
        <s v="Crossover"/>
        <s v="Peugeot"/>
        <s v=" Auto"/>
        <s v="Jeep"/>
        <s v=" Boating"/>
        <s v=" E-Book Reader"/>
        <s v=" Coffee Connoisseurs"/>
        <s v=" Dog"/>
      </sharedItems>
    </cacheField>
    <cacheField name=" 7" numFmtId="0">
      <sharedItems containsBlank="1">
        <m/>
        <s v=" Major Credit Card User"/>
        <s v=" Store Credit Card User"/>
        <s v=" management"/>
        <s v=" Kayaking"/>
      </sharedItems>
    </cacheField>
    <cacheField name="Creative Size" numFmtId="0">
      <sharedItems>
        <s v="300x250"/>
        <s v="320x50"/>
        <s v="300x50"/>
      </sharedItems>
    </cacheField>
    <cacheField name="Creative Messaging" numFmtId="0">
      <sharedItems>
        <s v="Subscribe Today - 10% Discount"/>
        <s v="Sign up Today - 10% Off"/>
        <s v="Sign up Now - 10% Off"/>
        <s v="10% Discount - Ends 6/1"/>
      </sharedItems>
    </cacheField>
    <cacheField name="Location" numFmtId="0">
      <sharedItems>
        <s v="Los Angeles, California"/>
        <s v="Orlando-Daytona Beach, Florida"/>
        <s v="San Francisco, California"/>
        <s v="Grand Rapids-Kalamazoo, Michigan"/>
        <s v="Chicago, Illinois"/>
        <s v="Nashville, Tennessee"/>
        <s v="Champaign &amp; Springfield-Decatur,Illinois"/>
        <s v="Ft. Myers-Naples, Florida"/>
        <s v="Miami-Ft. Lauderdale, Florida"/>
        <s v="Tampa-St Petersburg (Sarasota), Florida"/>
        <s v="New York City, New York"/>
        <s v="Jacksonville, Florida"/>
        <s v="West Palm Beach-Ft. Pierce, Florida"/>
        <s v="Augusta, Georgia"/>
        <s v="Birmingham, Alabama"/>
        <s v="Flint-Saginaw-Bay City, Michigan"/>
        <s v="Tallahassee, Florida-Thomasville, Georgia"/>
        <s v="Tri-Cities, Tennessee-Virginia"/>
        <s v="South Bend-Elkhart, Indiana"/>
        <s v="Rockford, Illinois"/>
        <s v="Knoxville, Tennessee"/>
        <s v="Mobile, Alabama-Pensacola, Florida"/>
        <s v="Huntsville-Decatur (Florence), Alabama"/>
        <s v="Memphis, Tennessee"/>
        <s v="Lansing, Michigan"/>
        <s v="Charleston, South Carolina"/>
        <s v="Chattanooga, Tennessee"/>
        <s v="Ft. Wayne, Indiana"/>
        <s v="Savannah, Georgia"/>
        <s v="Peoria-Bloomington, Illinois"/>
        <s v="Lafayette, Indiana"/>
        <s v="Jackson, Mississippi"/>
        <s v="Panama City, Florida"/>
        <s v="Toledo, Ohio"/>
        <s v="Louisville, Kentucky"/>
        <s v="Shreveport, Louisiana"/>
        <s v="Hattiesburg-Laurel, Mississippi"/>
        <s v="Little Rock-Pine Bluff, Arkansas"/>
        <s v="Cincinnati, Ohio"/>
      </sharedItems>
    </cacheField>
    <cacheField name="App/URL" numFmtId="0">
      <sharedItems>
        <s v="abcnews.go.com"/>
        <s v="accuweather.com"/>
        <s v="activebeat.com"/>
        <s v="ajc.com"/>
        <s v="al.com"/>
        <s v="allrecipes.com"/>
        <s v="alotfinance.com"/>
        <s v="androidauthority.com"/>
        <s v="androidpolice.com"/>
        <s v="aol.com"/>
        <s v="apnews.com"/>
        <s v="att.yahoo.com"/>
        <s v="autotrader.com"/>
        <s v="a-z-animals.com"/>
        <s v="baseball.fantasysports.yahoo.com"/>
        <s v="baseball-reference.com"/>
        <s v="bbc.com"/>
        <s v="behindthevoiceactors.com"/>
        <s v="bestbuy.com"/>
        <s v="biblegateway.com"/>
        <s v="biblestudytools.com"/>
        <s v="billboard.com"/>
        <s v="bleacherbreaker.com"/>
        <s v="boattrader.com"/>
        <s v="boxrox.com"/>
        <s v="bridesblush.com"/>
        <s v="britannica.com"/>
        <s v="businessinsider.com"/>
        <s v="buzzfeed.com"/>
        <s v="calculator.net"/>
        <s v="cargurus.com"/>
        <s v="cars.com"/>
        <s v="carscoops.com"/>
        <s v="cbsnews.com"/>
        <s v="cbssports.com"/>
        <s v="cheapoair.com"/>
        <s v="cheezburger.com"/>
        <s v="chicagotribune.com"/>
        <s v="chocolatecoveredkatie.com"/>
        <s v="citationmachine.net"/>
        <s v="classmates.com"/>
        <s v="clutchpoints.com"/>
        <s v="cnbc.com"/>
        <s v="cnet.com"/>
        <s v="cnn.com"/>
        <s v="commercialappeal.com"/>
        <s v="culinaryhill.com"/>
        <s v="culturess.com"/>
        <s v="daily-choices.com"/>
        <s v="dailydot.com"/>
        <s v="dailyhodl.com"/>
        <s v="dailymail.co.uk/news"/>
        <s v="dailymail.co.uk/tvshowbiz"/>
        <s v="dexerto.com"/>
        <s v="dictionary.com"/>
        <s v="dinneratthezoo.com"/>
        <s v="dmv.org"/>
        <s v="doctoreport.com"/>
        <s v="doodle.com"/>
        <s v="dotesports.com"/>
        <s v="drugs.com"/>
        <s v="ebay.com"/>
        <s v="editorsnation.com"/>
        <s v="eenadu.net"/>
        <s v="eonline.com"/>
        <s v="espn.com"/>
        <s v="essentiallysports.com"/>
        <s v="evite.com"/>
        <s v="ew.com"/>
        <s v="factable.com"/>
        <s v="factinate.com"/>
        <s v="fandom.com"/>
        <s v="fandomwire.com"/>
        <s v="femanin.com"/>
        <s v="finance.yahoo.com"/>
        <s v="findagrave.com"/>
        <s v="finviz.com"/>
        <s v="firstcoastnews.com"/>
        <s v="flightaware.com"/>
        <s v="forbes.com"/>
        <s v="fortune.com"/>
        <s v="fox59.com"/>
        <s v="foxbusiness.com"/>
        <s v="foxnews.com"/>
        <s v="funnyand.com"/>
        <s v="gameofglam.com"/>
        <s v="gamerant.com"/>
        <s v="gamespot.com"/>
        <s v="gamingbible.com"/>
        <s v="geeksforgeeks.org"/>
        <s v="greatschools.org"/>
        <s v="greedyfinance.com"/>
        <s v="health.usnews.com"/>
        <s v="healthline.com"/>
        <s v="healthyrecipesblogs.com"/>
        <s v="heraldweekly.com"/>
        <s v="hindustantimes.com"/>
        <s v="historyallday.com"/>
        <s v="historycollection.com"/>
        <s v="homeaddict.io"/>
        <s v="homehacks.co"/>
        <s v="houseplans.net"/>
        <s v="icy-veins.com"/>
        <s v="iflscience.com"/>
        <s v="ign.com"/>
        <s v="insider.com"/>
        <s v="insidethemagic.net"/>
        <s v="investing.com"/>
        <s v="investmentguru.com"/>
        <s v="investopedia.com"/>
        <s v="jdpower.com"/>
        <s v="kbb.com"/>
        <s v="kiplinger.com"/>
        <s v="lensvid.com"/>
        <s v="livescience.com"/>
        <s v="lotterypost.com"/>
        <s v="m.timesofindia.com"/>
        <s v="macrumors.com"/>
        <s v="mail.aol.com"/>
        <s v="mail.yahoo.com"/>
        <s v="mapquest.com"/>
        <s v="marca.com"/>
        <s v="maxroll.gg"/>
        <s v="mayoclinic.org"/>
        <s v="medical-news.org"/>
        <s v="medicalnewstoday.com"/>
        <s v="merriam-webster.com"/>
        <s v="merriam-webster.com/dictionary"/>
        <s v="miamiherald.com"/>
        <s v="microsoftcasualgames.com"/>
        <s v="milb.com"/>
        <s v="mlb.com"/>
        <s v="mobileposse.com"/>
        <s v="moneyppl.com"/>
        <s v="motor-junkie.com"/>
        <s v="msn.com"/>
        <s v="my.yahoo.com"/>
        <s v="mydailymagazine.com"/>
        <s v="myfitnesspal.com"/>
        <s v="nba.com"/>
        <s v="nbcchicago.com"/>
        <s v="nbcdfw.com"/>
        <s v="nbcmiami.com"/>
        <s v="nbcnews.com"/>
        <s v="nbcsports.com"/>
        <s v="news.yahoo.com"/>
        <s v="newsharper.com"/>
        <s v="newsmemory.com"/>
        <s v="npr.org"/>
        <s v="nsfas-applications.co.za"/>
        <s v="nypost.com"/>
        <s v="nytimes.com"/>
        <s v="omnicalculator.com"/>
        <s v="onechicagocenter.com"/>
        <s v="outlook.live.com"/>
        <s v="pandora.com"/>
        <s v="people.com"/>
        <s v="phys.org"/>
        <s v="politico.com"/>
        <s v="poshland.com"/>
        <s v="ranker.com"/>
        <s v="realtor.com"/>
        <s v="redfin.com"/>
        <s v="reference.com"/>
        <s v="rent.com"/>
        <s v="repairlinkshop.com"/>
        <s v="reuters.com"/>
        <s v="rollingstone.com"/>
        <s v="rvtrader.com"/>
        <s v="sallysbakingaddiction.com"/>
        <s v="sciencealert.com"/>
        <s v="sciencesensei.com"/>
        <s v="scitechdaily.com"/>
        <s v="screenrant.com"/>
        <s v="seedsgames.com"/>
        <s v="semana.com"/>
        <s v="shareably.net"/>
        <s v="si.com"/>
        <s v="signin.ebay.com"/>
        <s v="signupgenius.com"/>
        <s v="slickdeals.net"/>
        <s v="sneakertoast.com"/>
        <s v="soaps.sheknows.com"/>
        <s v="sporcle.com"/>
        <s v="sportpirate.com"/>
        <s v="sports.yahoo.com"/>
        <s v="streetinsider.com"/>
        <s v="taboolanews.com"/>
        <s v="tasteofhome.com"/>
        <s v="tastesbetterfromscratch.com"/>
        <s v="techradar.com"/>
        <s v="thebigmansworld.com"/>
        <s v="thegamer.com"/>
        <s v="thehulltruth.com"/>
        <s v="thekrazycouponlady.com"/>
        <s v="therighthairstyles.com"/>
        <s v="thesaltymarshmallow.com"/>
        <s v="thesaurus.com"/>
        <s v="the-sun.com"/>
        <s v="timeanddate.com"/>
        <s v="todaysnyc.com"/>
        <s v="tomsguide.com"/>
        <s v="topclassactions.com"/>
        <s v="travelerdreams.com"/>
        <s v="tripadvisor.com"/>
        <s v="upworthy.com"/>
        <s v="usatoday.com"/>
        <s v="uscellular.com"/>
        <s v="usnews.com"/>
        <s v="usssa.com"/>
        <s v="w3schools.com"/>
        <s v="washingtonpost.com"/>
        <s v="weather.com"/>
        <s v="webmd.com"/>
        <s v="whatismyipaddress.com"/>
        <s v="wikihow.com"/>
        <s v="wizofawes.com"/>
        <s v="womenshealthmag.com"/>
        <s v="wordunscrambler.me"/>
        <s v="wsj.com"/>
        <s v="wsmv.com"/>
        <s v="wsvn.com"/>
        <s v="wunderground.com"/>
        <s v="yachtworld.com"/>
        <s v="yahoo.com"/>
        <s v="yellowpages.com"/>
        <s v="yourdailysportfix.com"/>
        <s v="yourroyals.com"/>
        <s v="zdnet.com"/>
        <s v="zillow.com"/>
        <s v="zone.msn.com"/>
      </sharedItems>
    </cacheField>
    <cacheField name="Exchange" numFmtId="0">
      <sharedItems>
        <s v="Google Ad Manager"/>
        <s v="PubMatic"/>
        <s v="Xandr - Monetize SSP (AppNexus)"/>
        <s v="Magnite DV+"/>
        <s v="BidSwitch"/>
        <s v="OpenX"/>
        <s v="Yahoo Exchange"/>
        <s v="Taboola"/>
        <s v="Index Exchange"/>
        <s v="Smart RTB+ (Smartadserver)"/>
        <s v="TripleLift"/>
        <s v="Yieldmo"/>
        <s v="Sharethrough"/>
        <s v="Sovrn"/>
        <s v="PulsePoint"/>
        <s v="GumGum"/>
        <s v="Kargo"/>
      </sharedItems>
    </cacheField>
    <cacheField name="Device Make" numFmtId="0">
      <sharedItems>
        <s v="Apple PC"/>
        <s v="Smartphone"/>
        <s v="Windows PC"/>
      </sharedItems>
    </cacheField>
    <cacheField name="Impressions" numFmtId="0">
      <sharedItems containsSemiMixedTypes="0" containsString="0" containsNumber="1" containsInteger="1">
        <n v="10524.0"/>
        <n v="18324.0"/>
        <n v="7862.0"/>
        <n v="10501.0"/>
        <n v="23156.0"/>
        <n v="23711.0"/>
        <n v="23965.0"/>
        <n v="14730.0"/>
        <n v="36863.0"/>
        <n v="213699.0"/>
        <n v="49936.0"/>
        <n v="15200.0"/>
        <n v="49250.0"/>
        <n v="10811.0"/>
        <n v="23829.0"/>
        <n v="19826.0"/>
        <n v="81905.0"/>
        <n v="16151.0"/>
        <n v="68704.0"/>
        <n v="76439.0"/>
        <n v="17833.0"/>
        <n v="16719.0"/>
        <n v="12592.0"/>
        <n v="14136.0"/>
        <n v="14489.0"/>
        <n v="20348.0"/>
        <n v="40447.0"/>
        <n v="14451.0"/>
        <n v="11668.0"/>
        <n v="19379.0"/>
        <n v="8716.0"/>
        <n v="11062.0"/>
        <n v="100800.0"/>
        <n v="12864.0"/>
        <n v="10992.0"/>
        <n v="14984.0"/>
        <n v="19093.0"/>
        <n v="43057.0"/>
        <n v="53561.0"/>
        <n v="67752.0"/>
        <n v="75161.0"/>
        <n v="12770.0"/>
        <n v="117713.0"/>
        <n v="26558.0"/>
        <n v="53464.0"/>
        <n v="13686.0"/>
        <n v="17752.0"/>
        <n v="32845.0"/>
        <n v="15322.0"/>
        <n v="18458.0"/>
        <n v="108559.0"/>
        <n v="106151.0"/>
        <n v="149618.0"/>
        <n v="114384.0"/>
        <n v="43367.0"/>
        <n v="113420.0"/>
        <n v="88293.0"/>
        <n v="26715.0"/>
        <n v="65380.0"/>
        <n v="130796.0"/>
        <n v="64892.0"/>
        <n v="210096.0"/>
        <n v="77313.0"/>
        <n v="188170.0"/>
        <n v="16808.0"/>
        <n v="21531.0"/>
        <n v="18313.0"/>
        <n v="10779.0"/>
        <n v="11325.0"/>
        <n v="9078.0"/>
        <n v="11511.0"/>
        <n v="14047.0"/>
        <n v="20278.0"/>
        <n v="12354.0"/>
        <n v="13132.0"/>
        <n v="35034.0"/>
        <n v="9946.0"/>
        <n v="8068.0"/>
        <n v="11919.0"/>
        <n v="35163.0"/>
        <n v="27202.0"/>
        <n v="59782.0"/>
        <n v="10066.0"/>
        <n v="11296.0"/>
        <n v="18633.0"/>
        <n v="37176.0"/>
        <n v="29251.0"/>
        <n v="36431.0"/>
        <n v="22004.0"/>
        <n v="16644.0"/>
        <n v="45285.0"/>
        <n v="16227.0"/>
        <n v="7409.0"/>
        <n v="17582.0"/>
        <n v="45711.0"/>
        <n v="48562.0"/>
        <n v="47394.0"/>
        <n v="66554.0"/>
        <n v="9730.0"/>
        <n v="69757.0"/>
        <n v="8862.0"/>
        <n v="7229.0"/>
        <n v="115544.0"/>
        <n v="48211.0"/>
        <n v="134847.0"/>
        <n v="35178.0"/>
        <n v="43117.0"/>
        <n v="510778.0"/>
        <n v="13700.0"/>
        <n v="13075.0"/>
        <n v="69540.0"/>
        <n v="65983.0"/>
        <n v="21478.0"/>
        <n v="9515.0"/>
        <n v="20548.0"/>
        <n v="94340.0"/>
        <n v="114723.0"/>
        <n v="14581.0"/>
        <n v="19461.0"/>
        <n v="27032.0"/>
        <n v="7628.0"/>
        <n v="7806.0"/>
        <n v="31443.0"/>
        <n v="29107.0"/>
        <n v="12451.0"/>
        <n v="12176.0"/>
        <n v="7472.0"/>
        <n v="42451.0"/>
        <n v="10677.0"/>
        <n v="8217.0"/>
        <n v="7530.0"/>
        <n v="272509.0"/>
        <n v="106392.0"/>
        <n v="9060.0"/>
        <n v="116926.0"/>
        <n v="45402.0"/>
        <n v="84306.0"/>
        <n v="88499.0"/>
        <n v="77748.0"/>
        <n v="10191.0"/>
        <n v="10093.0"/>
        <n v="9328.0"/>
        <n v="25532.0"/>
        <n v="28553.0"/>
        <n v="29393.0"/>
        <n v="39212.0"/>
        <n v="14137.0"/>
        <n v="7921.0"/>
        <n v="11025.0"/>
        <n v="14922.0"/>
        <n v="14553.0"/>
        <n v="10350.0"/>
        <n v="18028.0"/>
        <n v="12391.0"/>
        <n v="14917.0"/>
        <n v="9560.0"/>
        <n v="12606.0"/>
        <n v="18022.0"/>
        <n v="18401.0"/>
        <n v="18412.0"/>
        <n v="11697.0"/>
        <n v="12220.0"/>
        <n v="49415.0"/>
        <n v="1100942.0"/>
        <n v="221720.0"/>
        <n v="325152.0"/>
        <n v="680912.0"/>
        <n v="569171.0"/>
        <n v="27592.0"/>
        <n v="83957.0"/>
        <n v="161178.0"/>
        <n v="405957.0"/>
        <n v="161222.0"/>
        <n v="39163.0"/>
        <n v="39794.0"/>
        <n v="104538.0"/>
        <n v="262807.0"/>
        <n v="56945.0"/>
        <n v="102884.0"/>
        <n v="55692.0"/>
        <n v="63460.0"/>
        <n v="189462.0"/>
        <n v="61442.0"/>
        <n v="87287.0"/>
        <n v="77703.0"/>
        <n v="74436.0"/>
        <n v="435848.0"/>
        <n v="9210.0"/>
        <n v="12088.0"/>
        <n v="126337.0"/>
        <n v="229908.0"/>
        <n v="144088.0"/>
        <n v="37269.0"/>
        <n v="13326.0"/>
        <n v="10942.0"/>
        <n v="14011.0"/>
        <n v="13464.0"/>
        <n v="121991.0"/>
        <n v="95289.0"/>
        <n v="80408.0"/>
        <n v="82916.0"/>
        <n v="16354.0"/>
        <n v="9920.0"/>
        <n v="31243.0"/>
        <n v="39314.0"/>
        <n v="15252.0"/>
        <n v="7394.0"/>
        <n v="22259.0"/>
        <n v="21143.0"/>
        <n v="111624.0"/>
        <n v="95644.0"/>
        <n v="65238.0"/>
        <n v="115412.0"/>
        <n v="11375.0"/>
        <n v="27394.0"/>
        <n v="22690.0"/>
        <n v="76049.0"/>
        <n v="44505.0"/>
        <n v="286998.0"/>
        <n v="127090.0"/>
        <n v="232470.0"/>
        <n v="51056.0"/>
        <n v="52582.0"/>
        <n v="109567.0"/>
        <n v="74426.0"/>
        <n v="22163.0"/>
        <n v="25021.0"/>
        <n v="26304.0"/>
        <n v="13100.0"/>
        <n v="9533.0"/>
        <n v="12092.0"/>
        <n v="12710.0"/>
        <n v="9463.0"/>
        <n v="12136.0"/>
        <n v="15326.0"/>
        <n v="18095.0"/>
        <n v="119280.0"/>
        <n v="8204.0"/>
        <n v="88022.0"/>
        <n v="12879.0"/>
        <n v="69239.0"/>
        <n v="111884.0"/>
        <n v="20899.0"/>
        <n v="22800.0"/>
        <n v="15441.0"/>
        <n v="33069.0"/>
        <n v="54134.0"/>
        <n v="7583.0"/>
        <n v="12436.0"/>
        <n v="122086.0"/>
        <n v="63794.0"/>
        <n v="29323.0"/>
        <n v="38408.0"/>
        <n v="70134.0"/>
        <n v="51889.0"/>
        <n v="19951.0"/>
        <n v="91593.0"/>
        <n v="69722.0"/>
        <n v="76724.0"/>
        <n v="34959.0"/>
        <n v="9273.0"/>
        <n v="11681.0"/>
        <n v="17770.0"/>
        <n v="16202.0"/>
        <n v="13779.0"/>
        <n v="13183.0"/>
        <n v="109709.0"/>
        <n v="120902.0"/>
        <n v="45397.0"/>
        <n v="13293.0"/>
        <n v="12001.0"/>
        <n v="20537.0"/>
        <n v="8730.0"/>
        <n v="26820.0"/>
        <n v="9149.0"/>
        <n v="13655.0"/>
        <n v="17518.0"/>
        <n v="16580.0"/>
        <n v="14379.0"/>
        <n v="138904.0"/>
        <n v="99205.0"/>
        <n v="27473.0"/>
        <n v="7356.0"/>
        <n v="9261.0"/>
        <n v="19344.0"/>
        <n v="11672.0"/>
        <n v="8273.0"/>
        <n v="13833.0"/>
        <n v="22180.0"/>
        <n v="102905.0"/>
        <n v="89744.0"/>
        <n v="39705.0"/>
        <n v="23941.0"/>
        <n v="42759.0"/>
        <n v="115673.0"/>
        <n v="81486.0"/>
        <n v="31813.0"/>
        <n v="7687.0"/>
        <n v="17228.0"/>
        <n v="21482.0"/>
        <n v="9178.0"/>
        <n v="9040.0"/>
        <n v="96728.0"/>
        <n v="48947.0"/>
        <n v="58938.0"/>
        <n v="49014.0"/>
        <n v="69523.0"/>
        <n v="37717.0"/>
        <n v="16236.0"/>
        <n v="9222.0"/>
        <n v="8233.0"/>
        <n v="9014.0"/>
        <n v="9702.0"/>
        <n v="150457.0"/>
        <n v="190592.0"/>
        <n v="12868.0"/>
        <n v="9059.0"/>
        <n v="15904.0"/>
        <n v="7822.0"/>
        <n v="12214.0"/>
        <n v="141165.0"/>
        <n v="7514.0"/>
        <n v="30460.0"/>
        <n v="14083.0"/>
        <n v="100058.0"/>
        <n v="83854.0"/>
        <n v="103665.0"/>
        <n v="25889.0"/>
        <n v="39844.0"/>
        <n v="224359.0"/>
        <n v="15399.0"/>
        <n v="136733.0"/>
        <n v="198754.0"/>
        <n v="15033.0"/>
        <n v="92806.0"/>
        <n v="186702.0"/>
        <n v="69136.0"/>
        <n v="32173.0"/>
        <n v="88819.0"/>
        <n v="1323451.0"/>
        <n v="728841.0"/>
        <n v="1010148.0"/>
        <n v="1956642.0"/>
        <n v="23774.0"/>
        <n v="1083050.0"/>
        <n v="184622.0"/>
        <n v="742281.0"/>
        <n v="1720462.0"/>
        <n v="766674.0"/>
        <n v="207685.0"/>
        <n v="908899.0"/>
        <n v="470192.0"/>
        <n v="65257.0"/>
        <n v="31003.0"/>
        <n v="12988.0"/>
        <n v="562103.0"/>
        <n v="780475.0"/>
        <n v="7540.0"/>
        <n v="482834.0"/>
        <n v="19464.0"/>
        <n v="50838.0"/>
        <n v="679098.0"/>
        <n v="32436.0"/>
        <n v="11734.0"/>
        <n v="27371.0"/>
        <n v="21903.0"/>
        <n v="9725.0"/>
        <n v="45965.0"/>
        <n v="8944.0"/>
        <n v="14398.0"/>
        <n v="117879.0"/>
        <n v="22444.0"/>
        <n v="17645.0"/>
        <n v="9881.0"/>
        <n v="12148.0"/>
        <n v="18771.0"/>
        <n v="7402.0"/>
        <n v="38735.0"/>
        <n v="7320.0"/>
        <n v="90463.0"/>
        <n v="252170.0"/>
        <n v="68114.0"/>
        <n v="292578.0"/>
        <n v="39725.0"/>
        <n v="25206.0"/>
        <n v="7789.0"/>
        <n v="38396.0"/>
        <n v="10012.0"/>
        <n v="12459.0"/>
        <n v="32714.0"/>
        <n v="98509.0"/>
        <n v="37076.0"/>
        <n v="70506.0"/>
        <n v="921791.0"/>
        <n v="4154911.0"/>
        <n v="1222302.0"/>
        <n v="999915.0"/>
        <n v="1515751.0"/>
        <n v="1575592.0"/>
        <n v="458931.0"/>
        <n v="1601933.0"/>
        <n v="26270.0"/>
        <n v="12974.0"/>
        <n v="192201.0"/>
        <n v="29834.0"/>
        <n v="117518.0"/>
        <n v="3196231.0"/>
        <n v="109128.0"/>
        <n v="13946.0"/>
        <n v="335461.0"/>
        <n v="48436.0"/>
        <n v="58738.0"/>
        <n v="297347.0"/>
        <n v="80456.0"/>
        <n v="60412.0"/>
        <n v="171575.0"/>
        <n v="554980.0"/>
        <n v="321263.0"/>
        <n v="311753.0"/>
        <n v="96031.0"/>
        <n v="47931.0"/>
        <n v="177632.0"/>
        <n v="26784.0"/>
        <n v="21028.0"/>
        <n v="9238.0"/>
        <n v="39881.0"/>
        <n v="10883.0"/>
        <n v="50517.0"/>
        <n v="7248.0"/>
        <n v="10835.0"/>
        <n v="11476.0"/>
        <n v="92764.0"/>
        <n v="189571.0"/>
        <n v="14224.0"/>
        <n v="183208.0"/>
        <n v="20486.0"/>
        <n v="15047.0"/>
        <n v="41513.0"/>
        <n v="16503.0"/>
        <n v="52006.0"/>
        <n v="8420.0"/>
        <n v="63415.0"/>
        <n v="73544.0"/>
        <n v="16288.0"/>
        <n v="7695.0"/>
        <n v="15602.0"/>
        <n v="8000.0"/>
        <n v="13592.0"/>
        <n v="15588.0"/>
        <n v="14038.0"/>
        <n v="140359.0"/>
        <n v="25377.0"/>
        <n v="29092.0"/>
        <n v="73567.0"/>
        <n v="152881.0"/>
        <n v="16239.0"/>
        <n v="14932.0"/>
        <n v="13823.0"/>
        <n v="11214.0"/>
        <n v="19829.0"/>
        <n v="183230.0"/>
        <n v="113262.0"/>
        <n v="75531.0"/>
        <n v="102958.0"/>
        <n v="42755.0"/>
        <n v="264580.0"/>
        <n v="42833.0"/>
        <n v="481526.0"/>
        <n v="50183.0"/>
        <n v="21088.0"/>
        <n v="284783.0"/>
        <n v="21229.0"/>
        <n v="55274.0"/>
        <n v="8278.0"/>
        <n v="87245.0"/>
        <n v="24962.0"/>
        <n v="57168.0"/>
        <n v="58477.0"/>
        <n v="13202.0"/>
        <n v="8187.0"/>
        <n v="21280.0"/>
        <n v="81567.0"/>
        <n v="17620.0"/>
        <n v="31625.0"/>
        <n v="22175.0"/>
        <n v="56927.0"/>
        <n v="20165.0"/>
        <n v="22501.0"/>
        <n v="123430.0"/>
        <n v="268811.0"/>
        <n v="16669.0"/>
        <n v="9130.0"/>
        <n v="8097.0"/>
        <n v="65243.0"/>
        <n v="224877.0"/>
        <n v="109372.0"/>
        <n v="44889.0"/>
        <n v="42459.0"/>
        <n v="69928.0"/>
        <n v="40859.0"/>
        <n v="16978.0"/>
        <n v="10815.0"/>
        <n v="114194.0"/>
        <n v="15449.0"/>
        <n v="114267.0"/>
        <n v="65043.0"/>
        <n v="85280.0"/>
        <n v="51515.0"/>
        <n v="43666.0"/>
        <n v="48892.0"/>
        <n v="104814.0"/>
        <n v="64577.0"/>
        <n v="49412.0"/>
        <n v="11269.0"/>
        <n v="15318.0"/>
        <n v="10819.0"/>
        <n v="30714.0"/>
        <n v="37617.0"/>
        <n v="219088.0"/>
        <n v="15277.0"/>
        <n v="34278.0"/>
        <n v="13382.0"/>
        <n v="9319.0"/>
        <n v="16791.0"/>
        <n v="19334.0"/>
        <n v="25835.0"/>
        <n v="33650.0"/>
        <n v="13168.0"/>
        <n v="26415.0"/>
        <n v="13347.0"/>
        <n v="20885.0"/>
        <n v="11289.0"/>
        <n v="10389.0"/>
        <n v="62040.0"/>
        <n v="83537.0"/>
        <n v="81054.0"/>
        <n v="35043.0"/>
        <n v="14509.0"/>
        <n v="16325.0"/>
        <n v="10485.0"/>
        <n v="11561.0"/>
        <n v="18136.0"/>
        <n v="8437.0"/>
        <n v="7965.0"/>
        <n v="14350.0"/>
        <n v="24100.0"/>
        <n v="21599.0"/>
        <n v="35335.0"/>
        <n v="14763.0"/>
        <n v="47360.0"/>
        <n v="19408.0"/>
        <n v="46190.0"/>
        <n v="18537.0"/>
        <n v="12488.0"/>
        <n v="19212.0"/>
        <n v="37554.0"/>
        <n v="12510.0"/>
        <n v="15475.0"/>
        <n v="20572.0"/>
        <n v="16956.0"/>
        <n v="17075.0"/>
        <n v="9709.0"/>
        <n v="7769.0"/>
        <n v="28888.0"/>
        <n v="756687.0"/>
        <n v="56737.0"/>
        <n v="217824.0"/>
        <n v="9153.0"/>
        <n v="21962.0"/>
        <n v="12161.0"/>
        <n v="10653.0"/>
        <n v="8362.0"/>
        <n v="7531.0"/>
        <n v="11417.0"/>
        <n v="9157.0"/>
        <n v="15547.0"/>
        <n v="55445.0"/>
        <n v="18081.0"/>
        <n v="95655.0"/>
        <n v="57257.0"/>
        <n v="20417.0"/>
        <n v="57917.0"/>
        <n v="141157.0"/>
        <n v="247106.0"/>
        <n v="357707.0"/>
        <n v="48707.0"/>
        <n v="16372.0"/>
        <n v="14799.0"/>
        <n v="97346.0"/>
        <n v="44361.0"/>
        <n v="12280.0"/>
        <n v="22934.0"/>
        <n v="17317.0"/>
        <n v="11343.0"/>
        <n v="11043.0"/>
        <n v="21737.0"/>
        <n v="9362.0"/>
        <n v="16628.0"/>
        <n v="24875.0"/>
        <n v="10707.0"/>
        <n v="10386.0"/>
        <n v="16137.0"/>
        <n v="39373.0"/>
        <n v="47016.0"/>
        <n v="25539.0"/>
        <n v="186404.0"/>
        <n v="19549.0"/>
        <n v="17561.0"/>
        <n v="13608.0"/>
        <n v="446774.0"/>
        <n v="11607.0"/>
        <n v="72117.0"/>
        <n v="38070.0"/>
        <n v="32400.0"/>
        <n v="9867.0"/>
        <n v="1109184.0"/>
        <n v="686858.0"/>
        <n v="40929.0"/>
        <n v="210700.0"/>
        <n v="42884.0"/>
        <n v="96779.0"/>
        <n v="182114.0"/>
        <n v="207823.0"/>
        <n v="257862.0"/>
        <n v="26439.0"/>
        <n v="96508.0"/>
        <n v="198163.0"/>
        <n v="156427.0"/>
        <n v="61574.0"/>
        <n v="29856.0"/>
        <n v="100991.0"/>
        <n v="43327.0"/>
        <n v="212009.0"/>
        <n v="45668.0"/>
        <n v="654902.0"/>
        <n v="239164.0"/>
        <n v="564387.0"/>
        <n v="12512.0"/>
        <n v="68008.0"/>
        <n v="61848.0"/>
        <n v="232635.0"/>
        <n v="180353.0"/>
        <n v="78433.0"/>
        <n v="194833.0"/>
        <n v="197192.0"/>
        <n v="40519.0"/>
        <n v="254780.0"/>
        <n v="36543.0"/>
        <n v="292885.0"/>
        <n v="253577.0"/>
        <n v="14599.0"/>
        <n v="16175.0"/>
        <n v="42830.0"/>
        <n v="12209.0"/>
        <n v="7447.0"/>
        <n v="8545.0"/>
        <n v="12319.0"/>
        <n v="31359.0"/>
        <n v="15311.0"/>
        <n v="23488.0"/>
        <n v="11789.0"/>
        <n v="16142.0"/>
        <n v="37355.0"/>
        <n v="9404.0"/>
        <n v="13642.0"/>
        <n v="14693.0"/>
        <n v="9357.0"/>
        <n v="20459.0"/>
        <n v="17382.0"/>
        <n v="13466.0"/>
        <n v="23410.0"/>
        <n v="13713.0"/>
        <n v="10565.0"/>
        <n v="888037.0"/>
        <n v="1767940.0"/>
        <n v="1221746.0"/>
        <n v="120603.0"/>
        <n v="310255.0"/>
        <n v="818919.0"/>
        <n v="760502.0"/>
        <n v="571090.0"/>
        <n v="7584.0"/>
        <n v="84460.0"/>
        <n v="90123.0"/>
        <n v="1116343.0"/>
        <n v="276716.0"/>
        <n v="17049.0"/>
        <n v="74164.0"/>
        <n v="37227.0"/>
        <n v="556152.0"/>
        <n v="598460.0"/>
        <n v="421110.0"/>
        <n v="59296.0"/>
        <n v="307888.0"/>
        <n v="85965.0"/>
        <n v="335664.0"/>
        <n v="74516.0"/>
        <n v="263752.0"/>
        <n v="507889.0"/>
        <n v="61474.0"/>
        <n v="14890.0"/>
        <n v="61227.0"/>
        <n v="18516.0"/>
        <n v="11420.0"/>
        <n v="10906.0"/>
        <n v="7585.0"/>
        <n v="12692.0"/>
        <n v="318269.0"/>
        <n v="26212.0"/>
        <n v="20833.0"/>
        <n v="14181.0"/>
        <n v="304377.0"/>
        <n v="312206.0"/>
        <n v="9790.0"/>
        <n v="130602.0"/>
        <n v="10903.0"/>
      </sharedItems>
    </cacheField>
    <cacheField name="Clicks" numFmtId="0">
      <sharedItems containsSemiMixedTypes="0" containsString="0" containsNumber="1" containsInteger="1">
        <n v="55.0"/>
        <n v="60.0"/>
        <n v="20.0"/>
        <n v="90.0"/>
        <n v="73.0"/>
        <n v="69.0"/>
        <n v="270.0"/>
        <n v="88.0"/>
        <n v="116.0"/>
        <n v="126.0"/>
        <n v="220.0"/>
        <n v="25.0"/>
        <n v="75.0"/>
        <n v="39.0"/>
        <n v="54.0"/>
        <n v="185.0"/>
        <n v="100.0"/>
        <n v="61.0"/>
        <n v="35.0"/>
        <n v="63.0"/>
        <n v="37.0"/>
        <n v="101.0"/>
        <n v="177.0"/>
        <n v="50.0"/>
        <n v="110.0"/>
        <n v="49.0"/>
        <n v="40.0"/>
        <n v="78.0"/>
        <n v="84.0"/>
        <n v="97.0"/>
        <n v="122.0"/>
        <n v="147.0"/>
        <n v="174.0"/>
        <n v="280.0"/>
        <n v="374.0"/>
        <n v="111.0"/>
        <n v="212.0"/>
        <n v="66.0"/>
        <n v="98.0"/>
        <n v="164.0"/>
        <n v="299.0"/>
        <n v="260.0"/>
        <n v="333.0"/>
        <n v="255.0"/>
        <n v="208.0"/>
        <n v="300.0"/>
        <n v="214.0"/>
        <n v="590.0"/>
        <n v="191.0"/>
        <n v="490.0"/>
        <n v="43.0"/>
        <n v="86.0"/>
        <n v="21.0"/>
        <n v="33.0"/>
        <n v="44.0"/>
        <n v="74.0"/>
        <n v="10.0"/>
        <n v="67.0"/>
        <n v="145.0"/>
        <n v="250.0"/>
        <n v="70.0"/>
        <n v="95.0"/>
        <n v="108.0"/>
        <n v="80.0"/>
        <n v="190.0"/>
        <n v="56.0"/>
        <n v="130.0"/>
        <n v="150.0"/>
        <n v="184.0"/>
        <n v="169.0"/>
        <n v="45.0"/>
        <n v="199.0"/>
        <n v="30.0"/>
        <n v="412.0"/>
        <n v="160.0"/>
        <n v="450.0"/>
        <n v="155.0"/>
        <n v="1290.0"/>
        <n v="204.0"/>
        <n v="350.0"/>
        <n v="85.0"/>
        <n v="19.0"/>
        <n v="64.0"/>
        <n v="736.0"/>
        <n v="321.0"/>
        <n v="186.0"/>
        <n v="227.0"/>
        <n v="65.0"/>
        <n v="140.0"/>
        <n v="99.0"/>
        <n v="47.0"/>
        <n v="89.0"/>
        <n v="144.0"/>
        <n v="2984.0"/>
        <n v="499.0"/>
        <n v="854.0"/>
        <n v="2000.0"/>
        <n v="1354.0"/>
        <n v="492.0"/>
        <n v="874.0"/>
        <n v="500.0"/>
        <n v="113.0"/>
        <n v="347.0"/>
        <n v="684.0"/>
        <n v="152.0"/>
        <n v="478.0"/>
        <n v="203.0"/>
        <n v="175.0"/>
        <n v="1058.0"/>
        <n v="325.0"/>
        <n v="489.0"/>
        <n v="106.0"/>
        <n v="369.0"/>
        <n v="120.0"/>
        <n v="240.0"/>
        <n v="87.0"/>
        <n v="68.0"/>
        <n v="125.0"/>
        <n v="815.0"/>
        <n v="504.0"/>
        <n v="345.0"/>
        <n v="400.0"/>
        <n v="370.0"/>
        <n v="71.0"/>
        <n v="79.0"/>
        <n v="48.0"/>
        <n v="200.0"/>
        <n v="81.0"/>
        <n v="194.0"/>
        <n v="187.0"/>
        <n v="96.0"/>
        <n v="278.0"/>
        <n v="114.0"/>
        <n v="22.0"/>
        <n v="399.0"/>
        <n v="230.0"/>
        <n v="24.0"/>
        <n v="421.0"/>
        <n v="311.0"/>
        <n v="410.0"/>
        <n v="193.0"/>
        <n v="341.0"/>
        <n v="26.0"/>
        <n v="420.0"/>
        <n v="601.0"/>
        <n v="435.0"/>
        <n v="197.0"/>
        <n v="480.0"/>
        <n v="76.0"/>
        <n v="104.0"/>
        <n v="3414.0"/>
        <n v="2174.0"/>
        <n v="2874.0"/>
        <n v="4563.0"/>
        <n v="3984.0"/>
        <n v="180.0"/>
        <n v="1999.0"/>
        <n v="4865.0"/>
        <n v="1984.0"/>
        <n v="512.0"/>
        <n v="940.0"/>
        <n v="201.0"/>
        <n v="1450.0"/>
        <n v="2186.0"/>
        <n v="1269.0"/>
        <n v="124.0"/>
        <n v="390.0"/>
        <n v="15.0"/>
        <n v="9.0"/>
        <n v="650.0"/>
        <n v="812.0"/>
        <n v="2150.0"/>
        <n v="1254.0"/>
        <n v="3142.0"/>
        <n v="2748.0"/>
        <n v="3874.0"/>
        <n v="974.0"/>
        <n v="4265.0"/>
        <n v="8745.0"/>
        <n v="470.0"/>
        <n v="963.0"/>
        <n v="171.0"/>
        <n v="165.0"/>
        <n v="751.0"/>
        <n v="1542.0"/>
        <n v="852.0"/>
        <n v="763.0"/>
        <n v="170.0"/>
        <n v="485.0"/>
        <n v="46.0"/>
        <n v="320.0"/>
        <n v="620.0"/>
        <n v="42.0"/>
        <n v="223.0"/>
        <n v="352.0"/>
        <n v="426.0"/>
        <n v="58.0"/>
        <n v="666.0"/>
        <n v="380.0"/>
        <n v="117.0"/>
        <n v="691.0"/>
        <n v="1235.0"/>
        <n v="756.0"/>
        <n v="219.0"/>
        <n v="135.0"/>
        <n v="440.0"/>
        <n v="52.0"/>
        <n v="360.0"/>
        <n v="799.0"/>
        <n v="805.0"/>
        <n v="364.0"/>
        <n v="121.0"/>
        <n v="210.0"/>
        <n v="211.0"/>
        <n v="133.0"/>
        <n v="541.0"/>
        <n v="222.0"/>
        <n v="265.0"/>
        <n v="92.0"/>
        <n v="560.0"/>
        <n v="23.0"/>
        <n v="31.0"/>
        <n v="275.0"/>
        <n v="167.0"/>
        <n v="750.0"/>
        <n v="951.0"/>
        <n v="59.0"/>
        <n v="790.0"/>
        <n v="166.0"/>
        <n v="57.0"/>
        <n v="146.0"/>
        <n v="2085.0"/>
        <n v="142.0"/>
        <n v="704.0"/>
        <n v="600.0"/>
        <n v="700.0"/>
        <n v="351.0"/>
        <n v="469.0"/>
        <n v="286.0"/>
        <n v="555.0"/>
        <n v="1874.0"/>
        <n v="699.0"/>
        <n v="213.0"/>
        <n v="471.0"/>
        <n v="519.0"/>
        <n v="796.0"/>
        <n v="890.0"/>
        <n v="151.0"/>
        <n v="2841.0"/>
        <n v="4852.0"/>
        <n v="1245.0"/>
        <n v="298.0"/>
        <n v="970.0"/>
        <n v="1987.0"/>
        <n v="2140.0"/>
        <n v="1541.0"/>
        <n v="209.0"/>
        <n v="3104.0"/>
        <n v="241.0"/>
        <n v="1867.0"/>
        <n v="1654.0"/>
        <n v="984.0"/>
        <n v="863.0"/>
        <n v="233.0"/>
        <n v="702.0"/>
        <n v="823.0"/>
        <n v="13.0"/>
        <n v="105.0"/>
        <n v="914.0"/>
        <n v="77.0"/>
        <n v="801.0"/>
        <n v="841.0"/>
        <n v="269.0"/>
      </sharedItems>
    </cacheField>
    <cacheField name="Viewable Impressions" numFmtId="0">
      <sharedItems containsSemiMixedTypes="0" containsString="0" containsNumber="1" containsInteger="1">
        <n v="7601.0"/>
        <n v="3145.0"/>
        <n v="2152.0"/>
        <n v="4126.0"/>
        <n v="4468.0"/>
        <n v="4337.0"/>
        <n v="13608.0"/>
        <n v="1272.0"/>
        <n v="3570.0"/>
        <n v="18395.0"/>
        <n v="25461.0"/>
        <n v="5375.0"/>
        <n v="9205.0"/>
        <n v="988.0"/>
        <n v="8326.0"/>
        <n v="6511.0"/>
        <n v="61995.0"/>
        <n v="4360.0"/>
        <n v="31283.0"/>
        <n v="58269.0"/>
        <n v="8670.0"/>
        <n v="9944.0"/>
        <n v="7472.0"/>
        <n v="4683.0"/>
        <n v="12453.0"/>
        <n v="14945.0"/>
        <n v="16663.0"/>
        <n v="5606.0"/>
        <n v="7860.0"/>
        <n v="12168.0"/>
        <n v="6490.0"/>
        <n v="6539.0"/>
        <n v="14473.0"/>
        <n v="5549.0"/>
        <n v="6677.0"/>
        <n v="9614.0"/>
        <n v="9626.0"/>
        <n v="23767.0"/>
        <n v="37063.0"/>
        <n v="47126.0"/>
        <n v="40385.0"/>
        <n v="6224.0"/>
        <n v="16357.0"/>
        <n v="15761.0"/>
        <n v="22151.0"/>
        <n v="7928.0"/>
        <n v="5855.0"/>
        <n v="16163.0"/>
        <n v="6416.0"/>
        <n v="3623.0"/>
        <n v="79254.0"/>
        <n v="75304.0"/>
        <n v="126031.0"/>
        <n v="61524.0"/>
        <n v="14306.0"/>
        <n v="33557.0"/>
        <n v="24101.0"/>
        <n v="12287.0"/>
        <n v="30039.0"/>
        <n v="109118.0"/>
        <n v="34731.0"/>
        <n v="90928.0"/>
        <n v="40366.0"/>
        <n v="155266.0"/>
        <n v="9211.0"/>
        <n v="15593.0"/>
        <n v="9481.0"/>
        <n v="6420.0"/>
        <n v="6186.0"/>
        <n v="4051.0"/>
        <n v="8268.0"/>
        <n v="9934.0"/>
        <n v="14227.0"/>
        <n v="8561.0"/>
        <n v="6133.0"/>
        <n v="13904.0"/>
        <n v="4818.0"/>
        <n v="5545.0"/>
        <n v="8100.0"/>
        <n v="21222.0"/>
        <n v="5202.0"/>
        <n v="28235.0"/>
        <n v="6978.0"/>
        <n v="6822.0"/>
        <n v="9424.0"/>
        <n v="31829.0"/>
        <n v="25060.0"/>
        <n v="31262.0"/>
        <n v="18735.0"/>
        <n v="5055.0"/>
        <n v="30225.0"/>
        <n v="9438.0"/>
        <n v="5009.0"/>
        <n v="9848.0"/>
        <n v="23052.0"/>
        <n v="29108.0"/>
        <n v="22712.0"/>
        <n v="39206.0"/>
        <n v="2971.0"/>
        <n v="41258.0"/>
        <n v="1359.0"/>
        <n v="5668.0"/>
        <n v="79182.0"/>
        <n v="30157.0"/>
        <n v="104268.0"/>
        <n v="23374.0"/>
        <n v="6478.0"/>
        <n v="70777.0"/>
        <n v="3609.0"/>
        <n v="5980.0"/>
        <n v="28713.0"/>
        <n v="8536.0"/>
        <n v="15548.0"/>
        <n v="6169.0"/>
        <n v="14259.0"/>
        <n v="16955.0"/>
        <n v="14623.0"/>
        <n v="6970.0"/>
        <n v="14647.0"/>
        <n v="21893.0"/>
        <n v="5048.0"/>
        <n v="3150.0"/>
        <n v="19134.0"/>
        <n v="4047.0"/>
        <n v="2987.0"/>
        <n v="5460.0"/>
        <n v="1191.0"/>
        <n v="29142.0"/>
        <n v="7247.0"/>
        <n v="5740.0"/>
        <n v="5468.0"/>
        <n v="89526.0"/>
        <n v="39599.0"/>
        <n v="5190.0"/>
        <n v="69132.0"/>
        <n v="17284.0"/>
        <n v="45376.0"/>
        <n v="18950.0"/>
        <n v="6170.0"/>
        <n v="1243.0"/>
        <n v="3901.0"/>
        <n v="7102.0"/>
        <n v="15219.0"/>
        <n v="11390.0"/>
        <n v="3277.0"/>
        <n v="31317.0"/>
        <n v="9300.0"/>
        <n v="4727.0"/>
        <n v="7974.0"/>
        <n v="10713.0"/>
        <n v="6119.0"/>
        <n v="723.0"/>
        <n v="1851.0"/>
        <n v="5756.0"/>
        <n v="3065.0"/>
        <n v="3076.0"/>
        <n v="8332.0"/>
        <n v="10618.0"/>
        <n v="11051.0"/>
        <n v="6761.0"/>
        <n v="7133.0"/>
        <n v="24692.0"/>
        <n v="629973.0"/>
        <n v="35178.0"/>
        <n v="138319.0"/>
        <n v="388915.0"/>
        <n v="343050.0"/>
        <n v="10901.0"/>
        <n v="1420.0"/>
        <n v="70181.0"/>
        <n v="204189.0"/>
        <n v="66740.0"/>
        <n v="16254.0"/>
        <n v="17539.0"/>
        <n v="49049.0"/>
        <n v="109871.0"/>
        <n v="20750.0"/>
        <n v="42841.0"/>
        <n v="3596.0"/>
        <n v="26978.0"/>
        <n v="53431.0"/>
        <n v="17048.0"/>
        <n v="40039.0"/>
        <n v="33478.0"/>
        <n v="30158.0"/>
        <n v="274912.0"/>
        <n v="3798.0"/>
        <n v="1124.0"/>
        <n v="51394.0"/>
        <n v="98259.0"/>
        <n v="26416.0"/>
        <n v="11667.0"/>
        <n v="3568.0"/>
        <n v="4578.0"/>
        <n v="5060.0"/>
        <n v="1698.0"/>
        <n v="43079.0"/>
        <n v="19527.0"/>
        <n v="13127.0"/>
        <n v="24951.0"/>
        <n v="8061.0"/>
        <n v="6702.0"/>
        <n v="16326.0"/>
        <n v="27671.0"/>
        <n v="3441.0"/>
        <n v="12405.0"/>
        <n v="40343.0"/>
        <n v="13294.0"/>
        <n v="23741.0"/>
        <n v="71564.0"/>
        <n v="7171.0"/>
        <n v="16144.0"/>
        <n v="10212.0"/>
        <n v="34921.0"/>
        <n v="18993.0"/>
        <n v="61586.0"/>
        <n v="30178.0"/>
        <n v="40870.0"/>
        <n v="24672.0"/>
        <n v="22065.0"/>
        <n v="57620.0"/>
        <n v="39257.0"/>
        <n v="2368.0"/>
        <n v="11084.0"/>
        <n v="12354.0"/>
        <n v="6507.0"/>
        <n v="6548.0"/>
        <n v="2042.0"/>
        <n v="8159.0"/>
        <n v="1518.0"/>
        <n v="2089.0"/>
        <n v="7941.0"/>
        <n v="10021.0"/>
        <n v="55665.0"/>
        <n v="1348.0"/>
        <n v="45972.0"/>
        <n v="7225.0"/>
        <n v="23112.0"/>
        <n v="53017.0"/>
        <n v="11394.0"/>
        <n v="8298.0"/>
        <n v="7626.0"/>
        <n v="17744.0"/>
        <n v="37418.0"/>
        <n v="4608.0"/>
        <n v="7055.0"/>
        <n v="82898.0"/>
        <n v="46557.0"/>
        <n v="13822.0"/>
        <n v="23557.0"/>
        <n v="48862.0"/>
        <n v="33879.0"/>
        <n v="10511.0"/>
        <n v="51004.0"/>
        <n v="40640.0"/>
        <n v="43209.0"/>
        <n v="17511.0"/>
        <n v="4648.0"/>
        <n v="4713.0"/>
        <n v="12771.0"/>
        <n v="11786.0"/>
        <n v="3482.0"/>
        <n v="3064.0"/>
        <n v="9964.0"/>
        <n v="716.0"/>
        <n v="9054.0"/>
        <n v="7173.0"/>
        <n v="15587.0"/>
        <n v="3725.0"/>
        <n v="13553.0"/>
        <n v="4568.0"/>
        <n v="9519.0"/>
        <n v="11513.0"/>
        <n v="11928.0"/>
        <n v="6272.0"/>
        <n v="98952.0"/>
        <n v="49240.0"/>
        <n v="11306.0"/>
        <n v="1588.0"/>
        <n v="3852.0"/>
        <n v="2353.0"/>
        <n v="7619.0"/>
        <n v="1929.0"/>
        <n v="7693.0"/>
        <n v="4835.0"/>
        <n v="45324.0"/>
        <n v="48786.0"/>
        <n v="12950.0"/>
        <n v="13054.0"/>
        <n v="52475.0"/>
        <n v="57653.0"/>
        <n v="14149.0"/>
        <n v="5311.0"/>
        <n v="11116.0"/>
        <n v="10473.0"/>
        <n v="4644.0"/>
        <n v="3585.0"/>
        <n v="69700.0"/>
        <n v="32089.0"/>
        <n v="41861.0"/>
        <n v="30349.0"/>
        <n v="48273.0"/>
        <n v="26541.0"/>
        <n v="8669.0"/>
        <n v="5352.0"/>
        <n v="5361.0"/>
        <n v="5054.0"/>
        <n v="5564.0"/>
        <n v="58372.0"/>
        <n v="28906.0"/>
        <n v="6472.0"/>
        <n v="589.0"/>
        <n v="7523.0"/>
        <n v="3786.0"/>
        <n v="5376.0"/>
        <n v="102776.0"/>
        <n v="2646.0"/>
        <n v="21830.0"/>
        <n v="9945.0"/>
        <n v="73422.0"/>
        <n v="60626.0"/>
        <n v="77283.0"/>
        <n v="18382.0"/>
        <n v="28001.0"/>
        <n v="163149.0"/>
        <n v="3398.0"/>
        <n v="102728.0"/>
        <n v="137649.0"/>
        <n v="5495.0"/>
        <n v="67534.0"/>
        <n v="132038.0"/>
        <n v="40571.0"/>
        <n v="24427.0"/>
        <n v="65488.0"/>
        <n v="737990.0"/>
        <n v="424340.0"/>
        <n v="699834.0"/>
        <n v="981461.0"/>
        <n v="10735.0"/>
        <n v="590156.0"/>
        <n v="98938.0"/>
        <n v="432673.0"/>
        <n v="940296.0"/>
        <n v="344201.0"/>
        <n v="6410.0"/>
        <n v="20134.0"/>
        <n v="644697.0"/>
        <n v="336480.0"/>
        <n v="12749.0"/>
        <n v="12591.0"/>
        <n v="6514.0"/>
        <n v="340616.0"/>
        <n v="453974.0"/>
        <n v="1475.0"/>
        <n v="292059.0"/>
        <n v="11814.0"/>
        <n v="23274.0"/>
        <n v="467726.0"/>
        <n v="17531.0"/>
        <n v="8741.0"/>
        <n v="22256.0"/>
        <n v="18831.0"/>
        <n v="6616.0"/>
        <n v="10028.0"/>
        <n v="3002.0"/>
        <n v="2807.0"/>
        <n v="52098.0"/>
        <n v="12672.0"/>
        <n v="9673.0"/>
        <n v="2344.0"/>
        <n v="7950.0"/>
        <n v="10871.0"/>
        <n v="3860.0"/>
        <n v="28719.0"/>
        <n v="4020.0"/>
        <n v="803.0"/>
        <n v="9248.0"/>
        <n v="569.0"/>
        <n v="6474.0"/>
        <n v="5402.0"/>
        <n v="3588.0"/>
        <n v="4655.0"/>
        <n v="6305.0"/>
        <n v="5734.0"/>
        <n v="7290.0"/>
        <n v="3756.0"/>
        <n v="30688.0"/>
        <n v="9246.0"/>
        <n v="26779.0"/>
        <n v="668449.0"/>
        <n v="2338732.0"/>
        <n v="553773.0"/>
        <n v="618816.0"/>
        <n v="1151776.0"/>
        <n v="1155869.0"/>
        <n v="264325.0"/>
        <n v="1135085.0"/>
        <n v="12813.0"/>
        <n v="7521.0"/>
        <n v="113707.0"/>
        <n v="14599.0"/>
        <n v="66458.0"/>
        <n v="2013324.0"/>
        <n v="38487.0"/>
        <n v="3142.0"/>
        <n v="171464.0"/>
        <n v="16543.0"/>
        <n v="33538.0"/>
        <n v="166412.0"/>
        <n v="46039.0"/>
        <n v="33457.0"/>
        <n v="101487.0"/>
        <n v="323498.0"/>
        <n v="172887.0"/>
        <n v="170122.0"/>
        <n v="57187.0"/>
        <n v="15989.0"/>
        <n v="70865.0"/>
        <n v="12708.0"/>
        <n v="5781.0"/>
        <n v="4626.0"/>
        <n v="6331.0"/>
        <n v="1652.0"/>
        <n v="17179.0"/>
        <n v="3988.0"/>
        <n v="2888.0"/>
        <n v="4963.0"/>
        <n v="19625.0"/>
        <n v="130676.0"/>
        <n v="2549.0"/>
        <n v="131164.0"/>
        <n v="14583.0"/>
        <n v="5653.0"/>
        <n v="20872.0"/>
        <n v="8595.0"/>
        <n v="24711.0"/>
        <n v="4430.0"/>
        <n v="28161.0"/>
        <n v="40405.0"/>
        <n v="5304.0"/>
        <n v="3481.0"/>
        <n v="7676.0"/>
        <n v="4400.0"/>
        <n v="7747.0"/>
        <n v="1600.0"/>
        <n v="76130.0"/>
        <n v="16698.0"/>
        <n v="16986.0"/>
        <n v="28800.0"/>
        <n v="94895.0"/>
        <n v="9375.0"/>
        <n v="8947.0"/>
        <n v="10671.0"/>
        <n v="5523.0"/>
        <n v="15071.0"/>
        <n v="155260.0"/>
        <n v="95762.0"/>
        <n v="63816.0"/>
        <n v="86884.0"/>
        <n v="36503.0"/>
        <n v="217526.0"/>
        <n v="37438.0"/>
        <n v="396802.0"/>
        <n v="41506.0"/>
        <n v="17930.0"/>
        <n v="239363.0"/>
        <n v="18073.0"/>
        <n v="47583.0"/>
        <n v="6758.0"/>
        <n v="71903.0"/>
        <n v="18450.0"/>
        <n v="43261.0"/>
        <n v="43554.0"/>
        <n v="4888.0"/>
        <n v="15309.0"/>
        <n v="53264.0"/>
        <n v="11197.0"/>
        <n v="23764.0"/>
        <n v="14910.0"/>
        <n v="20980.0"/>
        <n v="6601.0"/>
        <n v="13003.0"/>
        <n v="45294.0"/>
        <n v="95989.0"/>
        <n v="10961.0"/>
        <n v="3721.0"/>
        <n v="4942.0"/>
        <n v="39543.0"/>
        <n v="121175.0"/>
        <n v="58336.0"/>
        <n v="17477.0"/>
        <n v="15187.0"/>
        <n v="30196.0"/>
        <n v="17695.0"/>
        <n v="8367.0"/>
        <n v="3821.0"/>
        <n v="4321.0"/>
        <n v="50923.0"/>
        <n v="4595.0"/>
        <n v="60964.0"/>
        <n v="25871.0"/>
        <n v="35860.0"/>
        <n v="18304.0"/>
        <n v="18513.0"/>
        <n v="32060.0"/>
        <n v="55984.0"/>
        <n v="37732.0"/>
        <n v="22155.0"/>
        <n v="4992.0"/>
        <n v="5928.0"/>
        <n v="4168.0"/>
        <n v="12531.0"/>
        <n v="5092.0"/>
        <n v="75638.0"/>
        <n v="3089.0"/>
        <n v="3704.0"/>
        <n v="3340.0"/>
        <n v="6193.0"/>
        <n v="11402.0"/>
        <n v="8673.0"/>
        <n v="3753.0"/>
        <n v="15621.0"/>
        <n v="8527.0"/>
        <n v="13791.0"/>
        <n v="8357.0"/>
        <n v="9901.0"/>
        <n v="1345.0"/>
        <n v="8161.0"/>
        <n v="43853.0"/>
        <n v="67987.0"/>
        <n v="56762.0"/>
        <n v="20942.0"/>
        <n v="866.0"/>
        <n v="9558.0"/>
        <n v="4255.0"/>
        <n v="4063.0"/>
        <n v="10842.0"/>
        <n v="5271.0"/>
        <n v="5230.0"/>
        <n v="8228.0"/>
        <n v="11355.0"/>
        <n v="13600.0"/>
        <n v="22566.0"/>
        <n v="8955.0"/>
        <n v="8047.0"/>
        <n v="6596.0"/>
        <n v="8618.0"/>
        <n v="6473.0"/>
        <n v="4021.0"/>
        <n v="6872.0"/>
        <n v="13128.0"/>
        <n v="4391.0"/>
        <n v="6019.0"/>
        <n v="2226.0"/>
        <n v="7553.0"/>
        <n v="5508.0"/>
        <n v="3339.0"/>
        <n v="3152.0"/>
        <n v="21437.0"/>
        <n v="442979.0"/>
        <n v="41296.0"/>
        <n v="75089.0"/>
        <n v="4345.0"/>
        <n v="10702.0"/>
        <n v="6284.0"/>
        <n v="5263.0"/>
        <n v="5959.0"/>
        <n v="3059.0"/>
        <n v="1387.0"/>
        <n v="4520.0"/>
        <n v="7615.0"/>
        <n v="4565.0"/>
        <n v="4545.0"/>
        <n v="9202.0"/>
        <n v="3797.0"/>
        <n v="1016.0"/>
        <n v="3650.0"/>
        <n v="8280.0"/>
        <n v="159618.0"/>
        <n v="203987.0"/>
        <n v="25182.0"/>
        <n v="4731.0"/>
        <n v="1403.0"/>
        <n v="44118.0"/>
        <n v="36040.0"/>
        <n v="9613.0"/>
        <n v="18536.0"/>
        <n v="8055.0"/>
        <n v="5900.0"/>
        <n v="4547.0"/>
        <n v="11206.0"/>
        <n v="14213.0"/>
        <n v="6300.0"/>
        <n v="5876.0"/>
        <n v="7938.0"/>
        <n v="23152.0"/>
        <n v="12210.0"/>
        <n v="12130.0"/>
        <n v="30885.0"/>
        <n v="6187.0"/>
        <n v="2960.0"/>
        <n v="2714.0"/>
        <n v="196581.0"/>
        <n v="5218.0"/>
        <n v="9807.0"/>
        <n v="15253.0"/>
        <n v="5152.0"/>
        <n v="6867.0"/>
        <n v="83035.0"/>
        <n v="81956.0"/>
        <n v="9249.0"/>
        <n v="11077.0"/>
        <n v="94625.0"/>
        <n v="9831.0"/>
        <n v="14477.0"/>
        <n v="33602.0"/>
        <n v="105048.0"/>
        <n v="7093.0"/>
        <n v="47065.0"/>
        <n v="76695.0"/>
        <n v="61821.0"/>
        <n v="18717.0"/>
        <n v="7664.0"/>
        <n v="56138.0"/>
        <n v="4689.0"/>
        <n v="16903.0"/>
        <n v="16872.0"/>
        <n v="40733.0"/>
        <n v="86250.0"/>
        <n v="78234.0"/>
        <n v="6240.0"/>
        <n v="2996.0"/>
        <n v="6581.0"/>
        <n v="34008.0"/>
        <n v="67637.0"/>
        <n v="24067.0"/>
        <n v="29091.0"/>
        <n v="80623.0"/>
        <n v="6105.0"/>
        <n v="19169.0"/>
        <n v="18046.0"/>
        <n v="12733.0"/>
        <n v="66972.0"/>
        <n v="7633.0"/>
        <n v="1779.0"/>
        <n v="1923.0"/>
        <n v="24499.0"/>
        <n v="3976.0"/>
        <n v="4163.0"/>
        <n v="3454.0"/>
        <n v="7028.0"/>
        <n v="18348.0"/>
        <n v="7757.0"/>
        <n v="4620.0"/>
        <n v="7064.0"/>
        <n v="17138.0"/>
        <n v="4781.0"/>
        <n v="9830.0"/>
        <n v="6597.0"/>
        <n v="1754.0"/>
        <n v="12668.0"/>
        <n v="7411.0"/>
        <n v="8684.0"/>
        <n v="13626.0"/>
        <n v="8339.0"/>
        <n v="6248.0"/>
        <n v="370429.0"/>
        <n v="881525.0"/>
        <n v="512107.0"/>
        <n v="163786.0"/>
        <n v="47405.0"/>
        <n v="105054.0"/>
        <n v="395852.0"/>
        <n v="326721.0"/>
        <n v="246243.0"/>
        <n v="3093.0"/>
        <n v="13169.0"/>
        <n v="33421.0"/>
        <n v="550519.0"/>
        <n v="114927.0"/>
        <n v="191.0"/>
        <n v="25104.0"/>
        <n v="13542.0"/>
        <n v="221833.0"/>
        <n v="201153.0"/>
        <n v="212140.0"/>
        <n v="25482.0"/>
        <n v="134959.0"/>
        <n v="33865.0"/>
        <n v="148742.0"/>
        <n v="23985.0"/>
        <n v="127042.0"/>
        <n v="176329.0"/>
        <n v="31245.0"/>
        <n v="10434.0"/>
        <n v="8191.0"/>
        <n v="4647.0"/>
        <n v="4735.0"/>
        <n v="5396.0"/>
        <n v="9048.0"/>
        <n v="33355.0"/>
        <n v="12726.0"/>
        <n v="1777.0"/>
        <n v="7106.0"/>
        <n v="27519.0"/>
        <n v="35661.0"/>
        <n v="1295.0"/>
        <n v="11736.0"/>
        <n v="3776.0"/>
      </sharedItems>
    </cacheField>
    <cacheField name="Measurable Impressions" numFmtId="0">
      <sharedItems containsSemiMixedTypes="0" containsString="0" containsNumber="1" containsInteger="1">
        <n v="10242.0"/>
        <n v="13703.0"/>
        <n v="6039.0"/>
        <n v="7654.0"/>
        <n v="18821.0"/>
        <n v="17211.0"/>
        <n v="21704.0"/>
        <n v="12427.0"/>
        <n v="29458.0"/>
        <n v="164487.0"/>
        <n v="44751.0"/>
        <n v="12040.0"/>
        <n v="43535.0"/>
        <n v="2975.0"/>
        <n v="18812.0"/>
        <n v="15752.0"/>
        <n v="71110.0"/>
        <n v="11358.0"/>
        <n v="59462.0"/>
        <n v="66924.0"/>
        <n v="16871.0"/>
        <n v="15714.0"/>
        <n v="11687.0"/>
        <n v="13273.0"/>
        <n v="13873.0"/>
        <n v="19548.0"/>
        <n v="29774.0"/>
        <n v="13461.0"/>
        <n v="11009.0"/>
        <n v="16616.0"/>
        <n v="7862.0"/>
        <n v="9391.0"/>
        <n v="85424.0"/>
        <n v="11852.0"/>
        <n v="10132.0"/>
        <n v="14086.0"/>
        <n v="17815.0"/>
        <n v="41484.0"/>
        <n v="51480.0"/>
        <n v="65080.0"/>
        <n v="70325.0"/>
        <n v="11110.0"/>
        <n v="100222.0"/>
        <n v="23532.0"/>
        <n v="49058.0"/>
        <n v="11931.0"/>
        <n v="15753.0"/>
        <n v="30368.0"/>
        <n v="14049.0"/>
        <n v="16934.0"/>
        <n v="100563.0"/>
        <n v="99311.0"/>
        <n v="140596.0"/>
        <n v="105104.0"/>
        <n v="39750.0"/>
        <n v="104929.0"/>
        <n v="75557.0"/>
        <n v="25003.0"/>
        <n v="60482.0"/>
        <n v="122937.0"/>
        <n v="59369.0"/>
        <n v="184823.0"/>
        <n v="71128.0"/>
        <n v="176562.0"/>
        <n v="13372.0"/>
        <n v="18617.0"/>
        <n v="16300.0"/>
        <n v="10287.0"/>
        <n v="10612.0"/>
        <n v="6215.0"/>
        <n v="11042.0"/>
        <n v="13377.0"/>
        <n v="19480.0"/>
        <n v="11782.0"/>
        <n v="12377.0"/>
        <n v="34123.0"/>
        <n v="7382.0"/>
        <n v="7554.0"/>
        <n v="11524.0"/>
        <n v="33671.0"/>
        <n v="23474.0"/>
        <n v="57543.0"/>
        <n v="9369.0"/>
        <n v="9274.0"/>
        <n v="18087.0"/>
        <n v="35639.0"/>
        <n v="28038.0"/>
        <n v="35043.0"/>
        <n v="21127.0"/>
        <n v="15831.0"/>
        <n v="43298.0"/>
        <n v="15611.0"/>
        <n v="7160.0"/>
        <n v="16558.0"/>
        <n v="42375.0"/>
        <n v="45570.0"/>
        <n v="41918.0"/>
        <n v="62109.0"/>
        <n v="5102.0"/>
        <n v="65374.0"/>
        <n v="7114.0"/>
        <n v="6760.0"/>
        <n v="109463.0"/>
        <n v="43810.0"/>
        <n v="128470.0"/>
        <n v="33779.0"/>
        <n v="27405.0"/>
        <n v="436133.0"/>
        <n v="12644.0"/>
        <n v="12114.0"/>
        <n v="62829.0"/>
        <n v="57434.0"/>
        <n v="20651.0"/>
        <n v="9138.0"/>
        <n v="19654.0"/>
        <n v="76971.0"/>
        <n v="92063.0"/>
        <n v="8882.0"/>
        <n v="18731.0"/>
        <n v="26127.0"/>
        <n v="7154.0"/>
        <n v="7247.0"/>
        <n v="28059.0"/>
        <n v="27357.0"/>
        <n v="11295.0"/>
        <n v="11154.0"/>
        <n v="5883.0"/>
        <n v="41093.0"/>
        <n v="10338.0"/>
        <n v="8009.0"/>
        <n v="7298.0"/>
        <n v="237859.0"/>
        <n v="94941.0"/>
        <n v="8621.0"/>
        <n v="111957.0"/>
        <n v="27542.0"/>
        <n v="79935.0"/>
        <n v="71458.0"/>
        <n v="53603.0"/>
        <n v="8897.0"/>
        <n v="9645.0"/>
        <n v="8925.0"/>
        <n v="21497.0"/>
        <n v="23355.0"/>
        <n v="25959.0"/>
        <n v="37660.0"/>
        <n v="13110.0"/>
        <n v="6513.0"/>
        <n v="10311.0"/>
        <n v="13992.0"/>
        <n v="12505.0"/>
        <n v="8720.0"/>
        <n v="14926.0"/>
        <n v="11636.0"/>
        <n v="13109.0"/>
        <n v="6252.0"/>
        <n v="11170.0"/>
        <n v="16643.0"/>
        <n v="17202.0"/>
        <n v="16711.0"/>
        <n v="10783.0"/>
        <n v="11331.0"/>
        <n v="45565.0"/>
        <n v="1041225.0"/>
        <n v="196583.0"/>
        <n v="300133.0"/>
        <n v="648524.0"/>
        <n v="541133.0"/>
        <n v="24980.0"/>
        <n v="69246.0"/>
        <n v="150003.0"/>
        <n v="385654.0"/>
        <n v="149743.0"/>
        <n v="36526.0"/>
        <n v="37664.0"/>
        <n v="97093.0"/>
        <n v="236426.0"/>
        <n v="50714.0"/>
        <n v="96539.0"/>
        <n v="51209.0"/>
        <n v="59516.0"/>
        <n v="163634.0"/>
        <n v="54166.0"/>
        <n v="80040.0"/>
        <n v="72874.0"/>
        <n v="69150.0"/>
        <n v="415601.0"/>
        <n v="8619.0"/>
        <n v="10003.0"/>
        <n v="117635.0"/>
        <n v="212073.0"/>
        <n v="137369.0"/>
        <n v="33260.0"/>
        <n v="11388.0"/>
        <n v="9155.0"/>
        <n v="12459.0"/>
        <n v="11234.0"/>
        <n v="99312.0"/>
        <n v="82800.0"/>
        <n v="67027.0"/>
        <n v="77333.0"/>
        <n v="15667.0"/>
        <n v="9096.0"/>
        <n v="25991.0"/>
        <n v="35488.0"/>
        <n v="3482.0"/>
        <n v="6663.0"/>
        <n v="17609.0"/>
        <n v="19588.0"/>
        <n v="101306.0"/>
        <n v="86775.0"/>
        <n v="59893.0"/>
        <n v="81785.0"/>
        <n v="8151.0"/>
        <n v="24752.0"/>
        <n v="19934.0"/>
        <n v="69138.0"/>
        <n v="39522.0"/>
        <n v="247500.0"/>
        <n v="113438.0"/>
        <n v="195447.0"/>
        <n v="45563.0"/>
        <n v="46126.0"/>
        <n v="97903.0"/>
        <n v="67151.0"/>
        <n v="8130.0"/>
        <n v="18079.0"/>
        <n v="17500.0"/>
        <n v="10895.0"/>
        <n v="9042.0"/>
        <n v="10315.0"/>
        <n v="11984.0"/>
        <n v="8191.0"/>
        <n v="11500.0"/>
        <n v="14331.0"/>
        <n v="16755.0"/>
        <n v="112913.0"/>
        <n v="7832.0"/>
        <n v="83922.0"/>
        <n v="12173.0"/>
        <n v="65390.0"/>
        <n v="106432.0"/>
        <n v="19576.0"/>
        <n v="21161.0"/>
        <n v="14456.0"/>
        <n v="31192.0"/>
        <n v="51299.0"/>
        <n v="5881.0"/>
        <n v="11497.0"/>
        <n v="116235.0"/>
        <n v="60868.0"/>
        <n v="26934.0"/>
        <n v="35247.0"/>
        <n v="66739.0"/>
        <n v="49382.0"/>
        <n v="18132.0"/>
        <n v="82985.0"/>
        <n v="64819.0"/>
        <n v="69530.0"/>
        <n v="31974.0"/>
        <n v="8751.0"/>
        <n v="8230.0"/>
        <n v="16749.0"/>
        <n v="15365.0"/>
        <n v="12487.0"/>
        <n v="10596.0"/>
        <n v="15428.0"/>
        <n v="70015.0"/>
        <n v="6867.0"/>
        <n v="12676.0"/>
        <n v="11432.0"/>
        <n v="19288.0"/>
        <n v="7413.0"/>
        <n v="21192.0"/>
        <n v="8648.0"/>
        <n v="13041.0"/>
        <n v="16192.0"/>
        <n v="14527.0"/>
        <n v="11886.0"/>
        <n v="120688.0"/>
        <n v="72687.0"/>
        <n v="20625.0"/>
        <n v="7088.0"/>
        <n v="8526.0"/>
        <n v="18261.0"/>
        <n v="9999.0"/>
        <n v="7441.0"/>
        <n v="13237.0"/>
        <n v="19291.0"/>
        <n v="99065.0"/>
        <n v="85900.0"/>
        <n v="38030.0"/>
        <n v="22276.0"/>
        <n v="34812.0"/>
        <n v="97166.0"/>
        <n v="76803.0"/>
        <n v="21281.0"/>
        <n v="7266.0"/>
        <n v="16044.0"/>
        <n v="19679.0"/>
        <n v="8462.0"/>
        <n v="8450.0"/>
        <n v="91910.0"/>
        <n v="45597.0"/>
        <n v="55929.0"/>
        <n v="46446.0"/>
        <n v="65800.0"/>
        <n v="35126.0"/>
        <n v="15208.0"/>
        <n v="8141.0"/>
        <n v="7643.0"/>
        <n v="7227.0"/>
        <n v="8210.0"/>
        <n v="135099.0"/>
        <n v="172515.0"/>
        <n v="11922.0"/>
        <n v="7480.0"/>
        <n v="14815.0"/>
        <n v="7232.0"/>
        <n v="11490.0"/>
        <n v="128004.0"/>
        <n v="3373.0"/>
        <n v="27750.0"/>
        <n v="12878.0"/>
        <n v="91976.0"/>
        <n v="76071.0"/>
        <n v="94019.0"/>
        <n v="23328.0"/>
        <n v="36335.0"/>
        <n v="200859.0"/>
        <n v="4324.0"/>
        <n v="127130.0"/>
        <n v="178415.0"/>
        <n v="7050.0"/>
        <n v="85013.0"/>
        <n v="167406.0"/>
        <n v="63614.0"/>
        <n v="30084.0"/>
        <n v="80451.0"/>
        <n v="1177859.0"/>
        <n v="634059.0"/>
        <n v="955905.0"/>
        <n v="1731673.0"/>
        <n v="21076.0"/>
        <n v="953556.0"/>
        <n v="161848.0"/>
        <n v="642404.0"/>
        <n v="1516537.0"/>
        <n v="720606.0"/>
        <n v="10860.0"/>
        <n v="30708.0"/>
        <n v="853964.0"/>
        <n v="443202.0"/>
        <n v="19274.0"/>
        <n v="22656.0"/>
        <n v="9378.0"/>
        <n v="488921.0"/>
        <n v="691696.0"/>
        <n v="2054.0"/>
        <n v="428761.0"/>
        <n v="17040.0"/>
        <n v="35934.0"/>
        <n v="634589.0"/>
        <n v="28429.0"/>
        <n v="10606.0"/>
        <n v="25986.0"/>
        <n v="20922.0"/>
        <n v="8778.0"/>
        <n v="37295.0"/>
        <n v="6361.0"/>
        <n v="13393.0"/>
        <n v="86127.0"/>
        <n v="21345.0"/>
        <n v="15088.0"/>
        <n v="7324.0"/>
        <n v="11360.0"/>
        <n v="17138.0"/>
        <n v="6406.0"/>
        <n v="36629.0"/>
        <n v="6692.0"/>
        <n v="2465.0"/>
        <n v="14192.0"/>
        <n v="2059.0"/>
        <n v="12323.0"/>
        <n v="36080.0"/>
        <n v="23556.0"/>
        <n v="7434.0"/>
        <n v="35118.0"/>
        <n v="9413.0"/>
        <n v="11731.0"/>
        <n v="30764.0"/>
        <n v="109518.0"/>
        <n v="22565.0"/>
        <n v="48902.0"/>
        <n v="852442.0"/>
        <n v="3445626.0"/>
        <n v="1120128.0"/>
        <n v="829942.0"/>
        <n v="1396230.0"/>
        <n v="1447900.0"/>
        <n v="378011.0"/>
        <n v="1487426.0"/>
        <n v="21893.0"/>
        <n v="10959.0"/>
        <n v="157940.0"/>
        <n v="24656.0"/>
        <n v="86571.0"/>
        <n v="2669103.0"/>
        <n v="90615.0"/>
        <n v="8823.0"/>
        <n v="247450.0"/>
        <n v="42427.0"/>
        <n v="47535.0"/>
        <n v="251319.0"/>
        <n v="65383.0"/>
        <n v="52172.0"/>
        <n v="136036.0"/>
        <n v="467646.0"/>
        <n v="263424.0"/>
        <n v="256841.0"/>
        <n v="78396.0"/>
        <n v="38916.0"/>
        <n v="95871.0"/>
        <n v="22261.0"/>
        <n v="16134.0"/>
        <n v="8264.0"/>
        <n v="36245.0"/>
        <n v="8869.0"/>
        <n v="48389.0"/>
        <n v="6863.0"/>
        <n v="10487.0"/>
        <n v="10991.0"/>
        <n v="76531.0"/>
        <n v="183688.0"/>
        <n v="11974.0"/>
        <n v="177952.0"/>
        <n v="19860.0"/>
        <n v="14459.0"/>
        <n v="39250.0"/>
        <n v="14466.0"/>
        <n v="48019.0"/>
        <n v="7869.0"/>
        <n v="59169.0"/>
        <n v="67406.0"/>
        <n v="10731.0"/>
        <n v="13775.0"/>
        <n v="6379.0"/>
        <n v="10690.0"/>
        <n v="14526.0"/>
        <n v="11345.0"/>
        <n v="133578.0"/>
        <n v="23798.0"/>
        <n v="26606.0"/>
        <n v="68566.0"/>
        <n v="145113.0"/>
        <n v="15562.0"/>
        <n v="14256.0"/>
        <n v="12937.0"/>
        <n v="10267.0"/>
        <n v="19095.0"/>
        <n v="169583.0"/>
        <n v="104612.0"/>
        <n v="70011.0"/>
        <n v="94687.0"/>
        <n v="40051.0"/>
        <n v="240731.0"/>
        <n v="40447.0"/>
        <n v="437639.0"/>
        <n v="46163.0"/>
        <n v="19822.0"/>
        <n v="261467.0"/>
        <n v="19655.0"/>
        <n v="51275.0"/>
        <n v="7537.0"/>
        <n v="80390.0"/>
        <n v="24128.0"/>
        <n v="55261.0"/>
        <n v="56558.0"/>
        <n v="12885.0"/>
        <n v="7510.0"/>
        <n v="20244.0"/>
        <n v="68123.0"/>
        <n v="16687.0"/>
        <n v="29364.0"/>
        <n v="20074.0"/>
        <n v="55050.0"/>
        <n v="18909.0"/>
        <n v="21286.0"/>
        <n v="77646.0"/>
        <n v="173923.0"/>
        <n v="15451.0"/>
        <n v="5564.0"/>
        <n v="6868.0"/>
        <n v="54290.0"/>
        <n v="213280.0"/>
        <n v="103569.0"/>
        <n v="38621.0"/>
        <n v="37408.0"/>
        <n v="62327.0"/>
        <n v="37108.0"/>
        <n v="15731.0"/>
        <n v="12741.0"/>
        <n v="9646.0"/>
        <n v="104074.0"/>
        <n v="13765.0"/>
        <n v="108301.0"/>
        <n v="53969.0"/>
        <n v="79837.0"/>
        <n v="44891.0"/>
        <n v="40506.0"/>
        <n v="45251.0"/>
        <n v="99432.0"/>
        <n v="60357.0"/>
        <n v="43802.0"/>
        <n v="10245.0"/>
        <n v="13298.0"/>
        <n v="9768.0"/>
        <n v="28461.0"/>
        <n v="34373.0"/>
        <n v="153987.0"/>
        <n v="13644.0"/>
        <n v="30227.0"/>
        <n v="11662.0"/>
        <n v="8682.0"/>
        <n v="14231.0"/>
        <n v="18578.0"/>
        <n v="20808.0"/>
        <n v="32539.0"/>
        <n v="12625.0"/>
        <n v="25315.0"/>
        <n v="11461.0"/>
        <n v="16266.0"/>
        <n v="8187.0"/>
        <n v="9951.0"/>
        <n v="58642.0"/>
        <n v="79409.0"/>
        <n v="76198.0"/>
        <n v="33479.0"/>
        <n v="13268.0"/>
        <n v="15426.0"/>
        <n v="7669.0"/>
        <n v="9941.0"/>
        <n v="14953.0"/>
        <n v="7065.0"/>
        <n v="6923.0"/>
        <n v="13396.0"/>
        <n v="21740.0"/>
        <n v="20256.0"/>
        <n v="30685.0"/>
        <n v="13829.0"/>
        <n v="33641.0"/>
        <n v="13880.0"/>
        <n v="41618.0"/>
        <n v="17081.0"/>
        <n v="11403.0"/>
        <n v="14248.0"/>
        <n v="27596.0"/>
        <n v="9098.0"/>
        <n v="10952.0"/>
        <n v="16510.0"/>
        <n v="15201.0"/>
        <n v="11539.0"/>
        <n v="7891.0"/>
        <n v="6464.0"/>
        <n v="27586.0"/>
        <n v="611813.0"/>
        <n v="53472.0"/>
        <n v="179723.0"/>
        <n v="8376.0"/>
        <n v="21034.0"/>
        <n v="10919.0"/>
        <n v="9921.0"/>
        <n v="7947.0"/>
        <n v="6523.0"/>
        <n v="9924.0"/>
        <n v="8037.0"/>
        <n v="14939.0"/>
        <n v="53407.0"/>
        <n v="15617.0"/>
        <n v="85273.0"/>
        <n v="51520.0"/>
        <n v="13468.0"/>
        <n v="55128.0"/>
        <n v="107935.0"/>
        <n v="233150.0"/>
        <n v="338107.0"/>
        <n v="44696.0"/>
        <n v="15332.0"/>
        <n v="13410.0"/>
        <n v="91080.0"/>
        <n v="40684.0"/>
        <n v="11247.0"/>
        <n v="21019.0"/>
        <n v="12724.0"/>
        <n v="10175.0"/>
        <n v="9666.0"/>
        <n v="19459.0"/>
        <n v="8928.0"/>
        <n v="15969.0"/>
        <n v="23455.0"/>
        <n v="10089.0"/>
        <n v="10048.0"/>
        <n v="14030.0"/>
        <n v="35857.0"/>
        <n v="38039.0"/>
        <n v="24129.0"/>
        <n v="151358.0"/>
        <n v="17166.0"/>
        <n v="9953.0"/>
        <n v="9332.0"/>
        <n v="379758.0"/>
        <n v="10763.0"/>
        <n v="68568.0"/>
        <n v="35453.0"/>
        <n v="30383.0"/>
        <n v="9347.0"/>
        <n v="782482.0"/>
        <n v="624118.0"/>
        <n v="31564.0"/>
        <n v="30190.0"/>
        <n v="180681.0"/>
        <n v="25153.0"/>
        <n v="63640.0"/>
        <n v="139167.0"/>
        <n v="167814.0"/>
        <n v="238629.0"/>
        <n v="19681.0"/>
        <n v="73640.0"/>
        <n v="183585.0"/>
        <n v="145505.0"/>
        <n v="46367.0"/>
        <n v="21698.0"/>
        <n v="88836.0"/>
        <n v="31363.0"/>
        <n v="149653.0"/>
        <n v="32085.0"/>
        <n v="477114.0"/>
        <n v="198209.0"/>
        <n v="438695.0"/>
        <n v="9672.0"/>
        <n v="49686.0"/>
        <n v="44917.0"/>
        <n v="195803.0"/>
        <n v="145416.0"/>
        <n v="58308.0"/>
        <n v="143813.0"/>
        <n v="181763.0"/>
        <n v="26283.0"/>
        <n v="182583.0"/>
        <n v="27358.0"/>
        <n v="203986.0"/>
        <n v="191183.0"/>
        <n v="11053.0"/>
        <n v="12458.0"/>
        <n v="15085.0"/>
        <n v="34496.0"/>
        <n v="5219.0"/>
        <n v="5586.0"/>
        <n v="5510.0"/>
        <n v="10191.0"/>
        <n v="25950.0"/>
        <n v="12630.0"/>
        <n v="22254.0"/>
        <n v="10028.0"/>
        <n v="15433.0"/>
        <n v="35689.0"/>
        <n v="7943.0"/>
        <n v="11658.0"/>
        <n v="13508.0"/>
        <n v="8343.0"/>
        <n v="18613.0"/>
        <n v="16576.0"/>
        <n v="11766.0"/>
        <n v="22109.0"/>
        <n v="13051.0"/>
        <n v="10141.0"/>
        <n v="820340.0"/>
        <n v="1550866.0"/>
        <n v="1088748.0"/>
        <n v="374116.0"/>
        <n v="100881.0"/>
        <n v="260998.0"/>
        <n v="699064.0"/>
        <n v="700814.0"/>
        <n v="532325.0"/>
        <n v="6897.0"/>
        <n v="26688.0"/>
        <n v="66729.0"/>
        <n v="977978.0"/>
        <n v="255481.0"/>
        <n v="15564.0"/>
        <n v="61242.0"/>
        <n v="32456.0"/>
        <n v="480882.0"/>
        <n v="557263.0"/>
        <n v="389474.0"/>
        <n v="54149.0"/>
        <n v="274790.0"/>
        <n v="78662.0"/>
        <n v="313071.0"/>
        <n v="63853.0"/>
        <n v="225121.0"/>
        <n v="450103.0"/>
        <n v="49089.0"/>
        <n v="11493.0"/>
        <n v="53104.0"/>
        <n v="13641.0"/>
        <n v="9909.0"/>
        <n v="6390.0"/>
        <n v="7417.0"/>
        <n v="12326.0"/>
        <n v="295405.0"/>
        <n v="24442.0"/>
        <n v="13189.0"/>
        <n v="270098.0"/>
        <n v="292992.0"/>
        <n v="9196.0"/>
        <n v="113735.0"/>
        <n v="9581.0"/>
      </sharedItems>
    </cacheField>
    <cacheField name="Total Conversions" numFmtId="0">
      <sharedItems containsSemiMixedTypes="0" containsString="0" containsNumber="1" containsInteger="1">
        <n v="11.0"/>
        <n v="8.0"/>
        <n v="2.0"/>
        <n v="15.0"/>
        <n v="12.0"/>
        <n v="3.0"/>
        <n v="4.0"/>
        <n v="13.0"/>
        <n v="5.0"/>
        <n v="10.0"/>
        <n v="24.0"/>
        <n v="16.0"/>
        <n v="6.0"/>
        <n v="97.0"/>
        <n v="7.0"/>
        <n v="14.0"/>
        <n v="21.0"/>
        <n v="9.0"/>
        <n v="26.0"/>
        <n v="19.0"/>
        <n v="1.0"/>
        <n v="20.0"/>
        <n v="56.0"/>
        <n v="125.0"/>
        <n v="69.0"/>
        <n v="22.0"/>
        <n v="17.0"/>
        <n v="147.0"/>
        <n v="55.0"/>
        <n v="39.0"/>
        <n v="78.0"/>
        <n v="18.0"/>
        <n v="36.0"/>
        <n v="23.0"/>
        <n v="25.0"/>
        <n v="28.0"/>
        <n v="123.0"/>
        <n v="37.0"/>
        <n v="31.0"/>
        <n v="106.0"/>
        <n v="34.0"/>
        <n v="32.0"/>
        <n v="154.0"/>
        <n v="42.0"/>
        <n v="49.0"/>
        <n v="88.0"/>
        <n v="30.0"/>
        <n v="29.0"/>
        <n v="70.0"/>
        <n v="43.0"/>
        <n v="74.0"/>
        <n v="33.0"/>
        <n v="41.0"/>
        <n v="44.0"/>
        <n v="63.0"/>
      </sharedItems>
    </cacheField>
    <cacheField name="Gross Cost" numFmtId="0">
      <sharedItems containsSemiMixedTypes="0" containsString="0" containsNumber="1">
        <n v="6136.133902"/>
        <n v="6996.231838"/>
        <n v="6506.433687"/>
        <n v="6244.517921"/>
        <n v="6173.41289"/>
        <n v="5740.952219"/>
        <n v="5706.864417"/>
        <n v="5190.535998"/>
        <n v="4752.816685"/>
        <n v="2194.987125"/>
        <n v="2025.784019"/>
        <n v="1970.357345"/>
        <n v="1694.470977"/>
        <n v="1679.833815"/>
        <n v="1534.698"/>
        <n v="1447.873298"/>
        <n v="7065.66928"/>
        <n v="1706.224318"/>
        <n v="1605.566031"/>
        <n v="1524.810224"/>
        <n v="4899.155955"/>
        <n v="1588.6475"/>
        <n v="1521.185189"/>
        <n v="1476.536841"/>
        <n v="6195.840734"/>
        <n v="1596.552373"/>
        <n v="5083.886273"/>
        <n v="6397.602518"/>
        <n v="2653.981579"/>
        <n v="7294.100001"/>
        <n v="2100.820137"/>
        <n v="1500.09932"/>
        <n v="7004.730483"/>
        <n v="1905.889693"/>
        <n v="1675.987427"/>
        <n v="1505.009635"/>
        <n v="6612.14569"/>
        <n v="5884.931394"/>
        <n v="2039.35506"/>
        <n v="1557.01573"/>
        <n v="1506.461108"/>
        <n v="2087.509827"/>
        <n v="2505.403543"/>
        <n v="6751.558981"/>
        <n v="5741.098045"/>
        <n v="4660.560369"/>
        <n v="2200.297094"/>
        <n v="1910.436686"/>
        <n v="1850.464205"/>
        <n v="2866.496671"/>
        <n v="6850.576483"/>
        <n v="6616.88066"/>
        <n v="6605.586158"/>
        <n v="5803.331454"/>
        <n v="5214.298693"/>
        <n v="5124.435934"/>
        <n v="5054.481581"/>
        <n v="4623.089672"/>
        <n v="2905.884162"/>
        <n v="2196.661232"/>
        <n v="2096.285549"/>
        <n v="2027.431388"/>
        <n v="1790.390198"/>
        <n v="1599.715069"/>
        <n v="1574.79128"/>
        <n v="1470.971925"/>
        <n v="1456.934187"/>
        <n v="1759.704833"/>
        <n v="1573.25409"/>
        <n v="1700.795736"/>
        <n v="6815.712325"/>
        <n v="5729.650755"/>
        <n v="2921.110207"/>
        <n v="1808.307918"/>
        <n v="1807.693142"/>
        <n v="2141.469346"/>
        <n v="1525.962329"/>
        <n v="5995.041002"/>
        <n v="6350.916905"/>
        <n v="6336.7181"/>
        <n v="4253.979116"/>
        <n v="1455.703554"/>
        <n v="6879.587097"/>
        <n v="1682.338499"/>
        <n v="6785.063293"/>
        <n v="6753.595242"/>
        <n v="5994.746834"/>
        <n v="3285.834522"/>
        <n v="1632.472782"/>
        <n v="6386.464232"/>
        <n v="4728.012406"/>
        <n v="1991.94384"/>
        <n v="1472.110115"/>
        <n v="6846.447915"/>
        <n v="6417.876169"/>
        <n v="6346.633024"/>
        <n v="4701.496237"/>
        <n v="1890.885935"/>
        <n v="1778.937935"/>
        <n v="1510.61532"/>
        <n v="1481.945157"/>
        <n v="6812.588702"/>
        <n v="6721.094453"/>
        <n v="6708.463351"/>
        <n v="6040.595578"/>
        <n v="5738.809089"/>
        <n v="4250.430439"/>
        <n v="3870.253867"/>
        <n v="2032.700147"/>
        <n v="1936.130798"/>
        <n v="1838.98773"/>
        <n v="1599.076249"/>
        <n v="1541.214047"/>
        <n v="5776.508186"/>
        <n v="3060.424769"/>
        <n v="1517.244377"/>
        <n v="4742.008637"/>
        <n v="2636.202124"/>
        <n v="7311.99875"/>
        <n v="5292.896913"/>
        <n v="6684.062804"/>
        <n v="6162.320833"/>
        <n v="2122.765888"/>
        <n v="3339.454322"/>
        <n v="2127.323828"/>
        <n v="1816.030806"/>
        <n v="2183.952037"/>
        <n v="1530.553686"/>
        <n v="1483.452706"/>
        <n v="6051.334623"/>
        <n v="5038.714067"/>
        <n v="8168.347077"/>
        <n v="6542.612428"/>
        <n v="4934.851563"/>
        <n v="4918.040982"/>
        <n v="2163.265346"/>
        <n v="1809.590961"/>
        <n v="1803.139812"/>
        <n v="1498.3009"/>
        <n v="2365.914372"/>
        <n v="3105.283004"/>
        <n v="3408.076049"/>
        <n v="6047.174109"/>
        <n v="5573.112396"/>
        <n v="2120.757698"/>
        <n v="3621.417703"/>
        <n v="6345.460338"/>
        <n v="5379.00144"/>
        <n v="1657.159766"/>
        <n v="1578.876432"/>
        <n v="6968.00047"/>
        <n v="6774.202636"/>
        <n v="1572.24171"/>
        <n v="3069.123483"/>
        <n v="1583.537104"/>
        <n v="6420.218123"/>
        <n v="2002.537989"/>
        <n v="4051.158749"/>
        <n v="6571.491552"/>
        <n v="5244.34174"/>
        <n v="5218.070231"/>
        <n v="1478.392247"/>
        <n v="1471.175728"/>
        <n v="7979.348589"/>
        <n v="7890.221963"/>
        <n v="7887.612662"/>
        <n v="7814.262494"/>
        <n v="7129.633287"/>
        <n v="6809.356022"/>
        <n v="6651.51451"/>
        <n v="5892.48218"/>
        <n v="5864.126493"/>
        <n v="5767.797381"/>
        <n v="5692.765813"/>
        <n v="5328.524514"/>
        <n v="5266.424233"/>
        <n v="5150.468923"/>
        <n v="5144.474371"/>
        <n v="2015.448331"/>
        <n v="1981.050288"/>
        <n v="1945.433188"/>
        <n v="1625.17488"/>
        <n v="1609.149933"/>
        <n v="1579.367346"/>
        <n v="1566.912406"/>
        <n v="1558.549138"/>
        <n v="1554.439959"/>
        <n v="1536.629068"/>
        <n v="1500.026152"/>
        <n v="1487.088288"/>
        <n v="1464.348944"/>
        <n v="1464.064235"/>
        <n v="1453.075462"/>
        <n v="1442.032183"/>
        <n v="1595.752624"/>
        <n v="5632.087973"/>
        <n v="1466.285104"/>
        <n v="3993.214585"/>
        <n v="3223.535948"/>
        <n v="1788.111618"/>
        <n v="1584.821247"/>
        <n v="1610.319977"/>
        <n v="1453.11439"/>
        <n v="1452.59056"/>
        <n v="5530.800458"/>
        <n v="6211.200147"/>
        <n v="1624.840774"/>
        <n v="1611.340211"/>
        <n v="1500.41822"/>
        <n v="6510.446656"/>
        <n v="5587.763675"/>
        <n v="3132.519209"/>
        <n v="6861.53638"/>
        <n v="1763.784061"/>
        <n v="7264.58761"/>
        <n v="7210.686506"/>
        <n v="6942.800458"/>
        <n v="6766.475368"/>
        <n v="6395.550624"/>
        <n v="5808.911254"/>
        <n v="5401.365085"/>
        <n v="2215.631845"/>
        <n v="1631.741712"/>
        <n v="1616.714722"/>
        <n v="1519.596552"/>
        <n v="1493.779328"/>
        <n v="4961.478884"/>
        <n v="4727.813916"/>
        <n v="3411.590029"/>
        <n v="5574.543505"/>
        <n v="6245.134793"/>
        <n v="7851.397478"/>
        <n v="6879.601707"/>
        <n v="5224.932463"/>
        <n v="6943.515824"/>
        <n v="6768.758768"/>
        <n v="6492.676343"/>
        <n v="5973.379892"/>
        <n v="5669.14476"/>
        <n v="5099.28249"/>
        <n v="4514.952724"/>
        <n v="1786.105122"/>
        <n v="1649.459852"/>
        <n v="1620.1655"/>
        <n v="1614.309013"/>
        <n v="1543.310611"/>
        <n v="1502.01775"/>
        <n v="5033.482578"/>
        <n v="1720.870126"/>
        <n v="7663.695294"/>
        <n v="6832.940067"/>
        <n v="6096.045521"/>
        <n v="5343.459431"/>
        <n v="2514.868116"/>
        <n v="2172.841747"/>
        <n v="1801.14885"/>
        <n v="1731.584862"/>
        <n v="1667.655895"/>
        <n v="1493.204528"/>
        <n v="1477.493357"/>
        <n v="4986.51937"/>
        <n v="5216.648879"/>
        <n v="5195.234677"/>
        <n v="1570.34276"/>
        <n v="1530.041892"/>
        <n v="2430.243664"/>
        <n v="5409.083955"/>
        <n v="4669.013669"/>
        <n v="4582.453291"/>
        <n v="2901.209509"/>
        <n v="1659.932713"/>
        <n v="1609.880674"/>
        <n v="3268.007134"/>
        <n v="6745.10344"/>
        <n v="1758.098365"/>
        <n v="1475.245119"/>
        <n v="6765.0004"/>
        <n v="1965.738947"/>
        <n v="1973.562233"/>
        <n v="5038.644724"/>
        <n v="6185.002486"/>
        <n v="2922.286102"/>
        <n v="1730.37357"/>
        <n v="6511.029576"/>
        <n v="1500.722291"/>
        <n v="5284.27704"/>
        <n v="4689.521024"/>
        <n v="1526.787066"/>
        <n v="1441.631095"/>
        <n v="6407.581828"/>
        <n v="6369.811226"/>
        <n v="1476.419509"/>
        <n v="2856.165425"/>
        <n v="6316.488054"/>
        <n v="5045.93793"/>
        <n v="1463.842874"/>
        <n v="2060.993882"/>
        <n v="6486.853909"/>
        <n v="1547.513459"/>
        <n v="3563.098841"/>
        <n v="1503.205183"/>
        <n v="1473.192464"/>
        <n v="6587.243331"/>
        <n v="5702.290265"/>
        <n v="4881.198269"/>
        <n v="3628.34617"/>
        <n v="2649.997803"/>
        <n v="1725.271363"/>
        <n v="1639.813696"/>
        <n v="1583.164302"/>
        <n v="6381.006576"/>
        <n v="1539.60069"/>
        <n v="5711.39201"/>
        <n v="5906.830006"/>
        <n v="4742.047766"/>
        <n v="3137.143043"/>
        <n v="1908.526117"/>
        <n v="1825.725708"/>
        <n v="6781.821647"/>
        <n v="5616.309402"/>
        <n v="7222.211408"/>
        <n v="6756.295179"/>
        <n v="6643.966542"/>
        <n v="5979.67"/>
        <n v="5831.225793"/>
        <n v="5783.843758"/>
        <n v="5284.685565"/>
        <n v="4977.784794"/>
        <n v="4439.368082"/>
        <n v="4196.936777"/>
        <n v="3434.731153"/>
        <n v="1946.050447"/>
        <n v="1803.081497"/>
        <n v="1650.72301"/>
        <n v="1579.379602"/>
        <n v="1568.73602"/>
        <n v="1507.946851"/>
        <n v="1498.29154"/>
        <n v="1442.22799"/>
        <n v="8187.114541"/>
        <n v="8054.141368"/>
        <n v="7788.701621"/>
        <n v="7730.240616"/>
        <n v="7657.108034"/>
        <n v="7495.749847"/>
        <n v="7149.816075"/>
        <n v="6024.422487"/>
        <n v="5906.464967"/>
        <n v="5816.234619"/>
        <n v="5287.567528"/>
        <n v="5239.204787"/>
        <n v="5181.087383"/>
        <n v="4963.966251"/>
        <n v="2468.135837"/>
        <n v="2294.003778"/>
        <n v="2236.485099"/>
        <n v="1733.830172"/>
        <n v="1726.249457"/>
        <n v="1713.978863"/>
        <n v="1594.463397"/>
        <n v="1540.46935"/>
        <n v="1521.372273"/>
        <n v="1477.424856"/>
        <n v="1470.670167"/>
        <n v="6439.283498"/>
        <n v="4984.485583"/>
        <n v="1661.167909"/>
        <n v="4942.283987"/>
        <n v="4718.836114"/>
        <n v="1755.484542"/>
        <n v="5154.644555"/>
        <n v="5102.706729"/>
        <n v="2539.200563"/>
        <n v="1591.772246"/>
        <n v="1505.01155"/>
        <n v="1936.008049"/>
        <n v="3827.366381"/>
        <n v="1560.449936"/>
        <n v="2127.824066"/>
        <n v="6120.602514"/>
        <n v="5874.00478"/>
        <n v="2753.711986"/>
        <n v="1826.318738"/>
        <n v="6431.555152"/>
        <n v="6846.356434"/>
        <n v="6396.868763"/>
        <n v="5740.164546"/>
        <n v="1805.926086"/>
        <n v="1593.010399"/>
        <n v="1506.624304"/>
        <n v="2059.270294"/>
        <n v="1487.996078"/>
        <n v="1912.966882"/>
        <n v="8042.897949"/>
        <n v="8038.570371"/>
        <n v="7880.770406"/>
        <n v="7879.316787"/>
        <n v="7850.644244"/>
        <n v="7818.648297"/>
        <n v="7462.677935"/>
        <n v="6785.70979"/>
        <n v="6417.264564"/>
        <n v="6301.868847"/>
        <n v="6176.004154"/>
        <n v="6032.837114"/>
        <n v="5999.993781"/>
        <n v="5756.271172"/>
        <n v="5153.117204"/>
        <n v="4920.23463"/>
        <n v="4445.874629"/>
        <n v="4386.648215"/>
        <n v="2801.584386"/>
        <n v="2255.522409"/>
        <n v="2039.848792"/>
        <n v="1679.572708"/>
        <n v="1658.332426"/>
        <n v="1600.769588"/>
        <n v="1576.051434"/>
        <n v="1543.612655"/>
        <n v="1508.90767"/>
        <n v="1487.228625"/>
        <n v="1483.384404"/>
        <n v="6643.161647"/>
        <n v="5101.321655"/>
        <n v="6683.225487"/>
        <n v="7098.889706"/>
        <n v="1942.482395"/>
        <n v="1718.471077"/>
        <n v="1247.0"/>
        <n v="4704.249956"/>
        <n v="7227.417349"/>
        <n v="6730.012549"/>
        <n v="6335.948388"/>
        <n v="5637.303497"/>
        <n v="2682.436623"/>
        <n v="1718.513762"/>
        <n v="2127.495962"/>
        <n v="6789.533401"/>
        <n v="5714.523867"/>
        <n v="5200.010118"/>
        <n v="5184.585424"/>
        <n v="1924.162675"/>
        <n v="1465.872266"/>
        <n v="2030.142709"/>
        <n v="6727.440499"/>
        <n v="2600.894327"/>
        <n v="6159.366902"/>
        <n v="1555.112078"/>
        <n v="3518.533482"/>
        <n v="6368.862913"/>
        <n v="6094.666799"/>
        <n v="5175.142919"/>
        <n v="1801.058111"/>
        <n v="1567.366071"/>
        <n v="1496.668524"/>
        <n v="2387.686295"/>
        <n v="1724.417704"/>
        <n v="1574.709734"/>
        <n v="1554.389215"/>
        <n v="1952.463773"/>
        <n v="7863.469709"/>
        <n v="7443.483233"/>
        <n v="7261.86504"/>
        <n v="6624.221175"/>
        <n v="6550.30297"/>
        <n v="4874.651722"/>
        <n v="2040.934819"/>
        <n v="2037.865594"/>
        <n v="1628.882813"/>
        <n v="1623.681601"/>
        <n v="1605.538072"/>
        <n v="1550.076655"/>
        <n v="1532.757905"/>
        <n v="1526.296619"/>
        <n v="1500.838771"/>
        <n v="6809.056051"/>
        <n v="5841.15136"/>
        <n v="5247.623883"/>
        <n v="1699.060809"/>
        <n v="6980.229304"/>
        <n v="6837.510602"/>
        <n v="6392.471955"/>
        <n v="2407.794325"/>
        <n v="2360.555244"/>
        <n v="1909.277483"/>
        <n v="2463.821917"/>
        <n v="1743.078687"/>
        <n v="1522.517949"/>
        <n v="6808.562584"/>
        <n v="2549.115158"/>
        <n v="1658.358536"/>
        <n v="1655.792857"/>
        <n v="6177.464545"/>
        <n v="3754.685247"/>
        <n v="7360.992969"/>
        <n v="6928.006202"/>
        <n v="6644.954146"/>
        <n v="6321.491689"/>
        <n v="6318.413085"/>
        <n v="6130.368425"/>
        <n v="5886.071146"/>
        <n v="5296.970091"/>
        <n v="4921.594843"/>
        <n v="4036.089376"/>
        <n v="3122.942574"/>
        <n v="2679.154068"/>
        <n v="2347.918531"/>
        <n v="2217.932092"/>
        <n v="2160.307325"/>
        <n v="1980.393834"/>
        <n v="1978.609661"/>
        <n v="1942.847513"/>
        <n v="1801.349131"/>
        <n v="1595.659466"/>
        <n v="1576.38921"/>
        <n v="1570.29739"/>
        <n v="1504.329214"/>
        <n v="1503.484311"/>
        <n v="1608.882952"/>
        <n v="6761.073824"/>
        <n v="1904.564346"/>
        <n v="1689.083186"/>
        <n v="1447.927193"/>
        <n v="4594.604003"/>
        <n v="1522.512272"/>
        <n v="7292.135059"/>
        <n v="5751.912297"/>
        <n v="3844.991165"/>
        <n v="1639.72335"/>
        <n v="6450.918637"/>
        <n v="1543.66142"/>
        <n v="2496.785436"/>
        <n v="1665.160445"/>
        <n v="2582.493847"/>
        <n v="2139.065793"/>
        <n v="1761.079323"/>
        <n v="1532.357841"/>
        <n v="1527.97628"/>
        <n v="5521.18913"/>
        <n v="1814.098581"/>
        <n v="2239.262819"/>
        <n v="1911.931953"/>
        <n v="6860.359597"/>
        <n v="1880.533168"/>
        <n v="6298.513929"/>
        <n v="6114.034936"/>
        <n v="5912.260975"/>
        <n v="5551.387415"/>
        <n v="1866.34747"/>
        <n v="1531.926885"/>
        <n v="6502.274933"/>
        <n v="5492.821648"/>
        <n v="5464.109817"/>
        <n v="5206.238968"/>
        <n v="2176.657469"/>
        <n v="2133.077113"/>
        <n v="1737.843485"/>
        <n v="1524.470523"/>
        <n v="4156.713383"/>
        <n v="1529.307229"/>
        <n v="1502.680139"/>
        <n v="5086.08996"/>
        <n v="6994.085353"/>
        <n v="5603.048132"/>
        <n v="6858.578118"/>
        <n v="2452.997504"/>
        <n v="2028.370144"/>
        <n v="1451.808544"/>
        <n v="5007.525805"/>
        <n v="6404.003128"/>
        <n v="7273.265988"/>
        <n v="2641.478397"/>
        <n v="6997.468963"/>
        <n v="1937.058388"/>
        <n v="6206.637108"/>
        <n v="1449.177804"/>
        <n v="1767.464456"/>
        <n v="7948.480752"/>
        <n v="6522.637526"/>
        <n v="6189.416082"/>
        <n v="1841.358126"/>
        <n v="1805.600513"/>
        <n v="1669.728905"/>
        <n v="1631.782949"/>
        <n v="7629.94427"/>
        <n v="6749.202353"/>
        <n v="5600.355643"/>
        <n v="1704.511123"/>
        <n v="1693.760435"/>
        <n v="1657.56487"/>
        <n v="5048.852553"/>
        <n v="1765.39871"/>
        <n v="1711.106338"/>
        <n v="5668.857079"/>
        <n v="2178.153775"/>
        <n v="1858.132171"/>
        <n v="1521.576648"/>
        <n v="7312.492757"/>
        <n v="1665.965851"/>
        <n v="4652.242051"/>
        <n v="1603.859264"/>
        <n v="4439.838064"/>
        <n v="1835.048738"/>
        <n v="6342.885786"/>
        <n v="5974.87508"/>
        <n v="4804.493233"/>
        <n v="4702.027505"/>
        <n v="1844.986921"/>
        <n v="1519.90401"/>
        <n v="1762.663235"/>
        <n v="6956.627366"/>
        <n v="6909.732318"/>
        <n v="1702.317206"/>
        <n v="1653.510777"/>
        <n v="1522.352623"/>
        <n v="6839.569086"/>
        <n v="7490.860779"/>
        <n v="7467.081487"/>
        <n v="6764.520637"/>
        <n v="6367.869929"/>
        <n v="6341.879301"/>
        <n v="6322.152655"/>
        <n v="6317.510754"/>
        <n v="6307.900751"/>
        <n v="6048.955611"/>
        <n v="5899.429483"/>
        <n v="5330.781969"/>
        <n v="5310.769572"/>
        <n v="5204.313768"/>
        <n v="5159.747494"/>
        <n v="4999.665205"/>
        <n v="4851.394446"/>
        <n v="4652.367629"/>
        <n v="4554.876884"/>
        <n v="3983.621797"/>
        <n v="3444.202946"/>
        <n v="3178.610315"/>
        <n v="2819.935266"/>
        <n v="2712.379678"/>
        <n v="2298.888965"/>
        <n v="1923.808141"/>
        <n v="1819.893602"/>
        <n v="1773.991882"/>
        <n v="1720.881985"/>
        <n v="1612.549327"/>
        <n v="1586.314519"/>
        <n v="1584.731757"/>
        <n v="1582.410977"/>
        <n v="1561.021915"/>
        <n v="1513.088728"/>
        <n v="1503.913054"/>
        <n v="1493.074494"/>
        <n v="1452.207361"/>
        <n v="5092.559215"/>
        <n v="1649.069475"/>
        <n v="6261.575724"/>
        <n v="3818.955182"/>
        <n v="3311.941246"/>
        <n v="2181.247949"/>
        <n v="1668.016"/>
        <n v="1623.614838"/>
        <n v="1471.187144"/>
        <n v="6667.727715"/>
        <n v="6505.526456"/>
        <n v="2209.650957"/>
        <n v="1577.366086"/>
        <n v="1345.369"/>
        <n v="1731.271848"/>
        <n v="2047.348924"/>
        <n v="6559.477756"/>
        <n v="1842.606513"/>
        <n v="5797.219977"/>
        <n v="1527.176274"/>
        <n v="1930.180523"/>
        <n v="1490.006197"/>
        <n v="6236.113094"/>
        <n v="8134.350524"/>
        <n v="7511.656191"/>
        <n v="7483.887187"/>
        <n v="7248.231612"/>
        <n v="6633.532635"/>
        <n v="6057.856722"/>
        <n v="6012.102465"/>
        <n v="5179.041532"/>
        <n v="4733.618783"/>
        <n v="4467.080758"/>
        <n v="4279.230955"/>
        <n v="3433.914287"/>
        <n v="2494.217596"/>
        <n v="2276.277471"/>
        <n v="2144.489587"/>
        <n v="1902.301443"/>
        <n v="1901.094691"/>
        <n v="1818.100044"/>
        <n v="1689.744507"/>
        <n v="1635.920216"/>
        <n v="1568.715259"/>
        <n v="1559.643865"/>
        <n v="1555.534812"/>
        <n v="1542.500216"/>
        <n v="1523.783909"/>
        <n v="1465.51471"/>
        <n v="1440.745362"/>
        <n v="2189.341349"/>
        <n v="1982.416484"/>
        <n v="1919.553678"/>
        <n v="5087.561715"/>
        <n v="3804.64417"/>
        <n v="5694.27094"/>
        <n v="7082.653802"/>
        <n v="1541.719598"/>
        <n v="7854.731991"/>
        <n v="6452.93501"/>
        <n v="5542.512181"/>
        <n v="2912.467156"/>
        <n v="1595.48714"/>
        <n v="1550.938318"/>
        <n v="1532.148881"/>
        <n v="1507.84712"/>
        <n v="1460.009754"/>
      </sharedItems>
    </cacheField>
    <cacheField name=" 8" numFmtId="0">
      <sharedItems containsString="0" containsBlank="1">
        <m/>
      </sharedItems>
    </cacheField>
    <cacheField name="CPM" numFmtId="0">
      <sharedItems containsSemiMixedTypes="0" containsString="0" containsNumber="1">
        <n v="583.0609941087038"/>
        <n v="381.80702019209775"/>
        <n v="827.5799652760112"/>
        <n v="594.6593582515951"/>
        <n v="266.6010057868371"/>
        <n v="242.1218935936907"/>
        <n v="238.1332950970165"/>
        <n v="352.3785470468432"/>
        <n v="128.9319015001492"/>
        <n v="10.271396333160192"/>
        <n v="40.56760691685357"/>
        <n v="129.62877269736842"/>
        <n v="34.40550207106599"/>
        <n v="155.38190870409767"/>
        <n v="64.40463301019767"/>
        <n v="73.0290173509533"/>
        <n v="86.26664159697211"/>
        <n v="105.64202328029225"/>
        <n v="23.369323925826734"/>
        <n v="19.94806609191643"/>
        <n v="274.7241605450569"/>
        <n v="95.02048567498056"/>
        <n v="120.80568527636595"/>
        <n v="104.45223832767402"/>
        <n v="427.6237652011871"/>
        <n v="78.46237335364654"/>
        <n v="125.69254266076594"/>
        <n v="442.71002131340384"/>
        <n v="227.45814012684264"/>
        <n v="376.3919707415243"/>
        <n v="241.0303048416705"/>
        <n v="135.60832760802748"/>
        <n v="69.49137383928571"/>
        <n v="148.15684802549754"/>
        <n v="152.47338309679768"/>
        <n v="100.44111285371062"/>
        <n v="346.31255905305613"/>
        <n v="136.67769222193837"/>
        <n v="38.075373125968525"/>
        <n v="22.981103583658047"/>
        <n v="20.043122204334693"/>
        <n v="163.46983766640562"/>
        <n v="21.28400043325716"/>
        <n v="254.21940586640562"/>
        <n v="107.38250121577136"/>
        <n v="340.5348800964489"/>
        <n v="123.94643386660658"/>
        <n v="58.1652210686558"/>
        <n v="120.77171420180133"/>
        <n v="155.29833519341207"/>
        <n v="63.10463879549369"/>
        <n v="62.334605043758415"/>
        <n v="44.14967556042723"/>
        <n v="50.73551767729752"/>
        <n v="120.23655528397167"/>
        <n v="45.181060959266446"/>
        <n v="57.246685252511526"/>
        <n v="173.052205577391"/>
        <n v="44.44607161211379"/>
        <n v="16.794559711306157"/>
        <n v="32.304221614374654"/>
        <n v="9.650023741527681"/>
        <n v="23.15768626233622"/>
        <n v="8.50143523941117"/>
        <n v="93.69296049500238"/>
        <n v="68.31879267103247"/>
        <n v="79.55737383279637"/>
        <n v="163.25306920864642"/>
        <n v="138.9186834437086"/>
        <n v="187.35357303370787"/>
        <n v="592.1042763443662"/>
        <n v="407.89141845233854"/>
        <n v="144.05317126935597"/>
        <n v="146.37428508984942"/>
        <n v="137.65558498324702"/>
        <n v="61.12545943940172"/>
        <n v="153.42472642268248"/>
        <n v="743.0640805651958"/>
        <n v="532.8397436865508"/>
        <n v="180.2098256690271"/>
        <n v="156.38479214763623"/>
        <n v="24.350198287109833"/>
        <n v="683.4479532088218"/>
        <n v="148.93223256019832"/>
        <n v="364.142290184082"/>
        <n v="181.6654627178825"/>
        <n v="204.94160315886634"/>
        <n v="90.19336614421785"/>
        <n v="74.18981921468824"/>
        <n v="383.70969911079067"/>
        <n v="104.40570621618637"/>
        <n v="122.75490478831576"/>
        <n v="198.69214671345662"/>
        <n v="389.40097343874413"/>
        <n v="140.40113252827547"/>
        <n v="130.69134351962438"/>
        <n v="99.20024131746635"/>
        <n v="28.41130412897797"/>
        <n v="182.83020914696812"/>
        <n v="21.655394010636925"/>
        <n v="167.22468483412322"/>
        <n v="942.3971091437267"/>
        <n v="58.16913429516028"/>
        <n v="139.1479818091307"/>
        <n v="44.79592114025525"/>
        <n v="163.1363093126386"/>
        <n v="98.5789929494167"/>
        <n v="7.577174167642303"/>
        <n v="148.37227350364964"/>
        <n v="148.07883732313576"/>
        <n v="26.445034943917168"/>
        <n v="24.23467027870815"/>
        <n v="71.75780086600241"/>
        <n v="607.0949223331583"/>
        <n v="148.9402749172669"/>
        <n v="16.08272606529574"/>
        <n v="41.33441975018087"/>
        <n v="180.79707317742267"/>
        <n v="375.7257463645239"/>
        <n v="195.8011583678603"/>
        <n v="876.2536449921342"/>
        <n v="789.4338756085062"/>
        <n v="67.51155703972267"/>
        <n v="114.73028213144605"/>
        <n v="170.85566042888124"/>
        <n v="149.14839076872536"/>
        <n v="292.2848015256959"/>
        <n v="36.05459673505924"/>
        <n v="138.93909394024539"/>
        <n v="736.4408692953632"/>
        <n v="669.1519345285525"/>
        <n v="29.974595617025493"/>
        <n v="61.495342018196865"/>
        <n v="544.6856029801324"/>
        <n v="42.06114108068351"/>
        <n v="47.646917448570555"/>
        <n v="21.464557220126682"/>
        <n v="20.374691375043785"/>
        <n v="19.271246848793538"/>
        <n v="232.1572340300265"/>
        <n v="307.6669973248786"/>
        <n v="365.35978226843906"/>
        <n v="236.84686311295627"/>
        <n v="195.1848280741078"/>
        <n v="72.15179457694009"/>
        <n v="92.3548327807814"/>
        <n v="448.85480215038547"/>
        <n v="679.0811059209695"/>
        <n v="150.3092758276644"/>
        <n v="105.80863369521512"/>
        <n v="478.8016539545111"/>
        <n v="654.5123319806763"/>
        <n v="87.21109995562458"/>
        <n v="247.6897331127431"/>
        <n v="106.1565397868204"/>
        <n v="671.5709333682008"/>
        <n v="158.85594074250355"/>
        <n v="224.78963206081457"/>
        <n v="357.12687093092774"/>
        <n v="284.8328122963284"/>
        <n v="446.1032940925023"/>
        <n v="120.98136227495908"/>
        <n v="29.77184514823434"/>
        <n v="7.247746556131022"/>
        <n v="35.586424152083715"/>
        <n v="24.258232033018402"/>
        <n v="11.476170920765092"/>
        <n v="12.52634671654037"/>
        <n v="246.7873304581038"/>
        <n v="79.22525233155068"/>
        <n v="36.558849098512205"/>
        <n v="14.445191222223043"/>
        <n v="35.775498263264325"/>
        <n v="145.36082049383347"/>
        <n v="133.9027118158516"/>
        <n v="50.3780848399625"/>
        <n v="19.597913765615072"/>
        <n v="90.34110757748705"/>
        <n v="19.589521509661367"/>
        <n v="35.57154147812972"/>
        <n v="30.65605401827923"/>
        <n v="8.577840833518067"/>
        <n v="26.189738826861106"/>
        <n v="18.09395839013828"/>
        <n v="20.165404244366368"/>
        <n v="20.938109758718902"/>
        <n v="3.5664726211890385"/>
        <n v="166.84354701411507"/>
        <n v="124.09217008603574"/>
        <n v="11.770805765531872"/>
        <n v="6.3692822520312475"/>
        <n v="10.160903302148688"/>
        <n v="38.988850304542645"/>
        <n v="108.21193028665766"/>
        <n v="145.83738110034727"/>
        <n v="401.9761596602669"/>
        <n v="108.90412240047534"/>
        <n v="32.73368186997401"/>
        <n v="33.8290458290044"/>
        <n v="22.237981519251814"/>
        <n v="19.113575751362827"/>
        <n v="98.46642882475236"/>
        <n v="146.48330544354837"/>
        <n v="46.49331242198253"/>
        <n v="140.68272009971002"/>
        <n v="407.238404602675"/>
        <n v="219.75125426021097"/>
        <n v="72.39050321218383"/>
        <n v="70.9652471267086"/>
        <n v="58.32479266107647"/>
        <n v="58.42252179959015"/>
        <n v="48.016787899690364"/>
        <n v="59.45253855751568"/>
        <n v="155.05793942857144"/>
        <n v="265.18900525662553"/>
        <n v="317.7913841339797"/>
        <n v="91.29377714368367"/>
        <n v="152.03854326480172"/>
        <n v="22.284303806995172"/>
        <n v="45.70706785742387"/>
        <n v="23.234675807631092"/>
        <n v="43.396111034942024"/>
        <n v="31.032324978129395"/>
        <n v="14.755489536082944"/>
        <n v="20.417549673501195"/>
        <n v="67.39968993367324"/>
        <n v="198.2925895847488"/>
        <n v="179.73745118613138"/>
        <n v="260.42671977099235"/>
        <n v="584.7627719500681"/>
        <n v="516.468309047304"/>
        <n v="617.7338692368214"/>
        <n v="727.0000747120363"/>
        <n v="430.5316795484509"/>
        <n v="453.05466684066295"/>
        <n v="374.0679064935065"/>
        <n v="54.43222956908116"/>
        <n v="728.1057888834714"/>
        <n v="64.40599804594306"/>
        <n v="395.93776613091075"/>
        <n v="65.20823125695057"/>
        <n v="15.963901201244145"/>
        <n v="78.92530034929901"/>
        <n v="71.05989035087718"/>
        <n v="104.54692137814908"/>
        <n v="46.66940672533189"/>
        <n v="27.746291609709242"/>
        <n v="663.785121719636"/>
        <n v="138.37810598263107"/>
        <n v="62.77292477433941"/>
        <n v="107.10944707966267"/>
        <n v="207.89296869351702"/>
        <n v="139.1236052645282"/>
        <n v="35.858044828471215"/>
        <n v="41.87480481412245"/>
        <n v="90.27862513157235"/>
        <n v="18.90520959025253"/>
        <n v="23.918646840308654"/>
        <n v="19.46202658881184"/>
        <n v="42.26360470837267"/>
        <n v="537.7460767820554"/>
        <n v="446.5926615015838"/>
        <n v="292.3598580191334"/>
        <n v="96.92277249722255"/>
        <n v="111.04157718266927"/>
        <n v="184.3467847986043"/>
        <n v="49.303921783992195"/>
        <n v="38.61816735041604"/>
        <n v="100.94176467607991"/>
        <n v="218.25092221469944"/>
        <n v="138.31619973335555"/>
        <n v="78.38928149194136"/>
        <n v="374.3421688430699"/>
        <n v="251.49528113348245"/>
        <n v="192.1628992239589"/>
        <n v="108.03699150494324"/>
        <n v="386.17424363511816"/>
        <n v="118.56085325693607"/>
        <n v="137.25309360873499"/>
        <n v="36.2742953694638"/>
        <n v="62.34567296003226"/>
        <n v="106.36938455938558"/>
        <n v="235.2329486133768"/>
        <n v="703.0590191124069"/>
        <n v="77.58076359594706"/>
        <n v="452.73106922549687"/>
        <n v="566.8464914783029"/>
        <n v="110.37280893515506"/>
        <n v="64.99689337240758"/>
        <n v="62.266963004713084"/>
        <n v="70.97757204938492"/>
        <n v="37.184725072409016"/>
        <n v="119.30017229856732"/>
        <n v="147.72300694590612"/>
        <n v="43.6224350539884"/>
        <n v="17.964348157965784"/>
        <n v="64.784644076321"/>
        <n v="843.8732807337062"/>
        <n v="89.82548519851404"/>
        <n v="165.86439069919"/>
        <n v="163.78352397036392"/>
        <n v="162.9637681415929"/>
        <n v="68.10068781531717"/>
        <n v="116.49928013974298"/>
        <n v="82.81920440123521"/>
        <n v="74.02673052597217"/>
        <n v="38.11685058182185"/>
        <n v="45.74253951798924"/>
        <n v="100.99862626262626"/>
        <n v="171.67255497722837"/>
        <n v="775.0524202599295"/>
        <n v="170.80105280674508"/>
        <n v="588.6819222840651"/>
        <n v="39.259256837501745"/>
        <n v="24.88062335250168"/>
        <n v="243.7941438451974"/>
        <n v="210.677350369798"/>
        <n v="114.79663656941649"/>
        <n v="867.0188758629506"/>
        <n v="459.8255609955788"/>
        <n v="51.161487677540464"/>
        <n v="899.1609234761778"/>
        <n v="218.12102895600788"/>
        <n v="424.6020024142583"/>
        <n v="58.27845642527333"/>
        <n v="68.97516824480644"/>
        <n v="50.978493850383444"/>
        <n v="192.27412391363129"/>
        <n v="111.41873511695613"/>
        <n v="18.706344639617754"/>
        <n v="223.04897415416585"/>
        <n v="14.232485552134452"/>
        <n v="9.071925581371946"/>
        <n v="109.80662608927027"/>
        <n v="17.01807643902334"/>
        <n v="8.402352518987477"/>
        <n v="21.81131177678778"/>
        <n v="46.569842414446896"/>
        <n v="16.237831882817865"/>
        <n v="6.1861863725970965"/>
        <n v="11.050615110840361"/>
        <n v="7.710455914380863"/>
        <n v="3.9507690297969686"/>
        <n v="322.07907941448644"/>
        <n v="6.920963803148516"/>
        <n v="38.7267826965367"/>
        <n v="8.116094157064508"/>
        <n v="3.433069121549909"/>
        <n v="7.586320416500364"/>
        <n v="358.96588784792937"/>
        <n v="25.226688432000383"/>
        <n v="5.700399475629305"/>
        <n v="10.557317544747677"/>
        <n v="37.821779073509354"/>
        <n v="73.99296126181338"/>
        <n v="172.1962657068063"/>
        <n v="3.0845417512448785"/>
        <n v="2.2117934040167846"/>
        <n v="227.31815159151193"/>
        <n v="3.3023014058661984"/>
        <n v="79.14454120427457"/>
        <n v="29.92588758409064"/>
        <n v="2.1755694406403787"/>
        <n v="45.340676008139106"/>
        <n v="548.7713906596216"/>
        <n v="182.1082745606664"/>
        <n v="75.84202661735836"/>
        <n v="508.20400894601534"/>
        <n v="102.6615057978897"/>
        <n v="196.27510532200355"/>
        <n v="358.0111512015557"/>
        <n v="43.287665563840896"/>
        <n v="113.13493864729995"/>
        <n v="90.2109518843865"/>
        <n v="152.31368788584152"/>
        <n v="159.36845974646033"/>
        <n v="203.89784140429384"/>
        <n v="210.81463604431235"/>
        <n v="54.93285313024397"/>
        <n v="236.3898319672131"/>
        <n v="67.65862854426672"/>
        <n v="23.293828686996868"/>
        <n v="40.42798816689667"/>
        <n v="6.242160169254011"/>
        <n v="161.90195473882946"/>
        <n v="271.6161403634055"/>
        <n v="821.2695805623316"/>
        <n v="149.4990245338056"/>
        <n v="180.37615721134637"/>
        <n v="127.86021342001766"/>
        <n v="46.05442024821178"/>
        <n v="20.904387355470057"/>
        <n v="40.13367348149746"/>
        <n v="27.131972910106942"/>
        <n v="8.725294507106275"/>
        <n v="1.9347154177309693"/>
        <n v="6.4474822147063495"/>
        <n v="7.879986585859799"/>
        <n v="5.179375929159868"/>
        <n v="4.962355925264916"/>
        <n v="16.261002056954094"/>
        <n v="4.235951060375184"/>
        <n v="244.28110255043774"/>
        <n v="485.73060328349004"/>
        <n v="32.1330490163943"/>
        <n v="202.2134850841322"/>
        <n v="51.05595552170732"/>
        <n v="1.8009559296558977"/>
        <n v="47.22085261344476"/>
        <n v="352.8061544528897"/>
        <n v="13.253029797800638"/>
        <n v="90.56586454290198"/>
        <n v="47.69628496033233"/>
        <n v="7.58548903805991"/>
        <n v="25.35359441185244"/>
        <n v="27.80197159504734"/>
        <n v="9.665349998542911"/>
        <n v="2.88437346931421"/>
        <n v="4.905798159140642"/>
        <n v="4.951396313748384"/>
        <n v="15.712714331830346"/>
        <n v="31.02853320398072"/>
        <n v="8.350884998198522"/>
        <n v="248.02724189814816"/>
        <n v="242.59661665398517"/>
        <n v="723.4493924009525"/>
        <n v="178.00179799904717"/>
        <n v="178.4877694569512"/>
        <n v="34.01767874180968"/>
        <n v="172.04746136865342"/>
        <n v="434.17166183664045"/>
        <n v="629.7854085918439"/>
        <n v="72.54983128153162"/>
        <n v="33.42256140443422"/>
        <n v="396.3233617125984"/>
        <n v="14.641481938561636"/>
        <n v="83.88722844869667"/>
        <n v="141.39004200172792"/>
        <n v="163.55198133114925"/>
        <n v="346.2718213052172"/>
        <n v="99.98865742414337"/>
        <n v="615.7464874109263"/>
        <n v="30.34239020736419"/>
        <n v="19.931908326987926"/>
        <n v="124.64039225196463"/>
        <n v="874.2612734243015"/>
        <n v="166.7026231893347"/>
        <n v="769.92086275"/>
        <n v="114.41377854620366"/>
        <n v="225.7206493456505"/>
        <n v="453.68734242769625"/>
        <n v="43.42198789532555"/>
        <n v="203.93044563975252"/>
        <n v="61.90905097621339"/>
        <n v="21.305287302730843"/>
        <n v="9.789761474610971"/>
        <n v="147.0340719871913"/>
        <n v="115.48471095633539"/>
        <n v="113.91953512262172"/>
        <n v="138.61148698056"/>
        <n v="98.4650649553684"/>
        <n v="42.915841887245534"/>
        <n v="65.71915764334021"/>
        <n v="96.14416650117171"/>
        <n v="64.33906228753472"/>
        <n v="153.20554250964798"/>
        <n v="18.424112638899388"/>
        <n v="47.64865451871221"/>
        <n v="4.232098773482637"/>
        <n v="32.45885684395114"/>
        <n v="76.99552356790592"/>
        <n v="5.63775952918538"/>
        <n v="73.0169416835461"/>
        <n v="27.73017883634258"/>
        <n v="184.37987666102924"/>
        <n v="17.20257631955986"/>
        <n v="272.7768628715648"/>
        <n v="102.17519171564511"/>
        <n v="89.73825406570104"/>
        <n v="128.6972283744887"/>
        <n v="852.5991576890193"/>
        <n v="321.31158843984963"/>
        <n v="78.3708111736364"/>
        <n v="136.6512102724177"/>
        <n v="74.6420630513834"/>
        <n v="86.10045019165727"/>
        <n v="43.2803751646846"/>
        <n v="86.44079776841062"/>
        <n v="67.66445709079596"/>
        <n v="55.16132693834562"/>
        <n v="9.482927253721018"/>
        <n v="99.48758389825424"/>
        <n v="181.35737754654983"/>
        <n v="762.9325114239842"/>
        <n v="57.54924278466655"/>
        <n v="32.73341857548794"/>
        <n v="63.343508411659286"/>
        <n v="148.0307903049745"/>
        <n v="148.88461077745592"/>
        <n v="90.3559816525569"/>
        <n v="150.0371625590445"/>
        <n v="346.6881344092355"/>
        <n v="363.278930868939"/>
        <n v="455.0711828941285"/>
        <n v="35.344145716937845"/>
        <n v="202.14528927438673"/>
        <n v="23.446437449132294"/>
        <n v="36.09794337592054"/>
        <n v="26.00764648217636"/>
        <n v="41.93550082500243"/>
        <n v="45.353222965236114"/>
        <n v="40.46898594862145"/>
        <n v="18.53614510466159"/>
        <n v="27.894592982021464"/>
        <n v="32.29295446450255"/>
        <n v="139.88723134262136"/>
        <n v="102.51321256038646"/>
        <n v="139.04512561234867"/>
        <n v="48.9511073451846"/>
        <n v="42.77010266634766"/>
        <n v="30.86008281603739"/>
        <n v="124.66874032859853"/>
        <n v="49.276013361339636"/>
        <n v="108.19961089523241"/>
        <n v="493.03616300032195"/>
        <n v="90.67430599726043"/>
        <n v="377.16639386572876"/>
        <n v="222.6403056706019"/>
        <n v="114.26422481426448"/>
        <n v="124.52334067436209"/>
        <n v="244.21422059435926"/>
        <n v="115.65605903948452"/>
        <n v="119.54921886521427"/>
        <n v="147.50291832757551"/>
        <n v="248.57963682741362"/>
        <n v="34.4788167794971"/>
        <n v="21.081428863856733"/>
        <n v="18.90539444074321"/>
        <n v="43.60289587078732"/>
        <n v="380.5354697084568"/>
        <n v="111.12395595712097"/>
        <n v="213.5682230805913"/>
        <n v="165.37773142461725"/>
        <n v="378.2730258601676"/>
        <n v="222.8912134645016"/>
        <n v="790.7738768361581"/>
        <n v="426.06515233449477"/>
        <n v="245.32203215767638"/>
        <n v="257.0205757210982"/>
        <n v="52.81866336493561"/>
        <n v="103.76799329404592"/>
        <n v="137.29465652449323"/>
        <n v="283.018427864798"/>
        <n v="118.29638053691275"/>
        <n v="280.8566093758429"/>
        <n v="174.2999254484305"/>
        <n v="111.02837356860294"/>
        <n v="46.27585570112372"/>
        <n v="121.86015371702638"/>
        <n v="268.60829615508885"/>
        <n v="74.33925865253744"/>
        <n v="88.62232478178817"/>
        <n v="297.8676404099561"/>
        <n v="720.371341332784"/>
        <n v="721.2058349851975"/>
        <n v="237.41962468845196"/>
        <n v="3.241759808216607"/>
        <n v="35.750394698345"/>
        <n v="6.665053180549434"/>
        <n v="547.0912056156452"/>
        <n v="291.5947148711411"/>
        <n v="598.0812423320451"/>
        <n v="247.95629372007883"/>
        <n v="836.8176229370964"/>
        <n v="257.2113116451998"/>
        <n v="543.6311735131821"/>
        <n v="158.2590153980561"/>
        <n v="113.68524191162281"/>
        <n v="143.3579358282983"/>
        <n v="360.74539715723694"/>
        <n v="64.70562000940882"/>
        <n v="32.15952854672791"/>
        <n v="88.4361322917177"/>
        <n v="28.829685670873836"/>
        <n v="11.560056879928023"/>
        <n v="30.877211682435878"/>
        <n v="18.867962754433098"/>
        <n v="114.98050881803437"/>
        <n v="104.11135615685316"/>
        <n v="114.45100581120346"/>
        <n v="17.027560146282333"/>
        <n v="113.81286609860011"/>
        <n v="143.7621099348534"/>
        <n v="74.61002607482341"/>
        <n v="327.3579187503609"/>
        <n v="192.02625187340212"/>
        <n v="168.26334972380693"/>
        <n v="69.99938574780329"/>
        <n v="781.0823282418287"/>
        <n v="100.19039277122926"/>
        <n v="187.02480607035176"/>
        <n v="149.79539217334454"/>
        <n v="427.4829639899865"/>
        <n v="113.71684563425667"/>
        <n v="161.09734554136082"/>
        <n v="127.08173983324825"/>
        <n v="188.1237806100474"/>
        <n v="25.224928139954077"/>
        <n v="94.37756002864596"/>
        <n v="86.54996925004271"/>
        <n v="129.5313958700764"/>
        <n v="15.570797239767757"/>
        <n v="595.307341948824"/>
        <n v="23.6049365059556"/>
        <n v="43.43343254531127"/>
        <n v="46.986192067901236"/>
        <n v="693.1761514138036"/>
        <n v="6.753487950601523"/>
        <n v="10.871361310489213"/>
        <n v="165.27451530699503"/>
        <n v="159.82004640598336"/>
        <n v="30.099094926435694"/>
        <n v="147.42450925753195"/>
        <n v="65.27770233211751"/>
        <n v="34.63709956950042"/>
        <n v="29.10628569022678"/>
        <n v="22.87824294777827"/>
        <n v="201.62570327924655"/>
        <n v="55.02931955900029"/>
        <n v="26.262792589938584"/>
        <n v="32.98501853260626"/>
        <n v="81.19766792802157"/>
        <n v="162.49311515273314"/>
        <n v="46.06715082532107"/>
        <n v="105.1279083250629"/>
        <n v="18.789871170563515"/>
        <n v="75.41830047297888"/>
        <n v="4.853566358019979"/>
        <n v="11.790801567125488"/>
        <n v="4.805886170305127"/>
        <n v="183.7347318574169"/>
        <n v="28.287968194918246"/>
        <n v="29.425261964816972"/>
        <n v="7.625644816987986"/>
        <n v="9.541743053899852"/>
        <n v="20.55957730802086"/>
        <n v="8.14191907428413"/>
        <n v="8.036491120329424"/>
        <n v="39.05355455465337"/>
        <n v="6.1269405565585995"/>
        <n v="41.40570637331363"/>
        <n v="5.134824432797856"/>
        <n v="5.888051731821104"/>
        <n v="118.25792842019543"/>
        <n v="348.8293181039797"/>
        <n v="101.95174497681607"/>
        <n v="146.19602437543776"/>
        <n v="312.79836038987634"/>
        <n v="444.73495984960385"/>
        <n v="255.26599754242247"/>
        <n v="135.40189950482994"/>
        <n v="51.77508332536114"/>
        <n v="96.08694036966887"/>
        <n v="283.87805326123976"/>
        <n v="551.8302193570277"/>
        <n v="136.8883011398835"/>
        <n v="42.226370927586665"/>
        <n v="143.06348362398978"/>
        <n v="126.90748042808971"/>
        <n v="139.34179024025045"/>
        <n v="701.0235926044672"/>
        <n v="90.06337127914365"/>
        <n v="333.51858111839834"/>
        <n v="113.40979310856973"/>
        <n v="82.45111161896625"/>
        <n v="108.65647174214249"/>
        <n v="590.2615327969711"/>
        <n v="9.159922980686616"/>
        <n v="4.24881850684978"/>
        <n v="6.125567169444386"/>
        <n v="16.223485726564213"/>
        <n v="55.00304830725603"/>
        <n v="19.525412070716026"/>
        <n v="7.341510534008858"/>
        <n v="6.810030127468436"/>
        <n v="8.288743951040992"/>
        <n v="589.0138130274262"/>
        <n v="50.66577024627043"/>
        <n v="38.10252973158905"/>
        <n v="2.234275304274761"/>
        <n v="8.226042118995649"/>
        <n v="125.7838927209807"/>
        <n v="25.64993046491559"/>
        <n v="51.06763077873586"/>
        <n v="3.2690704052129633"/>
        <n v="2.8234877970123318"/>
        <n v="3.884781211559925"/>
        <n v="26.455667481786293"/>
        <n v="5.065620826404406"/>
        <n v="18.094978328389463"/>
        <n v="4.595369822203155"/>
        <n v="20.449083539105693"/>
        <n v="5.556411742849343"/>
        <n v="2.8367327545979535"/>
        <n v="35.61410269382177"/>
        <n v="133.137440161182"/>
        <n v="31.351424665588713"/>
        <n v="274.7657007453014"/>
        <n v="333.15623204903676"/>
        <n v="522.1227709517698"/>
        <n v="933.7711011206328"/>
        <n v="121.47176158209895"/>
        <n v="24.679538349635056"/>
        <n v="246.18247405768352"/>
        <n v="266.0448414054625"/>
        <n v="205.37812255835274"/>
        <n v="5.241812423409128"/>
        <n v="4.9676762073758995"/>
        <n v="156.50141787538305"/>
        <n v="11.545360101682975"/>
        <n v="133.90899330459504"/>
      </sharedItems>
    </cacheField>
    <cacheField name="vCPM" numFmtId="0">
      <sharedItems containsSemiMixedTypes="0" containsString="0" containsNumber="1">
        <n v="807.2798187080647"/>
        <n v="2224.5570232114464"/>
        <n v="3023.4357281598514"/>
        <n v="1513.4556279689773"/>
        <n v="1381.6949171888987"/>
        <n v="1323.7150608715701"/>
        <n v="419.37569201940033"/>
        <n v="4080.610061320755"/>
        <n v="1331.321200280112"/>
        <n v="119.32520385974449"/>
        <n v="79.5641969679117"/>
        <n v="366.5781106976744"/>
        <n v="184.0815835958718"/>
        <n v="1700.2366548582995"/>
        <n v="184.32596685082873"/>
        <n v="222.37341391491321"/>
        <n v="113.97159899991935"/>
        <n v="391.3358527522936"/>
        <n v="51.323914937825656"/>
        <n v="26.168463917348852"/>
        <n v="565.0698910034603"/>
        <n v="159.75940265486724"/>
        <n v="203.58474156852247"/>
        <n v="315.29721140294686"/>
        <n v="497.53800160603873"/>
        <n v="106.8285294747407"/>
        <n v="305.10029844565804"/>
        <n v="1141.206300035676"/>
        <n v="337.65668944020354"/>
        <n v="599.4493754930967"/>
        <n v="323.70109969183363"/>
        <n v="229.40806239486162"/>
        <n v="483.98607634906375"/>
        <n v="343.46543395206345"/>
        <n v="251.0090500224652"/>
        <n v="156.54354431038067"/>
        <n v="686.9048088510285"/>
        <n v="247.60934884503726"/>
        <n v="55.02401478563527"/>
        <n v="33.03942048975088"/>
        <n v="37.30249122198836"/>
        <n v="335.3968231041131"/>
        <n v="153.17011328483218"/>
        <n v="428.37123158429034"/>
        <n v="259.1800841948445"/>
        <n v="587.8607932643794"/>
        <n v="375.79796652433816"/>
        <n v="118.1981492297222"/>
        <n v="288.4139970386534"/>
        <n v="791.1942232956114"/>
        <n v="86.43824265021324"/>
        <n v="87.86891347073197"/>
        <n v="52.41239185597194"/>
        <n v="94.32630280866003"/>
        <n v="364.48334216412695"/>
        <n v="152.70840462496648"/>
        <n v="209.7208240736899"/>
        <n v="376.2586206559779"/>
        <n v="96.73704723858984"/>
        <n v="20.131062079583568"/>
        <n v="60.35776536811495"/>
        <n v="22.297107469646313"/>
        <n v="44.353916612991135"/>
        <n v="10.303060998544435"/>
        <n v="170.96854630333297"/>
        <n v="94.33540210350799"/>
        <n v="153.66883103048204"/>
        <n v="274.09732601246105"/>
        <n v="254.3249418040737"/>
        <n v="419.84589879042215"/>
        <n v="824.3483702225448"/>
        <n v="576.7717691765653"/>
        <n v="205.32158620932034"/>
        <n v="211.22624903632754"/>
        <n v="294.748596445459"/>
        <n v="154.01822108745685"/>
        <n v="316.72111436280613"/>
        <n v="1081.1615873760145"/>
        <n v="784.0638154320987"/>
        <n v="298.59193761191216"/>
        <n v="817.7583844675125"/>
        <n v="51.55670458650611"/>
        <n v="985.8966891659502"/>
        <n v="246.6048811199062"/>
        <n v="719.9770047750425"/>
        <n v="212.18370800213643"/>
        <n v="239.21575554668794"/>
        <n v="105.1063438679547"/>
        <n v="87.13492297838272"/>
        <n v="1263.3954959446094"/>
        <n v="156.42720946236557"/>
        <n v="211.055715193897"/>
        <n v="293.89301557197047"/>
        <n v="695.212014114541"/>
        <n v="278.40864866389035"/>
        <n v="218.03741321973342"/>
        <n v="207.00494174885526"/>
        <n v="48.22950402999541"/>
        <n v="598.767396499495"/>
        <n v="36.61387658151147"/>
        <n v="1090.4673708609273"/>
        <n v="1201.9387265349328"/>
        <n v="84.88159497107928"/>
        <n v="222.45128331730612"/>
        <n v="57.933359976215144"/>
        <n v="245.521052836485"/>
        <n v="656.1331335288668"/>
        <n v="54.682366686918066"/>
        <n v="563.2308525907454"/>
        <n v="323.76769197324415"/>
        <n v="64.04721659178769"/>
        <n v="187.3332063027179"/>
        <n v="99.1261928865449"/>
        <n v="936.3767524720375"/>
        <n v="214.63109397573464"/>
        <n v="89.48654538484223"/>
        <n v="324.28425336798193"/>
        <n v="378.22125164992826"/>
        <n v="499.2147709428552"/>
        <n v="241.76206609418534"/>
        <n v="1324.1011893819336"/>
        <n v="1956.2923279365077"/>
        <n v="110.942086756559"/>
        <n v="825.1678581665432"/>
        <n v="712.1941171744226"/>
        <n v="332.60637472527475"/>
        <n v="1833.7128774139378"/>
        <n v="52.5205437512868"/>
        <n v="204.69886932523804"/>
        <n v="1054.2394813588849"/>
        <n v="921.4912339063643"/>
        <n v="91.23994232960258"/>
        <n v="165.2216578196419"/>
        <n v="950.8384514450868"/>
        <n v="71.13986261065789"/>
        <n v="125.15999456144411"/>
        <n v="39.87991363275741"/>
        <n v="95.15249667546173"/>
        <n v="242.83645056726093"/>
        <n v="1903.390484312148"/>
        <n v="796.0223029992309"/>
        <n v="479.87553491974086"/>
        <n v="397.3437222550758"/>
        <n v="489.2987178226515"/>
        <n v="647.164387549588"/>
        <n v="115.63743982501518"/>
        <n v="682.3075632258063"/>
        <n v="1137.9313391157184"/>
        <n v="207.82038700777528"/>
        <n v="147.37948585830298"/>
        <n v="1138.7482382742278"/>
        <n v="9369.574876901797"/>
        <n v="849.401247974068"/>
        <n v="533.2042187282835"/>
        <n v="516.6515836867864"/>
        <n v="2087.197049089727"/>
        <n v="240.34301356216992"/>
        <n v="381.5368948012809"/>
        <n v="594.6513032304769"/>
        <n v="925.2543648553282"/>
        <n v="771.7897102499629"/>
        <n v="207.26093466984437"/>
        <n v="59.58106787623522"/>
        <n v="12.66617551704597"/>
        <n v="224.29421692535107"/>
        <n v="57.02479530650164"/>
        <n v="20.092468775953613"/>
        <n v="20.78307327503279"/>
        <n v="624.6542539216586"/>
        <n v="4684.165147887324"/>
        <n v="83.96121713854177"/>
        <n v="28.719110691565167"/>
        <n v="86.42189662870842"/>
        <n v="350.23783763996556"/>
        <n v="303.81005268259304"/>
        <n v="107.37067489653204"/>
        <n v="46.87741918249584"/>
        <n v="247.9264757108434"/>
        <n v="47.044847949394274"/>
        <n v="550.9038620689655"/>
        <n v="72.1118388316406"/>
        <n v="30.416329097340498"/>
        <n v="94.38936725715627"/>
        <n v="39.44572406903269"/>
        <n v="46.804241770715095"/>
        <n v="51.67945944691293"/>
        <n v="5.6543183236817605"/>
        <n v="404.5890121116377"/>
        <n v="1334.5428398576512"/>
        <n v="28.935056387905203"/>
        <n v="14.902949795947446"/>
        <n v="55.423388665960026"/>
        <n v="124.54576686380389"/>
        <n v="404.1570019618834"/>
        <n v="348.56981738750545"/>
        <n v="1113.0608642292489"/>
        <n v="863.5365747938752"/>
        <n v="92.69515506395227"/>
        <n v="165.08096215496494"/>
        <n v="136.21631888474138"/>
        <n v="63.51734387399303"/>
        <n v="199.7667754621015"/>
        <n v="216.81802297821545"/>
        <n v="88.97406345706236"/>
        <n v="199.87714423042172"/>
        <n v="2886.245421468401"/>
        <n v="472.20016681197325"/>
        <n v="129.89441442966546"/>
        <n v="395.05482359136386"/>
        <n v="161.37735557593635"/>
        <n v="420.3222261922672"/>
        <n v="131.94554605955943"/>
        <n v="95.87972136828573"/>
        <n v="245.96068344721795"/>
        <n v="449.9868440287413"/>
        <n v="706.0993444966706"/>
        <n v="198.81448005498123"/>
        <n v="356.26153677670726"/>
        <n v="103.84747546520315"/>
        <n v="192.48827801709854"/>
        <n v="132.1596546366528"/>
        <n v="89.80349566309987"/>
        <n v="73.9515845003399"/>
        <n v="28.058221485595276"/>
        <n v="38.70893221591054"/>
        <n v="630.8189729729729"/>
        <n v="447.6253053049441"/>
        <n v="382.6949907722195"/>
        <n v="524.2953786691256"/>
        <n v="851.3352939828956"/>
        <n v="3058.342210088149"/>
        <n v="962.2989922784656"/>
        <n v="4532.016934782609"/>
        <n v="2501.1644150311154"/>
        <n v="874.3880901649667"/>
        <n v="675.4574162259255"/>
        <n v="116.63839653283033"/>
        <n v="4431.29072106825"/>
        <n v="123.31734012007308"/>
        <n v="705.7830435986158"/>
        <n v="195.35101782623744"/>
        <n v="33.689290642624066"/>
        <n v="144.7656531507811"/>
        <n v="195.24771029163654"/>
        <n v="211.68489548911617"/>
        <n v="86.97647717538322"/>
        <n v="40.14158292800256"/>
        <n v="1092.33562890625"/>
        <n v="243.92205896527284"/>
        <n v="92.44728816135492"/>
        <n v="146.7650421418906"/>
        <n v="441.03932289104324"/>
        <n v="226.83106639215518"/>
        <n v="51.46879202652368"/>
        <n v="64.13535662209628"/>
        <n v="171.35846731995053"/>
        <n v="33.949981609285544"/>
        <n v="41.03483993602362"/>
        <n v="34.55772010460783"/>
        <n v="84.37515601621838"/>
        <n v="1072.831189759036"/>
        <n v="1106.863755357522"/>
        <n v="406.79936394957326"/>
        <n v="133.23797386730018"/>
        <n v="439.41467317633544"/>
        <n v="560.3513175005764"/>
        <n v="1765.3668260443865"/>
        <n v="468.58828472501"/>
        <n v="6400.07442877095"/>
        <n v="320.4340080627347"/>
        <n v="231.4140126864631"/>
        <n v="103.28354872650286"/>
        <n v="877.317351409396"/>
        <n v="497.6834235962517"/>
        <n v="384.87267184763573"/>
        <n v="154.97900189095492"/>
        <n v="587.5966646399721"/>
        <n v="164.80038120389003"/>
        <n v="314.6623458227041"/>
        <n v="50.920089780903865"/>
        <n v="125.60931125101544"/>
        <n v="258.47214770918094"/>
        <n v="1089.6559005037784"/>
        <n v="1690.2984361370718"/>
        <n v="637.7910288992775"/>
        <n v="693.5656962856018"/>
        <n v="2431.0632576464486"/>
        <n v="198.4644567788899"/>
        <n v="298.16568665977246"/>
        <n v="141.37282296355133"/>
        <n v="130.56637613249703"/>
        <n v="114.0092284942085"/>
        <n v="218.79618699249275"/>
        <n v="355.9788127817854"/>
        <n v="96.15889337779895"/>
        <n v="25.390575928399212"/>
        <n v="145.66357212523855"/>
        <n v="1221.3997192619092"/>
        <n v="139.21495672903922"/>
        <n v="340.21759199847224"/>
        <n v="323.6875932385874"/>
        <n v="410.9323470013947"/>
        <n v="94.50851263988521"/>
        <n v="177.7023361588083"/>
        <n v="116.60491314110988"/>
        <n v="119.55406010082704"/>
        <n v="54.896066186066754"/>
        <n v="65.00400749783354"/>
        <n v="189.15834536855462"/>
        <n v="295.80797869955154"/>
        <n v="1190.2642372691662"/>
        <n v="304.63013256826275"/>
        <n v="1026.4902965492452"/>
        <n v="101.19286654560406"/>
        <n v="164.05063882930878"/>
        <n v="484.725439276885"/>
        <n v="3240.2820322580646"/>
        <n v="242.68585776950684"/>
        <n v="1791.2893943475963"/>
        <n v="1044.7004095982143"/>
        <n v="70.27138055577177"/>
        <n v="2553.399538548753"/>
        <n v="304.3502767750802"/>
        <n v="601.274007038713"/>
        <n v="79.42068852659965"/>
        <n v="95.40203473757134"/>
        <n v="68.38095784325142"/>
        <n v="270.79669209008813"/>
        <n v="158.5431978143638"/>
        <n v="25.724563294902204"/>
        <n v="1010.8096389052384"/>
        <n v="18.94371979401916"/>
        <n v="13.099125289686086"/>
        <n v="300.4045514103731"/>
        <n v="23.38643649124885"/>
        <n v="11.880943516260471"/>
        <n v="37.16809669468339"/>
        <n v="61.3375175011258"/>
        <n v="22.02278264720254"/>
        <n v="11.093801462079432"/>
        <n v="18.980396304849883"/>
        <n v="11.129355848672686"/>
        <n v="7.8762585736977835"/>
        <n v="713.2844"/>
        <n v="12.701302447149567"/>
        <n v="72.26562165194365"/>
        <n v="13.923731055554656"/>
        <n v="6.281495366352723"/>
        <n v="16.897785360879254"/>
        <n v="824.8935301092043"/>
        <n v="260.2167868779179"/>
        <n v="8.036468888485599"/>
        <n v="14.752633889087019"/>
        <n v="193.59446521295786"/>
        <n v="182.19393042649511"/>
        <n v="343.3351395455941"/>
        <n v="5.09027811964206"/>
        <n v="3.802529345292902"/>
        <n v="1162.0195681355933"/>
        <n v="5.45938799009789"/>
        <n v="130.3935457931268"/>
        <n v="65.36789004898169"/>
        <n v="3.1587400657649995"/>
        <n v="83.88969066225543"/>
        <n v="736.6758377759982"/>
        <n v="223.96142986161033"/>
        <n v="88.21453502203813"/>
        <n v="747.0199496674727"/>
        <n v="470.566026525728"/>
        <n v="584.7716662225183"/>
        <n v="1836.3535999287494"/>
        <n v="97.94438805712312"/>
        <n v="200.3788323074495"/>
        <n v="164.55828036803473"/>
        <n v="642.069773890785"/>
        <n v="243.52302503144656"/>
        <n v="352.07123364915833"/>
        <n v="404.2616414507772"/>
        <n v="74.09116146105366"/>
        <n v="430.4411865671642"/>
        <n v="7622.170004981321"/>
        <n v="635.1648767301039"/>
        <n v="4839.564123022847"/>
        <n v="282.100515600865"/>
        <n v="1190.5877734172527"/>
        <n v="1908.1260964325531"/>
        <n v="1374.1930747583244"/>
        <n v="910.4146781919112"/>
        <n v="314.9504858737356"/>
        <n v="218.51994499314128"/>
        <n v="401.12468157614484"/>
        <n v="67.1034376303441"/>
        <n v="160.9340339606316"/>
        <n v="71.43533671907092"/>
        <n v="12.032178893228952"/>
        <n v="3.437149006812238"/>
        <n v="14.231048472930244"/>
        <n v="12.732891177668321"/>
        <n v="6.81612070749868"/>
        <n v="6.76430313210234"/>
        <n v="28.232962962262366"/>
        <n v="5.978151230965082"/>
        <n v="500.840128307188"/>
        <n v="837.9030510570403"/>
        <n v="54.315074305012004"/>
        <n v="413.236325364751"/>
        <n v="90.28249091155317"/>
        <n v="2.8590883394823683"/>
        <n v="133.8924105282303"/>
        <n v="1565.956279439847"/>
        <n v="25.928910027760928"/>
        <n v="265.1664277942332"/>
        <n v="83.53462895819668"/>
        <n v="13.553844728745522"/>
        <n v="44.30697434783553"/>
        <n v="50.2009357682996"/>
        <n v="16.34034335432124"/>
        <n v="4.948313708276404"/>
        <n v="9.11607832861927"/>
        <n v="9.073562825501698"/>
        <n v="26.385501425149076"/>
        <n v="93.01573738195009"/>
        <n v="20.93253939180131"/>
        <n v="522.7543002045956"/>
        <n v="882.4289318457013"/>
        <n v="1444.7093573281452"/>
        <n v="1121.290429000158"/>
        <n v="1175.8368008474577"/>
        <n v="100.03324273822689"/>
        <n v="312.6880641925777"/>
        <n v="1628.8954141274237"/>
        <n v="1456.2597922627444"/>
        <n v="342.93057574522294"/>
        <n v="48.4859376473109"/>
        <n v="2211.574537857983"/>
        <n v="20.45101264828764"/>
        <n v="117.84363724885141"/>
        <n v="376.34812701220585"/>
        <n v="325.2938578478344"/>
        <n v="664.8660694589878"/>
        <n v="210.433010319291"/>
        <n v="1170.3353101580135"/>
        <n v="68.32721405489862"/>
        <n v="36.27947694592254"/>
        <n v="382.7569210030166"/>
        <n v="1932.6172074116632"/>
        <n v="338.8345918447108"/>
        <n v="1399.856114090909"/>
        <n v="200.73732773977025"/>
        <n v="1684.3147352800381"/>
        <n v="3980.5393206249996"/>
        <n v="80.05604622356495"/>
        <n v="309.9259144208887"/>
        <n v="106.03191516543036"/>
        <n v="54.42243302083333"/>
        <n v="15.77183754676221"/>
        <n v="254.68653813333333"/>
        <n v="192.73697373421257"/>
        <n v="147.5690876206541"/>
        <n v="281.4392929567264"/>
        <n v="129.5510432618937"/>
        <n v="50.64710620249903"/>
        <n v="77.72898679016728"/>
        <n v="113.79379842045881"/>
        <n v="76.24212944846002"/>
        <n v="179.445606388516"/>
        <n v="22.409512986953285"/>
        <n v="54.515060072653455"/>
        <n v="5.135724099172887"/>
        <n v="39.244514359369724"/>
        <n v="90.55669832682655"/>
        <n v="6.707544908778718"/>
        <n v="85.767534720301"/>
        <n v="32.212300716642496"/>
        <n v="225.8503431488606"/>
        <n v="20.873103639625604"/>
        <n v="369.05452850948507"/>
        <n v="135.02118212708905"/>
        <n v="120.4854636313542"/>
        <n v="156.2929637567841"/>
        <n v="1428.0338183306058"/>
        <n v="446.6333922529231"/>
        <n v="120.01486848528087"/>
        <n v="215.03923595605963"/>
        <n v="99.33324541323009"/>
        <n v="128.0534864520456"/>
        <n v="117.43669766444235"/>
        <n v="264.06282184517494"/>
        <n v="117.0897445974006"/>
        <n v="150.31930463196008"/>
        <n v="26.55632580816552"/>
        <n v="151.29628099625944"/>
        <n v="444.98598683149686"/>
        <n v="1249.9928257790368"/>
        <n v="94.95195728700402"/>
        <n v="60.74679570043325"/>
        <n v="118.760391559243"/>
        <n v="380.21137186015903"/>
        <n v="416.24360894185816"/>
        <n v="209.24669111802888"/>
        <n v="346.4463647923142"/>
        <n v="703.4864522528984"/>
        <n v="1386.2784849515833"/>
        <n v="1138.994409395973"/>
        <n v="79.25867242699762"/>
        <n v="679.6392979325353"/>
        <n v="43.94649412768191"/>
        <n v="90.75484252638088"/>
        <n v="61.84975158951478"/>
        <n v="118.02378305288462"/>
        <n v="106.97314503321991"/>
        <n v="61.715834716157204"/>
        <n v="34.703620909545585"/>
        <n v="47.74062151489452"/>
        <n v="72.02254416610246"/>
        <n v="315.7830949519231"/>
        <n v="264.8949713225371"/>
        <n v="360.92351583493286"/>
        <n v="119.98119152501795"/>
        <n v="315.96287352710135"/>
        <n v="89.3872633332452"/>
        <n v="616.5634011006798"/>
        <n v="456.01597894168464"/>
        <n v="433.5111356287425"/>
        <n v="741.9027939609238"/>
        <n v="133.53028170496404"/>
        <n v="840.7857787386141"/>
        <n v="1532.6171854516388"/>
        <n v="246.14244702643876"/>
        <n v="192.29780110238067"/>
        <n v="467.7629350300921"/>
        <n v="184.71478042359698"/>
        <n v="252.17507686092316"/>
        <n v="1238.0375055762083"/>
        <n v="316.44330927582405"/>
        <n v="48.77809483957768"/>
        <n v="25.903177416270754"/>
        <n v="26.996191836087522"/>
        <n v="72.96229013465762"/>
        <n v="6375.50707852194"/>
        <n v="189.79897269303203"/>
        <n v="526.2662324324325"/>
        <n v="470.57148732463696"/>
        <n v="632.7577565947242"/>
        <n v="356.76971504458356"/>
        <n v="1204.3047665391969"/>
        <n v="743.0766815751093"/>
        <n v="520.6746785557024"/>
        <n v="408.1902511029412"/>
        <n v="82.70617167420012"/>
        <n v="171.06944556113902"/>
        <n v="808.0371483782775"/>
        <n v="832.7504014554275"/>
        <n v="634.0345575539568"/>
        <n v="804.3007829445388"/>
        <n v="541.3224245212634"/>
        <n v="310.4012096915017"/>
        <n v="132.37686509750154"/>
        <n v="347.18071578228194"/>
        <n v="690.5986680511713"/>
        <n v="687.0203185085355"/>
        <n v="198.95142843903085"/>
        <n v="923.4005010893246"/>
        <n v="2094.6646759508835"/>
        <n v="1777.6167931472082"/>
        <n v="319.94113532677153"/>
        <n v="5.537502915488092"/>
        <n v="49.11783572258815"/>
        <n v="19.33450364234442"/>
        <n v="1152.4800471806675"/>
        <n v="598.3931160530742"/>
        <n v="1157.4261597708467"/>
        <n v="501.89595230856924"/>
        <n v="1174.268998657493"/>
        <n v="633.232555737169"/>
        <n v="4474.864533525595"/>
        <n v="320.61455840707964"/>
        <n v="232.10301457649376"/>
        <n v="1741.1786970427163"/>
        <n v="1435.1237680968097"/>
        <n v="672.6163966529015"/>
        <n v="484.95078377666584"/>
        <n v="1777.1658592519686"/>
        <n v="457.45997397260277"/>
        <n v="197.07523538647342"/>
        <n v="47.801277236903104"/>
        <n v="33.08643370901087"/>
        <n v="222.39518874592963"/>
        <n v="360.2855893045867"/>
        <n v="1207.2419351389879"/>
        <n v="37.571169817308125"/>
        <n v="140.09024841842395"/>
        <n v="183.64701029855405"/>
        <n v="92.31259915839448"/>
        <n v="703.7687248913718"/>
        <n v="369.1786059322034"/>
        <n v="408.65013657356496"/>
        <n v="135.7823173300018"/>
        <n v="1405.7079502114573"/>
        <n v="208.92473676950087"/>
        <n v="327.32301773024693"/>
        <n v="254.58083555555555"/>
        <n v="755.5885064669842"/>
        <n v="231.17268052406146"/>
        <n v="273.9670778334485"/>
        <n v="489.3427583947584"/>
        <n v="396.08353116240727"/>
        <n v="152.24307932653392"/>
        <n v="298.2038016809439"/>
        <n v="513.4810844594595"/>
        <n v="649.4706098010316"/>
        <n v="35.388096336878945"/>
        <n v="1324.2108696818705"/>
        <n v="173.58185031100234"/>
        <n v="108.4056105028519"/>
        <n v="295.4876985636646"/>
        <n v="996.0054006116208"/>
        <n v="90.21329293671343"/>
        <n v="91.11085810678901"/>
        <n v="731.378596280679"/>
        <n v="574.8731541933737"/>
        <n v="67.02118151651256"/>
        <n v="1455.0408872266974"/>
        <n v="642.6112047604516"/>
        <n v="435.71877813082824"/>
        <n v="180.0177254627701"/>
        <n v="56.15936984045389"/>
        <n v="751.5553318764979"/>
        <n v="112.83904328056941"/>
        <n v="67.85727580676706"/>
        <n v="83.46269866226686"/>
        <n v="267.1189402682054"/>
        <n v="633.0107575678497"/>
        <n v="82.8737687306281"/>
        <n v="971.3962217956922"/>
        <n v="235.67543021948765"/>
        <n v="204.13720637743006"/>
        <n v="78.03526170426926"/>
        <n v="32.69490163478261"/>
        <n v="34.670088171383284"/>
        <n v="368.4116931089744"/>
        <n v="642.1255477303071"/>
        <n v="276.53754778908984"/>
        <n v="52.16395795107034"/>
        <n v="25.442908245486937"/>
        <n v="67.00250662733204"/>
        <n v="54.52939118627754"/>
        <n v="19.65607527628592"/>
        <n v="259.19917723177724"/>
        <n v="81.43470786165163"/>
        <n v="83.84621123794746"/>
        <n v="118.11144694887301"/>
        <n v="22.29401084035119"/>
        <n v="190.25381383466527"/>
        <n v="2862.596523327712"/>
        <n v="857.5504290171607"/>
        <n v="255.58495138577086"/>
        <n v="960.5018063380281"/>
        <n v="795.5659971174633"/>
        <n v="631.5135926462073"/>
        <n v="237.3386454183267"/>
        <n v="88.49001733158927"/>
        <n v="189.6592940569808"/>
        <n v="1443.2311071428571"/>
        <n v="1051.4831834491674"/>
        <n v="312.80449561155154"/>
        <n v="92.03909942817131"/>
        <n v="281.39907969044134"/>
        <n v="176.1212459816887"/>
        <n v="310.3454485372139"/>
        <n v="3739.7250604332953"/>
        <n v="145.453624329018"/>
        <n v="782.2453079206584"/>
        <n v="175.8609251497006"/>
        <n v="141.65422890063115"/>
        <n v="178.67924175560617"/>
        <n v="998.0974862355955"/>
        <n v="21.959270262317474"/>
        <n v="8.52120608150648"/>
        <n v="14.6139130826175"/>
        <n v="44.25428065890858"/>
        <n v="139.9331850015821"/>
        <n v="57.66421765948941"/>
        <n v="15.187753162798217"/>
        <n v="15.851572234414073"/>
        <n v="19.223363843845306"/>
        <n v="1444.2550139023604"/>
        <n v="324.94729706128027"/>
        <n v="102.74720346488735"/>
        <n v="4.5306657826523695"/>
        <n v="19.80628982745569"/>
        <n v="11227.694172774869"/>
        <n v="75.77682612332696"/>
        <n v="140.38507539506722"/>
        <n v="8.195805150721489"/>
        <n v="8.400294835274643"/>
        <n v="7.71151228434053"/>
        <n v="61.5617007691704"/>
        <n v="11.556427248275401"/>
        <n v="45.933406525911714"/>
        <n v="10.370307082061556"/>
        <n v="63.53070289764436"/>
        <n v="11.53567095921034"/>
        <n v="8.17077940667729"/>
        <n v="70.07013438950231"/>
        <n v="317.2881696542894"/>
        <n v="183.97102530189764"/>
        <n v="621.1160682456355"/>
        <n v="818.7312610286206"/>
        <n v="1202.5915395987329"/>
        <n v="1312.5748335804299"/>
        <n v="170.39341268788684"/>
        <n v="235.48889195023233"/>
        <n v="507.0670289171774"/>
        <n v="3119.027676420934"/>
        <n v="409.86028088938923"/>
        <n v="57.97765689160216"/>
        <n v="43.49116171728218"/>
        <n v="1183.1265490347491"/>
        <n v="128.48049761417857"/>
        <n v="386.655125529661"/>
      </sharedItems>
    </cacheField>
    <cacheField name="CVR" numFmtId="0">
      <sharedItems containsSemiMixedTypes="0" containsString="0" containsNumber="1">
        <n v="20.0"/>
        <n v="13.333333333333334"/>
        <n v="10.0"/>
        <n v="8.88888888888889"/>
        <n v="20.54794520547945"/>
        <n v="11.594202898550725"/>
        <n v="4.444444444444445"/>
        <n v="3.4090909090909087"/>
        <n v="12.931034482758621"/>
        <n v="1.4814814814814816"/>
        <n v="10.317460317460316"/>
        <n v="6.666666666666667"/>
        <n v="6.8181818181818175"/>
        <n v="12.0"/>
        <n v="25.64102564102564"/>
        <n v="10.909090909090908"/>
        <n v="5.555555555555555"/>
        <n v="8.64864864864865"/>
        <n v="8.0"/>
        <n v="16.39344262295082"/>
        <n v="37.142857142857146"/>
        <n v="6.349206349206349"/>
        <n v="27.027027027027028"/>
        <n v="5.9405940594059405"/>
        <n v="6.779661016949152"/>
        <n v="16.0"/>
        <n v="4.545454545454546"/>
        <n v="197.9591836734694"/>
        <n v="5.0"/>
        <n v="2.564102564102564"/>
        <n v="5.405405405405405"/>
        <n v="5.952380952380952"/>
        <n v="3.0927835051546393"/>
        <n v="4.761904761904762"/>
        <n v="5.737704918032787"/>
        <n v="9.523809523809524"/>
        <n v="1.7241379310344827"/>
        <n v="1.0714285714285714"/>
        <n v="25.0"/>
        <n v="1.3368983957219251"/>
        <n v="12.612612612612612"/>
        <n v="4.245283018867925"/>
        <n v="16.666666666666664"/>
        <n v="5.1020408163265305"/>
        <n v="3.048780487804878"/>
        <n v="9.090909090909092"/>
        <n v="3.30188679245283"/>
        <n v="3.0100334448160537"/>
        <n v="10.81081081081081"/>
        <n v="3.303303303303303"/>
        <n v="7.450980392156863"/>
        <n v="6.0"/>
        <n v="2.403846153846154"/>
        <n v="2.0"/>
        <n v="11.214953271028037"/>
        <n v="0.6779661016949152"/>
        <n v="1.5706806282722512"/>
        <n v="1.2244897959183674"/>
        <n v="6.976744186046512"/>
        <n v="3.488372093023256"/>
        <n v="2.272727272727273"/>
        <n v="15.909090909090908"/>
        <n v="4.054054054054054"/>
        <n v="50.0"/>
        <n v="5.970149253731343"/>
        <n v="2.0689655172413794"/>
        <n v="15.0"/>
        <n v="2.898550724637681"/>
        <n v="15.714285714285714"/>
        <n v="6.132075471698113"/>
        <n v="30.158730158730158"/>
        <n v="7.4074074074074066"/>
        <n v="21.0"/>
        <n v="8.421052631578947"/>
        <n v="10.185185185185185"/>
        <n v="5.7894736842105265"/>
        <n v="7.5"/>
        <n v="120.0"/>
        <n v="21.428571428571427"/>
        <n v="8.461538461538462"/>
        <n v="7.333333333333333"/>
        <n v="13.043478260869565"/>
        <n v="3.5502958579881656"/>
        <n v="10.050251256281408"/>
        <n v="3.3333333333333335"/>
        <n v="13.592233009708737"/>
        <n v="8.75"/>
        <n v="27.77777777777778"/>
        <n v="5.161290322580645"/>
        <n v="0.46511627906976744"/>
        <n v="20.27027027027027"/>
        <n v="7.352941176470589"/>
        <n v="1.4150943396226416"/>
        <n v="48.0"/>
        <n v="32.5"/>
        <n v="5.2"/>
        <n v="1.7142857142857144"/>
        <n v="4.705882352941177"/>
        <n v="12.162162162162163"/>
        <n v="26.31578947368421"/>
        <n v="12.857142857142856"/>
        <n v="14.0625"/>
        <n v="100.0"/>
        <n v="44.0"/>
        <n v="9.375"/>
        <n v="1.0033444816053512"/>
        <n v="46.666666666666664"/>
        <n v="6.853582554517133"/>
        <n v="4.098360655737705"/>
        <n v="1.6216216216216217"/>
        <n v="2.6881720430107525"/>
        <n v="1.3215859030837005"/>
        <n v="4.0"/>
        <n v="3.076923076923077"/>
        <n v="8.928571428571429"/>
        <n v="6.428571428571428"/>
        <n v="14.444444444444443"/>
        <n v="27.142857142857142"/>
        <n v="0.38461538461538464"/>
        <n v="18.181818181818183"/>
        <n v="22.0"/>
        <n v="5.05050505050505"/>
        <n v="23.404255319148938"/>
        <n v="21.21212121212121"/>
        <n v="26.96629213483146"/>
        <n v="30.0"/>
        <n v="17.346938775510203"/>
        <n v="6.756756756756757"/>
        <n v="39.39393939393939"/>
        <n v="8.571428571428571"/>
        <n v="4.6875"/>
        <n v="2.083333333333333"/>
        <n v="4.92627345844504"/>
        <n v="13.827655310621243"/>
        <n v="6.440281030444965"/>
        <n v="1.95"/>
        <n v="5.760709010339734"/>
        <n v="21.25"/>
        <n v="10.27027027027027"/>
        <n v="2.2357723577235773"/>
        <n v="1.8306636155606408"/>
        <n v="3.8"/>
        <n v="13.274336283185843"/>
        <n v="11.881188118811881"/>
        <n v="0.5763688760806917"/>
        <n v="1.7543859649122806"/>
        <n v="5.921052631578947"/>
        <n v="2.0066889632107023"/>
        <n v="4.891304347826087"/>
        <n v="1.8867924528301887"/>
        <n v="1.0460251046025104"/>
        <n v="0.5263157894736842"/>
        <n v="8.866995073891626"/>
        <n v="1.4705882352941175"/>
        <n v="1.4177693761814745"/>
        <n v="2.5"/>
        <n v="1.5384615384615385"/>
        <n v="0.81799591002045"/>
        <n v="1.4285714285714286"/>
        <n v="5.660377358490567"/>
        <n v="2.0408163265306123"/>
        <n v="12.5"/>
        <n v="1.1904761904761905"/>
        <n v="1.084010840108401"/>
        <n v="2.512562814070352"/>
        <n v="4.522613065326634"/>
        <n v="6.030150753768844"/>
        <n v="12.727272727272727"/>
        <n v="11.666666666666666"/>
        <n v="5.357142857142857"/>
        <n v="3.5593220338983054"/>
        <n v="3.75"/>
        <n v="6.25"/>
        <n v="4.285714285714286"/>
        <n v="4.597701149425287"/>
        <n v="105.40540540540539"/>
        <n v="27.941176470588236"/>
        <n v="4.0201005025125625"/>
        <n v="12.8"/>
        <n v="1.5950920245398774"/>
        <n v="8.02675585284281"/>
        <n v="7.142857142857142"/>
        <n v="1.4492753623188406"/>
        <n v="5.454545454545454"/>
        <n v="18.0"/>
        <n v="14.666666666666666"/>
        <n v="24.242424242424242"/>
        <n v="26.666666666666668"/>
        <n v="110.00000000000001"/>
        <n v="11.76470588235294"/>
        <n v="5.75"/>
        <n v="2.9729729729729732"/>
        <n v="12.676056338028168"/>
        <n v="0.625"/>
        <n v="3.1818181818181817"/>
        <n v="95.0"/>
        <n v="30.37974683544304"/>
        <n v="39.58333333333333"/>
        <n v="2.5806451612903225"/>
        <n v="2.2222222222222223"/>
        <n v="10.714285714285714"/>
        <n v="5.351170568561873"/>
        <n v="4.5"/>
        <n v="10.227272727272728"/>
        <n v="6.9306930693069315"/>
        <n v="8.284023668639055"/>
        <n v="2.8735632183908044"/>
        <n v="18.51851851851852"/>
        <n v="45.0"/>
        <n v="5.154639175257731"/>
        <n v="4.81283422459893"/>
        <n v="4.166666666666666"/>
        <n v="1.0"/>
        <n v="7.194244604316546"/>
        <n v="4.504504504504505"/>
        <n v="13.157894736842104"/>
        <n v="11.904761904761903"/>
        <n v="13.636363636363635"/>
        <n v="60.0"/>
        <n v="6.265664160401002"/>
        <n v="9.130434782608695"/>
        <n v="14.705882352941178"/>
        <n v="8.333333333333332"/>
        <n v="0.23752969121140144"/>
        <n v="0.964630225080386"/>
        <n v="1.5789473684210527"/>
        <n v="5.365853658536586"/>
        <n v="3.1088082901554404"/>
        <n v="15.476190476190476"/>
        <n v="4.477611940298507"/>
        <n v="14.285714285714285"/>
        <n v="4.398826979472141"/>
        <n v="5.142857142857142"/>
        <n v="5.172413793103448"/>
        <n v="7.246376811594203"/>
        <n v="6.0606060606060606"/>
        <n v="6.153846153846154"/>
        <n v="15.384615384615385"/>
        <n v="4.159733777038269"/>
        <n v="1.0526315789473684"/>
        <n v="52.0"/>
        <n v="14.000000000000002"/>
        <n v="11.200000000000001"/>
        <n v="11.34020618556701"/>
        <n v="1.839080459770115"/>
        <n v="7.614213197969544"/>
        <n v="2.9702970297029703"/>
        <n v="1.0416666666666665"/>
        <n v="3.6363636363636362"/>
        <n v="0.8333333333333334"/>
        <n v="3.9473684210526314"/>
        <n v="5.188679245283019"/>
        <n v="1.0810810810810811"/>
        <n v="10.576923076923077"/>
        <n v="3.0"/>
        <n v="3.6028119507908607"/>
        <n v="1.701931922723091"/>
        <n v="1.0786360473208072"/>
        <n v="2.3230330922638616"/>
        <n v="40.0"/>
        <n v="0.4769076305220884"/>
        <n v="7.222222222222221"/>
        <n v="0.5502751375687844"/>
        <n v="0.41109969167523125"/>
        <n v="0.8568548387096774"/>
        <n v="6.640625"/>
        <n v="1.6129032258064515"/>
        <n v="0.3191489361702127"/>
        <n v="1.4925373134328357"/>
        <n v="9.195402298850574"/>
        <n v="5.797101449275362"/>
        <n v="0.5517241379310345"/>
        <n v="0.5032021957913998"/>
        <n v="0.5516154452324665"/>
        <n v="13.23529411764706"/>
        <n v="0.45362903225806456"/>
        <n v="6.41025641025641"/>
        <n v="3.225806451612903"/>
        <n v="1.25"/>
        <n v="23.333333333333332"/>
        <n v="0.2564102564102564"/>
        <n v="3.125"/>
        <n v="37.5"/>
        <n v="22.5"/>
        <n v="8.695652173913043"/>
        <n v="11.11111111111111"/>
        <n v="3.508771929824561"/>
        <n v="45.45454545454545"/>
        <n v="4.411764705882353"/>
        <n v="0.15384615384615385"/>
        <n v="8.620689655172415"/>
        <n v="0.49261083743842365"/>
        <n v="25.333333333333336"/>
        <n v="10.344827586206897"/>
        <n v="21.73913043478261"/>
        <n v="5.016722408026756"/>
        <n v="10.619469026548673"/>
        <n v="1.1111111111111112"/>
        <n v="3.2093023255813953"/>
        <n v="12.280701754385964"/>
        <n v="1.336728198599618"/>
        <n v="0.8369723435225619"/>
        <n v="1.2648425400103251"/>
        <n v="2.2715539494062984"/>
        <n v="3.0800821355236137"/>
        <n v="0.6799531066822978"/>
        <n v="19.047619047619047"/>
        <n v="0.6134969325153374"/>
        <n v="14.14141414141414"/>
        <n v="0.33444816053511706"/>
        <n v="0.8004574042309892"/>
        <n v="0.6382978723404255"/>
        <n v="0.5192107995846313"/>
        <n v="8.484848484848486"/>
        <n v="0.5326231691078562"/>
        <n v="14.201183431952662"/>
        <n v="1.6032064128256511"/>
        <n v="0.5188067444876783"/>
        <n v="0.7042253521126761"/>
        <n v="0.7863695937090431"/>
        <n v="6.752411575562702"/>
        <n v="2.3529411764705883"/>
        <n v="1.0309278350515463"/>
        <n v="10.588235294117647"/>
        <n v="17.857142857142858"/>
        <n v="34.78260869565217"/>
        <n v="0.7407407407407408"/>
        <n v="70.0"/>
        <n v="17.77777777777778"/>
        <n v="4.375"/>
        <n v="7.8"/>
        <n v="6.935483870967742"/>
        <n v="7.964601769911504"/>
        <n v="10.144927536231885"/>
        <n v="4.864864864864865"/>
        <n v="0.4484304932735426"/>
        <n v="1.1764705882352942"/>
        <n v="11.25"/>
        <n v="12.698412698412698"/>
        <n v="7.386363636363637"/>
        <n v="1.9801980198019802"/>
        <n v="1.015228426395939"/>
        <n v="2.5821596244131455"/>
        <n v="4.081632653061225"/>
        <n v="5.105105105105105"/>
        <n v="10.256410256410255"/>
        <n v="1.3024602026049203"/>
        <n v="1.862348178137652"/>
        <n v="7.537688442211055"/>
        <n v="1.36986301369863"/>
        <n v="0.5714285714285714"/>
        <n v="21.333333333333336"/>
        <n v="14.074074074074074"/>
        <n v="0.9090909090909091"/>
        <n v="17.307692307692307"/>
        <n v="3.0303030303030303"/>
        <n v="0.5006257822277848"/>
        <n v="19.230769230769234"/>
        <n v="1.3664596273291925"/>
        <n v="5.769230769230769"/>
        <n v="2.7777777777777777"/>
        <n v="2.3696682464454977"/>
        <n v="9.722222222222223"/>
        <n v="13.533834586466165"/>
        <n v="8.181818181818182"/>
        <n v="1.3550135501355014"/>
        <n v="4.583333333333333"/>
        <n v="1.7647058823529411"/>
        <n v="63.33333333333333"/>
        <n v="8.108108108108109"/>
        <n v="7.0588235294117645"/>
        <n v="3.1423290203327174"/>
        <n v="27.500000000000004"/>
        <n v="15.942028985507244"/>
        <n v="9.0"/>
        <n v="18.333333333333332"/>
        <n v="15.151515151515152"/>
        <n v="1.8018018018018018"/>
        <n v="6.037735849056604"/>
        <n v="17.142857142857142"/>
        <n v="26.923076923076923"/>
        <n v="2.380952380952381"/>
        <n v="5.747126436781609"/>
        <n v="3.1746031746031744"/>
        <n v="3.4482758620689653"/>
        <n v="0.7692307692307693"/>
        <n v="4.2105263157894735"/>
        <n v="4.040404040404041"/>
        <n v="4.615384615384616"/>
        <n v="22.727272727272727"/>
        <n v="22.35294117647059"/>
        <n v="0.7056451612903225"/>
        <n v="2.857142857142857"/>
        <n v="60.86956521739131"/>
        <n v="9.166666666666666"/>
        <n v="16.176470588235293"/>
        <n v="22.58064516129032"/>
        <n v="11.538461538461538"/>
        <n v="23.225806451612904"/>
        <n v="34.090909090909086"/>
        <n v="8.727272727272728"/>
        <n v="0.5988023952095809"/>
        <n v="5.813953488372093"/>
        <n v="2.358490566037736"/>
        <n v="0.9523809523809524"/>
        <n v="4.266666666666667"/>
        <n v="7.781282860147214"/>
        <n v="7.027027027027027"/>
        <n v="15.254237288135593"/>
        <n v="2.4050632911392404"/>
        <n v="10.240963855421686"/>
        <n v="6.172839506172839"/>
        <n v="17.647058823529413"/>
        <n v="4.3478260869565215"/>
        <n v="10.4"/>
        <n v="18.571428571428573"/>
        <n v="11.940298507462686"/>
        <n v="5.263157894736842"/>
        <n v="23.076923076923077"/>
        <n v="17.17171717171717"/>
        <n v="6.532663316582915"/>
        <n v="1.5151515151515151"/>
        <n v="3.4700315457413247"/>
        <n v="6.521739130434782"/>
        <n v="8.55614973262032"/>
        <n v="5.47945205479452"/>
        <n v="0.7956715467854869"/>
        <n v="0.9112709832134293"/>
        <n v="5.633802816901409"/>
        <n v="0.4261363636363636"/>
        <n v="8.653846153846153"/>
        <n v="4.013377926421405"/>
        <n v="5.800000000000001"/>
        <n v="2.166666666666667"/>
        <n v="7.368421052631578"/>
        <n v="4.273504273504273"/>
        <n v="6.609808102345416"/>
        <n v="0.5859375"/>
        <n v="3.146853146853147"/>
        <n v="2.7027027027027026"/>
        <n v="6.923076923076923"/>
        <n v="0.7470651013874066"/>
        <n v="5.865522174535051"/>
        <n v="0.3024193548387097"/>
        <n v="7.042253521126761"/>
        <n v="5.8558558558558556"/>
        <n v="1.6985138004246285"/>
        <n v="7.8431372549019605"/>
        <n v="0.8016032064128256"/>
        <n v="0.9633911368015413"/>
        <n v="9.00900900900901"/>
        <n v="0.5722460658082975"/>
        <n v="0.5025125628140703"/>
        <n v="4.943820224719101"/>
        <n v="12.121212121212121"/>
        <n v="5.714285714285714"/>
        <n v="2.7210884353741496"/>
        <n v="190.0"/>
        <n v="17.5"/>
        <n v="36.36363636363637"/>
        <n v="0.6666666666666667"/>
        <n v="3.3112582781456954"/>
        <n v="1.478352692713833"/>
        <n v="1.6075845012366035"/>
        <n v="0.490449148167269"/>
        <n v="0.9638554216867471"/>
        <n v="3.3557046979865772"/>
        <n v="1.443298969072165"/>
        <n v="1.1071967790639154"/>
        <n v="0.794392523364486"/>
        <n v="0.7138221933809215"/>
        <n v="0.4784688995215311"/>
        <n v="0.28994845360824745"/>
        <n v="6.132665832290362"/>
        <n v="7.883817427385892"/>
        <n v="0.3749330476700589"/>
        <n v="0.7859733978234582"/>
        <n v="0.40650406504065045"/>
        <n v="1.2746234067207416"/>
        <n v="1.2875536480686696"/>
        <n v="2.9342723004694835"/>
        <n v="0.5698005698005698"/>
        <n v="9.477521263669502"/>
        <n v="19.11764705882353"/>
        <n v="13.432835820895523"/>
        <n v="184.6153846153846"/>
        <n v="4.814004376367615"/>
        <n v="19.480519480519483"/>
        <n v="26.153846153846157"/>
        <n v="7.865168539325842"/>
        <n v="0.5945303210463734"/>
        <n v="1.486988847583643"/>
      </sharedItems>
    </cacheField>
    <cacheField name="CPA" numFmtId="0">
      <sharedItems containsSemiMixedTypes="0" containsString="0" containsNumber="1">
        <n v="557.8303547272727"/>
        <n v="874.52897975"/>
        <n v="3253.2168435"/>
        <n v="780.564740125"/>
        <n v="411.5608593333333"/>
        <n v="717.619027375"/>
        <n v="475.57203475"/>
        <n v="1730.178666"/>
        <n v="316.85444566666666"/>
        <n v="548.74678125"/>
        <n v="155.8295399230769"/>
        <n v="492.58933625"/>
        <n v="112.9647318"/>
        <n v="559.944605"/>
        <n v="306.93960000000004"/>
        <n v="144.7873298"/>
        <n v="294.4028866666667"/>
        <n v="568.7414393333333"/>
        <n v="100.3478769375"/>
        <n v="190.601278"/>
        <n v="489.9155955"/>
        <n v="122.20365384615386"/>
        <n v="380.29629725"/>
        <n v="492.17894700000005"/>
        <n v="619.5840734000001"/>
        <n v="266.09206216666666"/>
        <n v="423.65718941666665"/>
        <n v="799.70031475"/>
        <n v="530.7963158"/>
        <n v="75.19690722680411"/>
        <n v="1050.4100685"/>
        <n v="750.04966"/>
        <n v="700.4730483000001"/>
        <n v="381.1779386"/>
        <n v="558.6624756666666"/>
        <n v="501.6698783333333"/>
        <n v="661.214569"/>
        <n v="840.7044848571429"/>
        <n v="145.66821857142858"/>
        <n v="519.0052433333334"/>
        <n v="502.1537026666667"/>
        <n v="99.40522985714286"/>
        <n v="501.0807086"/>
        <n v="482.25421292857146"/>
        <n v="637.8997827777778"/>
        <n v="423.68730627272726"/>
        <n v="440.0594188"/>
        <n v="382.0873372"/>
        <n v="370.092841"/>
        <n v="477.74944516666665"/>
        <n v="978.6537832857142"/>
        <n v="735.2089622222222"/>
        <n v="254.0610060769231"/>
        <n v="483.6109545"/>
        <n v="434.52489108333333"/>
        <n v="465.8578121818182"/>
        <n v="266.025346368421"/>
        <n v="770.5149453333333"/>
        <n v="581.1768324"/>
        <n v="366.11020533333334"/>
        <n v="87.34523120833335"/>
        <n v="506.857847"/>
        <n v="596.7967326666667"/>
        <n v="266.6191781666667"/>
        <n v="524.9304266666667"/>
        <n v="245.1619875"/>
        <n v="364.23354675"/>
        <n v="586.5682776666666"/>
        <n v="786.627045"/>
        <n v="1700.795736"/>
        <n v="2271.9041083333336"/>
        <n v="818.5215364285714"/>
        <n v="973.7034023333334"/>
        <n v="361.6615836"/>
        <n v="451.9232855"/>
        <n v="713.8231153333332"/>
        <n v="508.65410966666667"/>
        <n v="5995.041002"/>
        <n v="3175.4584525"/>
        <n v="422.44787333333335"/>
        <n v="386.7253741818182"/>
        <n v="111.97719646153845"/>
        <n v="362.0835314210526"/>
        <n v="420.58462475"/>
        <n v="452.33755286666667"/>
        <n v="321.59977342857144"/>
        <n v="749.34335425"/>
        <n v="298.71222927272726"/>
        <n v="408.1181955"/>
        <n v="1277.2928464000001"/>
        <n v="429.81930963636364"/>
        <n v="663.98128"/>
        <n v="122.67584291666667"/>
        <n v="570.53732625"/>
        <n v="583.443288090909"/>
        <n v="576.9666385454545"/>
        <n v="195.8956765416667"/>
        <n v="315.1476558333333"/>
        <n v="592.9793116666666"/>
        <n v="75.530766"/>
        <n v="1481.945157"/>
        <n v="2270.8629006666665"/>
        <n v="120.01954380357142"/>
        <n v="479.17595364285717"/>
        <n v="48.324764624000004"/>
        <n v="717.351136125"/>
        <n v="531.303804875"/>
        <n v="645.0423111666667"/>
        <n v="508.17503675"/>
        <n v="129.07538653333333"/>
        <n v="122.599182"/>
        <n v="533.0254163333333"/>
        <n v="64.21725195833334"/>
        <n v="1925.5027286666666"/>
        <n v="235.41728992307694"/>
        <n v="116.71110592307693"/>
        <n v="790.3347728333333"/>
        <n v="659.050531"/>
        <n v="812.4443055555555"/>
        <n v="1058.5793826"/>
        <n v="1336.8125608"/>
        <n v="6162.320833"/>
        <n v="235.86287644444442"/>
        <n v="371.05048022222223"/>
        <n v="531.830957"/>
        <n v="181.6030806"/>
        <n v="2183.952037"/>
        <n v="218.65052657142857"/>
        <n v="494.48423533333334"/>
        <n v="550.1213293636364"/>
        <n v="1679.5713556666667"/>
        <n v="118.38184169565218"/>
        <n v="2180.8708093333335"/>
        <n v="352.4893973571429"/>
        <n v="223.54731736363638"/>
        <n v="432.6530692"/>
        <n v="603.196987"/>
        <n v="360.6279624"/>
        <n v="499.4336333333333"/>
        <n v="788.6381240000001"/>
        <n v="1552.641502"/>
        <n v="681.6152098"/>
        <n v="671.9082343333333"/>
        <n v="428.7009535384616"/>
        <n v="111.61882621052631"/>
        <n v="3621.417703"/>
        <n v="793.18254225"/>
        <n v="489.0001309090909"/>
        <n v="414.2899415"/>
        <n v="315.7752864"/>
        <n v="633.4545881818182"/>
        <n v="483.87161685714284"/>
        <n v="65.51007125"/>
        <n v="767.28087075"/>
        <n v="527.8457013333333"/>
        <n v="377.6598895882353"/>
        <n v="400.5075978"/>
        <n v="270.07724993333335"/>
        <n v="252.7496750769231"/>
        <n v="437.02847833333334"/>
        <n v="1739.3567436666665"/>
        <n v="492.79741566666667"/>
        <n v="490.39190933333333"/>
        <n v="54.281282918367346"/>
        <n v="114.35104294202898"/>
        <n v="143.4111393090909"/>
        <n v="200.36570497435898"/>
        <n v="91.40555496153846"/>
        <n v="400.5503542352941"/>
        <n v="350.0797110526316"/>
        <n v="535.6801981818181"/>
        <n v="366.5079058125"/>
        <n v="303.5682832105263"/>
        <n v="379.51772086666665"/>
        <n v="444.0437095"/>
        <n v="2633.2121165"/>
        <n v="429.20574358333334"/>
        <n v="571.6082634444444"/>
        <n v="335.90805516666666"/>
        <n v="220.11669866666665"/>
        <n v="486.358297"/>
        <n v="325.03497600000003"/>
        <n v="1609.149933"/>
        <n v="87.74263033333334"/>
        <n v="522.3041353333333"/>
        <n v="74.21662561904762"/>
        <n v="103.6293306"/>
        <n v="768.314534"/>
        <n v="750.013076"/>
        <n v="297.4176576"/>
        <n v="366.087236"/>
        <n v="209.15203357142857"/>
        <n v="242.17924366666668"/>
        <n v="721.0160915"/>
        <n v="531.9175413333334"/>
        <n v="1126.4175946"/>
        <n v="1466.285104"/>
        <n v="998.30364625"/>
        <n v="644.7071896"/>
        <n v="198.67906866666667"/>
        <n v="132.06843725000002"/>
        <n v="402.57999425"/>
        <n v="145.311439"/>
        <n v="69.17097904761906"/>
        <n v="691.35005725"/>
        <n v="887.3143067142856"/>
        <n v="1624.840774"/>
        <n v="115.09572935714286"/>
        <n v="500.1394066666667"/>
        <n v="310.02126933333335"/>
        <n v="620.8626305555556"/>
        <n v="208.83461393333334"/>
        <n v="326.7398276190476"/>
        <n v="440.94601525"/>
        <n v="93.13573858974358"/>
        <n v="379.50981610526316"/>
        <n v="867.85005725"/>
        <n v="422.9047105"/>
        <n v="491.96543261538466"/>
        <n v="242.03796891666664"/>
        <n v="150.03791902777778"/>
        <n v="553.90796125"/>
        <n v="163.1741712"/>
        <n v="323.34294439999996"/>
        <n v="101.3064368"/>
        <n v="497.9264426666667"/>
        <n v="551.2754315555555"/>
        <n v="429.8012650909091"/>
        <n v="682.3180058"/>
        <n v="348.4089690625"/>
        <n v="780.641849125"/>
        <n v="713.763407090909"/>
        <n v="1719.90042675"/>
        <n v="1741.6441543333333"/>
        <n v="867.939478"/>
        <n v="282.0316153333333"/>
        <n v="282.2902757826087"/>
        <n v="5973.379892"/>
        <n v="515.3767963636363"/>
        <n v="566.5869433333332"/>
        <n v="4514.952724"/>
        <n v="255.15787457142855"/>
        <n v="86.81367642105263"/>
        <n v="67.50689583333333"/>
        <n v="84.96363226315789"/>
        <n v="110.23647221428573"/>
        <n v="375.5044375"/>
        <n v="5033.482578"/>
        <n v="191.20779177777777"/>
        <n v="478.980955875"/>
        <n v="759.2155630000001"/>
        <n v="677.3383912222222"/>
        <n v="763.3513472857143"/>
        <n v="179.63343685714287"/>
        <n v="434.5683494"/>
        <n v="120.07659"/>
        <n v="96.199159"/>
        <n v="166.7655895"/>
        <n v="165.91161422222223"/>
        <n v="295.49867140000003"/>
        <n v="997.303874"/>
        <n v="1304.16221975"/>
        <n v="577.2482974444445"/>
        <n v="785.17138"/>
        <n v="382.510473"/>
        <n v="2430.243664"/>
        <n v="270.45419775"/>
        <n v="311.2675779333333"/>
        <n v="305.49688606666666"/>
        <n v="580.2419017999999"/>
        <n v="829.9663565"/>
        <n v="160.9880674"/>
        <n v="1089.3357113333334"/>
        <n v="562.0919533333333"/>
        <n v="439.52459125"/>
        <n v="491.74837299999996"/>
        <n v="563.7500333333334"/>
        <n v="327.6231578333333"/>
        <n v="109.64234627777779"/>
        <n v="201.54578895999998"/>
        <n v="294.52392790476193"/>
        <n v="1461.143051"/>
        <n v="1730.37357"/>
        <n v="723.4477306666666"/>
        <n v="150.07222910000002"/>
        <n v="754.89672"/>
        <n v="1563.1736746666666"/>
        <n v="254.46451100000002"/>
        <n v="160.18123277777778"/>
        <n v="6407.581828"/>
        <n v="2123.2704086666668"/>
        <n v="492.13983633333334"/>
        <n v="476.02757083333336"/>
        <n v="526.3740045000001"/>
        <n v="229.360815"/>
        <n v="243.9738123333333"/>
        <n v="158.53799092307693"/>
        <n v="1081.1423181666667"/>
        <n v="515.8378196666666"/>
        <n v="1187.6996136666667"/>
        <n v="751.6025915"/>
        <n v="491.06415466666664"/>
        <n v="439.1495554"/>
        <n v="271.53763166666664"/>
        <n v="542.3553632222223"/>
        <n v="604.7243616666666"/>
        <n v="294.44420033333336"/>
        <n v="345.0542726"/>
        <n v="149.07397236363636"/>
        <n v="791.582151"/>
        <n v="1595.251644"/>
        <n v="384.9001725"/>
        <n v="5711.39201"/>
        <n v="421.916429"/>
        <n v="189.68191063999998"/>
        <n v="522.8571738333334"/>
        <n v="477.13152925"/>
        <n v="912.862854"/>
        <n v="521.6785882307693"/>
        <n v="802.3299145714285"/>
        <n v="257.9361217142857"/>
        <n v="2252.0983929999998"/>
        <n v="265.75866168"/>
        <n v="543.6063636363637"/>
        <n v="728.903224125"/>
        <n v="385.58958386666666"/>
        <n v="1321.17139125"/>
        <n v="331.8523196"/>
        <n v="1479.7893606666667"/>
        <n v="839.3873553999999"/>
        <n v="1144.9103843333335"/>
        <n v="486.51261175"/>
        <n v="450.77037425"/>
        <n v="550.2410033333333"/>
        <n v="143.57996381818182"/>
        <n v="392.184005"/>
        <n v="502.6489503333333"/>
        <n v="136.20832181818182"/>
        <n v="240.3713316666667"/>
        <n v="66.56190683739837"/>
        <n v="217.67949643243242"/>
        <n v="251.24843938709677"/>
        <n v="72.92679826415095"/>
        <n v="319.0461680833333"/>
        <n v="394.5131498421053"/>
        <n v="549.9858519230769"/>
        <n v="547.6747715454545"/>
        <n v="295.32324835"/>
        <n v="342.1314481764706"/>
        <n v="881.2612546666666"/>
        <n v="154.09425844117646"/>
        <n v="161.90898071875"/>
        <n v="1654.655417"/>
        <n v="822.7119456666666"/>
        <n v="286.75047225"/>
        <n v="559.12127475"/>
        <n v="216.7287715"/>
        <n v="156.9317688181818"/>
        <n v="1713.978863"/>
        <n v="227.7804852857143"/>
        <n v="171.16326111111113"/>
        <n v="138.30657027272727"/>
        <n v="164.15831733333334"/>
        <n v="245.1116945"/>
        <n v="1287.8566996"/>
        <n v="996.8971165999999"/>
        <n v="415.29197725"/>
        <n v="4942.283987"/>
        <n v="4718.836114"/>
        <n v="292.580757"/>
        <n v="736.3777935714286"/>
        <n v="5102.706729"/>
        <n v="507.8401126"/>
        <n v="106.11814973333334"/>
        <n v="1505.01155"/>
        <n v="215.11200544444443"/>
        <n v="637.8943968333333"/>
        <n v="1560.449936"/>
        <n v="531.9560165"/>
        <n v="115.358238"/>
        <n v="680.066946"/>
        <n v="5874.00478"/>
        <n v="183.58079906666666"/>
        <n v="456.5796845"/>
        <n v="535.9629293333334"/>
        <n v="360.33454915789474"/>
        <n v="6396.868763"/>
        <n v="637.7960606666667"/>
        <n v="451.4815215"/>
        <n v="113.78645707142857"/>
        <n v="100.44162026666666"/>
        <n v="137.28468626666665"/>
        <n v="123.99967316666665"/>
        <n v="637.6556273333333"/>
        <n v="116.56373839130435"/>
        <n v="52.1985089025974"/>
        <n v="187.6373906190476"/>
        <n v="342.5789907391304"/>
        <n v="160.21722946938775"/>
        <n v="88.84827610227272"/>
        <n v="248.75593116666667"/>
        <n v="233.98999275862067"/>
        <n v="534.772047"/>
        <n v="900.266978142857"/>
        <n v="2058.6680513333336"/>
        <n v="430.9169367142857"/>
        <n v="5999.993781"/>
        <n v="82.23244531428571"/>
        <n v="1717.7057346666668"/>
        <n v="615.02932875"/>
        <n v="889.1749258"/>
        <n v="731.1080358333334"/>
        <n v="200.11317042857144"/>
        <n v="563.88060225"/>
        <n v="679.9495973333334"/>
        <n v="69.98219616666667"/>
        <n v="207.29155325"/>
        <n v="200.0961985"/>
        <n v="262.675239"/>
        <n v="257.26877583333334"/>
        <n v="71.8527461904762"/>
        <n v="371.80715625"/>
        <n v="296.6768808"/>
        <n v="738.1290718888889"/>
        <n v="463.7565140909091"/>
        <n v="445.5483658"/>
        <n v="709.8889706"/>
        <n v="121.4051496875"/>
        <n v="859.2355385"/>
        <n v="178.14285714285714"/>
        <n v="1568.0833186666666"/>
        <n v="903.427168625"/>
        <n v="480.71518207142856"/>
        <n v="162.46021507692308"/>
        <n v="805.329071"/>
        <n v="62.38224704651163"/>
        <n v="859.256881"/>
        <n v="531.8739905"/>
        <n v="754.392600111111"/>
        <n v="816.3605524285714"/>
        <n v="433.3341765"/>
        <n v="648.073178"/>
        <n v="213.79585277777778"/>
        <n v="1465.872266"/>
        <n v="676.7142363333334"/>
        <n v="480.53146421428573"/>
        <n v="2600.894327"/>
        <n v="6159.366902"/>
        <n v="1555.112078"/>
        <n v="390.9481646666666"/>
        <n v="796.107864125"/>
        <n v="234.4102615"/>
        <n v="2587.5714595"/>
        <n v="120.07054073333333"/>
        <n v="783.6830355"/>
        <n v="136.0607749090909"/>
        <n v="477.537259"/>
        <n v="574.8059013333333"/>
        <n v="524.9032446666666"/>
        <n v="777.1946075"/>
        <n v="976.2318865"/>
        <n v="231.27852085294117"/>
        <n v="1860.87080825"/>
        <n v="806.8738933333333"/>
        <n v="552.0184312499999"/>
        <n v="545.8585808333333"/>
        <n v="541.627969111111"/>
        <n v="226.77053544444445"/>
        <n v="88.60285191304348"/>
        <n v="108.59218753333333"/>
        <n v="405.92040025"/>
        <n v="178.3931191111111"/>
        <n v="155.0076655"/>
        <n v="510.9193016666666"/>
        <n v="1526.296619"/>
        <n v="750.4193855"/>
        <n v="425.5660031875"/>
        <n v="486.7626133333333"/>
        <n v="276.19073068421056"/>
        <n v="566.353603"/>
        <n v="2326.7431013333335"/>
        <n v="1139.5851003333335"/>
        <n v="1598.11798875"/>
        <n v="267.5327027777778"/>
        <n v="393.425874"/>
        <n v="318.21291383333335"/>
        <n v="492.76438340000004"/>
        <n v="174.3078687"/>
        <n v="169.16866100000001"/>
        <n v="453.9041722666667"/>
        <n v="637.2787895"/>
        <n v="331.6717072"/>
        <n v="1655.792857"/>
        <n v="6177.464545"/>
        <n v="938.67131175"/>
        <n v="669.181179"/>
        <n v="329.9050572380952"/>
        <n v="265.79816584"/>
        <n v="574.6810626363637"/>
        <n v="702.0458983333333"/>
        <n v="1532.59210625"/>
        <n v="654.0079051111111"/>
        <n v="882.8283485000001"/>
        <n v="2460.7974215"/>
        <n v="2018.044688"/>
        <n v="3122.942574"/>
        <n v="535.8308135999999"/>
        <n v="586.97963275"/>
        <n v="443.5864184"/>
        <n v="154.3076660714286"/>
        <n v="110.02187966666666"/>
        <n v="219.84551788888888"/>
        <n v="388.56950259999996"/>
        <n v="163.7590119090909"/>
        <n v="531.8864886666667"/>
        <n v="525.46307"/>
        <n v="82.64723105263158"/>
        <n v="752.164607"/>
        <n v="167.05381233333333"/>
        <n v="268.14715866666666"/>
        <n v="397.7102249411765"/>
        <n v="476.1410865"/>
        <n v="281.51386433333334"/>
        <n v="1447.927193"/>
        <n v="382.8836669166667"/>
        <n v="507.5040906666666"/>
        <n v="662.921369"/>
        <n v="522.9011179090909"/>
        <n v="427.22124055555554"/>
        <n v="409.9308375"/>
        <n v="586.4471488181817"/>
        <n v="154.366142"/>
        <n v="166.4523624"/>
        <n v="555.0534816666667"/>
        <n v="1291.2469235"/>
        <n v="142.60438620000002"/>
        <n v="440.26983075"/>
        <n v="95.7723650625"/>
        <n v="63.66567833333334"/>
        <n v="690.14864125"/>
        <n v="86.38564671428571"/>
        <n v="1119.6314095"/>
        <n v="382.3863906"/>
        <n v="762.2621774444444"/>
        <n v="940.266584"/>
        <n v="629.8513929"/>
        <n v="1019.0058226666666"/>
        <n v="1182.452195"/>
        <n v="616.8208238888889"/>
        <n v="124.42316466666666"/>
        <n v="765.9634425"/>
        <n v="722.4749925555556"/>
        <n v="2746.410824"/>
        <n v="5464.109817"/>
        <n v="1301.559742"/>
        <n v="544.16436725"/>
        <n v="213.3077113"/>
        <n v="217.230435625"/>
        <n v="254.0784205"/>
        <n v="461.8570425555556"/>
        <n v="152.9307229"/>
        <n v="500.8933796666667"/>
        <n v="508.60899600000005"/>
        <n v="2331.3617843333336"/>
        <n v="5603.048132"/>
        <n v="360.97779568421055"/>
        <n v="175.21410742857142"/>
        <n v="405.6740288"/>
        <n v="90.738034"/>
        <n v="357.68041464285716"/>
        <n v="582.1821025454545"/>
        <n v="1818.316497"/>
        <n v="240.13439972727272"/>
        <n v="999.6384232857143"/>
        <n v="1937.058388"/>
        <n v="689.6263453333333"/>
        <n v="724.588902"/>
        <n v="589.1548186666666"/>
        <n v="220.791132"/>
        <n v="434.84250173333334"/>
        <n v="257.89233674999997"/>
        <n v="1841.358126"/>
        <n v="361.1201026"/>
        <n v="333.945781"/>
        <n v="407.94573725"/>
        <n v="238.4357584375"/>
        <n v="91.2054372027027"/>
        <n v="430.7965879230769"/>
        <n v="189.39012477777777"/>
        <n v="188.19560388888888"/>
        <n v="87.24025631578947"/>
        <n v="296.9913266470588"/>
        <n v="441.3496775"/>
        <n v="342.22126760000003"/>
        <n v="472.4047565833334"/>
        <n v="726.0512583333334"/>
        <n v="142.93324392307693"/>
        <n v="380.394162"/>
        <n v="1218.7487928333333"/>
        <n v="128.15121930769232"/>
        <n v="581.530256375"/>
        <n v="534.6197546666666"/>
        <n v="295.98920426666666"/>
        <n v="458.7621845"/>
        <n v="373.1109285882353"/>
        <n v="459.60577538461536"/>
        <n v="320.29954886666667"/>
        <n v="1567.3425016666667"/>
        <n v="922.4934605"/>
        <n v="151.990401"/>
        <n v="1762.663235"/>
        <n v="210.80688987878787"/>
        <n v="575.8110265"/>
        <n v="106.394825375"/>
        <n v="206.688847125"/>
        <n v="169.15029144444443"/>
        <n v="569.9640905"/>
        <n v="299.63443115999996"/>
        <n v="393.0042887894737"/>
        <n v="845.565079625"/>
        <n v="707.5411032222223"/>
        <n v="2113.959767"/>
        <n v="702.461406111111"/>
        <n v="526.4592295"/>
        <n v="217.513819"/>
        <n v="465.3042777692308"/>
        <n v="280.9252134761905"/>
        <n v="761.5402812857143"/>
        <n v="354.0513048"/>
        <n v="167.8810892903226"/>
        <n v="1719.9158313333335"/>
        <n v="624.958150625"/>
        <n v="539.0438273333334"/>
        <n v="516.9297365555556"/>
        <n v="325.34834885714287"/>
        <n v="265.57478646666664"/>
        <n v="382.6892162222222"/>
        <n v="227.04359392857143"/>
        <n v="68.77890892682927"/>
        <n v="452.06327966666663"/>
        <n v="2298.888965"/>
        <n v="213.7564601111111"/>
        <n v="121.32624013333334"/>
        <n v="45.48697133333334"/>
        <n v="215.110248125"/>
        <n v="100.7843329375"/>
        <n v="396.57862975"/>
        <n v="316.9463514"/>
        <n v="158.2410977"/>
        <n v="390.25547875"/>
        <n v="252.18145466666667"/>
        <n v="375.9782635"/>
        <n v="33.933511227272724"/>
        <n v="290.4414722"/>
        <n v="1273.13980375"/>
        <n v="824.5347375"/>
        <n v="1252.3151448"/>
        <n v="954.7387955"/>
        <n v="174.31269715789472"/>
        <n v="1090.6239745"/>
        <n v="238.288"/>
        <n v="67.65061825"/>
        <n v="77.43090231578947"/>
        <n v="740.858635"/>
        <n v="2168.5088186666667"/>
        <n v="441.93019139999996"/>
        <n v="525.7886953333333"/>
        <n v="336.34225"/>
        <n v="577.0906160000001"/>
        <n v="511.837231"/>
        <n v="655.9477756"/>
        <n v="460.65162825"/>
        <n v="724.652497125"/>
        <n v="1527.176274"/>
        <n v="321.69675383333333"/>
        <n v="298.0012394"/>
        <n v="692.9014548888889"/>
        <n v="193.6750124761905"/>
        <n v="96.3032845"/>
        <n v="393.88879931578947"/>
        <n v="604.0193009999999"/>
        <n v="663.3532634999999"/>
        <n v="432.7040515714286"/>
        <n v="273.27738477272726"/>
        <n v="304.649501882353"/>
        <n v="430.3289802727273"/>
        <n v="2233.540379"/>
        <n v="4279.230955"/>
        <n v="381.5460318888889"/>
        <n v="277.1352884444444"/>
        <n v="46.45464226530612"/>
        <n v="142.96597246666667"/>
        <n v="100.12112857894738"/>
        <n v="475.27367275"/>
        <n v="259.72857771428573"/>
        <n v="129.9803466923077"/>
        <n v="408.980054"/>
        <n v="392.17881475"/>
        <n v="141.7858059090909"/>
        <n v="518.511604"/>
        <n v="61.70000863999999"/>
        <n v="63.490996208333335"/>
        <n v="366.3786775"/>
        <n v="18.471094384615384"/>
        <n v="145.95608993333332"/>
        <n v="330.40274733333337"/>
        <n v="239.94420975"/>
        <n v="391.35090115384617"/>
        <n v="422.7382411111111"/>
        <n v="1898.0903133333334"/>
        <n v="295.11057508333334"/>
        <n v="110.12282842857142"/>
        <n v="178.5166361590909"/>
        <n v="430.19566733333335"/>
        <n v="615.8346867777777"/>
        <n v="171.3215974117647"/>
        <n v="25.325192698412696"/>
        <n v="310.1876636"/>
        <n v="766.0744405"/>
        <n v="376.96178"/>
        <n v="730.004877"/>
      </sharedItems>
    </cacheField>
    <cacheField name="CPC" numFmtId="0">
      <sharedItems containsSemiMixedTypes="0" containsString="0" containsNumber="1">
        <n v="111.56607094545454"/>
        <n v="116.60386396666667"/>
        <n v="325.32168435"/>
        <n v="69.38353245555555"/>
        <n v="84.56729986301369"/>
        <n v="83.20220607246377"/>
        <n v="21.136534877777777"/>
        <n v="58.983363613636364"/>
        <n v="40.972557629310344"/>
        <n v="8.129581944444444"/>
        <n v="16.077650944444443"/>
        <n v="32.839289083333334"/>
        <n v="7.702140804545454"/>
        <n v="67.1933526"/>
        <n v="20.46264"/>
        <n v="37.12495635897436"/>
        <n v="32.11667854545455"/>
        <n v="31.59674662962963"/>
        <n v="8.678735302702703"/>
        <n v="15.248102240000001"/>
        <n v="80.31403204918033"/>
        <n v="45.38992857142857"/>
        <n v="24.145796650793653"/>
        <n v="16.778827738636366"/>
        <n v="167.455154972973"/>
        <n v="15.807449237623763"/>
        <n v="28.72252131638418"/>
        <n v="127.95205035999999"/>
        <n v="24.127105263636363"/>
        <n v="148.85918369387755"/>
        <n v="52.520503425"/>
        <n v="19.232042564102564"/>
        <n v="37.86340801621622"/>
        <n v="22.689163011904764"/>
        <n v="17.278220896907218"/>
        <n v="23.889041825396824"/>
        <n v="132.2429138"/>
        <n v="48.23714257377049"/>
        <n v="13.873163673469389"/>
        <n v="8.948366264367817"/>
        <n v="5.380218242857143"/>
        <n v="24.851307464285714"/>
        <n v="6.698939954545454"/>
        <n v="60.824855684684685"/>
        <n v="27.080651155660377"/>
        <n v="70.61455104545455"/>
        <n v="22.452011163265308"/>
        <n v="11.649004182926829"/>
        <n v="33.64480372727273"/>
        <n v="25.82429433333333"/>
        <n v="32.31404001415094"/>
        <n v="22.130035652173913"/>
        <n v="25.40610060769231"/>
        <n v="58.03331454"/>
        <n v="46.9756639009009"/>
        <n v="15.388696498498499"/>
        <n v="19.82149639607843"/>
        <n v="46.230896720000004"/>
        <n v="13.970596932692306"/>
        <n v="7.322204106666667"/>
        <n v="9.795726864485982"/>
        <n v="3.436324386440678"/>
        <n v="9.373770670157068"/>
        <n v="3.2647246306122453"/>
        <n v="36.623053023255814"/>
        <n v="26.74494409090909"/>
        <n v="24.282236450000003"/>
        <n v="20.461684104651162"/>
        <n v="17.877887386363636"/>
        <n v="80.99027314285715"/>
        <n v="206.53673712121213"/>
        <n v="130.21933534090908"/>
        <n v="39.47446225675676"/>
        <n v="180.8307918"/>
        <n v="26.98049465671642"/>
        <n v="14.768754110344826"/>
        <n v="76.29811645"/>
        <n v="599.5041002"/>
        <n v="92.04227398550725"/>
        <n v="25.3468724"/>
        <n v="60.77113022857144"/>
        <n v="6.866526198113207"/>
        <n v="109.19979519047618"/>
        <n v="31.154416648148146"/>
        <n v="113.08438821666667"/>
        <n v="67.53595242"/>
        <n v="63.10259825263157"/>
        <n v="30.424393722222224"/>
        <n v="20.405909775"/>
        <n v="638.6464232000001"/>
        <n v="24.88427582105263"/>
        <n v="49.798595999999996"/>
        <n v="147.21101149999998"/>
        <n v="122.25799848214285"/>
        <n v="49.36827822307692"/>
        <n v="42.31088682666667"/>
        <n v="25.551609983695652"/>
        <n v="11.188674171597633"/>
        <n v="39.53195411111111"/>
        <n v="7.59103175879397"/>
        <n v="49.3981719"/>
        <n v="340.6294351"/>
        <n v="16.31333605097087"/>
        <n v="41.92789594375"/>
        <n v="13.42354572888889"/>
        <n v="37.02457476774194"/>
        <n v="42.504304389999994"/>
        <n v="3.000196796124031"/>
        <n v="32.2650816984127"/>
        <n v="26.163929702702703"/>
        <n v="9.014645735294119"/>
        <n v="7.542812495283019"/>
        <n v="30.824280939999998"/>
        <n v="192.55027286666666"/>
        <n v="76.510619225"/>
        <n v="6.068977508"/>
        <n v="13.548596105714285"/>
        <n v="31.014142635294117"/>
        <n v="98.81079391891892"/>
        <n v="48.11724466363636"/>
        <n v="351.79277915789476"/>
        <n v="308.11604165"/>
        <n v="30.32522697142857"/>
        <n v="52.17897378125"/>
        <n v="70.91079426666667"/>
        <n v="181.6030806"/>
        <n v="218.3952037"/>
        <n v="12.545522016393443"/>
        <n v="16.857417113636362"/>
        <n v="242.05338491999998"/>
        <n v="251.93570334999998"/>
        <n v="11.098297658967391"/>
        <n v="21.88164691638796"/>
        <n v="164.4950521"/>
        <n v="15.320999943925235"/>
        <n v="17.731683163934427"/>
        <n v="9.781572762162163"/>
        <n v="9.694300064516128"/>
        <n v="6.600444493392071"/>
        <n v="31.54552496"/>
        <n v="47.77358467692307"/>
        <n v="60.858500875"/>
        <n v="43.194100778571425"/>
        <n v="61.92347106666667"/>
        <n v="30.296538542857142"/>
        <n v="13.928529626923078"/>
        <n v="144.21500768181818"/>
        <n v="107.5800288"/>
        <n v="33.14319532"/>
        <n v="15.948246787878787"/>
        <n v="148.25532914893617"/>
        <n v="102.63943387878788"/>
        <n v="17.665637191011236"/>
        <n v="76.72808707499999"/>
        <n v="158.3537104"/>
        <n v="65.5124298265306"/>
        <n v="27.061324175675676"/>
        <n v="135.03862496666667"/>
        <n v="99.56805381818182"/>
        <n v="37.45958385714285"/>
        <n v="81.532347359375"/>
        <n v="27.377634203703703"/>
        <n v="10.216498111111111"/>
        <n v="2.674044433310992"/>
        <n v="15.812068062124249"/>
        <n v="9.236080400468383"/>
        <n v="3.9071312469999997"/>
        <n v="5.265608040620384"/>
        <n v="85.116950275"/>
        <n v="35.954132486486486"/>
        <n v="11.976589796747968"/>
        <n v="6.7095268798627"/>
        <n v="11.535594762"/>
        <n v="50.37845852212389"/>
        <n v="52.75766845544554"/>
        <n v="15.177015080691643"/>
        <n v="7.529925326023393"/>
        <n v="33.845226125"/>
        <n v="6.740629869565217"/>
        <n v="10.766577652173913"/>
        <n v="9.176571641509433"/>
        <n v="3.399947447698745"/>
        <n v="8.46921017368421"/>
        <n v="7.780134709359606"/>
        <n v="7.680943166666666"/>
        <n v="8.905995074285714"/>
        <n v="1.469224913988658"/>
        <n v="19.20786335"/>
        <n v="17.045751727272727"/>
        <n v="4.5756562707692305"/>
        <n v="2.994578617586912"/>
        <n v="2.987886193877551"/>
        <n v="13.708259075471698"/>
        <n v="14.714614112244899"/>
        <n v="24.17807006060606"/>
        <n v="140.802199325"/>
        <n v="17.45577504761905"/>
        <n v="10.821719742547426"/>
        <n v="16.19867310552764"/>
        <n v="8.98548551758794"/>
        <n v="7.963925864321609"/>
        <n v="40.257999425"/>
        <n v="72.6557195"/>
        <n v="14.525905600000002"/>
        <n v="55.308004579999995"/>
        <n v="112.93091176363636"/>
        <n v="81.2420387"/>
        <n v="13.427835091666667"/>
        <n v="26.7931825"/>
        <n v="11.034655349152542"/>
        <n v="23.282348645833334"/>
        <n v="13.052163370833334"/>
        <n v="14.003135469387754"/>
        <n v="20.273380011494254"/>
        <n v="98.17010283783783"/>
        <n v="106.03950744117647"/>
        <n v="34.88844451256281"/>
        <n v="54.131802944"/>
        <n v="7.847301379141105"/>
        <n v="19.4277968361204"/>
        <n v="10.716994216269843"/>
        <n v="18.463598708333333"/>
        <n v="11.655297942857143"/>
        <n v="4.6861296289855074"/>
        <n v="10.13064368"/>
        <n v="27.159624145454547"/>
        <n v="99.22957768"/>
        <n v="63.03751888"/>
        <n v="42.6448753625"/>
        <n v="84.46278037878787"/>
        <n v="208.17115976666668"/>
        <n v="785.1397478"/>
        <n v="122.85003048214286"/>
        <n v="53.86528312371134"/>
        <n v="102.11052682352941"/>
        <n v="135.37517536"/>
        <n v="16.2316908575"/>
        <n v="298.6689946"/>
        <n v="15.322012864864865"/>
        <n v="71.82088014084506"/>
        <n v="28.218454525"/>
        <n v="8.118659645454546"/>
        <n v="82.4729926"/>
        <n v="20.50842405063291"/>
        <n v="33.63143777083334"/>
        <n v="11.023647221428572"/>
        <n v="9.690437096774193"/>
        <n v="111.8551684"/>
        <n v="20.48654911904762"/>
        <n v="25.631087939799333"/>
        <n v="34.164700335"/>
        <n v="69.27324455681818"/>
        <n v="52.90553892079208"/>
        <n v="14.880876426035504"/>
        <n v="12.487596247126437"/>
        <n v="22.236405555555557"/>
        <n v="43.28962155"/>
        <n v="8.596164407216495"/>
        <n v="7.985050951871657"/>
        <n v="12.110601286885247"/>
        <n v="71.235991"/>
        <n v="59.28010089772727"/>
        <n v="74.21763824285715"/>
        <n v="19.6292845"/>
        <n v="15.937936375"/>
        <n v="24.30243664"/>
        <n v="19.457136528776978"/>
        <n v="14.02106206906907"/>
        <n v="40.196958692982456"/>
        <n v="39.2055339054054"/>
        <n v="41.498317825"/>
        <n v="19.16524611904762"/>
        <n v="148.54577881818182"/>
        <n v="84.313793"/>
        <n v="43.952459125000004"/>
        <n v="22.35219877272727"/>
        <n v="112.75000666666666"/>
        <n v="23.40165413095238"/>
        <n v="65.78540776666667"/>
        <n v="12.62818226566416"/>
        <n v="26.891315156521742"/>
        <n v="42.351972492753625"/>
        <n v="173.037357"/>
        <n v="98.65196327272727"/>
        <n v="22.069445455882352"/>
        <n v="62.90806"/>
        <n v="195.39670933333332"/>
        <n v="18.176036500000002"/>
        <n v="24.027184916666666"/>
        <n v="15.21990933016627"/>
        <n v="20.481708122186493"/>
        <n v="7.7706289947368425"/>
        <n v="19.041102833333333"/>
        <n v="35.68637318644068"/>
        <n v="12.30716568292683"/>
        <n v="7.584678103626943"/>
        <n v="24.535641452380954"/>
        <n v="648.6853909"/>
        <n v="51.58378196666667"/>
        <n v="53.18057971641791"/>
        <n v="60.12820732"/>
        <n v="70.1520220952381"/>
        <n v="19.317429123167155"/>
        <n v="24.792566369565215"/>
        <n v="27.89256153714286"/>
        <n v="36.2834617"/>
        <n v="15.229872431034483"/>
        <n v="25.00393279710145"/>
        <n v="32.79627392"/>
        <n v="47.974675818181815"/>
        <n v="98.16933193846154"/>
        <n v="59.215411153846155"/>
        <n v="142.78480025"/>
        <n v="14.063880966666668"/>
        <n v="7.890262505823626"/>
        <n v="39.2142880375"/>
        <n v="86.75118713636364"/>
        <n v="9.60908267368421"/>
        <n v="271.27286588"/>
        <n v="112.32618803999999"/>
        <n v="28.888845632"/>
        <n v="337.81475895"/>
        <n v="69.93648991578948"/>
        <n v="61.6460824742268"/>
        <n v="13.40511676551724"/>
        <n v="29.359612984771573"/>
        <n v="19.572909499999998"/>
        <n v="45.25258903636364"/>
        <n v="43.954139425742575"/>
        <n v="8.743618285416666"/>
        <n v="98.1351758"/>
        <n v="17.6913677"/>
        <n v="3.7564197854166665"/>
        <n v="21.720039605263157"/>
        <n v="7.4499037830188675"/>
        <n v="4.239827081081081"/>
        <n v="7.93656237368421"/>
        <n v="14.406649423076923"/>
        <n v="7.211139950000001"/>
        <n v="2.398100334212068"/>
        <n v="3.7047568390064396"/>
        <n v="2.7100562355601947"/>
        <n v="1.6941136568047337"/>
        <n v="127.61846723333333"/>
        <n v="1.8814633150100402"/>
        <n v="39.72120041666666"/>
        <n v="3.0137181025512754"/>
        <n v="1.2140729634121274"/>
        <n v="2.9315698684475806"/>
        <n v="61.4833433488372"/>
        <n v="10.232821849609374"/>
        <n v="2.6114351728830645"/>
        <n v="5.280815160638298"/>
        <n v="12.279282771144278"/>
        <n v="26.367859517241378"/>
        <n v="32.41282752173913"/>
        <n v="1.1957449462068965"/>
        <n v="0.7896841065873742"/>
        <n v="171.3978863"/>
        <n v="1.2564723380614657"/>
        <n v="22.653961029411764"/>
        <n v="11.702863638461539"/>
        <n v="0.7446697862903227"/>
        <n v="26.26196726785714"/>
        <n v="82.55491664102564"/>
        <n v="83.07475971666666"/>
        <n v="13.396515395161291"/>
        <n v="61.778549837499995"/>
        <n v="24.83597954736842"/>
        <n v="39.0107676"/>
        <n v="171.82148516666666"/>
        <n v="13.08386340769231"/>
        <n v="15.87000351875"/>
        <n v="39.79430615"/>
        <n v="100.33410333333333"/>
        <n v="48.400201225"/>
        <n v="55.46907798550724"/>
        <n v="173.38332622222222"/>
        <n v="18.665123385964915"/>
        <n v="52.435562727272725"/>
        <n v="30.0029535"/>
        <n v="9.036930430769232"/>
        <n v="15.825930954022988"/>
        <n v="2.2491610073891626"/>
        <n v="44.66357744444444"/>
        <n v="91.28475245333334"/>
        <n v="213.2289587666667"/>
        <n v="65.97890282758621"/>
        <n v="72.23704344"/>
        <n v="18.964409511904762"/>
        <n v="21.83513484057971"/>
        <n v="6.887191618729097"/>
        <n v="13.168106884955751"/>
        <n v="7.085062525925926"/>
        <n v="3.7408827669767444"/>
        <n v="6.410343198564593"/>
        <n v="2.508201911521324"/>
        <n v="2.86729140720524"/>
        <n v="2.0264956747547753"/>
        <n v="2.0182365247805887"/>
        <n v="7.661886996919917"/>
        <n v="1.591022225087925"/>
        <n v="101.86134228571429"/>
        <n v="75.02224817857143"/>
        <n v="12.629865345603273"/>
        <n v="60.937748626262625"/>
        <n v="20.06686883277592"/>
        <n v="0.658235697198399"/>
        <n v="10.96407915744681"/>
        <n v="123.00586575"/>
        <n v="4.616692241952233"/>
        <n v="25.652913538011695"/>
        <n v="16.97929930909091"/>
        <n v="3.0033587336884158"/>
        <n v="9.999258784313726"/>
        <n v="9.938300047337277"/>
        <n v="3.3233114749498998"/>
        <n v="1.0381125732814527"/>
        <n v="1.8498256267605633"/>
        <n v="2.0230834272608123"/>
        <n v="4.851793151125402"/>
        <n v="8.748403676470588"/>
        <n v="3.0585245443298965"/>
        <n v="78.15484290588235"/>
        <n v="510.1321655"/>
        <n v="79.56220817857142"/>
        <n v="56.791117648"/>
        <n v="42.227878152173915"/>
        <n v="6.364707692592592"/>
        <n v="124.7"/>
        <n v="188.16999823999998"/>
        <n v="160.60927442222223"/>
        <n v="21.031289215625"/>
        <n v="12.671896775999999"/>
        <n v="187.91011656666666"/>
        <n v="4.326510682258065"/>
        <n v="40.916994333333335"/>
        <n v="25.32733288095238"/>
        <n v="60.08436638053097"/>
        <n v="82.81918647826087"/>
        <n v="32.5000632375"/>
        <n v="64.80731779999999"/>
        <n v="10.400879324324325"/>
        <n v="6.573418233183856"/>
        <n v="36.252548374999996"/>
        <n v="336.37202495"/>
        <n v="52.01788654"/>
        <n v="615.9366901999999"/>
        <n v="18.295436211764706"/>
        <n v="43.981668524999996"/>
        <n v="101.09306211111111"/>
        <n v="17.31439431534091"/>
        <n v="51.2390388019802"/>
        <n v="24.01410814666667"/>
        <n v="7.956172949238578"/>
        <n v="3.513306394366197"/>
        <n v="30.611362756410255"/>
        <n v="19.160196711111112"/>
        <n v="27.15016782758621"/>
        <n v="31.722228877551018"/>
        <n v="46.48723269047619"/>
        <n v="11.807011575075075"/>
        <n v="19.58811377105263"/>
        <n v="36.309325199999996"/>
        <n v="20.700691171875"/>
        <n v="55.98549547008547"/>
        <n v="7.054488743849493"/>
        <n v="17.007790158333332"/>
        <n v="1.650093598380567"/>
        <n v="8.18534076884422"/>
        <n v="27.061360016666665"/>
        <n v="2.1237276084656087"/>
        <n v="19.3759581875"/>
        <n v="6.998894543378995"/>
        <n v="38.157415475"/>
        <n v="4.288110774285714"/>
        <n v="90.78741401333333"/>
        <n v="36.507196"/>
        <n v="38.871288022222224"/>
        <n v="16.822384247524752"/>
        <n v="349.01146520000003"/>
        <n v="97.6787228857143"/>
        <n v="14.528345352272726"/>
        <n v="46.303737019230766"/>
        <n v="23.843992363636364"/>
        <n v="13.637696307142857"/>
        <n v="14.932254042424244"/>
        <n v="29.05131145"/>
        <n v="12.687649575"/>
        <n v="18.912673844444445"/>
        <n v="3.190381924906133"/>
        <n v="63.783020615384615"/>
        <n v="50.17554112121212"/>
        <n v="308.87322725"/>
        <n v="31.289043725"/>
        <n v="9.144090644720496"/>
        <n v="19.03298407142857"/>
        <n v="53.159633168"/>
        <n v="52.243732966942154"/>
        <n v="30.08768135714286"/>
        <n v="42.57200295138889"/>
        <n v="196.20237153333335"/>
        <n v="117.71044646666667"/>
        <n v="196.86379372"/>
        <n v="10.621287831578947"/>
        <n v="62.45885148"/>
        <n v="24.35594607272727"/>
        <n v="14.674490818749998"/>
        <n v="10.511526502369668"/>
        <n v="15.002134201388891"/>
        <n v="14.890179203007518"/>
        <n v="17.987360554545454"/>
        <n v="5.265169411924119"/>
        <n v="7.505621379166667"/>
        <n v="9.386232152941178"/>
        <n v="25.022050952380955"/>
        <n v="52.34324633333333"/>
        <n v="75.2164607"/>
        <n v="13.544903702702703"/>
        <n v="18.928034729411763"/>
        <n v="12.497363815157117"/>
        <n v="27.602381826086955"/>
        <n v="16.890831860000002"/>
        <n v="21.293046955882353"/>
        <n v="153.15346676666667"/>
        <n v="38.0628068"/>
        <n v="182.303376475"/>
        <n v="83.3610477826087"/>
        <n v="38.44991165"/>
        <n v="19.52051607142857"/>
        <n v="107.51531061666667"/>
        <n v="19.29576775"/>
        <n v="25.22005490909091"/>
        <n v="17.166602525773197"/>
        <n v="46.954433581818186"/>
        <n v="12.293481568965518"/>
        <n v="7.932789743243243"/>
        <n v="5.782482418867924"/>
        <n v="10.914116285714286"/>
        <n v="61.34654588888888"/>
        <n v="23.257674115384614"/>
        <n v="26.657890702380953"/>
        <n v="21.976229344827587"/>
        <n v="99.42550140579709"/>
        <n v="29.849732825396824"/>
        <n v="125.97027858"/>
        <n v="101.90058226666666"/>
        <n v="53.74782704545455"/>
        <n v="84.11193053030303"/>
        <n v="15.552895583333333"/>
        <n v="38.298172125"/>
        <n v="51.605356611111105"/>
        <n v="94.70382151724138"/>
        <n v="42.031613976923076"/>
        <n v="54.802515452631575"/>
        <n v="21.986439080808083"/>
        <n v="39.50142801851852"/>
        <n v="18.88960309782609"/>
        <n v="20.600953013513514"/>
        <n v="37.78830348181818"/>
        <n v="16.992302544444446"/>
        <n v="23.118155984615385"/>
        <n v="115.59295363636365"/>
        <n v="120.58767850000001"/>
        <n v="560.3048132"/>
        <n v="80.68915432941176"/>
        <n v="1.2363898709677419"/>
        <n v="13.988759613793103"/>
        <n v="2.592515257142857"/>
        <n v="217.71851326086957"/>
        <n v="53.36669273333334"/>
        <n v="363.6632994"/>
        <n v="38.845270544117646"/>
        <n v="225.72480525806452"/>
        <n v="193.70583879999998"/>
        <n v="79.57227061538461"/>
        <n v="24.152963399999997"/>
        <n v="25.249492228571427"/>
        <n v="51.280520980645164"/>
        <n v="148.24176195454547"/>
        <n v="22.50696757090909"/>
        <n v="11.026096562874253"/>
        <n v="20.995354802325583"/>
        <n v="7.876079740566038"/>
        <n v="3.8851974976190475"/>
        <n v="10.173259026666667"/>
        <n v="7.096953052576235"/>
        <n v="30.272192664864864"/>
        <n v="18.939012477777776"/>
        <n v="28.707803983050844"/>
        <n v="2.0981833797468354"/>
        <n v="30.41477441566265"/>
        <n v="44.13496775"/>
        <n v="21.124769604938272"/>
        <n v="83.36554527941178"/>
        <n v="31.567446014492756"/>
        <n v="14.865057368"/>
        <n v="19.0197081"/>
        <n v="187.4998142820513"/>
        <n v="23.799512157142857"/>
        <n v="69.43644852238806"/>
        <n v="28.137881824561404"/>
        <n v="68.30520098461538"/>
        <n v="45.876218449999996"/>
        <n v="64.06955339393939"/>
        <n v="30.024497889447236"/>
        <n v="61.59606708974359"/>
        <n v="5.002156920212766"/>
        <n v="21.96413001190476"/>
        <n v="30.3980802"/>
        <n v="26.70701871212121"/>
        <n v="7.315065579390115"/>
        <n v="37.5528930326087"/>
        <n v="9.10330056684492"/>
        <n v="11.325416280821917"/>
        <n v="17.498306011494254"/>
        <n v="227.98563620000002"/>
        <n v="2.384105913112667"/>
        <n v="3.581334046522782"/>
        <n v="47.637469274647884"/>
        <n v="64.32191847474748"/>
        <n v="9.008351279829546"/>
        <n v="60.789929375"/>
        <n v="21.128798508361204"/>
        <n v="12.615801502"/>
        <n v="10.081592685"/>
        <n v="8.427756404285715"/>
        <n v="56.113494410526314"/>
        <n v="15.130397641025642"/>
        <n v="11.096617842217483"/>
        <n v="10.07763182421875"/>
        <n v="17.855947160714287"/>
        <n v="43.70625627027027"/>
        <n v="16.267019681818184"/>
        <n v="32.53483488571429"/>
        <n v="7.177696931531531"/>
        <n v="26.493868815384616"/>
        <n v="1.6961634551760938"/>
        <n v="4.034242154506438"/>
        <n v="1.3671268538306451"/>
        <n v="33.3172313768116"/>
        <n v="9.43043206372549"/>
        <n v="8.544101417840377"/>
        <n v="2.6636514744744746"/>
        <n v="3.6536772505307855"/>
        <n v="7.90465356372549"/>
        <n v="3.178987012024048"/>
        <n v="3.0534330578034683"/>
        <n v="14.255954747747747"/>
        <n v="2.2332216237482116"/>
        <n v="10.293120598639456"/>
        <n v="1.8893380075376887"/>
        <n v="1.6776117910112358"/>
        <n v="16.135637344444444"/>
        <n v="154.31997621212122"/>
        <n v="47.11627071428571"/>
        <n v="39.134848275"/>
        <n v="25.979286952380953"/>
        <n v="331.1941246"/>
        <n v="109.06239745"/>
        <n v="41.7004"/>
        <n v="24.600224818181818"/>
        <n v="147.1187144"/>
        <n v="88.9030362"/>
        <n v="325.2763228"/>
        <n v="73.6550319"/>
        <n v="10.8783868"/>
        <n v="44.84563333333333"/>
        <n v="43.2817962"/>
        <n v="29.24784177142857"/>
        <n v="109.32462926666668"/>
        <n v="46.065162825"/>
        <n v="57.972199769999996"/>
        <n v="10.181175159999999"/>
        <n v="29.24515943939394"/>
        <n v="9.86759070860927"/>
        <n v="94.48656203030303"/>
        <n v="2.8631997620556144"/>
        <n v="1.5481566758037923"/>
        <n v="1.9318242609705731"/>
        <n v="5.821872780722892"/>
        <n v="22.260176627516778"/>
        <n v="6.245213115463918"/>
        <n v="3.025718402113739"/>
        <n v="2.420112865420561"/>
        <n v="3.0717837657365346"/>
        <n v="111.67701895"/>
        <n v="20.474789258373207"/>
        <n v="57.231904783333334"/>
        <n v="0.8035494832474227"/>
        <n v="2.848907973717146"/>
        <n v="25.529637940476192"/>
        <n v="7.8933669834024895"/>
        <n v="14.623805315384615"/>
        <n v="0.9738082720942689"/>
        <n v="1.021610947400242"/>
        <n v="1.6625205447154472"/>
        <n v="9.22773681764706"/>
        <n v="1.807235069524913"/>
        <n v="6.676115072961374"/>
        <n v="1.810446262910798"/>
        <n v="7.618919545"/>
        <n v="2.0876277920227917"/>
        <n v="1.7506018979343863"/>
        <n v="8.757365395999999"/>
        <n v="33.040274733333334"/>
        <n v="11.031917689655172"/>
        <n v="74.81708404411765"/>
        <n v="56.785733880597014"/>
        <n v="123.78849869565218"/>
        <n v="544.8195232307692"/>
        <n v="14.683043790476189"/>
        <n v="8.593798677242887"/>
        <n v="83.80435077922078"/>
        <n v="63.70703656321839"/>
        <n v="44.80718701538462"/>
        <n v="1.991869088639201"/>
        <n v="1.8441597122473246"/>
        <n v="63.839536708333334"/>
        <n v="5.605379628252788"/>
        <n v="41.7145644"/>
      </sharedItems>
    </cacheField>
    <cacheField name="CTR" numFmtId="0">
      <sharedItems containsSemiMixedTypes="0" containsString="0" containsNumber="1">
        <n v="0.5226149752945648"/>
        <n v="0.3274394237066143"/>
        <n v="0.2543881963876876"/>
        <n v="0.8570612322635939"/>
        <n v="0.3152530661599586"/>
        <n v="0.29100417527729744"/>
        <n v="1.1266430210723972"/>
        <n v="0.5974202308214528"/>
        <n v="0.31467867509426795"/>
        <n v="0.12634593517049683"/>
        <n v="0.2523229734059596"/>
        <n v="0.39473684210526316"/>
        <n v="0.4467005076142132"/>
        <n v="0.2312459531958191"/>
        <n v="0.31474254060178775"/>
        <n v="0.19671138908503985"/>
        <n v="0.2686038703375862"/>
        <n v="0.3343446226239861"/>
        <n v="0.26927107591988825"/>
        <n v="0.13082327084341763"/>
        <n v="0.34206246845735433"/>
        <n v="0.20934266403493032"/>
        <n v="0.500317662007624"/>
        <n v="0.622524052065648"/>
        <n v="0.25536613983021605"/>
        <n v="0.49636327894633375"/>
        <n v="0.43760971147427496"/>
        <n v="0.3459968168292852"/>
        <n v="0.9427494000685636"/>
        <n v="0.2528510243046597"/>
        <n v="0.4589261128958238"/>
        <n v="0.7051166154402458"/>
        <n v="0.18353174603174602"/>
        <n v="0.6529850746268656"/>
        <n v="0.8824599708879185"/>
        <n v="0.4204484783769354"/>
        <n v="0.26187608023883097"/>
        <n v="0.2833453329307662"/>
        <n v="0.27445342693377645"/>
        <n v="0.25681898689337584"/>
        <n v="0.37253362781229626"/>
        <n v="0.6577916992952232"/>
        <n v="0.3177219168655968"/>
        <n v="0.41795315912342795"/>
        <n v="0.3965285051623522"/>
        <n v="0.48224462954844366"/>
        <n v="0.5520504731861199"/>
        <n v="0.49931496422590954"/>
        <n v="0.358960971152591"/>
        <n v="0.6013652616751545"/>
        <n v="0.1952855129468768"/>
        <n v="0.2816742188015186"/>
        <n v="0.17377588258097287"/>
        <n v="0.08742481465939293"/>
        <n v="0.2559549888163811"/>
        <n v="0.2935990125198378"/>
        <n v="0.28881111752913596"/>
        <n v="0.3743215422047539"/>
        <n v="0.31814010400734166"/>
        <n v="0.22936481237958348"/>
        <n v="0.32977870923996794"/>
        <n v="0.2808240042647171"/>
        <n v="0.24704771513199592"/>
        <n v="0.26040282723069563"/>
        <n v="0.2558305568776773"/>
        <n v="0.25544563652408153"/>
        <n v="0.327636105498826"/>
        <n v="0.7978476667594396"/>
        <n v="0.7770419426048565"/>
        <n v="0.2313284864507601"/>
        <n v="0.2866823038832421"/>
        <n v="0.31323414252153486"/>
        <n v="0.36492750764375187"/>
        <n v="0.08094544277157197"/>
        <n v="0.5102040816326531"/>
        <n v="0.4138836558771479"/>
        <n v="0.20108586366378445"/>
        <n v="0.12394645513138325"/>
        <n v="0.5789076264787314"/>
        <n v="0.7109746039871456"/>
        <n v="0.2573340195573855"/>
        <n v="0.3546217925127965"/>
        <n v="0.6258692628650904"/>
        <n v="0.47804532577903686"/>
        <n v="0.32200933827080985"/>
        <n v="0.2689907467183129"/>
        <n v="0.3247752213599535"/>
        <n v="0.296450824846971"/>
        <n v="0.36357025995273584"/>
        <n v="0.0600817111271329"/>
        <n v="0.4195649773655736"/>
        <n v="0.24650274234300856"/>
        <n v="0.13497098123903362"/>
        <n v="0.3185075645546582"/>
        <n v="0.2843954409223163"/>
        <n v="0.3088834891478934"/>
        <n v="0.38823479765371144"/>
        <n v="0.25392914024701746"/>
        <n v="0.4624871531346352"/>
        <n v="0.2852760296457703"/>
        <n v="0.3385240352064997"/>
        <n v="0.2766634389265458"/>
        <n v="0.35657411895035657"/>
        <n v="0.33187446848229657"/>
        <n v="0.3337115397450444"/>
        <n v="0.4406162942748309"/>
        <n v="0.23192708212537977"/>
        <n v="0.25255590491368074"/>
        <n v="0.45985401459854014"/>
        <n v="0.5659655831739963"/>
        <n v="0.29335634167385677"/>
        <n v="0.3212948789839807"/>
        <n v="0.23279634975323588"/>
        <n v="0.3152916447714136"/>
        <n v="0.19466614755693984"/>
        <n v="0.26499894000424"/>
        <n v="0.30508267740557693"/>
        <n v="0.5829504149235306"/>
        <n v="0.3802476748368532"/>
        <n v="0.4069251257768571"/>
        <n v="0.24908232826428944"/>
        <n v="0.25621316935690497"/>
        <n v="0.2226250675826098"/>
        <n v="0.21987837977118907"/>
        <n v="0.24094450244960242"/>
        <n v="0.0821287779237845"/>
        <n v="0.13383297644539613"/>
        <n v="0.28739016748722057"/>
        <n v="0.8242015547438419"/>
        <n v="0.30424729219909946"/>
        <n v="0.2656042496679947"/>
        <n v="0.2700828229526364"/>
        <n v="0.28103616813294235"/>
        <n v="0.33112582781456956"/>
        <n v="0.27453261036895127"/>
        <n v="0.26871062948768776"/>
        <n v="0.21943871136099447"/>
        <n v="0.2101718663487723"/>
        <n v="0.2919689252456655"/>
        <n v="0.7359434795407712"/>
        <n v="0.6440107004854849"/>
        <n v="0.6003430531732418"/>
        <n v="0.5483315055616481"/>
        <n v="0.3152033061324554"/>
        <n v="0.23815194093831865"/>
        <n v="0.6630623278588188"/>
        <n v="0.31124000848836386"/>
        <n v="0.6312334301224594"/>
        <n v="0.45351473922902497"/>
        <n v="0.6634499396863691"/>
        <n v="0.3229574658146087"/>
        <n v="0.6376811594202898"/>
        <n v="0.4936765032172176"/>
        <n v="0.3228149463320152"/>
        <n v="0.06703760809814306"/>
        <n v="1.0251046025104602"/>
        <n v="0.5870220529906394"/>
        <n v="0.1664632116302297"/>
        <n v="0.3586761589044074"/>
        <n v="0.7603736693460786"/>
        <n v="0.547148841583312"/>
        <n v="0.44189852700490995"/>
        <n v="0.2914094910452292"/>
        <n v="0.2710406179435429"/>
        <n v="0.2250586325094714"/>
        <n v="0.2626463930715481"/>
        <n v="0.2937237117278004"/>
        <n v="0.2378898432984112"/>
        <n v="0.2899391127863149"/>
        <n v="0.22035089390997775"/>
        <n v="0.30525257789524624"/>
        <n v="0.2152937380067347"/>
        <n v="0.3101313716490305"/>
        <n v="0.2885376503332227"/>
        <n v="0.25380710659898476"/>
        <n v="0.3319367120090302"/>
        <n v="0.26026704007123097"/>
        <n v="0.2669242251295109"/>
        <n v="0.29061856070914815"/>
        <n v="0.3303885656826833"/>
        <n v="0.3340687046958714"/>
        <n v="0.2522933358668229"/>
        <n v="0.30923472543211483"/>
        <n v="0.23256613241376148"/>
        <n v="0.26253812594108333"/>
        <n v="0.23510129507227687"/>
        <n v="0.24274517721774563"/>
        <n v="0.8686210640608035"/>
        <n v="0.727994705493051"/>
        <n v="0.25724847036101856"/>
        <n v="0.21269377316143848"/>
        <n v="0.3400699572483482"/>
        <n v="0.28441868577101614"/>
        <n v="0.735404472459853"/>
        <n v="0.6031804057759094"/>
        <n v="0.2854899721647277"/>
        <n v="0.6238859180035651"/>
        <n v="0.3024813305899615"/>
        <n v="0.20883837588808785"/>
        <n v="0.2474878121579942"/>
        <n v="0.2400019296637561"/>
        <n v="0.24458847988259752"/>
        <n v="0.20161290322580644"/>
        <n v="0.3200716960599174"/>
        <n v="0.25436231367960527"/>
        <n v="0.3606084447941254"/>
        <n v="0.2704895861509332"/>
        <n v="0.5391077766296779"/>
        <n v="0.26486307524949154"/>
        <n v="0.5285601662724861"/>
        <n v="0.25093053406382"/>
        <n v="0.3678837487353996"/>
        <n v="0.4245659030256819"/>
        <n v="0.7648351648351649"/>
        <n v="0.27013214572534133"/>
        <n v="0.2996914940502424"/>
        <n v="0.2616733947849413"/>
        <n v="0.2808673182788451"/>
        <n v="0.2839741043491592"/>
        <n v="0.23526634668345267"/>
        <n v="0.21680216802168023"/>
        <n v="0.23503603885929175"/>
        <n v="0.2662508082613822"/>
        <n v="0.3148758294011883"/>
        <n v="0.20154247171687314"/>
        <n v="0.24816134999774397"/>
        <n v="0.1998321410015587"/>
        <n v="0.2851277372262774"/>
        <n v="0.6106870229007634"/>
        <n v="0.6923318997167733"/>
        <n v="0.24809791597750577"/>
        <n v="0.07867820613690008"/>
        <n v="0.5917785057592729"/>
        <n v="0.7992748846407383"/>
        <n v="0.4436904606550959"/>
        <n v="0.27631942525559544"/>
        <n v="0.335345405767941"/>
        <n v="0.24378352023403219"/>
        <n v="0.42034945809002294"/>
        <n v="0.5512850376582032"/>
        <n v="0.23108363783416863"/>
        <n v="0.19663222623431412"/>
        <n v="0.09569835877314704"/>
        <n v="0.34649122807017546"/>
        <n v="0.3108606955508063"/>
        <n v="0.4233572227766186"/>
        <n v="0.28632652307237594"/>
        <n v="0.5934326783594883"/>
        <n v="0.6754583467352846"/>
        <n v="0.24490932621266973"/>
        <n v="0.31350910743957117"/>
        <n v="0.30010571906012345"/>
        <n v="0.26296604873984586"/>
        <n v="0.240967291185445"/>
        <n v="0.3353311877276494"/>
        <n v="0.40599468698310864"/>
        <n v="0.043671459609358795"/>
        <n v="0.2782478987980838"/>
        <n v="0.24373077524633752"/>
        <n v="0.3489802339883864"/>
        <n v="0.7548797584384772"/>
        <n v="0.7533601575207602"/>
        <n v="0.39392234102419804"/>
        <n v="0.4937662017034934"/>
        <n v="0.6967123884171565"/>
        <n v="0.758552681483729"/>
        <n v="0.2533976246251447"/>
        <n v="0.27542968685381547"/>
        <n v="0.25111791528074545"/>
        <n v="0.556683969006244"/>
        <n v="0.3333055578701775"/>
        <n v="0.40901787018551883"/>
        <n v="0.2520045819014891"/>
        <n v="0.2982848620432513"/>
        <n v="0.43720625204940433"/>
        <n v="0.4833394361039912"/>
        <n v="0.34250485215207216"/>
        <n v="0.5066344993968637"/>
        <n v="0.2086375964948884"/>
        <n v="0.28724874733628986"/>
        <n v="0.23184315306688172"/>
        <n v="0.2511556801223019"/>
        <n v="0.13594344752582926"/>
        <n v="0.7126660187884677"/>
        <n v="0.3515301902398677"/>
        <n v="0.7196710075394105"/>
        <n v="0.29010032636286714"/>
        <n v="0.6072435480373021"/>
        <n v="0.2705139765554554"/>
        <n v="0.40911520334288903"/>
        <n v="0.3465412729541808"/>
        <n v="0.4785291524996852"/>
        <n v="0.626540244768389"/>
        <n v="0.41394794078439623"/>
        <n v="0.35444745100412367"/>
        <n v="0.23685050192671134"/>
        <n v="0.26404300128878133"/>
        <n v="0.13008976193573565"/>
        <n v="0.17413512885999535"/>
        <n v="0.31188902336840146"/>
        <n v="0.2723904990193942"/>
        <n v="0.2323008849557522"/>
        <n v="0.35253494334629065"/>
        <n v="0.4698960099699675"/>
        <n v="0.29692218941938986"/>
        <n v="0.2040233402701269"/>
        <n v="0.25027688678566806"/>
        <n v="0.18294137921891987"/>
        <n v="0.30795762503079577"/>
        <n v="0.357839947950553"/>
        <n v="0.7895056480019433"/>
        <n v="0.2884402041269137"/>
        <n v="0.4122861265718408"/>
        <n v="0.27914952444884583"/>
        <n v="0.31533327736736066"/>
        <n v="0.6216972334473112"/>
        <n v="0.2428524119660007"/>
        <n v="1.1946680080482897"/>
        <n v="0.3196113525952442"/>
        <n v="0.40936630096610443"/>
        <n v="0.17709772252328834"/>
        <n v="0.2661698163428267"/>
        <n v="0.3118844386080105"/>
        <n v="0.68877369878577"/>
        <n v="0.4347478462491755"/>
        <n v="0.23493214396450973"/>
        <n v="0.26045434814064533"/>
        <n v="0.4248908802966511"/>
        <n v="0.2534886055616906"/>
        <n v="0.2139428326922477"/>
        <n v="0.22728748620040262"/>
        <n v="0.08044875779804436"/>
        <n v="0.24150457349286053"/>
        <n v="0.5055544468835229"/>
        <n v="0.2284335064543241"/>
        <n v="0.19817677368212444"/>
        <n v="0.2748206433695904"/>
        <n v="0.3232524166226339"/>
        <n v="0.22517704545198663"/>
        <n v="0.2579619494790514"/>
        <n v="0.2982817925994833"/>
        <n v="0.28451276446619705"/>
        <n v="0.23320566562508627"/>
        <n v="0.25237654580634306"/>
        <n v="0.36785005309080837"/>
        <n v="0.09749650637518822"/>
        <n v="0.2693050206054042"/>
        <n v="0.28277288309767956"/>
        <n v="0.25878013340741957"/>
        <n v="0.5838424983027835"/>
        <n v="0.2465271926234442"/>
        <n v="0.21828608019152843"/>
        <n v="0.19991833123489977"/>
        <n v="0.3080129334784008"/>
        <n v="0.2806180047092217"/>
        <n v="0.5312596242685556"/>
        <n v="0.25795984010047984"/>
        <n v="0.28008584515839713"/>
        <n v="0.1326259946949602"/>
        <n v="0.2628232477414598"/>
        <n v="0.3493629264282779"/>
        <n v="0.25571422951335615"/>
        <n v="0.2921522372323288"/>
        <n v="0.17264767542237022"/>
        <n v="0.664734958241009"/>
        <n v="0.21921011289320813"/>
        <n v="0.5661324932657628"/>
        <n v="0.8226221079691516"/>
        <n v="0.4133579897748286"/>
        <n v="0.5031305903398927"/>
        <n v="0.2083622725378525"/>
        <n v="0.3308477336930242"/>
        <n v="0.7128854036713598"/>
        <n v="0.22669311419665628"/>
        <n v="0.1518064973180852"/>
        <n v="0.3292723081988805"/>
        <n v="0.36758830110276486"/>
        <n v="0.1215887597946501"/>
        <n v="0.2943074738608494"/>
        <n v="0.4508196721311476"/>
        <n v="0.22550656069332212"/>
        <n v="0.2577626204544553"/>
        <n v="0.2554540916698476"/>
        <n v="0.27753282885247693"/>
        <n v="0.36249213341724357"/>
        <n v="0.297548202808855"/>
        <n v="0.3851585569392733"/>
        <n v="0.22658610271903326"/>
        <n v="0.24970035956851777"/>
        <n v="0.6742114134360703"/>
        <n v="0.21091887265390963"/>
        <n v="0.30352556619192156"/>
        <n v="0.3047793721005502"/>
        <n v="0.3829461322440643"/>
        <n v="0.23324159164062136"/>
        <n v="0.030181151894709657"/>
        <n v="0.25705594852990504"/>
        <n v="0.2748233599855988"/>
        <n v="0.2555828760792505"/>
        <n v="0.24587583587629283"/>
        <n v="0.21223233993781201"/>
        <n v="0.2662408477757809"/>
        <n v="0.2398172820708032"/>
        <n v="0.6474487436411284"/>
        <n v="0.2544211528556043"/>
        <n v="0.33183616008580813"/>
        <n v="0.2544291087322793"/>
        <n v="0.27360350362661523"/>
        <n v="0.4306868997874056"/>
        <n v="0.286820593718629"/>
        <n v="0.28706764720787215"/>
        <n v="0.3530431910149475"/>
        <n v="0.2809084408730294"/>
        <n v="0.2525668663211668"/>
        <n v="0.25355473799343736"/>
        <n v="0.27974574587830237"/>
        <n v="0.2908349118461314"/>
        <n v="0.2778478503729864"/>
        <n v="0.265203275820745"/>
        <n v="0.24474503854012633"/>
        <n v="0.32385375555810103"/>
        <n v="0.35467651415576557"/>
        <n v="0.2730363898396685"/>
        <n v="0.3173536439665472"/>
        <n v="0.04755564009891573"/>
        <n v="0.9092877246157177"/>
        <n v="0.3134324615731802"/>
        <n v="0.4226775705228338"/>
        <n v="0.5344735435595939"/>
        <n v="0.13796909492273732"/>
        <n v="0.23073373327180433"/>
        <n v="0.3921226908330429"/>
        <n v="0.34496140744254233"/>
        <n v="0.263753422200653"/>
        <n v="0.2109111361079865"/>
        <n v="0.33841316973057944"/>
        <n v="0.20501806111490775"/>
        <n v="0.5582508141157706"/>
        <n v="0.27220388793871797"/>
        <n v="0.4181057989456462"/>
        <n v="0.30765680882975044"/>
        <n v="0.9501187648456058"/>
        <n v="0.291729086178349"/>
        <n v="0.3032198411835092"/>
        <n v="0.343811394891945"/>
        <n v="0.2599090318388564"/>
        <n v="0.32047173439302656"/>
        <n v="0.125"/>
        <n v="0.6253678634490877"/>
        <n v="0.5132152938157557"/>
        <n v="0.44878187776036477"/>
        <n v="0.2507854857900099"/>
        <n v="0.3979981873349883"/>
        <n v="0.2578028323937852"/>
        <n v="0.26778310927453886"/>
        <n v="0.2786480988481237"/>
        <n v="0.4803251431738408"/>
        <n v="0.6027323868202518"/>
        <n v="0.41959053750994724"/>
        <n v="0.4369538077403246"/>
        <n v="0.21181098391245146"/>
        <n v="0.3634775964634612"/>
        <n v="0.33550528862283907"/>
        <n v="0.2647919397333545"/>
        <n v="0.31080634821966235"/>
        <n v="0.2736522044205356"/>
        <n v="0.261168644644342"/>
        <n v="0.2801578222398618"/>
        <n v="0.2564762858080353"/>
        <n v="0.39654863200685486"/>
        <n v="0.2845220030349013"/>
        <n v="0.2654652840935028"/>
        <n v="0.3768429977860474"/>
        <n v="0.39620798205304486"/>
        <n v="0.48320850446967867"/>
        <n v="0.4011691214396241"/>
        <n v="0.3004566941751462"/>
        <n v="0.279876854184159"/>
        <n v="0.23085999623783712"/>
        <n v="0.7650356006665656"/>
        <n v="0.24428972761695372"/>
        <n v="0.3289473684210526"/>
        <n v="0.539433839665551"/>
        <n v="0.29511918274687854"/>
        <n v="0.3130434782608696"/>
        <n v="0.6313416009019166"/>
        <n v="0.28984488906845607"/>
        <n v="0.29754525167369206"/>
        <n v="0.5333096306830807"/>
        <n v="0.29166329093413274"/>
        <n v="0.29723486018057294"/>
        <n v="0.155978163057172"/>
        <n v="0.3614457831325301"/>
        <n v="0.24700506360380386"/>
        <n v="0.18392777769262603"/>
        <n v="0.3579734699413457"/>
        <n v="0.33280912847895255"/>
        <n v="0.2784646572656998"/>
        <n v="0.2849808050118938"/>
        <n v="0.30030888914311865"/>
        <n v="0.3524315328324237"/>
        <n v="0.17669925786311697"/>
        <n v="0.3086208079006927"/>
        <n v="0.2311604253351826"/>
        <n v="0.3327670455540571"/>
        <n v="0.3236455434008674"/>
        <n v="0.09626576351877619"/>
        <n v="0.24599111357102224"/>
        <n v="0.24742026266416509"/>
        <n v="0.2795302339124527"/>
        <n v="0.30458480282141714"/>
        <n v="0.22498568272928088"/>
        <n v="0.3520522067662717"/>
        <n v="0.37164934883937006"/>
        <n v="0.34404598073342507"/>
        <n v="0.5590558168426657"/>
        <n v="0.19584802193497847"/>
        <n v="0.18485996857380535"/>
        <n v="0.3613987106856808"/>
        <n v="0.22596166626791075"/>
        <n v="0.24693273935587529"/>
        <n v="0.4516593572036395"/>
        <n v="0.29173230643561465"/>
        <n v="0.5081452697653565"/>
        <n v="0.3219229531065565"/>
        <n v="0.2382228574831755"/>
        <n v="0.20688941760628943"/>
        <n v="0.26707954325527383"/>
        <n v="0.2971768202080238"/>
        <n v="0.637910085054678"/>
        <n v="0.2271436683702442"/>
        <n v="0.5993856297295272"/>
        <n v="0.4740244194397893"/>
        <n v="0.859243511382762"/>
        <n v="0.5294061026085283"/>
        <n v="0.2804642166344294"/>
        <n v="0.265750505763913"/>
        <n v="0.32694253213906777"/>
        <n v="0.39950917444282735"/>
        <n v="0.6203046385002412"/>
        <n v="0.4777947932618683"/>
        <n v="0.8011444921316165"/>
        <n v="0.7525300579534642"/>
        <n v="0.3804587560652845"/>
        <n v="0.7467109162024416"/>
        <n v="0.6277463904582549"/>
        <n v="0.4181184668989547"/>
        <n v="0.4564315352697096"/>
        <n v="0.3055697023010325"/>
        <n v="0.3396066223291354"/>
        <n v="0.270947639368692"/>
        <n v="0.2660472972972973"/>
        <n v="0.298845836768343"/>
        <n v="0.28144620047629354"/>
        <n v="0.5124885364406323"/>
        <n v="0.7927610506085844"/>
        <n v="0.2810743285446596"/>
        <n v="0.2449805613250253"/>
        <n v="0.5915267785771383"/>
        <n v="0.7108239095315024"/>
        <n v="0.43748784755979"/>
        <n v="0.38334512856805847"/>
        <n v="0.25768667642752563"/>
        <n v="0.5973838706354928"/>
        <n v="0.1287166945552838"/>
        <n v="0.29423982276377736"/>
        <n v="0.2621955973870306"/>
        <n v="0.2555651514884467"/>
        <n v="0.2570882914646687"/>
        <n v="0.2512837321096908"/>
        <n v="0.5463983243784719"/>
        <n v="0.16446015952635473"/>
        <n v="0.6383178447385713"/>
        <n v="0.37072470700789284"/>
        <n v="0.1327844907714779"/>
        <n v="0.6831917316282736"/>
        <n v="0.6552364311455717"/>
        <n v="0.45024763619990993"/>
        <n v="0.2795563170709712"/>
        <n v="0.2433493722692329"/>
        <n v="0.2874915059327793"/>
        <n v="0.2916673943797265"/>
        <n v="0.421217612773669"/>
        <n v="0.36604105875649634"/>
        <n v="0.29754103586786346"/>
        <n v="0.30351347195130834"/>
        <n v="0.2658600474690179"/>
        <n v="0.37982220214753526"/>
        <n v="0.5497190324945028"/>
        <n v="0.398675586188256"/>
        <n v="0.8115382244776365"/>
        <n v="0.3742025653163815"/>
        <n v="0.32573289902280134"/>
        <n v="0.35318740734280984"/>
        <n v="0.39267771553964315"/>
        <n v="0.608304681301243"/>
        <n v="1.1319387847505207"/>
        <n v="0.3680360675346184"/>
        <n v="0.4165776543473617"/>
        <n v="0.4209766658648063"/>
        <n v="0.2693467336683417"/>
        <n v="0.5323620061641917"/>
        <n v="0.625842480261891"/>
        <n v="0.2478775484910454"/>
        <n v="0.2514413430523455"/>
        <n v="0.42326016675174405"/>
        <n v="0.30541524726888286"/>
        <n v="0.5042810240123602"/>
        <n v="0.4296894981840504"/>
        <n v="0.2847218267752406"/>
        <n v="0.48500881834215165"/>
        <n v="0.21285929798958758"/>
        <n v="1.5852502800034463"/>
        <n v="0.25930085832744015"/>
        <n v="0.38350407144733384"/>
        <n v="0.2685185185185185"/>
        <n v="0.30404378230465184"/>
        <n v="0.2832713057526975"/>
        <n v="0.30355619356548225"/>
        <n v="0.34694226587505195"/>
        <n v="0.24846902921393435"/>
        <n v="0.334124347413384"/>
        <n v="0.24251469079376925"/>
        <n v="0.30895132208433645"/>
        <n v="0.2745533017780072"/>
        <n v="0.2887072171992513"/>
        <n v="0.27146303061327376"/>
        <n v="0.3593176746473013"/>
        <n v="0.36370041861814567"/>
        <n v="0.23667384930587446"/>
        <n v="0.32730922411092717"/>
        <n v="0.4547373891577614"/>
        <n v="0.37178456591639875"/>
        <n v="0.2831935519006644"/>
        <n v="0.3231241489140721"/>
        <n v="0.26178133947143756"/>
        <n v="0.2846632215117807"/>
        <n v="0.2861496834640908"/>
        <n v="0.2922680671003997"/>
        <n v="0.351531838968651"/>
        <n v="0.5514705882352942"/>
        <n v="0.2999647100341136"/>
        <n v="0.3443927046953822"/>
        <n v="0.2862853826810239"/>
        <n v="0.26115451364823433"/>
        <n v="0.26009460303698695"/>
        <n v="0.2561167769320392"/>
        <n v="0.2631952614710536"/>
        <n v="0.27394555640563684"/>
        <n v="0.27435434492503336"/>
        <n v="0.4022658238239882"/>
        <n v="0.27177902589753655"/>
        <n v="0.3509782038591828"/>
        <n v="0.7328990228013029"/>
        <n v="0.22604287964929104"/>
        <n v="0.21638330757341576"/>
        <n v="0.3735699276208265"/>
        <n v="1.2040298140715866"/>
        <n v="0.13428226131328053"/>
        <n v="0.23405500292568754"/>
        <n v="0.32470168033119573"/>
        <n v="0.21046589495838514"/>
        <n v="0.06531252041016262"/>
        <n v="0.31931198910081743"/>
        <n v="0.16964967342437867"/>
        <n v="0.18585057613678604"/>
        <n v="0.38816758131441575"/>
        <n v="0.31901318587834965"/>
        <n v="0.2932121389825539"/>
        <n v="0.47641734159123394"/>
        <n v="0.6412311638345624"/>
        <n v="0.1955129771738599"/>
        <n v="0.5753077896674721"/>
        <n v="1.1139165305213128"/>
        <n v="0.2819307988039299"/>
        <n v="1.101144899000948"/>
        <n v="0.6247042120208235"/>
        <n v="0.3199191024698295"/>
        <n v="0.27444370284059416"/>
        <n v="0.3170871850613794"/>
        <n v="0.27866438064882915"/>
        <n v="0.24709169755312888"/>
        <n v="0.3126460492175791"/>
        <n v="0.24263693967291025"/>
        <n v="0.28139307983410955"/>
        <n v="0.2698348771647201"/>
        <n v="0.5274261603375527"/>
        <n v="0.24745441629173576"/>
        <n v="0.06657567990413102"/>
        <n v="0.2780507424689365"/>
        <n v="0.2887436938955463"/>
        <n v="0.49269751891606545"/>
        <n v="0.32495550401812195"/>
        <n v="0.349208907513364"/>
        <n v="0.33569959291704426"/>
        <n v="0.2763760318149918"/>
        <n v="0.2336681627128304"/>
        <n v="0.286697247706422"/>
        <n v="0.28029673127890664"/>
        <n v="0.2710405397545512"/>
        <n v="0.25382525382525384"/>
        <n v="0.2683987331579795"/>
        <n v="0.266159119172556"/>
        <n v="0.16204328111063637"/>
        <n v="0.4066759931027752"/>
        <n v="0.4029550033579583"/>
        <n v="0.2841883482777206"/>
        <n v="0.367249945992655"/>
        <n v="0.5866900175131349"/>
        <n v="0.4217861727489456"/>
        <n v="0.17139090309822017"/>
        <n v="0.827292782855342"/>
        <n v="0.2871784559602098"/>
        <n v="0.29375858385472303"/>
        <n v="0.4176066817069073"/>
        <n v="0.4583597771666314"/>
        <n v="0.26316048847317636"/>
        <n v="0.2693734265196697"/>
        <n v="0.24514811031664963"/>
        <n v="0.20596928071545612"/>
        <n v="0.32101256534898653"/>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728" sheet="Creative Data Organized"/>
  </cacheSource>
  <cacheFields>
    <cacheField name="Creative Size" numFmtId="0">
      <sharedItems>
        <s v="300x250"/>
        <s v="320x50"/>
        <s v="300x50"/>
      </sharedItems>
    </cacheField>
    <cacheField name="Location" numFmtId="0">
      <sharedItems>
        <s v="Los Angeles, California"/>
        <s v="Orlando-Daytona Beach, Florida"/>
        <s v="San Francisco, California"/>
        <s v="Grand Rapids-Kalamazoo, Michigan"/>
        <s v="Chicago, Illinois"/>
        <s v="Nashville, Tennessee"/>
        <s v="Champaign &amp; Springfield-Decatur,Illinois"/>
        <s v="Ft. Myers-Naples, Florida"/>
        <s v="Miami-Ft. Lauderdale, Florida"/>
        <s v="Tampa-St Petersburg (Sarasota), Florida"/>
        <s v="New York City, New York"/>
        <s v="Jacksonville, Florida"/>
        <s v="West Palm Beach-Ft. Pierce, Florida"/>
        <s v="Augusta, Georgia"/>
        <s v="Birmingham, Alabama"/>
        <s v="Flint-Saginaw-Bay City, Michigan"/>
        <s v="Tallahassee, Florida-Thomasville, Georgia"/>
        <s v="Tri-Cities, Tennessee-Virginia"/>
        <s v="South Bend-Elkhart, Indiana"/>
        <s v="Rockford, Illinois"/>
        <s v="Knoxville, Tennessee"/>
        <s v="Mobile, Alabama-Pensacola, Florida"/>
        <s v="Huntsville-Decatur (Florence), Alabama"/>
        <s v="Memphis, Tennessee"/>
        <s v="Lansing, Michigan"/>
        <s v="Charleston, South Carolina"/>
        <s v="Chattanooga, Tennessee"/>
        <s v="Ft. Wayne, Indiana"/>
        <s v="Savannah, Georgia"/>
        <s v="Peoria-Bloomington, Illinois"/>
        <s v="Lafayette, Indiana"/>
        <s v="Jackson, Mississippi"/>
        <s v="Panama City, Florida"/>
        <s v="Toledo, Ohio"/>
        <s v="Louisville, Kentucky"/>
        <s v="Shreveport, Louisiana"/>
        <s v="Hattiesburg-Laurel, Mississippi"/>
        <s v="Little Rock-Pine Bluff, Arkansas"/>
        <s v="Cincinnati, Ohio"/>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1:K994" sheet="CREATIVE DATA"/>
  </cacheSource>
  <cacheFields>
    <cacheField name="Creative Messaging" numFmtId="0">
      <sharedItems containsBlank="1">
        <s v="Subscribe Today - 10% Discount"/>
        <s v="Sign up Today - 10% Off"/>
        <s v="Sign up Now - 10% Off"/>
        <s v="10% Discount - Ends 6/1"/>
        <m/>
      </sharedItems>
    </cacheField>
    <cacheField name="Location" numFmtId="0">
      <sharedItems containsBlank="1">
        <s v="Los Angeles, California"/>
        <s v="Orlando-Daytona Beach, Florida"/>
        <s v="San Francisco, California"/>
        <s v="Grand Rapids-Kalamazoo, Michigan"/>
        <s v="Chicago, Illinois"/>
        <s v="Nashville, Tennessee"/>
        <s v="Champaign &amp; Springfield-Decatur,Illinois"/>
        <s v="Ft. Myers-Naples, Florida"/>
        <s v="Miami-Ft. Lauderdale, Florida"/>
        <s v="Tampa-St Petersburg (Sarasota), Florida"/>
        <s v="New York City, New York"/>
        <s v="Jacksonville, Florida"/>
        <s v="West Palm Beach-Ft. Pierce, Florida"/>
        <s v="Augusta, Georgia"/>
        <s v="Birmingham, Alabama"/>
        <s v="Flint-Saginaw-Bay City, Michigan"/>
        <s v="Tallahassee, Florida-Thomasville, Georgia"/>
        <s v="Tri-Cities, Tennessee-Virginia"/>
        <s v="South Bend-Elkhart, Indiana"/>
        <s v="Rockford, Illinois"/>
        <s v="Knoxville, Tennessee"/>
        <s v="Mobile, Alabama-Pensacola, Florida"/>
        <s v="Huntsville-Decatur (Florence), Alabama"/>
        <s v="Memphis, Tennessee"/>
        <s v="Lansing, Michigan"/>
        <s v="Charleston, South Carolina"/>
        <s v="Chattanooga, Tennessee"/>
        <s v="Ft. Wayne, Indiana"/>
        <s v="Savannah, Georgia"/>
        <s v="Peoria-Bloomington, Illinois"/>
        <s v="Lafayette, Indiana"/>
        <s v="Jackson, Mississippi"/>
        <s v="Panama City, Florida"/>
        <s v="Toledo, Ohio"/>
        <s v="Louisville, Kentucky"/>
        <s v="Shreveport, Louisiana"/>
        <s v="Hattiesburg-Laurel, Mississippi"/>
        <s v="Little Rock-Pine Bluff, Arkansas"/>
        <s v="Cincinnati, Ohio"/>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0" sheet="RAW_DATA"/>
  </cacheSource>
  <cacheFields>
    <cacheField name="Audience Segment" numFmtId="0">
      <sharedItems containsBlank="1">
        <s v="Online Behavior&gt;United States&gt;Validated Demographic » Gender and Age Combined&gt;Females 25 or older"/>
        <s v="Online Behavior&gt;United States&gt;Finance » Financial Planning and Management&gt;Retirement and Pension"/>
        <s v="Online Behavior&gt;United States&gt;Hobbies and Leisure&gt;Outdoors » Equestrian"/>
        <s v="Online Behavior&gt;United States&gt;Intent » Auto Buyers » Car Make&gt;Audi Q"/>
        <s v="Online Behavior&gt;United States&gt;Beauty and Fitness&gt;Fitness » Fitness Instruction and Personal Training"/>
        <s v="Online Behavior&gt;United States&gt;Autos and Vehicles » Brands&gt;Jeep"/>
        <s v="Online Behavior&gt;United States&gt;Autos and Vehicles » Brands&gt;Mercedes-Benz"/>
        <s v="Online Behavior&gt;United States&gt;Validated Demographic » Gender and Age Combined&gt;Males 18-54"/>
        <s v="Online Behavior&gt;United States&gt;Validated Demographic » Age&gt;55-64"/>
        <s v="US » Interest Propensities » Brands » Quick Service Restaurants"/>
        <s v="US » B2B » B2B Decision Maker Responsibilities » Purchasing Utilities"/>
        <s v="US » Interest Propensities » TV and Movies » Sports TV"/>
        <s v="Real Estate » Occupancy » Owner Occupied"/>
        <s v="US Financial » Likely Credit Card » Card in Own Name » Any major Credit/Debit Card (Financial)"/>
        <s v="Online Behavior&gt;United States&gt;People and Society&gt;Millennials"/>
        <s v="OnAudience » Intent » Electronics » Video » Televisions"/>
        <s v="Online Behavior&gt;United States&gt;Arts and Entertainment&gt;Events and Listings » Bars, Clubs and Nightlife"/>
        <s v="US » Interest Propensities » Activities and Interests » Local News"/>
        <s v="US » Reach » Sociodemographic » Dwelling Type » Multi-family Dwelling Unit"/>
        <s v="OnAudience » Intent » Software » Video Game Software"/>
        <s v="Online Behavior&gt;United States&gt;B2B » Occupation&gt;Musician"/>
        <s v="Lotame » Travel » Summer Travel"/>
        <s v="US » Home and Garden Interests » Cooking » Food Enthusiasts"/>
        <s v="US » Demo » Age » 55-64"/>
        <s v="Online Behavior&gt;United States&gt;Intent » Auto Buyers » Type&gt;Luxury"/>
        <s v="US » Brand Propensities » Media and Entertainment » wwe.com Buyer Propensity"/>
        <s v="Online Behavior&gt;United States&gt;Sports&gt;Sports League » NFL"/>
        <s v="Online Behavior&gt;United States&gt;Intent » Auto Buyers » Car Make&gt;Volkswagen"/>
        <s v="US » B2B » B2B Decision Maker Responsibilities » Financial Services"/>
        <s v="Online Behavior&gt;United States&gt;Sports&gt;Team Sports » Basketball"/>
        <s v="US » Interest Propensities » Music » Country"/>
        <s v="Media and Entertainment » Sports and Recreational Activities » Interest (Affinity) » Team Sports » Baseball » Major League Baseball (MLB)"/>
        <s v="Online Behavior&gt;United States&gt;Beauty and Fitness&gt;Face and Body Care » Skin and Nail Care"/>
        <s v="US » Interest Propensities » Activities and Interests » Financial Aid"/>
        <s v="Media and Entertainment » Sports and Recreational Activities » Interest (Affinity) » Olympics » Summer Olympics"/>
        <s v="US » Demographic » Family » Female Head of Household"/>
        <s v="Online Behavior&gt;United States&gt;Sports&gt;Sports League » MLB"/>
        <s v="Online Behavior&gt;United States&gt;Autos and Vehicles » Brands&gt;Dodge"/>
        <s v="US » Brand Propensities » Travel » Sandals Resorts Buyer Propensity"/>
        <s v="Mobile - US » Shopping » Brand » Old Navy"/>
        <s v="OnAudience » Intent » Animals &amp; Pet"/>
        <s v="US » Multibuyer Behaviors » Paid with Credit Card"/>
        <s v="US » Response Performance » Direct Marketing Responders"/>
        <s v="Online Behavior&gt;United States&gt;Games&gt;Computer and Video Games"/>
        <s v="Online Behavior&gt;United States&gt;Finance » Insurance&gt;Home Insurance"/>
        <s v="US » Reach » Sociodemographic » Dwelling Size » 1 Unit"/>
        <s v="Online Behavior&gt;United States&gt;B2B » Occupation&gt;MechanicalEngineer"/>
        <s v="US » Interest Propensities » Insurance » MassMutual"/>
        <s v="US » Premium Gender » Premium Gender » Males"/>
        <s v="US » Reach » Propensity Models » Hobbies and Interest » Food and Drinks » Eats at Fast Food Restaurants"/>
        <s v="Online Behavior&gt;United States&gt;Travel&gt;Specialty Travel » Adventure Travel"/>
        <s v="Online Behavior&gt;United States&gt;Travel&gt;Tourist Destinations » Zoos-Aquariums-Preserves"/>
        <s v="Online Behavior&gt;United States&gt;Sports&gt;Sports League » NBA"/>
        <s v="Online Behavior&gt;United States&gt;Finance » Investing&gt;Derivatives"/>
        <s v="Online Behavior&gt;United States&gt;Law and Government&gt;Public Safety"/>
        <s v="Online Behavior&gt;United States&gt;Jobs and Education&gt;Education"/>
        <s v="Online Behavior&gt;United States&gt;Autos and Vehicles » Brands&gt;Ferrari"/>
        <s v="Online Behavior&gt;United States&gt;News&gt;Sports News"/>
        <s v="Telecommunications (Telco)"/>
        <s v="US » B2B » Purchase DM » Technology Services, Hardware and » or Software » I have no input into the final decision"/>
        <s v="US » Reach » Propensity Models » Hobbies and Interest » Food and Drinks » Wine Lovers"/>
        <s v="US » Brand Propensities » Travel » Choice Hotels Buyer Propensity"/>
        <s v="OnAudience » Interest » Careers"/>
        <s v="US » Brand Propensities » Travel » Hotel Tonight Buyer Propensity"/>
        <s v="OnAudience » Interest » Science » Weather Forecast"/>
        <s v="Media and Entertainment » Sports and Recreational Activities » Interest (Affinity) » Motorsports"/>
        <s v="Mobile - US » Travel » Destination » International Travelers » Frequent Travelers"/>
        <s v="US Financial » Estimated Discretionary Spending (Financial) » Greater than $2,499"/>
        <s v="US » AUTO » Primary Vehicle » New or Used » Pre-owned"/>
        <s v="Media and Entertainment » Gaming » Interest (Affinity) » Video Games"/>
        <s v="Online Behavior&gt;United States&gt;Games&gt;Card Games"/>
        <s v="Online Behavior&gt;United States&gt;Autos and Vehicles » Brands&gt;Rolls-Royce"/>
        <s v="US » Reach » Propensity Models » Hobbies and Interest » Photography"/>
        <s v="Travel and Tourism » Interest (Affinity) » Destinations » North America"/>
        <s v="US » Reach » Sociodemographic » Estimated Current Home Value » $160,000-$199,999"/>
        <s v="US »Connected Impulse-Shopper Audience"/>
        <s v="US » Interest Propensities » Activities and Interests » International News"/>
        <s v="Online Behavior&gt;United States&gt;Intent » Auto Buyers » Car Make&gt;Nissan"/>
        <s v="Online Behavior&gt;United States&gt;Life Event&gt;Bride"/>
        <s v="Online Behavior&gt;United States&gt;Life Event&gt;Engagement"/>
        <s v="Online Behavior&gt;United States&gt;The Changing Consumer&gt;Internet Connection"/>
        <s v="Lotame » Personal Finance » Estate Planning"/>
        <s v="Online Behavior&gt;United States&gt;Sports&gt;Team Sports » Volleyball"/>
        <s v="Mobile - US » Food » Restaurant » Brand » Outback Steakhouse"/>
        <s v="Online Behavior&gt;United States&gt;Sports&gt;Sporting Goods"/>
        <s v="Online Behavior&gt;United States&gt;News&gt;Newspapers"/>
        <s v="Online Behavior&gt;United States&gt;Sports&gt;Winter Sports » Skiing and Snowboarding"/>
        <s v="US » Reach » Propensity Models » Household Consumer Expenditures » Home Office"/>
        <s v="OnAudience » Intent » Sporting Goods"/>
        <s v="Online Behavior&gt;United States&gt;Intent » Shopping&gt;Consumer Electronics » Computers, Laptops"/>
        <s v="Online Behavior&gt;United States&gt;Sports&gt;Fantasy Sports"/>
        <s v="US » Interest Propensities » Oil &amp; Gas » QuickTrip"/>
        <s v="OnAudience » Interest » Shopping » Shopping Mall Buyers"/>
        <s v="Online Behavior&gt;United States&gt;Law and Government&gt;Military"/>
        <s v="Online Behavior&gt;United States&gt;Travel&gt;Bus and Rail"/>
        <s v="Online Behavior&gt;United States&gt;Validated Demographic » Age&gt;18-64"/>
        <s v="Online Behavior&gt;United States&gt;Validated Demographic » Gender and Age Combined&gt;Males 25-44"/>
        <s v="Purchase Behaviors » Q2 Environmentally Concerned Shoppers"/>
        <s v="Travel and Tourism » Interest (Affinity) » Destinations » North America » United States"/>
        <s v="Media and Entertainment » Connected TV and Over-the-Top (CTV and OTT) » Streaming Television and Film Viewership » OTT Movie Viewers » Genre » Crime Movie Streamers"/>
        <s v="US Financial » Likely Attitude and Behavior » Bank Selection » Customer Service Very Important (Financial)"/>
        <s v="Online Behavior&gt;United States&gt;Sports&gt;Individual Sports » Running and Walking"/>
        <s v="Online Behavior&gt;United States&gt;People and Society&gt;Family and Relationships » Parents"/>
        <s v="Online Behavior&gt;United States&gt;Travel&gt;Tourist Destinations » Regional Parks and Gardens"/>
        <s v="Online Behavior&gt;United States&gt;Autos and Vehicles » Brands&gt;Mazda"/>
        <s v="Online Behavior&gt;United States&gt;Travel&gt;Tourist Destinations » Mountain and Ski Resorts"/>
        <s v="Online Behavior&gt;United States&gt;Validated Demographic » Gender and Age Combined&gt;Females 45-54"/>
        <s v="US » Reach » Propensity Models » Hobbies and Interest » Sports » Avid Runners"/>
        <s v="OnAudience » Interest » Business"/>
        <s v="US » Reach » Propensity Models » Real Estate » Monthly Mortgage Payment » $800-$999"/>
        <s v="US »Green Consumer Audience"/>
        <s v="US » Reach » Propensity Models » Household Consumer Expenditures » Lawn and Garden"/>
        <s v="US Interest » Home » Home Improvement » Home Improvement Grouping"/>
        <s v="Online Behavior&gt;United States&gt;Real Estate&gt;Apartments and Residential Rentals"/>
        <s v="US » Reach » Propensity Models » Hobbies and Interest » Food and Drinks » High-end Spirit Drinkers"/>
        <s v="OnAudience » Intent » Sporting Goods » Team Sports"/>
        <s v="Online Behavior&gt;United States&gt;Validated Demographic » Age&gt;25-44"/>
        <s v="Media and Entertainment » Sports and Recreational Activities » Interest (Affinity)"/>
        <s v="Online Behavior&gt;United States&gt;Travel&gt;Tourist Destinations » Beaches and Islands"/>
        <s v="Online Behavior&gt;United States&gt;The Changing Consumer&gt;Direct to Consumer"/>
        <s v="Online Behavior&gt;United States&gt;Arts and Entertainment&gt;Music and Audio"/>
        <s v="Online Behavior&gt;United States&gt;Autos and Vehicles » Brands&gt;Volvo"/>
        <s v="US » B2B » B2B Decision Maker Responsibilities » Company Liability or Insurance"/>
        <s v="US » Reach » Propensity Models » Luxury Home Goods Store Shopper"/>
        <s v="US » B2B » B2B Decision Maker Responsibilities » Employee Benefits"/>
        <s v="US » Brand Propensities » Travel » American Airlines Buyer Propensity"/>
        <s v="OnAudience"/>
        <s v="Media and Entertainment » Audio and Video Streaming » Streaming Audio"/>
        <s v="US »Rural Improvement Fanatic"/>
        <s v="Online Behavior&gt;United States&gt;Sports&gt;Sports League » Premier League"/>
        <s v="Online Behavior&gt;United States&gt;The Changing Consumer&gt;Gaming Equipment"/>
        <s v="Online Behavior&gt;United States&gt;Travel&gt;Travel"/>
        <s v="Online Behavior&gt;United States&gt;Beauty and Fitness&gt;Face and Body Care » Unwanted Body and Facial Hair Removal"/>
        <s v="Online Behavior&gt;United States&gt;Intent » Auto Buyers » Car Make&gt;Toyota"/>
        <s v="Online Behavior&gt;United States&gt;Food and Drink&gt;Restaurants » Dining Guides"/>
        <s v="Media and Entertainment » Music"/>
        <s v="OnAudience » Interest » Technology"/>
        <s v="US » Interest Propensities » Social » Premium User Generated Content"/>
        <s v="OnAudience » Interest » Business » Economy"/>
        <s v="US » Reach » Propensity Models » Lifestyle » Charities » Contributes to Charities"/>
        <s v="US » Reach » Propensity Models » Household Consumer Expenditures » Kitchen"/>
        <s v="Online Behavior&gt;United States&gt;Finance » Financial Planning and Management&gt;Asset and Portfolio Management"/>
        <s v="Online Behavior&gt;United States&gt;B2B » Occupation&gt;OfficeManager"/>
        <s v="Online Behavior&gt;United States&gt;Intent » Shopping&gt;CPG� Grocery"/>
        <s v="Online Behavior&gt;United States&gt;Intent » Auto Buyers » Car Make&gt;Hyundai"/>
        <s v="Online Behavior&gt;United States&gt;Validated Demographic » Gender and Age Combined&gt;Females 18-54"/>
        <s v="Telecommunications (Telco) » Subscribers"/>
        <s v="Online Behavior&gt;United States&gt;Finance » Banking&gt;ATMs and Branch Locations"/>
        <s v="Online Behavior&gt;United States&gt;Intent » Travel&gt;Accommodation » Hotels"/>
        <s v="Online Behavior&gt;United States&gt;Home and Garden&gt;Homemaking and Interior Decor"/>
        <s v="US » Sociodemographic » P$YCLE Premier Lifestage » M2 Wealthy Achievers"/>
        <s v="US » Brand Propensities » Health » Beauty and Cosmetics » Bare Escentuals Buyer Propensity"/>
        <s v="Mobile - US » Device Ownership » Smartphones » Huawei"/>
        <s v="Online Behavior&gt;United States&gt;Internet and Telecom&gt;Email and Messaging"/>
        <s v="Online Behavior&gt;United States&gt;Travel&gt;Car Rental and Taxi Services"/>
        <s v="Mobile - US » Food » Restaurant » Style » Desserts"/>
        <s v="US » AUTO » Primary Vehicle » New or Used » New"/>
        <s v="US » B2B » B2B Decision Maker Responsibilities » Advertising Services"/>
        <s v="Online Behavior&gt;United States&gt;Intent » Travel&gt;Cruises"/>
        <s v="US » B2B » B2B Decision Maker Responsibilities » Accounting or Tax Services"/>
        <s v="Online Behavior&gt;United States&gt;Beauty and Fitness&gt;Cosmetology and Beauty Professionals"/>
        <s v="Online Behavior&gt;United States&gt;Finance » Insurance&gt;Life Insurance"/>
        <s v="Online Behavior&gt;United States&gt;Food and Drink&gt;Food and Grocery Retailers"/>
        <s v="Online Behavior&gt;United States&gt;Intent » Shopping&gt;Drug Stores » CVS"/>
        <s v="US » Composite Segment » Women Born to Shop"/>
        <s v="Real Estate » Rent Amount » Sensible  Rentals ($1000-$3000)"/>
        <s v="Online Behavior&gt;United States&gt;Finance » Credit and Lending&gt;Loans"/>
        <s v="Online Behavior&gt;United States&gt;Finance » Banking&gt;Money Transfer and Wire Services"/>
        <s v="Online Behavior&gt;United States&gt;Travel&gt;Tourist Destinations"/>
        <s v="Online Behavior&gt;United States&gt;Finance » Investing&gt;Stocks and Bonds"/>
        <s v="Online Behavior&gt;United States&gt;Life Event&gt;New Parent"/>
        <s v="Online Behavior&gt;United States&gt;Hobbies and Leisure&gt;Outdoors » Hiking and Camping"/>
        <s v="Online Behavior&gt;United States&gt;Intent » Financial Intent&gt;Loans and Credit"/>
        <s v="Online Behavior&gt;United States&gt;Real Estate&gt;Homeowner"/>
        <s v="Online Behavior&gt;United States&gt;Arts and Entertainment&gt;Events and Listings » Film Festivals"/>
        <s v="Online Behavior&gt;United States&gt;Travel&gt;Cruises and Charters"/>
        <s v="Online Behavior&gt;United States&gt;B2B » Occupation&gt;Student"/>
        <s v="Online Behavior&gt;United States&gt;Online Communities&gt;File Sharing and Hosting"/>
        <s v="Online Behavior&gt;United States&gt;Autos and Vehicles » Brands&gt;LandRover"/>
        <s v="Online Behavior&gt;United States&gt;Food and Drink&gt;Food and Grocery Delivery"/>
        <s v="Online Behavior&gt;United States&gt;Sports&gt;Sports League » NHL"/>
        <s v="Online Behavior&gt;United States&gt;Sports&gt;Water Sports » Surfing"/>
        <s v="US » AUTO » Decision Maker for Auto Purchase » I shared equally in the decision"/>
        <s v="US » B2B » B2B Decision Maker Responsibilities » Office Supplies or Equipment"/>
        <s v="US » Reach » Propensity Models » Hobbies and Interest » Pets » Cat Owners"/>
        <s v="OnAudience » Interest » Life Stage"/>
        <s v="US » Interest Propensities » Activities and Interests » Fashion"/>
        <s v="Mobile - US » Travel » Car Rentals » Hertz"/>
        <s v="OnAudience » Interest » Arts &amp; Entertainment » Celebrity Fan » Gossip"/>
        <s v="Mobile - US » Device Ownership » Smartphones » ZTE"/>
        <s v="US » Brand Propensities » Health » Beauty and Cosmetics » SkinCareRx Buyer Propensity"/>
        <s v="Mobile - US » Food » Restaurant » Brand » Five Guys"/>
        <s v="US » Brand Propensities » Health » Beauty and Cosmetics » Mary Kay Buyer Propensity"/>
        <s v="US Financial » Estimated Discretionary Spending » Greater than $2,500"/>
        <s v="US » Interest Propensities » Insurance » Northwestern Mutual"/>
        <s v="Transactional » Q2 Graduation Gift Shoppers"/>
        <s v="OnAudience » Intent » Auto » Vehicle Parts &amp; Accessories"/>
        <s v="Lotame » Offline CPG Purchasers » Product Segment » Home Supplies"/>
        <s v="Media and Entertainment » Consumer Entertainment Technology"/>
        <s v="Online Behavior&gt;United States&gt;Autos and Vehicles » Brands&gt;Cadillac"/>
        <s v="Lotame » Travel » International Travel"/>
        <s v="Online Behavior&gt;United States&gt;Validated Demographic » Gender and Age Combined&gt;Females 35-44"/>
        <s v="Online Behavior&gt;United States&gt;B2B » Occupation&gt;SystemsAnalyst"/>
        <s v="OnAudience » Interest » Personal Finance"/>
        <s v="Mobile - US » Demographics » Education » Lowest Education Achievement"/>
        <s v="Mobile - US » Food » Restaurant » Brand » Buffalo Wild Wings"/>
        <s v="US Interest » Cooking » General"/>
        <s v="Travel and Tourism » Interest (Affinity) » Destinations » Latin America"/>
        <s v="Online Behavior&gt;United States&gt;Intent » Shopping&gt;Consumer Electronics » Video Game Consoles"/>
        <s v="Online Behavior&gt;United States&gt;Intent » Auto Buyers » Category&gt;Motorcycle"/>
        <s v="US Financial » Credit Card Type » Credit Card Holder - Unknown Type"/>
        <s v="US » Brand Propensities » Travel » Booking.com Buyer Propensity"/>
        <s v="US Financial » Estimated Disposable Income » $0 - $99,999"/>
        <s v="Online Behavior&gt;United States&gt;Autos and Vehicles&gt;Boats and Watercraft"/>
        <s v="Online Behavior&gt;United States&gt;Beauty and Fitness&gt;Fitness » Yoga and Pilates"/>
        <s v="US » Reach » Propensity Models » Hobbies and Interest » Sports » Fitness Enthusiasts"/>
        <s v="Online Behavior&gt;United States&gt;News&gt;Technology News"/>
        <s v="OnAudience » Interest » Sports"/>
        <s v="Online Behavior&gt;United States&gt;Travel&gt;Air Travel"/>
        <s v="Online Behavior&gt;United States&gt;Beauty and Fitness&gt;Body Art"/>
        <s v="Online Behavior&gt;United States&gt;Home and Garden&gt;Home Improvement"/>
        <s v="Online Behavior&gt;United States&gt;News&gt;Business News"/>
        <s v="Online Behavior&gt;United States&gt;Intent » Auto Buyers » Car Make&gt;Opel"/>
        <s v="Online Behavior&gt;United States&gt;The Changing Consumer&gt;Active Facebook Users"/>
        <s v="Online Behavior&gt;United States&gt;Validated Demographic » Gender and Age Combined&gt;Females 65 or older"/>
        <s v="US » B2B » B2B Decision Maker Responsibilities » Computer Hardware"/>
        <s v="US » Brand Propensities » Media and Entertainment » Regal Cinemas Buyer Propensity"/>
        <s v="US » Premium Entertainment and Pastimes » Premium Magazine Enthusiasts"/>
        <s v="Mobile - US » Device Ownership » Smartphones » iOS (Apple) » iPhone X"/>
        <s v="Mobile - US » Device Ownership » Smartphones » iOS (Apple) » iPhone 11"/>
        <s v="Online Behavior&gt;United States&gt;Games&gt;Family-Oriented Games and Activities"/>
        <s v="Online Behavior&gt;United States&gt;Intent » Shopping&gt;Sports and Outdoors"/>
        <s v="US » Reach » Propensity Models » Lifestyle » Loyalty Programs » Loyalty Card User"/>
        <s v="Online Behavior&gt;United States&gt;Intent » Shopping&gt;Consumer Electronics » Tablets"/>
        <s v="Online Behavior&gt;United States&gt;Intent » Auto Buyers » Car Make&gt;BMW"/>
        <s v="Online Behavior&gt;United States&gt;Travel&gt;Tourist Destinations » Lakes and Rivers"/>
        <s v="Online Behavior&gt;United States&gt;Online Communities&gt;Social Networks"/>
        <s v="Online Behavior&gt;United States&gt;Online Communities&gt;Photo and Video Sharing"/>
        <s v="Online Behavior&gt;United States&gt;Internet and Telecom&gt;Mobile and Wireless"/>
        <s v="Online Behavior&gt;United States&gt;Beauty and Fitness&gt;Fashion and Style » Fashion Modeling"/>
        <s v="Online Behavior&gt;United States&gt;Games&gt;Educational Games"/>
        <s v="Online Behavior&gt;United States&gt;Sports&gt;Motor Sports"/>
        <s v="Online Behavior&gt;United States&gt;Autos and Vehicles » Brands&gt;BMW"/>
        <s v="Online Behavior&gt;United States&gt;Food and Drink&gt;Beverages » Bottled Water"/>
        <s v="US » Reach » Sociodemographic » Age » 45-49"/>
        <s v="Real Estate » Sale Activity » Just Sold"/>
        <s v="US » Sociodemographic » ConneXions Lifestage » F1 Early Adopting Elite"/>
        <s v="OnAudience » Interest » Arts &amp; Entertainment » Television"/>
        <s v="US Interest » Consumer Electronics"/>
        <s v="US » Interest Propensities » Insurance » Unitedhealth Group"/>
        <s v="US » B2B » B2B Decision Maker Responsibilities » Marketing or Market Research"/>
        <s v="Online Behavior&gt;United States&gt;Arts and Entertainment&gt;Comics and Animation"/>
        <s v="US » Interest Propensities » Insurance » Aetna Group"/>
        <s v="Online Behavior&gt;United States&gt;Finance » Insurance&gt;Insurance"/>
        <s v="Online Behavior&gt;United States&gt;Food and Drink&gt;Beverages » Coffee and Tea"/>
        <s v="Online Behavior&gt;United States&gt;Intent » Auto Buyers » Car Make&gt;Ford"/>
        <s v="Online Behavior&gt;United States&gt;Autos and Vehicles » Brands&gt;Maserati"/>
        <s v="US » Reach » Sociodemographic » Homeowner Status » Renter"/>
        <s v="US » B2B » B2B Decision Maker Responsibilities » HR or Personnel Services"/>
        <s v="US » B2B » B2B Decision Maker Responsibilities » Sales"/>
        <s v="Mobile - US » Travel » Vacation Rentals » HomeAway"/>
        <s v="OnAudience » Interest » News » Local News"/>
        <s v="OnAudience » Interest » Arts &amp; Entertainment » Music Lovers"/>
        <s v="US » Sociodemographic » PRIZM Premier Social » T2 Country Comfort"/>
        <s v="Online Behavior&gt;United States&gt;Arts and Entertainment&gt;Movies"/>
        <s v="Online Behavior&gt;United States&gt;Intent » Shopping&gt;Consumer Electronics » Cameras and Photography Equip"/>
        <s v="Online Behavior&gt;United States&gt;Intent » Travel&gt;Business Travel"/>
        <s v="US Home » Dwelling Type » Single-Family"/>
        <s v="OnAudience » Interest » Games"/>
        <s v="US » Response Performance » Direct Marketing Purchasers"/>
        <s v="Online Behavior&gt;United States&gt;Autos and Vehicles » Brands&gt;Saab"/>
        <s v="Online Behavior&gt;United States&gt;Hobbies and Leisure&gt;Contests, Awards and Prizes"/>
        <s v="Online Behavior&gt;United States&gt;The Changing Consumer&gt;B2B Work from Home"/>
        <s v="US » Sociodemographic » ConneXions Lifestage » M3 Offline Seniors"/>
        <s v="US » Brand Propensities » Apparel » JCPenney Buyer Propensity"/>
        <s v="OnAudience » Interest » News » National News"/>
        <s v="US » Reach » Propensity Models » Hobbies and Interest » Sports » Plays Soccer"/>
        <s v="Online Behavior&gt;United States&gt;People and Society&gt;Seniors and Retirement"/>
        <s v="Media Source"/>
        <s v="Mobile - US » Sports » Water Sports » Boating"/>
        <s v="Online Behavior&gt;United States&gt;Autos and Vehicles&gt;Hybrid and Alternative Vehicles"/>
        <s v="Mobile - US » Travel » Activity » Ski Travelers"/>
        <s v="US » Sociodemographic » P$YCLE Premier Lifestage » M3 Upscale Empty Nests"/>
        <s v="Online Behavior&gt;United States&gt;Intent » Auto Buyers » Car Make&gt;Dodge"/>
        <s v="Online Behavior&gt;United States&gt;Intent » Auto Buyers » Type&gt;SUV"/>
        <s v="Online Behavior&gt;United States&gt;Validated Demographic » Age&gt;35-44"/>
        <s v="US Demographic » Preferred Language » Individual » Non-Hispanic"/>
        <s v="Online Behavior&gt;United States&gt;Arts and Entertainment&gt;Celebrities and Entertainment News"/>
        <s v="OnAudience » Intent » Education"/>
        <s v="Online Behavior&gt;United States&gt;Intent » Auto Buyers » Car Make&gt;Mazda"/>
        <s v="Online Behavior&gt;United States&gt;Validated Demographic » Gender and Age Combined&gt;Females 25-34"/>
        <s v="OnAudience » Interest » Technology &amp; Computing » Internet Technology"/>
        <s v="Mobile - US » Sports » UFC Fans"/>
        <s v="Online Behavior&gt;United States&gt;Intent » Shopping&gt;Auto Parts Stores"/>
        <s v="Online Behavior&gt;United States&gt;Autos and Vehicles » Brands&gt;Ford"/>
        <s v="Lotame » Technology » Mobile Phones"/>
        <s v="Online Behavior&gt;United States&gt;Autos and Vehicles » Brands&gt;Maybach"/>
        <s v="Online Behavior&gt;United States&gt;The Changing Consumer&gt;Online Retailers"/>
        <s v="Online Behavior&gt;United States&gt;Finance » Financial Planning and Management&gt;Inheritance and Estate Planning"/>
        <s v="Lotame » Travel » Winter Holiday Travel"/>
        <s v="US » Brand Propensities » Home and Household Goods » Pottery Barn Kids Buyer Propensity"/>
        <s v="Online Behavior&gt;United States&gt;Intent » Shopping&gt;Drug Stores"/>
        <s v="Media and Entertainment » Sports and Recreational Activities » Interest (Affinity) » Individual Sports » Tennis and Racquet Sports"/>
        <s v="US » Reach » Propensity Models » Hobbies and Interest » Sports » NBA Enthusiast"/>
        <s v="Mobile - US » Device Ownership » Smartphones » Vivo"/>
        <s v="Lotame » Style, Fashion &amp; Clothing » Women's Clothing Shoppers"/>
        <s v="Online Behavior&gt;United States&gt;Intent » Shopping&gt;Office Supplies"/>
        <s v="Online Behavior&gt;United States&gt;Validated Demographic » Gender&gt;Male"/>
        <s v="Online Behavior&gt;United States&gt;The Changing Consumer&gt;Home Cooking"/>
        <s v="Online Behavior&gt;United States&gt;B2B » Occupation&gt;Teacher"/>
        <s v="Online Behavior&gt;United States&gt;Finance » Accounting and Auditing&gt;Bookkeeping"/>
        <s v="OnAudience » Interest » Arts &amp; Entertainment » Fine Art"/>
        <s v="Lotame » Technology » Electronics &amp; Gadgets"/>
        <s v="OnAudience » Intent » Toys &amp; Games"/>
        <s v="Online Behavior&gt;United States&gt;Validated Demographic » Age&gt;25 or older"/>
        <s v="Lotame » Style, Fashion &amp; Clothing » Children's Clothing Shoppers"/>
        <s v="Online Behavior&gt;United States&gt;Validated Demographic » Gender and Age Combined&gt;Males 18-64"/>
        <s v="Online Behavior&gt;United States&gt;Food and Drink&gt;Beverages » Soft Drinks"/>
        <s v="Online Behavior&gt;United States&gt;Validated Demographic » Age&gt;25-34"/>
        <s v="US » Reach » Propensity Models » Finance » Credit » Debit Card » Major Credit Card User"/>
        <s v="Lotame » Technology"/>
        <s v="US » Reach » Propensity Models » Real Estate » Mortgage Amount » $120,000-$159,999"/>
        <s v="Online Behavior&gt;United States&gt;Food and Drink&gt;Restaurants » Fast Food"/>
        <s v="Online Behavior&gt;United States&gt;Validated Demographic » Age&gt;18-54"/>
        <s v="Online Behavior&gt;United States&gt;Travel&gt;Air Travel » Airport Parking and Transportation"/>
        <s v="Online Behavior&gt;United States&gt;Sports&gt;Individual Sports » Track and Field"/>
        <s v="Online Behavior&gt;United States&gt;Sports&gt;Individual Sports » Bowling"/>
        <s v="Online Behavior&gt;United States&gt;Autos and Vehicles » Brands&gt;SEAT"/>
        <s v="Online Behavior&gt;United States&gt;Intent » Services&gt;Photography"/>
        <s v="Online Behavior&gt;United States&gt;Autos and Vehicles » Brands&gt;Acura"/>
        <s v="Online Behavior&gt;United States&gt;The Changing Consumer&gt;Delivery Services and Quick Service Restaurants"/>
        <s v="Online Behavior&gt;United States&gt;Intent » Auto Buyers » Type&gt;Sedan"/>
        <s v="Online Behavior&gt;United States&gt;Finance » Grants, Scholarships and Financial Aid&gt;Study Grants and Scholarships"/>
        <s v="Online Behavior&gt;United States&gt;Arts and Entertainment&gt;Events and Listings » Food and Beverage Events"/>
        <s v="US » Reach » Propensity Models » Hobbies and Interest » Music » Streaming"/>
        <s v="US » B2B » B2B Decision Maker Responsibilities » Computer Software"/>
        <s v="US » Brand Propensities » Health » Beauty and Cosmetics » ULTA Buyer Propensity"/>
        <s v="US » Home and Garden Interests » House and Garden Merchandise Buyers"/>
        <s v="Lotame » Offline CPG Purchasers » Product Segment"/>
        <s v="US » Brand Propensities » Apparel » Bare Necessities Buyer Propensity"/>
        <s v="Mobile - US » Travel » Destination » International Travelers » yes"/>
        <s v="US » Brand Propensities » Media and Entertainment » Sony Network Entertainment International Buyer Propensity"/>
        <s v="Travel and Tourism » Interest (Affinity) » Destinations » Europe"/>
        <s v="Online Behavior&gt;United States&gt;Finance » Financial Planning and Management&gt;Financial Planning and Management"/>
        <s v="Online Behavior&gt;United States&gt;Beauty and Fitness&gt;Fitness"/>
        <s v="Online Behavior&gt;United States&gt;The Changing Consumer&gt;Data For Good » Current Affairs - Social Justice"/>
        <s v="Online Behavior&gt;United States&gt;Sports&gt;Team Sports » Rugby"/>
        <s v="Online Behavior&gt;United States&gt;Beauty and Fitness&gt;Fashion and Style » Fashion Designers and Collections"/>
        <s v="Online Behavior&gt;United States&gt;Beauty and Fitness&gt;Weight Loss"/>
        <s v="Online Behavior&gt;United States&gt;Travel&gt;Travel Agencies and Services"/>
        <s v="Online Behavior&gt;United States&gt;Validated Demographic » Gender and Age Combined&gt;Females 18-64"/>
        <s v="Online Behavior&gt;United States&gt;Travel&gt;Specialty Travel » Agritourism"/>
        <s v="Online Behavior&gt;United States&gt;Validated Demographic » Gender and Age Combined&gt;Females 25-64"/>
        <s v="Online Behavior&gt;United States&gt;The Changing Consumer&gt;Home Entertaining"/>
        <s v="Online Behavior&gt;United States&gt;Validated Demographic » Gender and Age Combined&gt;Females 18-44"/>
        <s v="Online Behavior&gt;United States&gt;Food and Drink&gt;Restaurants"/>
        <s v="Online Behavior&gt;United States&gt;Sports&gt;Winter Sports » Ice Skating"/>
        <s v="US » Reach » Propensity Models » Hobbies and Interest » Sports » PGA Tour Enthusiast"/>
        <s v="US » Sociodemographic » ConneXions Lifestage » M4 Elderly Traditionalists"/>
        <s v="US » Reach » Propensity Models » Hobbies and Interest » Sports » NASCAR Enthusiast"/>
        <s v="Mobile - US » Automotive » Vehicle Ownership » yes"/>
        <s v="US » Brand Propensities » Media and Entertainment » Steam Community Buyer Propensity"/>
        <s v="OnAudience » Interest » Travel"/>
        <s v="US » Brand Propensities » Automotive » Tirerack.com Buyer Propensity"/>
        <s v="Lotame » Style, Fashion &amp; Clothing » Clothing Shoppers"/>
        <s v="Transactional » Q3 Home Entertainers"/>
        <s v="Travel and Tourism » Interest (Affinity) » Products » Hotels and Lodging"/>
        <s v="US » Demographic » Family » Households with 3 Adults"/>
        <s v="Online Behavior&gt;United States&gt;Intent » Shopping&gt;Entertainment"/>
        <s v="Online Behavior&gt;United States&gt;The Changing Consumer&gt;Personal Budgeting"/>
        <s v="Mobile - US » Food » Restaurant » Brand » Moes Southwest Grill"/>
        <s v="Online Behavior&gt;United States&gt;Validated Demographic » Gender and Age Combined&gt;Males 25-54"/>
        <s v="Online Behavior&gt;United States&gt;Travel&gt;Business Travel"/>
        <s v="US Financial » Likely In Market Timing » Not At All Likely to Purchase » Second House/Residence In The Next Year (Financial)"/>
        <s v="Online Behavior&gt;United States&gt;Hobbies and Leisure&gt;Special Occasions » Party Planning"/>
        <s v="Online Behavior&gt;United States&gt;Sports&gt;Individual Sports » Skate Sports"/>
        <s v="US » Reach » Propensity Models » Hobbies and Interest » Sports » NFL Enthusiast"/>
        <s v="Mobile - US » Device Ownership » Tablets » yes"/>
        <s v="US » Health and Wellbeing » Health and Wellbeing"/>
        <s v="US » Brand Propensities » Telecom and Service Providers » Page Plus Cellular Buyer Propensity"/>
        <s v="US » Reach » Propensity Models » Hobbies and Interest » Music » Listens to Pop Music"/>
        <s v="Media and Entertainment » Sports and Recreational Activities » Interest (Affinity) » Team Sports » Soccer (Football)"/>
        <s v="Online Behavior&gt;United States&gt;B2B » Occupation&gt;ElectricalEngineer"/>
        <s v="Online Behavior&gt;United States&gt;Beauty and Fitness&gt;Fashion and Style"/>
        <s v="Online Behavior&gt;United States&gt;Autos and Vehicles » Brands&gt;Honda"/>
        <s v="Online Behavior&gt;United States&gt;Validated Demographic » Age&gt;25-64"/>
        <s v="US » Reach » Propensity Models » Household Consumer Expenditures » Furniture"/>
        <s v="US » Reach » Propensity Models » Hobbies and Interest » Music » Listens to Country Music"/>
        <s v="Online Behavior&gt;United States&gt;Intent » Shopping&gt;Wireless Providers"/>
        <s v="Online Behavior&gt;United States&gt;Hobbies and Leisure&gt;Outdoors » Fishing"/>
        <s v="Online Behavior&gt;United States&gt;Autos and Vehicles » Brands&gt;Volkswagen"/>
        <s v="Online Behavior&gt;United States&gt;Autos and Vehicles » Brands&gt;Jaguar"/>
        <s v="US » Interest Propensities » Celebrities » Celebrity Fan Gossip"/>
        <s v="US » Interest Propensities » Insurance » Humana"/>
        <s v="US » Interest Propensities » Activities and Interests » B2B Job Search"/>
        <s v="Online Behavior&gt;United States&gt;Autos and Vehicles » Brands&gt;Bugatti"/>
        <s v="Media and Entertainment » Gaming » In-Market"/>
        <s v="Media and Entertainment » Events and Attractions"/>
        <s v="Online Behavior&gt;United States&gt;Finance » Banking&gt;Banking"/>
        <s v="Online Behavior&gt;United States&gt;Finance » Credit and Lending&gt;Credit and Lending"/>
        <s v="Online Behavior&gt;United States&gt;Finance » Investing&gt;Investing"/>
        <s v="Online Behavior&gt;United States&gt;Beauty and Fitness&gt;Hair Care"/>
        <s v="Online Behavior&gt;United States&gt;Life Event&gt;College Graduation"/>
        <s v="Online Behavior&gt;United States&gt;The Changing Consumer&gt;Happy at Home"/>
        <s v="Online Behavior&gt;United States&gt;Sports&gt;Team Sports » American Football"/>
        <s v="Online Behavior&gt;United States&gt;Autos and Vehicles&gt;Electric and Plug-In Vehicles"/>
        <s v="Online Behavior&gt;United States&gt;Intent » Shopping&gt;Home and Garden"/>
        <s v="Online Behavior&gt;United States&gt;Intent » Auto Buyers » Type&gt;Truck"/>
        <s v="Online Behavior&gt;United States&gt;Intent » Shopping&gt;Consumer Electronics » Televisions/TVs"/>
        <s v="Online Behavior&gt;United States&gt;Intent » Services&gt;Arts and Entertainment"/>
        <s v="Online Behavior&gt;United States&gt;Sports&gt;Individual Sports » Cycling"/>
        <s v="Online Behavior&gt;United States&gt;Autos and Vehicles » Brands&gt;Porsche"/>
        <s v="Online Behavior&gt;United States&gt;Beauty and Fitness&gt;Spas and Beauty Services » Massage Therapy"/>
        <s v="Online Behavior&gt;United States&gt;Arts and Entertainment&gt;TV and Video"/>
        <s v="Online Behavior&gt;United States&gt;Autos and Vehicles » Brands&gt;Mitsubishi"/>
        <s v="Online Behavior&gt;United States&gt;Autos and Vehicles » Brands&gt;GM-Daewoo"/>
        <s v="US » Demo » Age » 65+"/>
        <s v="US » Sociodemographic » P$YCLE Premier Lifestage » Y3 Fiscal Fledglings"/>
        <s v="OnAudience » Interest » News &amp; Magazines"/>
        <s v="US » Brand Propensities » Electronics » RadioShack Buyer Propensity"/>
        <s v="US » Interest Propensities » Activities and Interests » College Life"/>
        <s v="Lotame » Social Media"/>
        <s v="US » Reach » Propensity Models » Hobbies and Interest » Pets » Pet Enthusiast"/>
        <s v="US » Financially in Charge » Performance Score: Top 25%"/>
        <s v="OnAudience » Intent » Travel"/>
        <s v="Media and Entertainment » Sports and Recreational Activities » Interest (Affinity) » Team Sports » Football (American)"/>
        <s v="US Financial » Likely Bank Account and Services » Saving Account » Personal or Join (Financial)"/>
        <s v="Online Behavior&gt;United States&gt;B2B » Occupation&gt;SupplyChainManager"/>
        <s v="Online Behavior&gt;United States&gt;People and Society&gt;Family and Relationships » Moms"/>
        <s v="Online Behavior&gt;United States&gt;Arts and Entertainment&gt;Events and Listings » Live Sporting Events"/>
        <s v="Online Behavior&gt;United States&gt;Intent » Financial Intent&gt;Banking"/>
        <s v="Online Behavior&gt;United States&gt;Finance » Insurance&gt;Health Insurance"/>
        <s v="Media and Entertainment » Sports and Recreational Activities » Interest (Affinity) » Olympics"/>
        <s v="US » Brand Propensities » Kids Products » Disney Buyer Propensity"/>
        <s v="Online Behavior&gt;United States&gt;Arts and Entertainment&gt;Arts and Entertainment"/>
        <s v="Online Behavior&gt;United States&gt;Validated Demographic » Gender and Age Combined&gt;Males 18-34"/>
        <s v="Online Behavior&gt;United States&gt;Finance » Investing&gt;Commodities and Futures Trading"/>
        <s v="Online Behavior&gt;United States&gt;Autos and Vehicles&gt;Vehicle Shopping » Fuel Economy and Gas Prices"/>
        <s v="Online Behavior&gt;United States&gt;Travel&gt;Travel Agencies and Services » Tourist Boards and Visitor Centers"/>
        <s v="Online Behavior&gt;United States&gt;Beauty and Fitness&gt;Fitness » Home Exercise"/>
        <s v="Media and Entertainment » News and Current Events"/>
        <s v="US » Interest Propensities » Activities and Interests » National News"/>
        <s v="US » Interest Propensities » TV and Movies » Reality » Game Shows"/>
        <s v="Online Behavior&gt;United States&gt;Hobbies and Leisure&gt;Crafts"/>
        <s v="Online Behavior&gt;United States&gt;Life Event&gt;Wedding Planning"/>
        <s v="Online Behavior&gt;United States&gt;Validated Demographic » Gender and Age Combined&gt;Females 55-64"/>
        <s v="Online Behavior&gt;United States&gt;Home and Garden&gt;Home Appliances"/>
        <s v="OnAudience » Interest » Shopping"/>
        <s v="Media and Entertainment » Sports and Recreational Activities » Interest (Affinity) » Team Sports » Baseball"/>
        <s v="Media and Entertainment » News and Current Events » Online News Websites"/>
        <s v="Online Behavior&gt;United States&gt;Finance » Investing&gt;Brokerages and Day Trading"/>
        <s v="US » Reach » Propensity Models » Luxury Store Shoppers"/>
        <s v="Online Behavior&gt;United States&gt;Intent » Auto Buyers » Car Make&gt;Honda"/>
        <s v="Media and Entertainment » Sports and Recreational Activities » Interest (Affinity) » Combat Sports"/>
        <s v="US » Reach » Propensity Models » Travel » High Frequency Travel » Foreign Vacationer"/>
        <s v="Online Behavior&gt;United States&gt;Intent » Auto Buyers » Car Make&gt;Vauxhall"/>
        <s v="Online Behavior&gt;United States&gt;Intent » Travel&gt;Flights"/>
        <s v="Online Behavior&gt;United States&gt;Home and Garden&gt;Home Furnishings"/>
        <s v="Tech Enthusiasts"/>
        <s v="US Interest » Computers"/>
        <s v="US » Brand Propensities » Health » Beauty and Cosmetics » Beachbody Buyer Propensity"/>
        <s v="Media and Entertainment » Audio and Video Streaming » Streaming Video » Interest (Affinity)"/>
        <s v="US » Interest Propensities » Insurance » New York Life"/>
        <s v="OnAudience » Interest » Science » Weather"/>
        <s v="Mobile - US » Demographics » Finance » Rent Value » Highest Rent Value"/>
        <s v="US » AUTO » Primary Vehicle » Owned or Leased » Company Car"/>
        <s v="Online Behavior&gt;United States&gt;Finance » Credit and Lending&gt;Credit Cards"/>
        <s v="Online Behavior&gt;United States&gt;The Changing Consumer&gt;Trending TV Shows"/>
        <s v="Online Behavior&gt;United States&gt;Travel&gt;Hotels and Accommodations"/>
        <s v="Online Behavior&gt;United States&gt;Intent » Shopping&gt;Fashion"/>
        <s v="Online Behavior&gt;United States&gt;The Changing Consumer&gt;Natural Disasters"/>
        <s v="Online Behavior&gt;United States&gt;Validated Demographic » Gender and Age Combined&gt;Females 25-44"/>
        <s v="OnAudience » Interest » News"/>
        <s v="US » Reach » Propensity Models » Online » Home Office"/>
        <s v="US » Brand Propensities » Apparel » TOMS Buyer Propensity"/>
        <s v="Mobile - US » Financial Services » Digital Payments » Chase Pay"/>
        <s v="Transactional » Q3 Casual Dining Restaurant Goers"/>
        <s v="Media and Entertainment » Sports and Recreational Activities » Interest (Affinity) » Olympics » Winter Olympics"/>
        <s v="Mobile - US » Demographics » Finance » Rent Value » Lowest Rent Value"/>
        <s v="US » Brand Propensities » Big Box Dollar Tree Buyer Propensity"/>
        <s v="Mobile - US » Food » Restaurant » Brand » Chilis"/>
        <s v="Online Behavior&gt;United States&gt;Finance » Accounting and Auditing&gt;Tax Preparation and Planning"/>
        <s v="Online Behavior&gt;United States&gt;Beauty and Fitness&gt;Fitness » Bodybuilding"/>
        <s v="Online Behavior&gt;United States&gt;Autos and Vehicles&gt;Vehicle Parts and Accessories"/>
        <s v="US » Brand Propensities » Food and Drug » Postmates Buyer Propensity"/>
        <s v="Online Behavior&gt;United States&gt;Online Communities&gt;Online Goodies"/>
        <s v="Online Behavior&gt;United States&gt;Jobs and Education&gt;Jobs"/>
        <s v="Online Behavior&gt;United States&gt;Intent » Auto Buyers » Category&gt;Sport Cars"/>
        <s v="US » Reach » Propensity Models » Hobbies and Interest » Cultural Arts"/>
        <s v="US » B2B » B2B Decision Maker Responsibilities » Internet Services"/>
        <s v="Mobile - US » Device Ownership » Smartphones » iOS (Apple) » yes"/>
        <s v="US » B2B » Purchase DM » Technology Services, Hardware and » or Software » I am the sole decision maker"/>
        <s v="OnAudience » Interest » Education"/>
        <s v="OnAudience » Intent » Software"/>
        <s v="Online Behavior&gt;United States&gt;Home and Garden&gt;Kitchen and Dining"/>
        <s v="US » Reach » Propensity Models » Hobbies and Interest » Food and Drinks » Eats at Family Restaurants"/>
        <s v="OnAudience » Intent » Baby &amp; Toddler » Baby Toys"/>
        <s v="Media and Entertainment » Television (TV)"/>
        <s v="Online Behavior&gt;United States&gt;Intent » Auto Buyers » Category&gt;Caravan"/>
        <s v="US » Reach » Propensity Models » Hobbies and Interest » Sports » Hunting Enthusiasts"/>
        <s v="Online Behavior&gt;United States&gt;The Changing Consumer&gt;CPG"/>
        <s v="Online Behavior&gt;United States&gt;Internet and Telecom&gt;Web Apps and Online Tools"/>
        <s v="Online Behavior&gt;United States&gt;News&gt;Local News"/>
        <s v="Online Behavior&gt;United States&gt;Intent » Auto Buyers » Car Make&gt;Mercedes"/>
        <s v="Online Behavior&gt;United States&gt;Sports&gt;Individual Sports » Golf"/>
        <s v="Online Behavior&gt;United States&gt;Food and Drink&gt;Beverages » Juice"/>
        <s v="Online Behavior&gt;United States&gt;Autos and Vehicles » Brands&gt;Isuzu"/>
        <s v="Online Behavior&gt;United States&gt;Internet and Telecom&gt;Web Services"/>
        <s v="Online Behavior&gt;United States&gt;Validated Demographic » Gender and Age Combined&gt;Males 18-44"/>
        <s v="Online Behavior&gt;United States&gt;B2B » Occupation&gt;ComputerProgrammer"/>
        <s v="US » Reach » Propensity Models » Lifestyle » Healthy Living"/>
        <s v="US » Reach » Propensity Models » Hobbies and Interest » Sports » NHL Enthusiast"/>
        <s v="US » Reach » Propensity Models » Hobbies and Interest » Sports » Fishing"/>
        <s v="US » Interest Propensities » Food and Drink » American Cuisine"/>
        <s v="US » Reach » Propensity Models » Finance » Credit » Debit Card » Store Credit Card User"/>
        <s v="US » Brand Propensities » Apparel » Shoebuy.com Buyer Propensity"/>
        <s v="Travel and Tourism » In-Market"/>
        <s v="US » Interest Propensities » TV and Movies » Network TV"/>
        <s v="US » Sociodemographic » P$YCLE Premier Lifestage » F4 Working-Class USA"/>
        <s v="US » B2B » B2B Decision Maker Responsibilities » Office Services or Moving"/>
        <s v="Telecommunications and Mobile Tech » Mobile Devices and Connected Technology"/>
        <s v="US Home » Property Type » Single"/>
        <s v="US Health and Fitness » Interest » Exercise » Health"/>
        <s v="OnAudience » Interest » Arts &amp; Entertainment » Movies"/>
        <s v="OnAudience » Interest » Arts &amp; Entertainment"/>
        <s v="Online Behavior&gt;United States&gt;Validated Demographic » Age&gt;18 or older"/>
        <s v="US » Multibuyer Behaviors » Entertainment » Pastimes Multibuyer"/>
        <s v="US » Sociodemographic » PRIZM Premier Social » C2 City Centers"/>
        <s v="Lotame » Personal Finance » Stocks"/>
        <s v="Online Behavior&gt;United States&gt;Autos and Vehicles » Brands&gt;Citroen"/>
        <s v="OnAudience » Intent » Electronics » Video Game Consoles"/>
        <s v="Online Behavior&gt;United States&gt;Sports&gt;Team Sports » Baseball"/>
        <s v="Online Behavior&gt;United States&gt;Beauty and Fitness&gt;Fitness » Gyms and Health Clubs"/>
        <s v="US » Reach » Propensity Models » Hobbies and Interest » Sports » Plays Tennis"/>
        <s v="Lotame » Style, Fashion &amp; Clothing"/>
        <s v="Online Behavior&gt;United States&gt;Intent » Travel&gt;Graduation Trip"/>
        <s v="Lotame » Online Shoppers » Online Shoppers"/>
        <s v="US » Reach » Propensity Models » Young Adult Clothing Shoppers"/>
        <s v="Purchase-Based"/>
        <s v="US » Reach » Propensity Models » Online » Electronics and Gadgets"/>
        <s v="US » Interest Propensities » Music » Classic Rock"/>
        <s v="OnAudience » Interest » Social life"/>
        <s v="US Travel » Likely Business Travel » Number of Nights Stayed » 0 Nights"/>
        <s v="US »Price-Driven Traditionalist Audience"/>
        <s v="Online Behavior&gt;United States&gt;Intent » Travel&gt;Luxury Travel"/>
        <s v="Media and Entertainment » Television (TV) » Viewership » TV Genres » Drama"/>
        <s v="US » Sociodemographic » ConneXions Lifestage » Y2 Emerging Techies"/>
        <s v="US » Automotive » Auto Loyalists and Defectors » Auto Make Defectors"/>
        <s v="Online Behavior&gt;United States&gt;Online Communities&gt;Blogging Resources and Services"/>
        <s v="US » Brand Propensities » Electronics » Crutchfield Buyer Propensity"/>
        <s v="Online Behavior&gt;United States&gt;Intent » Auto Buyers » Car Make&gt;Subaru"/>
        <s v="Online Behavior&gt;United States&gt;Finance » Grants, Scholarships and Financial Aid&gt;Government Grants"/>
        <s v="Online Behavior&gt;United States&gt;Autos and Vehicles » Brands&gt;Mini"/>
        <s v="Online Behavior&gt;United States&gt;Autos and Vehicles » Brands&gt;Buick"/>
        <s v="US Financial » Likely In Market Timing » Not At All Likely to Purchase » First Home/Residence In The Next Year (Financial)"/>
        <s v="Transactional » Q3 Gardening Shoppers"/>
        <s v="Online Behavior&gt;United States&gt;Travel&gt;Tourist Destinations » Historical Sites and Buildings"/>
        <s v="Online Behavior&gt;United States&gt;The Changing Consumer&gt;Telehealth"/>
        <s v="Online Behavior&gt;United States&gt;Travel&gt;Carpooling and Vehicle Sharing"/>
        <s v="Online Behavior&gt;United States&gt;Law and Government&gt;Government"/>
        <s v="US » B2B » B2B Decision Maker Responsibilities » Security Services"/>
        <s v="OnAudience » Intent"/>
        <s v="US Financial » Likely Credit Card » Behavior » Used for Personal Purposes"/>
        <s v="US » Demographic » Family » Male Head of Household"/>
        <s v="US » Reach » Propensity Models » Lifestyle » Charities » Contributes by Volunteering"/>
        <s v="OnAudience » Interest » Pets"/>
        <s v="OnAudience » Interest » Technology &amp; Computing » Email"/>
        <s v="Online Behavior&gt;United States&gt;Autos and Vehicles » Brands&gt;Lexus"/>
        <s v="Online Behavior&gt;United States&gt;The Changing Consumer&gt;Streaming Services"/>
        <s v="Online Behavior&gt;United States&gt;Autos and Vehicles » Brands&gt;Pontiac"/>
        <s v="Online Behavior&gt;United States&gt;Home and Garden&gt;Bed and Bath"/>
        <s v="Media and Entertainment » Connected TV and Over-the-Top (CTV and OTT)"/>
        <s v="US » B2B » B2B Decision Maker Responsibilities » Television providers » services"/>
        <s v="US » B2B » Purchase DM » Technology Services, Hardware and » or Software » I make the final decision with input from staff » management"/>
        <s v="Online Behavior&gt;United States&gt;Intent » Auto Buyers » Category&gt;Van"/>
        <s v="Online Behavior&gt;United States&gt;B2B » Occupation&gt;Broker"/>
        <s v="Online Behavior&gt;United States&gt;The Changing Consumer&gt;DIY"/>
        <s v="US » Reach » Propensity Models » Hobbies and Interest » Sports » Canoeing » Kayaking"/>
        <s v="Online Behavior&gt;United States&gt;Autos and Vehicles » Brands&gt;Nissan"/>
        <s v="Online Behavior&gt;United States&gt;Finance » Banking&gt;Debit and Checking Services"/>
        <s v="OnAudience » Interest » Society"/>
        <s v="Online Behavior&gt;United States&gt;Autos and Vehicles » Brands&gt;Fiat"/>
        <s v="Mobile - US » Automotive » Repair &amp; Oil Change » Intend"/>
        <s v="US » Home Renovation » Home Renovators"/>
        <s v="Online Behavior&gt;United States&gt;News&gt;Politics"/>
        <s v="Online Behavior&gt;United States&gt;Life Event&gt;Job Search"/>
        <s v="Online Behavior&gt;United States&gt;Food and Drink&gt;Restaurants » Fine Dining"/>
        <s v="US » Brand Propensities » Apparel » Lady Foot Locker Buyer Propensity"/>
        <s v="US » Demographic » Household Income $50k+"/>
        <s v="Mobile - US » Food » Restaurant » Brand » Red Lobster"/>
        <s v="US » B2B » B2B Decision Maker Responsibilities » Print, Copy or Photo Services"/>
        <s v="Online Behavior&gt;United States&gt;Beauty and Fitness&gt;Face and Body Care » Hygiene and Toiletries"/>
        <s v="Online Behavior&gt;United States&gt;Finance » Banking&gt;Savings Accounts"/>
        <s v="Online Behavior&gt;United States&gt;Validated Demographic » Gender and Age Combined&gt;Males 25-64"/>
        <s v="Mobile - US » Gamers » Online » Users"/>
        <s v="US » Interest Propensities » Activities and Interests » Buying and Selling Homes » Real Estate"/>
        <s v="OnAudience » Interest » Shopping » Luxurious Brands"/>
        <s v="Online Behavior&gt;United States&gt;Validated Demographic » Gender and Age Combined&gt;Males 55-64"/>
        <s v="Restaurants"/>
        <s v="OnAudience » Interest » Hobbies &amp; Interests » Art"/>
        <s v="Online Behavior&gt;United States&gt;Autos and Vehicles » Brands&gt;Peugeot"/>
        <s v="OnAudience » Interest"/>
        <s v="Real Estate » Property Type&gt; Residential"/>
        <s v="Media Source » LBDigital » Open For Business B2B"/>
        <s v="Online Behavior&gt;United States&gt;Life Event&gt;Home Buying"/>
        <s v="OnAudience » Intent » Baby &amp; Toddler"/>
        <s v="Online Behavior&gt;United States&gt;Beauty and Fitness&gt;Fitness » Fitness Equipment and Accessories"/>
        <s v="US Buying Channel Preference » Online"/>
        <s v="Online Behavior&gt;United States&gt;Validated Demographic » Age&gt;65 or older"/>
        <s v="US »Made In America Audience"/>
        <s v="Online Behavior&gt;United States&gt;Intent » Shopping&gt;Drug Stores » Walgreens"/>
        <s v="Online Behavior&gt;United States&gt;Validated Demographic » Gender and Age Combined&gt;Males 25 or older"/>
        <s v="Online Behavior&gt;United States&gt;Intent » Auto Buyers » Type&gt;Crossover"/>
        <s v="Online Behavior&gt;United States&gt;Intent » Auto Buyers » Car Make&gt;Peugeot"/>
        <s v="Purchase Behaviors » Q2 Spring Cleaners"/>
        <s v="Mobile - US » Automotive » Vehicle Ownership » Brand » BMW"/>
        <s v="Mobile - US » Food » Restaurant » Brand » Krispy Kreme"/>
        <s v="Online Behavior&gt;United States&gt;Arts and Entertainment&gt;Events and Listings » Concerts and Music Festivals"/>
        <s v="Online Behavior&gt;United States&gt;Home and Garden&gt;Yard and Patio"/>
        <s v="US » Sociodemographic » PRIZM Premier Lifestage » F2 Young Accumulators"/>
        <s v="OnAudience » Interest » Food &amp; Drink"/>
        <s v="US » Brand Propensities » Travel » MGM Resorts International Buyer Propensity"/>
        <s v="Online Behavior&gt;United States&gt;Law and Government&gt;Legal"/>
        <s v="Online Behavior&gt;United States&gt;Sports&gt;College Sports"/>
        <s v="Online Behavior&gt;United States&gt;B2B » Occupation&gt;Entrepreneur"/>
        <s v="Online Behavior&gt;United States&gt;Food and Drink&gt;Cooking and Recipes"/>
        <s v="Online Behavior&gt;United States&gt;Online Communities&gt;Dating and Personals"/>
        <s v="Online Behavior&gt;United States&gt;Intent » Shopping&gt;CPG� Home Care"/>
        <s v="Online Behavior&gt;United States&gt;Intent » Financial Intent&gt;Insurance » Auto"/>
        <s v="Online Behavior&gt;United States&gt;Intent » Auto Buyers » Car Make&gt;Jeep"/>
        <s v="Online Behavior&gt;United States&gt;Travel&gt;Specialty Travel"/>
        <s v="Online Behavior&gt;United States&gt;Hobbies and Leisure&gt;Clubs and Organizations"/>
        <s v="Online Behavior&gt;United States&gt;Autos and Vehicles » Brands&gt;Kia"/>
        <s v="Online Behavior&gt;United States&gt;Internet and Telecom&gt;Search Engines"/>
        <s v="Online Behavior&gt;United States&gt;Internet and Telecom&gt;Web Portals"/>
        <s v="Online Behavior&gt;United States&gt;Validated Demographic » Age&gt;25-54"/>
        <s v="Online Behavior&gt;United States&gt;Hobbies and Leisure&gt;Water Activities"/>
        <s v="Online Behavior&gt;United States&gt;Finance » Insurance&gt;Travel Insurance"/>
        <s v="Online Behavior&gt;United States&gt;Intent » Services&gt;Restaurants"/>
        <s v="Online Behavior&gt;United States&gt;Intent » Travel&gt;Future Travel"/>
        <s v="Online Behavior&gt;United States&gt;Intent » Shopping&gt;CPG� Cosmetics"/>
        <s v="Online Behavior&gt;United States&gt;Travel&gt;Travel Guides and Travelogues"/>
        <s v="Online Behavior&gt;United States&gt;The Changing Consumer&gt;Pet Adoption"/>
        <s v="Media and Entertainment"/>
        <s v="Retail"/>
        <s v="US » Reach » Propensity Models » Hobbies and Interest » Sports » Boating"/>
        <s v="US » Financially in Charge » Performance Score: Top 50%"/>
        <s v="US » Reach » Propensity Models » Online » Pets"/>
        <s v="US » Interest Propensities » Insurance » Lincoln Heritage"/>
        <s v="Real Estate » Lot Size » Cozy Outdoor Living Space (Less than  an Acre)"/>
        <s v="US Demographic » Age » Specialty Age Range » 21+"/>
        <s v="US Mail Order Buyer"/>
        <s v="US » Brand Propensities » Big Box Dollar General Buyer Propensity"/>
        <s v="OnAudience » Interest » News » International News"/>
        <s v="Mobile Audience » Lifestyle » Arts Enthusiasts"/>
        <s v="US » Interest Propensities » Music » Hip Hop and Rap"/>
        <s v="Lotame » Travel » Thanksgiving Travel"/>
        <s v="US » Sociodemographic » ConneXions Lifestage » F2 Suburban Spenders"/>
        <s v="Travel and Tourism » Interest (Affinity) » Destinations » Africa"/>
        <s v="Purchase-Based » Categories » Office Supplies Buyers"/>
        <s v="Online Behavior&gt;United States&gt;Sports&gt;Extreme Sports"/>
        <s v="US Financial » Likely Attitude and Behavior » Completely Disagree » When I Find A Financial Product/Service I Like I Typically Recommend It To People I Know (Financial)"/>
        <s v="Online Behavior&gt;United States&gt;Intent » Auto Buyers&gt;New"/>
        <s v="Online Behavior&gt;United States&gt;The Changing Consumer&gt;Home Learning"/>
        <s v="Online Behavior&gt;United States&gt;B2B » Occupation&gt;PropertyManager"/>
        <s v="US » Entertainment and Pastimes » Entertainment and Pastimes"/>
        <s v="Travel"/>
        <s v="US » AUTO » Auto Car Purchase Next Year » Yes"/>
        <s v="US Financial » Method of Payment » Other"/>
        <s v="Online Behavior&gt;United States&gt;Arts and Entertainment&gt;Events and Listings » Event Ticket Sales"/>
        <s v="Online Behavior&gt;United States&gt;Intent » Travel&gt;Travel"/>
        <s v="US »Quality-First Shopper Audience"/>
        <s v="US Demographic » Preferred Language » Non-Hispanic"/>
        <s v="Online Behavior&gt;United States&gt;News&gt;Weather"/>
        <s v="Mobile - US » Sports » Basketball » NCAA College Basketball"/>
        <s v="Media and Entertainment » Television (TV) » Viewership"/>
        <s v="Online Behavior&gt;United States&gt;Intent » Shopping&gt;Home Improvement"/>
        <s v="US » Interest Propensities » Activities and Interests » Ecommerce"/>
        <s v="Online Behavior&gt;United States&gt;Autos and Vehicles » Brands&gt;Vauxhall-Opel"/>
        <s v="Media and Entertainment » Movies » Enthusiasts"/>
        <s v="OnAudience » Interest » Technology &amp; Computing"/>
        <s v="Media and Entertainment » Audio and Video Streaming » Streaming Video"/>
        <s v="Online Behavior&gt;United States&gt;Intent » Travel&gt;Budget Travel"/>
        <s v="Online Behavior&gt;United States&gt;Beauty and Fitness&gt;Spas and Beauty Services"/>
        <s v="Online Behavior&gt;United States&gt;Finance » Accounting and Auditing&gt;Accounting and Auditing"/>
        <s v="Online Behavior&gt;United States&gt;Life Event&gt;University Graduation"/>
        <s v="Online Behavior&gt;United States&gt;Life Event&gt;College Applications"/>
        <s v="Online Behavior&gt;United States&gt;Games&gt;Arcade and Coin-Op Games"/>
        <s v="Online Behavior&gt;United States&gt;Life Event&gt;Movers"/>
        <s v="Online Behavior&gt;United States&gt;Intent » Services&gt;Pets"/>
        <s v="Online Behavior&gt;United States&gt;Hobbies and Leisure&gt;Special Occasions » Holidays and Seasonal Events"/>
        <s v="Online Behavior&gt;United States&gt;The Changing Consumer&gt;Virtual Events"/>
        <s v="Online Behavior&gt;United States&gt;Beauty and Fitness&gt;Beauty Pageants"/>
        <s v="Online Behavior&gt;United States&gt;Autos and Vehicles » Brands&gt;Aston Martin"/>
        <s v="US » Reach » Propensity Models » Hobbies and Interest » Books » E-Book Reader"/>
        <s v="US » AUTO » Decision Maker for Auto Purchase » I was the sole decision-maker"/>
        <s v="US » B2B » B2B Decision Maker Responsibilities » Purchasing Vehicles or Automobile Services"/>
        <s v="Media and Entertainment » Audio and Video Streaming » Streaming Video » Interest (Affinity) » Streaming Services"/>
        <s v="Mobile - US » Demographics » Education » High Education Achievement"/>
        <s v="Media and Entertainment » Sports and Recreational Activities » Interest (Affinity) » Individual Sports"/>
        <s v="US » Interest Propensities » TV and Movies » Drama"/>
        <s v="US » Interest Propensities » Insurance » Transamerica"/>
        <s v="Media &amp; Entertainment"/>
        <s v="US » Brand Propensities » Apparel » The Men's Wearhouse Buyer Propensity"/>
        <s v="Travel and Tourism » Interest (Affinity) » Products » Air Travel"/>
        <s v="OnAudience » Interest » Technology &amp; Computing » Entertainment"/>
        <s v="US » Brand Propensities » Restaurants and Dining » Seamless Buyer Propensity"/>
        <s v="Mobile - US » Sports » Motor Sports » NASCAR"/>
        <s v="US » Reach » Propensity Models » Hobbies and Interest » Food and Drinks » Coffee Connoisseurs"/>
        <s v="US » Demographic » Family » Households with 2 Adults"/>
        <s v="US » Interest Propensities » Brands » Big Box Retail"/>
        <s v="Travel and Tourism » Interest (Affinity)"/>
        <s v="US » Brand Propensities » Media and Entertainment » pokerstars.net Buyer Propensity"/>
        <s v="Online Behavior&gt;United States&gt;Intent » Shopping&gt;Pet Food » Dog"/>
        <s v="Online Behavior&gt;United States&gt;B2B » Occupation&gt;Architect"/>
        <s v="Online Behavior&gt;United States&gt;Validated Demographic » Gender&gt;Female"/>
        <s v="Online Behavior&gt;United States&gt;Beauty and Fitness&gt;Face and Body Care » Make-Up and Cosmetics"/>
        <s v="US » Multibuyer Behaviors » Club » Continuity Buyers"/>
        <s v="Online Behavior&gt;United States&gt;Travel&gt;Tourist Destinations » Theme Parks"/>
        <s v="Online Behavior&gt;United States&gt;Food and Drink&gt;Beverages » Beer"/>
        <s v="Online Behavior&gt;United States&gt;Arts and Entertainment&gt;Events and Listings » Expos and Conventions"/>
        <s v="US » Reach » Sociodemographic » Household Income » $50,000-$74,999"/>
        <s v="US » Brand Propensities » Automotive » Ford Credit Buyer Propensity"/>
        <s v="US Technology » Social Media » Likely Behavior » Heavy Facebook User"/>
        <s v="US » B2B » B2B Decision Maker Responsibilities » Real Estate Services"/>
        <s v="Transactional » Q3 Fashion Shoppers"/>
        <s v="Lotame » Style, Fashion &amp; Clothing » Men's Clothing Shoppers"/>
        <m/>
      </sharedItems>
    </cacheField>
    <cacheField name="Creative Size" numFmtId="0">
      <sharedItems containsBlank="1">
        <s v="300x250"/>
        <s v="320x50"/>
        <s v="300x50"/>
        <m/>
      </sharedItems>
    </cacheField>
    <cacheField name="Creative Messaging" numFmtId="0">
      <sharedItems containsBlank="1">
        <s v="Subscribe Today - 10% Discount"/>
        <s v="Sign up Today - 10% Off"/>
        <s v="Sign up Now - 10% Off"/>
        <s v="10% Discount - Ends 6/1"/>
        <m/>
      </sharedItems>
    </cacheField>
    <cacheField name="Location" numFmtId="0">
      <sharedItems containsBlank="1">
        <s v="Los Angeles, California"/>
        <s v="Orlando-Daytona Beach, Florida"/>
        <s v="San Francisco, California"/>
        <s v="Grand Rapids-Kalamazoo, Michigan"/>
        <s v="Chicago, Illinois"/>
        <s v="Nashville, Tennessee"/>
        <s v="Champaign &amp; Springfield-Decatur,Illinois"/>
        <s v="Ft. Myers-Naples, Florida"/>
        <s v="Miami-Ft. Lauderdale, Florida"/>
        <s v="Tampa-St Petersburg (Sarasota), Florida"/>
        <s v="New York City, New York"/>
        <s v="Jacksonville, Florida"/>
        <s v="West Palm Beach-Ft. Pierce, Florida"/>
        <s v="Augusta, Georgia"/>
        <s v="Birmingham, Alabama"/>
        <s v="Flint-Saginaw-Bay City, Michigan"/>
        <s v="Tallahassee, Florida-Thomasville, Georgia"/>
        <s v="Tri-Cities, Tennessee-Virginia"/>
        <s v="South Bend-Elkhart, Indiana"/>
        <s v="Rockford, Illinois"/>
        <s v="Knoxville, Tennessee"/>
        <s v="Mobile, Alabama-Pensacola, Florida"/>
        <s v="Huntsville-Decatur (Florence), Alabama"/>
        <s v="Memphis, Tennessee"/>
        <s v="Lansing, Michigan"/>
        <s v="Charleston, South Carolina"/>
        <s v="Chattanooga, Tennessee"/>
        <s v="Ft. Wayne, Indiana"/>
        <s v="Savannah, Georgia"/>
        <s v="Peoria-Bloomington, Illinois"/>
        <s v="Lafayette, Indiana"/>
        <s v="Jackson, Mississippi"/>
        <s v="Panama City, Florida"/>
        <s v="Toledo, Ohio"/>
        <s v="Louisville, Kentucky"/>
        <s v="Shreveport, Louisiana"/>
        <s v="Hattiesburg-Laurel, Mississippi"/>
        <s v="Little Rock-Pine Bluff, Arkansas"/>
        <s v="Cincinnati, Ohio"/>
        <m/>
      </sharedItems>
    </cacheField>
    <cacheField name="App/URL" numFmtId="0">
      <sharedItems containsBlank="1">
        <s v="abcnews.go.com"/>
        <s v="accuweather.com"/>
        <s v="activebeat.com"/>
        <s v="ajc.com"/>
        <s v="al.com"/>
        <s v="allrecipes.com"/>
        <s v="alotfinance.com"/>
        <s v="androidauthority.com"/>
        <s v="androidpolice.com"/>
        <s v="aol.com"/>
        <s v="apnews.com"/>
        <s v="att.yahoo.com"/>
        <s v="autotrader.com"/>
        <s v="a-z-animals.com"/>
        <s v="baseball.fantasysports.yahoo.com"/>
        <s v="baseball-reference.com"/>
        <s v="bbc.com"/>
        <s v="behindthevoiceactors.com"/>
        <s v="bestbuy.com"/>
        <s v="biblegateway.com"/>
        <s v="biblestudytools.com"/>
        <s v="billboard.com"/>
        <s v="bleacherbreaker.com"/>
        <s v="boattrader.com"/>
        <s v="boxrox.com"/>
        <s v="bridesblush.com"/>
        <s v="britannica.com"/>
        <s v="businessinsider.com"/>
        <s v="buzzfeed.com"/>
        <s v="calculator.net"/>
        <s v="cargurus.com"/>
        <s v="cars.com"/>
        <s v="carscoops.com"/>
        <s v="cbsnews.com"/>
        <s v="cbssports.com"/>
        <s v="cheapoair.com"/>
        <s v="cheezburger.com"/>
        <s v="chicagotribune.com"/>
        <s v="chocolatecoveredkatie.com"/>
        <s v="citationmachine.net"/>
        <s v="classmates.com"/>
        <s v="clutchpoints.com"/>
        <s v="cnbc.com"/>
        <s v="cnet.com"/>
        <s v="cnn.com"/>
        <s v="commercialappeal.com"/>
        <s v="culinaryhill.com"/>
        <s v="culturess.com"/>
        <s v="dafont.com"/>
        <s v="dailybee.com"/>
        <s v="daily-choices.com"/>
        <s v="dailydot.com"/>
        <s v="dailyhodl.com"/>
        <s v="dailymail.co.uk/news"/>
        <s v="dailymail.co.uk/tvshowbiz"/>
        <s v="dexerto.com"/>
        <s v="dictionary.com"/>
        <s v="dinneratthezoo.com"/>
        <s v="dmv.org"/>
        <s v="doctoreport.com"/>
        <s v="doodle.com"/>
        <s v="dotesports.com"/>
        <s v="drugs.com"/>
        <s v="ebay.com"/>
        <s v="editorsnation.com"/>
        <s v="eenadu.net"/>
        <s v="eonline.com"/>
        <s v="espn.com"/>
        <s v="essentiallysports.com"/>
        <s v="evite.com"/>
        <s v="ew.com"/>
        <s v="factable.com"/>
        <s v="factinate.com"/>
        <s v="fandom.com"/>
        <s v="fandomwire.com"/>
        <s v="femanin.com"/>
        <s v="finance.yahoo.com"/>
        <s v="findagrave.com"/>
        <s v="finviz.com"/>
        <s v="firstcoastnews.com"/>
        <s v="flightaware.com"/>
        <s v="forbes.com"/>
        <s v="fortune.com"/>
        <s v="fox59.com"/>
        <s v="foxbusiness.com"/>
        <s v="foxnews.com"/>
        <s v="funnyand.com"/>
        <s v="gameofglam.com"/>
        <s v="gamerant.com"/>
        <s v="gamespot.com"/>
        <s v="gamingbible.com"/>
        <s v="geeksforgeeks.org"/>
        <s v="greatschools.org"/>
        <s v="greedyfinance.com"/>
        <s v="health.usnews.com"/>
        <s v="healthline.com"/>
        <s v="healthyrecipesblogs.com"/>
        <s v="heraldweekly.com"/>
        <s v="hindustantimes.com"/>
        <s v="historyallday.com"/>
        <s v="historycollection.com"/>
        <s v="homeaddict.io"/>
        <s v="homehacks.co"/>
        <s v="houseplans.net"/>
        <s v="icy-veins.com"/>
        <s v="iflscience.com"/>
        <s v="ign.com"/>
        <s v="insider.com"/>
        <s v="insidethemagic.net"/>
        <s v="investing.com"/>
        <s v="investmentguru.com"/>
        <s v="investopedia.com"/>
        <s v="jdpower.com"/>
        <s v="kbb.com"/>
        <s v="kiplinger.com"/>
        <s v="lensvid.com"/>
        <s v="livescience.com"/>
        <s v="lotterypost.com"/>
        <s v="m.timesofindia.com"/>
        <s v="macrumors.com"/>
        <s v="mail.aol.com"/>
        <s v="mail.yahoo.com"/>
        <s v="mapquest.com"/>
        <s v="marca.com"/>
        <s v="maxroll.gg"/>
        <s v="mayoclinic.org"/>
        <s v="medical-news.org"/>
        <s v="medicalnewstoday.com"/>
        <s v="merriam-webster.com"/>
        <s v="merriam-webster.com/dictionary"/>
        <s v="miamiherald.com"/>
        <s v="microsoftcasualgames.com"/>
        <s v="milb.com"/>
        <s v="mlb.com"/>
        <s v="mobileposse.com"/>
        <s v="moneyppl.com"/>
        <s v="motor-junkie.com"/>
        <s v="msn.com"/>
        <s v="my.earthlink.net"/>
        <s v="my.yahoo.com"/>
        <s v="mydailymagazine.com"/>
        <s v="myfitnesspal.com"/>
        <s v="nba.com"/>
        <s v="nbcchicago.com"/>
        <s v="nbcdfw.com"/>
        <s v="nbcmiami.com"/>
        <s v="nbcnews.com"/>
        <s v="nbcsports.com"/>
        <s v="news.yahoo.com"/>
        <s v="newsharper.com"/>
        <s v="newsmemory.com"/>
        <s v="npr.org"/>
        <s v="nsfas-applications.co.za"/>
        <s v="nypost.com"/>
        <s v="nytimes.com"/>
        <s v="omnicalculator.com"/>
        <s v="onechicagocenter.com"/>
        <s v="outlook.live.com"/>
        <s v="pandora.com"/>
        <s v="people.com"/>
        <s v="phys.org"/>
        <s v="politico.com"/>
        <s v="poshland.com"/>
        <s v="ranker.com"/>
        <s v="realtor.com"/>
        <s v="redfin.com"/>
        <s v="reference.com"/>
        <s v="rent.com"/>
        <s v="repairlinkshop.com"/>
        <s v="reuters.com"/>
        <s v="rollingstone.com"/>
        <s v="rvtrader.com"/>
        <s v="sallysbakingaddiction.com"/>
        <s v="sciencealert.com"/>
        <s v="sciencesensei.com"/>
        <s v="scitechdaily.com"/>
        <s v="screenrant.com"/>
        <s v="seedsgames.com"/>
        <s v="semana.com"/>
        <s v="shareably.net"/>
        <s v="si.com"/>
        <s v="signin.ebay.com"/>
        <s v="signupgenius.com"/>
        <s v="slickdeals.net"/>
        <s v="sneakertoast.com"/>
        <s v="soaps.sheknows.com"/>
        <s v="sporcle.com"/>
        <s v="sportpirate.com"/>
        <s v="sports.yahoo.com"/>
        <s v="streetinsider.com"/>
        <s v="taboolanews.com"/>
        <s v="tasteofhome.com"/>
        <s v="tastesbetterfromscratch.com"/>
        <s v="techradar.com"/>
        <s v="thebigmansworld.com"/>
        <s v="thefinancechatter.com"/>
        <s v="thegamer.com"/>
        <s v="thehulltruth.com"/>
        <s v="thekrazycouponlady.com"/>
        <s v="therighthairstyles.com"/>
        <s v="thesaltymarshmallow.com"/>
        <s v="thesaurus.com"/>
        <s v="the-sun.com"/>
        <s v="timeanddate.com"/>
        <s v="todaysnyc.com"/>
        <s v="tomsguide.com"/>
        <s v="topclassactions.com"/>
        <s v="travelerdreams.com"/>
        <s v="tripadvisor.com"/>
        <s v="upworthy.com"/>
        <s v="usatoday.com"/>
        <s v="uscellular.com"/>
        <s v="usnews.com"/>
        <s v="usssa.com"/>
        <s v="w3schools.com"/>
        <s v="washingtonpost.com"/>
        <s v="weather.com"/>
        <s v="webmd.com"/>
        <s v="whatismyipaddress.com"/>
        <s v="wikihow.com"/>
        <s v="wizofawes.com"/>
        <s v="womenshealthmag.com"/>
        <s v="wordunscrambler.me"/>
        <s v="wsj.com"/>
        <s v="wsmv.com"/>
        <s v="wsvn.com"/>
        <s v="wunderground.com"/>
        <s v="yachtworld.com"/>
        <s v="yahoo.com"/>
        <s v="yellowpages.com"/>
        <s v="yourdailysportfix.com"/>
        <s v="yourroyals.com"/>
        <s v="zdnet.com"/>
        <s v="zillow.com"/>
        <s v="zone.msn.com"/>
        <m/>
      </sharedItems>
    </cacheField>
    <cacheField name="Exchange" numFmtId="0">
      <sharedItems containsBlank="1">
        <s v="Google Ad Manager"/>
        <s v="PubMatic"/>
        <s v="Xandr - Monetize SSP (AppNexus)"/>
        <s v="Magnite DV+"/>
        <s v="BidSwitch"/>
        <s v="OpenX"/>
        <s v="Yahoo Exchange"/>
        <s v="Taboola"/>
        <s v="Index Exchange"/>
        <s v="Smart RTB+ (Smartadserver)"/>
        <s v="TripleLift"/>
        <s v="Yieldmo"/>
        <s v="Sharethrough"/>
        <s v="Sovrn"/>
        <s v="PulsePoint"/>
        <s v="GumGum"/>
        <s v="Kargo"/>
        <m/>
      </sharedItems>
    </cacheField>
    <cacheField name="Device Make" numFmtId="0">
      <sharedItems containsBlank="1">
        <s v="Apple PC"/>
        <s v="Smartphone"/>
        <s v="Windows PC"/>
        <m/>
      </sharedItems>
    </cacheField>
    <cacheField name="Impressions" numFmtId="0">
      <sharedItems containsString="0" containsBlank="1" containsNumber="1" containsInteger="1">
        <n v="10524.0"/>
        <n v="18324.0"/>
        <n v="7862.0"/>
        <n v="10501.0"/>
        <n v="23156.0"/>
        <n v="23711.0"/>
        <n v="23965.0"/>
        <n v="14730.0"/>
        <n v="36863.0"/>
        <n v="213699.0"/>
        <n v="49936.0"/>
        <n v="15200.0"/>
        <n v="49250.0"/>
        <n v="10811.0"/>
        <n v="23829.0"/>
        <n v="19826.0"/>
        <n v="81905.0"/>
        <n v="16151.0"/>
        <n v="68704.0"/>
        <n v="76439.0"/>
        <n v="17833.0"/>
        <n v="16719.0"/>
        <n v="12592.0"/>
        <n v="14136.0"/>
        <n v="14489.0"/>
        <n v="20348.0"/>
        <n v="40447.0"/>
        <n v="14451.0"/>
        <n v="11668.0"/>
        <n v="19379.0"/>
        <n v="8716.0"/>
        <n v="11062.0"/>
        <n v="100800.0"/>
        <n v="12864.0"/>
        <n v="10992.0"/>
        <n v="14984.0"/>
        <n v="19093.0"/>
        <n v="43057.0"/>
        <n v="53561.0"/>
        <n v="67752.0"/>
        <n v="75161.0"/>
        <n v="12770.0"/>
        <n v="117713.0"/>
        <n v="26558.0"/>
        <n v="53464.0"/>
        <n v="13686.0"/>
        <n v="17752.0"/>
        <n v="32845.0"/>
        <n v="15322.0"/>
        <n v="18458.0"/>
        <n v="108559.0"/>
        <n v="106151.0"/>
        <n v="149618.0"/>
        <n v="114384.0"/>
        <n v="43367.0"/>
        <n v="113420.0"/>
        <n v="88293.0"/>
        <n v="26715.0"/>
        <n v="65380.0"/>
        <n v="130796.0"/>
        <n v="64892.0"/>
        <n v="210096.0"/>
        <n v="77313.0"/>
        <n v="188170.0"/>
        <n v="16808.0"/>
        <n v="21531.0"/>
        <n v="18313.0"/>
        <n v="10779.0"/>
        <n v="11325.0"/>
        <n v="9078.0"/>
        <n v="11511.0"/>
        <n v="14047.0"/>
        <n v="20278.0"/>
        <n v="12354.0"/>
        <n v="13132.0"/>
        <n v="35034.0"/>
        <n v="9946.0"/>
        <n v="8068.0"/>
        <n v="11919.0"/>
        <n v="35163.0"/>
        <n v="27202.0"/>
        <n v="59782.0"/>
        <n v="10066.0"/>
        <n v="11296.0"/>
        <n v="18633.0"/>
        <n v="37176.0"/>
        <n v="29251.0"/>
        <n v="36431.0"/>
        <n v="22004.0"/>
        <n v="16644.0"/>
        <n v="45285.0"/>
        <n v="16227.0"/>
        <n v="7409.0"/>
        <n v="17582.0"/>
        <n v="45711.0"/>
        <n v="48562.0"/>
        <n v="47394.0"/>
        <n v="66554.0"/>
        <n v="9730.0"/>
        <n v="69757.0"/>
        <n v="8862.0"/>
        <n v="7229.0"/>
        <n v="115544.0"/>
        <n v="48211.0"/>
        <n v="134847.0"/>
        <n v="35178.0"/>
        <n v="43117.0"/>
        <n v="510778.0"/>
        <n v="13700.0"/>
        <n v="13075.0"/>
        <n v="69540.0"/>
        <n v="65983.0"/>
        <n v="21478.0"/>
        <n v="9515.0"/>
        <n v="20548.0"/>
        <n v="94340.0"/>
        <n v="114723.0"/>
        <n v="14581.0"/>
        <n v="19461.0"/>
        <n v="27032.0"/>
        <n v="7628.0"/>
        <n v="7806.0"/>
        <n v="31443.0"/>
        <n v="29107.0"/>
        <n v="12451.0"/>
        <n v="12176.0"/>
        <n v="7472.0"/>
        <n v="42451.0"/>
        <n v="10677.0"/>
        <n v="8217.0"/>
        <n v="7530.0"/>
        <n v="272509.0"/>
        <n v="106392.0"/>
        <n v="9060.0"/>
        <n v="116926.0"/>
        <n v="45402.0"/>
        <n v="84306.0"/>
        <n v="88499.0"/>
        <n v="77748.0"/>
        <n v="10191.0"/>
        <n v="10093.0"/>
        <n v="9328.0"/>
        <n v="24464.0"/>
        <n v="8111.0"/>
        <n v="25532.0"/>
        <n v="28553.0"/>
        <n v="29393.0"/>
        <n v="39212.0"/>
        <n v="14137.0"/>
        <n v="7921.0"/>
        <n v="11025.0"/>
        <n v="14922.0"/>
        <n v="7427.0"/>
        <n v="14553.0"/>
        <n v="10350.0"/>
        <n v="18028.0"/>
        <n v="12391.0"/>
        <n v="14917.0"/>
        <n v="9560.0"/>
        <n v="12606.0"/>
        <n v="18022.0"/>
        <n v="18401.0"/>
        <n v="18412.0"/>
        <n v="11697.0"/>
        <n v="12220.0"/>
        <n v="49415.0"/>
        <n v="1100942.0"/>
        <n v="221720.0"/>
        <n v="325152.0"/>
        <n v="680912.0"/>
        <n v="569171.0"/>
        <n v="27592.0"/>
        <n v="83957.0"/>
        <n v="161178.0"/>
        <n v="405957.0"/>
        <n v="161222.0"/>
        <n v="39163.0"/>
        <n v="39794.0"/>
        <n v="104538.0"/>
        <n v="262807.0"/>
        <n v="56945.0"/>
        <n v="23983.0"/>
        <n v="102884.0"/>
        <n v="55692.0"/>
        <n v="63460.0"/>
        <n v="189462.0"/>
        <n v="61442.0"/>
        <n v="87287.0"/>
        <n v="77703.0"/>
        <n v="74436.0"/>
        <n v="435848.0"/>
        <n v="9210.0"/>
        <n v="12088.0"/>
        <n v="126337.0"/>
        <n v="229908.0"/>
        <n v="144088.0"/>
        <n v="37269.0"/>
        <n v="13326.0"/>
        <n v="10942.0"/>
        <n v="14011.0"/>
        <n v="13464.0"/>
        <n v="121991.0"/>
        <n v="95289.0"/>
        <n v="80408.0"/>
        <n v="82916.0"/>
        <n v="16354.0"/>
        <n v="9920.0"/>
        <n v="31243.0"/>
        <n v="39314.0"/>
        <n v="15252.0"/>
        <n v="7394.0"/>
        <n v="22259.0"/>
        <n v="21143.0"/>
        <n v="111624.0"/>
        <n v="95644.0"/>
        <n v="65238.0"/>
        <n v="115412.0"/>
        <n v="11375.0"/>
        <n v="27394.0"/>
        <n v="22690.0"/>
        <n v="76049.0"/>
        <n v="44505.0"/>
        <n v="286998.0"/>
        <n v="127090.0"/>
        <n v="232470.0"/>
        <n v="51056.0"/>
        <n v="52582.0"/>
        <n v="109567.0"/>
        <n v="74426.0"/>
        <n v="22163.0"/>
        <n v="25021.0"/>
        <n v="26304.0"/>
        <n v="13100.0"/>
        <n v="9533.0"/>
        <n v="12092.0"/>
        <n v="12710.0"/>
        <n v="9463.0"/>
        <n v="12136.0"/>
        <n v="15326.0"/>
        <n v="18095.0"/>
        <n v="119280.0"/>
        <n v="8204.0"/>
        <n v="88022.0"/>
        <n v="12879.0"/>
        <n v="69239.0"/>
        <n v="111884.0"/>
        <n v="20899.0"/>
        <n v="22800.0"/>
        <n v="15441.0"/>
        <n v="33069.0"/>
        <n v="54134.0"/>
        <n v="7583.0"/>
        <n v="12436.0"/>
        <n v="122086.0"/>
        <n v="63794.0"/>
        <n v="29323.0"/>
        <n v="38408.0"/>
        <n v="70134.0"/>
        <n v="51889.0"/>
        <n v="19951.0"/>
        <n v="91593.0"/>
        <n v="69722.0"/>
        <n v="76724.0"/>
        <n v="34959.0"/>
        <n v="9273.0"/>
        <n v="11681.0"/>
        <n v="17770.0"/>
        <n v="16202.0"/>
        <n v="13779.0"/>
        <n v="13183.0"/>
        <n v="109709.0"/>
        <n v="120902.0"/>
        <n v="45397.0"/>
        <n v="13293.0"/>
        <n v="12001.0"/>
        <n v="20537.0"/>
        <n v="8730.0"/>
        <n v="26820.0"/>
        <n v="9149.0"/>
        <n v="13655.0"/>
        <n v="17518.0"/>
        <n v="16580.0"/>
        <n v="14379.0"/>
        <n v="138904.0"/>
        <n v="99205.0"/>
        <n v="27473.0"/>
        <n v="7356.0"/>
        <n v="9261.0"/>
        <n v="19344.0"/>
        <n v="11672.0"/>
        <n v="8273.0"/>
        <n v="13833.0"/>
        <n v="22180.0"/>
        <n v="102905.0"/>
        <n v="89744.0"/>
        <n v="39705.0"/>
        <n v="23941.0"/>
        <n v="42759.0"/>
        <n v="115673.0"/>
        <n v="81486.0"/>
        <n v="31813.0"/>
        <n v="7687.0"/>
        <n v="17228.0"/>
        <n v="21482.0"/>
        <n v="9178.0"/>
        <n v="9040.0"/>
        <n v="96728.0"/>
        <n v="48947.0"/>
        <n v="58938.0"/>
        <n v="49014.0"/>
        <n v="69523.0"/>
        <n v="37717.0"/>
        <n v="16236.0"/>
        <n v="9222.0"/>
        <n v="8233.0"/>
        <n v="9014.0"/>
        <n v="9702.0"/>
        <n v="150457.0"/>
        <n v="190592.0"/>
        <n v="12868.0"/>
        <n v="9059.0"/>
        <n v="15904.0"/>
        <n v="7822.0"/>
        <n v="12214.0"/>
        <n v="141165.0"/>
        <n v="7514.0"/>
        <n v="30460.0"/>
        <n v="14083.0"/>
        <n v="100058.0"/>
        <n v="83854.0"/>
        <n v="103665.0"/>
        <n v="25889.0"/>
        <n v="39844.0"/>
        <n v="224359.0"/>
        <n v="15399.0"/>
        <n v="136733.0"/>
        <n v="198754.0"/>
        <n v="15033.0"/>
        <n v="92806.0"/>
        <n v="186702.0"/>
        <n v="69136.0"/>
        <n v="32173.0"/>
        <n v="88819.0"/>
        <n v="1323451.0"/>
        <n v="728841.0"/>
        <n v="1010148.0"/>
        <n v="1956642.0"/>
        <n v="23774.0"/>
        <n v="1083050.0"/>
        <n v="184622.0"/>
        <n v="742281.0"/>
        <n v="1720462.0"/>
        <n v="766674.0"/>
        <n v="207685.0"/>
        <n v="908899.0"/>
        <n v="470192.0"/>
        <n v="65257.0"/>
        <n v="31003.0"/>
        <n v="12988.0"/>
        <n v="562103.0"/>
        <n v="780475.0"/>
        <n v="7540.0"/>
        <n v="482834.0"/>
        <n v="19464.0"/>
        <n v="50838.0"/>
        <n v="679098.0"/>
        <n v="32436.0"/>
        <n v="11734.0"/>
        <n v="27371.0"/>
        <n v="21903.0"/>
        <n v="9725.0"/>
        <n v="45965.0"/>
        <n v="8944.0"/>
        <n v="14398.0"/>
        <n v="117879.0"/>
        <n v="22444.0"/>
        <n v="17645.0"/>
        <n v="9881.0"/>
        <n v="12148.0"/>
        <n v="18771.0"/>
        <n v="7402.0"/>
        <n v="38735.0"/>
        <n v="7320.0"/>
        <n v="90463.0"/>
        <n v="252170.0"/>
        <n v="68114.0"/>
        <n v="292578.0"/>
        <n v="39725.0"/>
        <n v="25206.0"/>
        <n v="7789.0"/>
        <n v="38396.0"/>
        <n v="10012.0"/>
        <n v="12459.0"/>
        <n v="32714.0"/>
        <n v="98509.0"/>
        <n v="37076.0"/>
        <n v="70506.0"/>
        <n v="921791.0"/>
        <n v="4154911.0"/>
        <n v="1222302.0"/>
        <n v="999915.0"/>
        <n v="1515751.0"/>
        <n v="1575592.0"/>
        <n v="458931.0"/>
        <n v="1601933.0"/>
        <n v="26270.0"/>
        <n v="12974.0"/>
        <n v="192201.0"/>
        <n v="29834.0"/>
        <n v="117518.0"/>
        <n v="3196231.0"/>
        <n v="109128.0"/>
        <n v="13946.0"/>
        <n v="335461.0"/>
        <n v="48436.0"/>
        <n v="58738.0"/>
        <n v="297347.0"/>
        <n v="80456.0"/>
        <n v="60412.0"/>
        <n v="171575.0"/>
        <n v="554980.0"/>
        <n v="321263.0"/>
        <n v="311753.0"/>
        <n v="96031.0"/>
        <n v="47931.0"/>
        <n v="177632.0"/>
        <n v="7470.0"/>
        <n v="26784.0"/>
        <n v="21028.0"/>
        <n v="9238.0"/>
        <n v="39881.0"/>
        <n v="10883.0"/>
        <n v="50517.0"/>
        <n v="7248.0"/>
        <n v="10835.0"/>
        <n v="11476.0"/>
        <n v="92764.0"/>
        <n v="189571.0"/>
        <n v="14224.0"/>
        <n v="183208.0"/>
        <n v="20486.0"/>
        <n v="15047.0"/>
        <n v="41513.0"/>
        <n v="16503.0"/>
        <n v="52006.0"/>
        <n v="8420.0"/>
        <n v="63415.0"/>
        <n v="73544.0"/>
        <n v="16288.0"/>
        <n v="7695.0"/>
        <n v="15602.0"/>
        <n v="8000.0"/>
        <n v="13592.0"/>
        <n v="15588.0"/>
        <n v="14038.0"/>
        <n v="140359.0"/>
        <n v="25377.0"/>
        <n v="29092.0"/>
        <n v="73567.0"/>
        <n v="152881.0"/>
        <n v="16239.0"/>
        <n v="14932.0"/>
        <n v="13823.0"/>
        <n v="11214.0"/>
        <n v="19829.0"/>
        <n v="183230.0"/>
        <n v="113262.0"/>
        <n v="75531.0"/>
        <n v="102958.0"/>
        <n v="42755.0"/>
        <n v="264580.0"/>
        <n v="42833.0"/>
        <n v="481526.0"/>
        <n v="50183.0"/>
        <n v="21088.0"/>
        <n v="284783.0"/>
        <n v="21229.0"/>
        <n v="55274.0"/>
        <n v="8278.0"/>
        <n v="87245.0"/>
        <n v="24962.0"/>
        <n v="57168.0"/>
        <n v="58477.0"/>
        <n v="13202.0"/>
        <n v="8187.0"/>
        <n v="21280.0"/>
        <n v="81567.0"/>
        <n v="17620.0"/>
        <n v="31625.0"/>
        <n v="22175.0"/>
        <n v="56927.0"/>
        <n v="20165.0"/>
        <n v="22501.0"/>
        <n v="123430.0"/>
        <n v="268811.0"/>
        <n v="16669.0"/>
        <n v="9130.0"/>
        <n v="8097.0"/>
        <n v="65243.0"/>
        <n v="224877.0"/>
        <n v="109372.0"/>
        <n v="44889.0"/>
        <n v="42459.0"/>
        <n v="69928.0"/>
        <n v="40859.0"/>
        <n v="16978.0"/>
        <n v="10815.0"/>
        <n v="114194.0"/>
        <n v="15449.0"/>
        <n v="114267.0"/>
        <n v="65043.0"/>
        <n v="85280.0"/>
        <n v="51515.0"/>
        <n v="43666.0"/>
        <n v="48892.0"/>
        <n v="104814.0"/>
        <n v="64577.0"/>
        <n v="49412.0"/>
        <n v="11269.0"/>
        <n v="15318.0"/>
        <n v="10819.0"/>
        <n v="30714.0"/>
        <n v="37617.0"/>
        <n v="219088.0"/>
        <n v="15277.0"/>
        <n v="34278.0"/>
        <n v="13382.0"/>
        <n v="9319.0"/>
        <n v="16791.0"/>
        <n v="19334.0"/>
        <n v="25835.0"/>
        <n v="33650.0"/>
        <n v="13168.0"/>
        <n v="26415.0"/>
        <n v="13347.0"/>
        <n v="20885.0"/>
        <n v="11289.0"/>
        <n v="10389.0"/>
        <n v="62040.0"/>
        <n v="83537.0"/>
        <n v="81054.0"/>
        <n v="35043.0"/>
        <n v="14509.0"/>
        <n v="16325.0"/>
        <n v="10485.0"/>
        <n v="11561.0"/>
        <n v="18136.0"/>
        <n v="8437.0"/>
        <n v="7965.0"/>
        <n v="14350.0"/>
        <n v="24100.0"/>
        <n v="21599.0"/>
        <n v="35335.0"/>
        <n v="14763.0"/>
        <n v="47360.0"/>
        <n v="19408.0"/>
        <n v="46190.0"/>
        <n v="18537.0"/>
        <n v="12488.0"/>
        <n v="19212.0"/>
        <n v="37554.0"/>
        <n v="12510.0"/>
        <n v="15475.0"/>
        <n v="20572.0"/>
        <n v="16956.0"/>
        <n v="17075.0"/>
        <n v="9709.0"/>
        <n v="7769.0"/>
        <n v="28888.0"/>
        <n v="756687.0"/>
        <n v="56737.0"/>
        <n v="217824.0"/>
        <n v="9153.0"/>
        <n v="21962.0"/>
        <n v="12161.0"/>
        <n v="10653.0"/>
        <n v="7691.0"/>
        <n v="8362.0"/>
        <n v="7531.0"/>
        <n v="11417.0"/>
        <n v="9157.0"/>
        <n v="15547.0"/>
        <n v="55445.0"/>
        <n v="18081.0"/>
        <n v="95655.0"/>
        <n v="57257.0"/>
        <n v="20417.0"/>
        <n v="57917.0"/>
        <n v="141157.0"/>
        <n v="247106.0"/>
        <n v="357707.0"/>
        <n v="48707.0"/>
        <n v="16372.0"/>
        <n v="14799.0"/>
        <n v="97346.0"/>
        <n v="44361.0"/>
        <n v="12280.0"/>
        <n v="22934.0"/>
        <n v="17317.0"/>
        <n v="11343.0"/>
        <n v="11043.0"/>
        <n v="21737.0"/>
        <n v="9362.0"/>
        <n v="16628.0"/>
        <n v="24875.0"/>
        <n v="10707.0"/>
        <n v="10386.0"/>
        <n v="16137.0"/>
        <n v="39373.0"/>
        <n v="47016.0"/>
        <n v="25539.0"/>
        <n v="186404.0"/>
        <n v="19549.0"/>
        <n v="17561.0"/>
        <n v="13608.0"/>
        <n v="446774.0"/>
        <n v="11607.0"/>
        <n v="72117.0"/>
        <n v="38070.0"/>
        <n v="32400.0"/>
        <n v="9867.0"/>
        <n v="1109184.0"/>
        <n v="686858.0"/>
        <n v="40929.0"/>
        <n v="210700.0"/>
        <n v="42884.0"/>
        <n v="96779.0"/>
        <n v="182114.0"/>
        <n v="207823.0"/>
        <n v="257862.0"/>
        <n v="26439.0"/>
        <n v="96508.0"/>
        <n v="198163.0"/>
        <n v="156427.0"/>
        <n v="61574.0"/>
        <n v="29856.0"/>
        <n v="100991.0"/>
        <n v="43327.0"/>
        <n v="212009.0"/>
        <n v="45668.0"/>
        <n v="654902.0"/>
        <n v="239164.0"/>
        <n v="564387.0"/>
        <n v="12512.0"/>
        <n v="68008.0"/>
        <n v="61848.0"/>
        <n v="232635.0"/>
        <n v="180353.0"/>
        <n v="78433.0"/>
        <n v="194833.0"/>
        <n v="197192.0"/>
        <n v="40519.0"/>
        <n v="254780.0"/>
        <n v="36543.0"/>
        <n v="292885.0"/>
        <n v="253577.0"/>
        <n v="14599.0"/>
        <n v="16175.0"/>
        <n v="42830.0"/>
        <n v="12209.0"/>
        <n v="7447.0"/>
        <n v="8545.0"/>
        <n v="12319.0"/>
        <n v="31359.0"/>
        <n v="15311.0"/>
        <n v="23488.0"/>
        <n v="11789.0"/>
        <n v="16142.0"/>
        <n v="37355.0"/>
        <n v="9404.0"/>
        <n v="13642.0"/>
        <n v="14693.0"/>
        <n v="9357.0"/>
        <n v="20459.0"/>
        <n v="17382.0"/>
        <n v="13466.0"/>
        <n v="23410.0"/>
        <n v="13713.0"/>
        <n v="10565.0"/>
        <n v="888037.0"/>
        <n v="1767940.0"/>
        <n v="1221746.0"/>
        <n v="120603.0"/>
        <n v="310255.0"/>
        <n v="818919.0"/>
        <n v="760502.0"/>
        <n v="571090.0"/>
        <n v="7584.0"/>
        <n v="84460.0"/>
        <n v="90123.0"/>
        <n v="1116343.0"/>
        <n v="276716.0"/>
        <n v="17049.0"/>
        <n v="74164.0"/>
        <n v="37227.0"/>
        <n v="556152.0"/>
        <n v="598460.0"/>
        <n v="421110.0"/>
        <n v="59296.0"/>
        <n v="307888.0"/>
        <n v="85965.0"/>
        <n v="335664.0"/>
        <n v="74516.0"/>
        <n v="263752.0"/>
        <n v="507889.0"/>
        <n v="61474.0"/>
        <n v="14890.0"/>
        <n v="61227.0"/>
        <n v="18516.0"/>
        <n v="11420.0"/>
        <n v="10906.0"/>
        <n v="7585.0"/>
        <n v="12692.0"/>
        <n v="318269.0"/>
        <n v="26212.0"/>
        <n v="20833.0"/>
        <n v="14181.0"/>
        <n v="304377.0"/>
        <n v="312206.0"/>
        <n v="9790.0"/>
        <n v="130602.0"/>
        <n v="10903.0"/>
        <m/>
      </sharedItems>
    </cacheField>
    <cacheField name="Clicks" numFmtId="0">
      <sharedItems containsString="0" containsBlank="1" containsNumber="1" containsInteger="1">
        <n v="55.0"/>
        <n v="60.0"/>
        <n v="20.0"/>
        <n v="90.0"/>
        <n v="73.0"/>
        <n v="69.0"/>
        <n v="270.0"/>
        <n v="88.0"/>
        <n v="116.0"/>
        <n v="126.0"/>
        <n v="220.0"/>
        <n v="25.0"/>
        <n v="75.0"/>
        <n v="39.0"/>
        <n v="54.0"/>
        <n v="185.0"/>
        <n v="100.0"/>
        <n v="61.0"/>
        <n v="35.0"/>
        <n v="63.0"/>
        <n v="37.0"/>
        <n v="101.0"/>
        <n v="177.0"/>
        <n v="50.0"/>
        <n v="110.0"/>
        <n v="49.0"/>
        <n v="40.0"/>
        <n v="78.0"/>
        <n v="84.0"/>
        <n v="97.0"/>
        <n v="122.0"/>
        <n v="147.0"/>
        <n v="174.0"/>
        <n v="280.0"/>
        <n v="374.0"/>
        <n v="111.0"/>
        <n v="212.0"/>
        <n v="66.0"/>
        <n v="98.0"/>
        <n v="164.0"/>
        <n v="299.0"/>
        <n v="260.0"/>
        <n v="333.0"/>
        <n v="255.0"/>
        <n v="208.0"/>
        <n v="300.0"/>
        <n v="214.0"/>
        <n v="590.0"/>
        <n v="191.0"/>
        <n v="490.0"/>
        <n v="43.0"/>
        <n v="86.0"/>
        <n v="21.0"/>
        <n v="33.0"/>
        <n v="44.0"/>
        <n v="74.0"/>
        <n v="10.0"/>
        <n v="67.0"/>
        <n v="145.0"/>
        <n v="250.0"/>
        <n v="70.0"/>
        <n v="95.0"/>
        <n v="108.0"/>
        <n v="80.0"/>
        <n v="190.0"/>
        <n v="56.0"/>
        <n v="130.0"/>
        <n v="150.0"/>
        <n v="184.0"/>
        <n v="169.0"/>
        <n v="45.0"/>
        <n v="199.0"/>
        <n v="30.0"/>
        <n v="412.0"/>
        <n v="160.0"/>
        <n v="450.0"/>
        <n v="155.0"/>
        <n v="1290.0"/>
        <n v="204.0"/>
        <n v="350.0"/>
        <n v="85.0"/>
        <n v="19.0"/>
        <n v="64.0"/>
        <n v="736.0"/>
        <n v="321.0"/>
        <n v="186.0"/>
        <n v="227.0"/>
        <n v="65.0"/>
        <n v="0.0"/>
        <n v="140.0"/>
        <n v="99.0"/>
        <n v="47.0"/>
        <n v="89.0"/>
        <n v="144.0"/>
        <n v="2984.0"/>
        <n v="499.0"/>
        <n v="854.0"/>
        <n v="2000.0"/>
        <n v="1354.0"/>
        <n v="492.0"/>
        <n v="874.0"/>
        <n v="500.0"/>
        <n v="113.0"/>
        <n v="347.0"/>
        <n v="684.0"/>
        <n v="152.0"/>
        <n v="478.0"/>
        <n v="203.0"/>
        <n v="175.0"/>
        <n v="1058.0"/>
        <n v="325.0"/>
        <n v="489.0"/>
        <n v="106.0"/>
        <n v="369.0"/>
        <n v="120.0"/>
        <n v="240.0"/>
        <n v="87.0"/>
        <n v="68.0"/>
        <n v="125.0"/>
        <n v="815.0"/>
        <n v="504.0"/>
        <n v="345.0"/>
        <n v="400.0"/>
        <n v="370.0"/>
        <n v="71.0"/>
        <n v="79.0"/>
        <n v="48.0"/>
        <n v="200.0"/>
        <n v="81.0"/>
        <n v="194.0"/>
        <n v="187.0"/>
        <n v="96.0"/>
        <n v="278.0"/>
        <n v="114.0"/>
        <n v="22.0"/>
        <n v="399.0"/>
        <n v="230.0"/>
        <n v="24.0"/>
        <n v="421.0"/>
        <n v="311.0"/>
        <n v="410.0"/>
        <n v="193.0"/>
        <n v="341.0"/>
        <n v="26.0"/>
        <n v="420.0"/>
        <n v="601.0"/>
        <n v="435.0"/>
        <n v="197.0"/>
        <n v="480.0"/>
        <n v="76.0"/>
        <n v="104.0"/>
        <n v="3414.0"/>
        <n v="2174.0"/>
        <n v="2874.0"/>
        <n v="4563.0"/>
        <n v="3984.0"/>
        <n v="180.0"/>
        <n v="1999.0"/>
        <n v="4865.0"/>
        <n v="1984.0"/>
        <n v="512.0"/>
        <n v="940.0"/>
        <n v="201.0"/>
        <n v="1450.0"/>
        <n v="2186.0"/>
        <n v="1269.0"/>
        <n v="124.0"/>
        <n v="390.0"/>
        <n v="15.0"/>
        <n v="9.0"/>
        <n v="650.0"/>
        <n v="812.0"/>
        <n v="2150.0"/>
        <n v="1254.0"/>
        <n v="3142.0"/>
        <n v="2748.0"/>
        <n v="3874.0"/>
        <n v="974.0"/>
        <n v="4265.0"/>
        <n v="8745.0"/>
        <n v="470.0"/>
        <n v="963.0"/>
        <n v="171.0"/>
        <n v="165.0"/>
        <n v="751.0"/>
        <n v="1542.0"/>
        <n v="852.0"/>
        <n v="763.0"/>
        <n v="170.0"/>
        <n v="485.0"/>
        <n v="46.0"/>
        <n v="320.0"/>
        <n v="620.0"/>
        <n v="42.0"/>
        <n v="223.0"/>
        <n v="352.0"/>
        <n v="426.0"/>
        <n v="58.0"/>
        <n v="666.0"/>
        <n v="380.0"/>
        <n v="117.0"/>
        <n v="691.0"/>
        <n v="1235.0"/>
        <n v="756.0"/>
        <n v="219.0"/>
        <n v="135.0"/>
        <n v="440.0"/>
        <n v="52.0"/>
        <n v="360.0"/>
        <n v="799.0"/>
        <n v="805.0"/>
        <n v="364.0"/>
        <n v="121.0"/>
        <n v="210.0"/>
        <n v="211.0"/>
        <n v="133.0"/>
        <n v="541.0"/>
        <n v="222.0"/>
        <n v="265.0"/>
        <n v="92.0"/>
        <n v="560.0"/>
        <n v="23.0"/>
        <n v="31.0"/>
        <n v="275.0"/>
        <n v="167.0"/>
        <n v="750.0"/>
        <n v="951.0"/>
        <n v="59.0"/>
        <n v="790.0"/>
        <n v="166.0"/>
        <n v="57.0"/>
        <n v="146.0"/>
        <n v="2085.0"/>
        <n v="142.0"/>
        <n v="704.0"/>
        <n v="600.0"/>
        <n v="700.0"/>
        <n v="351.0"/>
        <n v="469.0"/>
        <n v="286.0"/>
        <n v="555.0"/>
        <n v="1874.0"/>
        <n v="699.0"/>
        <n v="213.0"/>
        <n v="471.0"/>
        <n v="519.0"/>
        <n v="796.0"/>
        <n v="890.0"/>
        <n v="151.0"/>
        <n v="2841.0"/>
        <n v="4852.0"/>
        <n v="1245.0"/>
        <n v="298.0"/>
        <n v="970.0"/>
        <n v="1987.0"/>
        <n v="2140.0"/>
        <n v="1541.0"/>
        <n v="209.0"/>
        <n v="3104.0"/>
        <n v="241.0"/>
        <n v="1867.0"/>
        <n v="1654.0"/>
        <n v="984.0"/>
        <n v="863.0"/>
        <n v="233.0"/>
        <n v="702.0"/>
        <n v="823.0"/>
        <n v="13.0"/>
        <n v="105.0"/>
        <n v="914.0"/>
        <n v="77.0"/>
        <n v="801.0"/>
        <n v="841.0"/>
        <n v="269.0"/>
        <m/>
      </sharedItems>
    </cacheField>
    <cacheField name="Viewable Impressions" numFmtId="0">
      <sharedItems containsString="0" containsBlank="1" containsNumber="1" containsInteger="1">
        <n v="7601.0"/>
        <n v="3145.0"/>
        <n v="2152.0"/>
        <n v="4126.0"/>
        <n v="4468.0"/>
        <n v="4337.0"/>
        <n v="13608.0"/>
        <n v="1272.0"/>
        <n v="3570.0"/>
        <n v="18395.0"/>
        <n v="25461.0"/>
        <n v="5375.0"/>
        <n v="9205.0"/>
        <n v="988.0"/>
        <n v="8326.0"/>
        <n v="6511.0"/>
        <n v="61995.0"/>
        <n v="4360.0"/>
        <n v="31283.0"/>
        <n v="58269.0"/>
        <n v="8670.0"/>
        <n v="9944.0"/>
        <n v="7472.0"/>
        <n v="4683.0"/>
        <n v="12453.0"/>
        <n v="14945.0"/>
        <n v="16663.0"/>
        <n v="5606.0"/>
        <n v="7860.0"/>
        <n v="12168.0"/>
        <n v="6490.0"/>
        <n v="6539.0"/>
        <n v="14473.0"/>
        <n v="5549.0"/>
        <n v="6677.0"/>
        <n v="9614.0"/>
        <n v="9626.0"/>
        <n v="23767.0"/>
        <n v="37063.0"/>
        <n v="47126.0"/>
        <n v="40385.0"/>
        <n v="6224.0"/>
        <n v="16357.0"/>
        <n v="15761.0"/>
        <n v="22151.0"/>
        <n v="7928.0"/>
        <n v="5855.0"/>
        <n v="16163.0"/>
        <n v="6416.0"/>
        <n v="3623.0"/>
        <n v="79254.0"/>
        <n v="75304.0"/>
        <n v="126031.0"/>
        <n v="61524.0"/>
        <n v="14306.0"/>
        <n v="33557.0"/>
        <n v="24101.0"/>
        <n v="12287.0"/>
        <n v="30039.0"/>
        <n v="109118.0"/>
        <n v="34731.0"/>
        <n v="90928.0"/>
        <n v="40366.0"/>
        <n v="155266.0"/>
        <n v="9211.0"/>
        <n v="15593.0"/>
        <n v="9481.0"/>
        <n v="6420.0"/>
        <n v="6186.0"/>
        <n v="4051.0"/>
        <n v="8268.0"/>
        <n v="9934.0"/>
        <n v="14227.0"/>
        <n v="8561.0"/>
        <n v="6133.0"/>
        <n v="13904.0"/>
        <n v="4818.0"/>
        <n v="5545.0"/>
        <n v="8100.0"/>
        <n v="21222.0"/>
        <n v="5202.0"/>
        <n v="28235.0"/>
        <n v="6978.0"/>
        <n v="6822.0"/>
        <n v="9424.0"/>
        <n v="31829.0"/>
        <n v="25060.0"/>
        <n v="31262.0"/>
        <n v="18735.0"/>
        <n v="5055.0"/>
        <n v="30225.0"/>
        <n v="9438.0"/>
        <n v="5009.0"/>
        <n v="9848.0"/>
        <n v="23052.0"/>
        <n v="29108.0"/>
        <n v="22712.0"/>
        <n v="39206.0"/>
        <n v="2971.0"/>
        <n v="41258.0"/>
        <n v="1359.0"/>
        <n v="5668.0"/>
        <n v="79182.0"/>
        <n v="30157.0"/>
        <n v="104268.0"/>
        <n v="23374.0"/>
        <n v="6478.0"/>
        <n v="70777.0"/>
        <n v="3609.0"/>
        <n v="5980.0"/>
        <n v="28713.0"/>
        <n v="8536.0"/>
        <n v="15548.0"/>
        <n v="6169.0"/>
        <n v="14259.0"/>
        <n v="16955.0"/>
        <n v="14623.0"/>
        <n v="6970.0"/>
        <n v="14647.0"/>
        <n v="21893.0"/>
        <n v="5048.0"/>
        <n v="3150.0"/>
        <n v="19134.0"/>
        <n v="4047.0"/>
        <n v="2987.0"/>
        <n v="5460.0"/>
        <n v="1191.0"/>
        <n v="29142.0"/>
        <n v="7247.0"/>
        <n v="5740.0"/>
        <n v="5468.0"/>
        <n v="89526.0"/>
        <n v="39599.0"/>
        <n v="5190.0"/>
        <n v="69132.0"/>
        <n v="17284.0"/>
        <n v="45376.0"/>
        <n v="18950.0"/>
        <n v="6170.0"/>
        <n v="1243.0"/>
        <n v="3901.0"/>
        <n v="7102.0"/>
        <n v="3275.0"/>
        <n v="4346.0"/>
        <n v="15219.0"/>
        <n v="11390.0"/>
        <n v="3277.0"/>
        <n v="31317.0"/>
        <n v="9300.0"/>
        <n v="4727.0"/>
        <n v="7974.0"/>
        <n v="10713.0"/>
        <n v="4752.0"/>
        <n v="6119.0"/>
        <n v="723.0"/>
        <n v="1851.0"/>
        <n v="5756.0"/>
        <n v="3065.0"/>
        <n v="3076.0"/>
        <n v="8332.0"/>
        <n v="10618.0"/>
        <n v="11051.0"/>
        <n v="6761.0"/>
        <n v="7133.0"/>
        <n v="24692.0"/>
        <n v="629973.0"/>
        <n v="35178.0"/>
        <n v="138319.0"/>
        <n v="388915.0"/>
        <n v="343050.0"/>
        <n v="10901.0"/>
        <n v="1420.0"/>
        <n v="70181.0"/>
        <n v="204189.0"/>
        <n v="66740.0"/>
        <n v="16254.0"/>
        <n v="17539.0"/>
        <n v="49049.0"/>
        <n v="109871.0"/>
        <n v="20750.0"/>
        <n v="464.0"/>
        <n v="42841.0"/>
        <n v="3596.0"/>
        <n v="26978.0"/>
        <n v="53431.0"/>
        <n v="17048.0"/>
        <n v="40039.0"/>
        <n v="33478.0"/>
        <n v="30158.0"/>
        <n v="274912.0"/>
        <n v="3798.0"/>
        <n v="1124.0"/>
        <n v="51394.0"/>
        <n v="98259.0"/>
        <n v="26416.0"/>
        <n v="11667.0"/>
        <n v="3568.0"/>
        <n v="4578.0"/>
        <n v="5060.0"/>
        <n v="1698.0"/>
        <n v="43079.0"/>
        <n v="19527.0"/>
        <n v="13127.0"/>
        <n v="24951.0"/>
        <n v="8061.0"/>
        <n v="6702.0"/>
        <n v="16326.0"/>
        <n v="27671.0"/>
        <n v="3441.0"/>
        <n v="12405.0"/>
        <n v="40343.0"/>
        <n v="13294.0"/>
        <n v="23741.0"/>
        <n v="71564.0"/>
        <n v="7171.0"/>
        <n v="16144.0"/>
        <n v="10212.0"/>
        <n v="34921.0"/>
        <n v="18993.0"/>
        <n v="61586.0"/>
        <n v="30178.0"/>
        <n v="40870.0"/>
        <n v="24672.0"/>
        <n v="22065.0"/>
        <n v="57620.0"/>
        <n v="39257.0"/>
        <n v="2368.0"/>
        <n v="11084.0"/>
        <n v="12354.0"/>
        <n v="6507.0"/>
        <n v="6548.0"/>
        <n v="2042.0"/>
        <n v="8159.0"/>
        <n v="1518.0"/>
        <n v="2089.0"/>
        <n v="7941.0"/>
        <n v="10021.0"/>
        <n v="55665.0"/>
        <n v="1348.0"/>
        <n v="45972.0"/>
        <n v="7225.0"/>
        <n v="23112.0"/>
        <n v="53017.0"/>
        <n v="11394.0"/>
        <n v="8298.0"/>
        <n v="7626.0"/>
        <n v="17744.0"/>
        <n v="37418.0"/>
        <n v="4608.0"/>
        <n v="7055.0"/>
        <n v="82898.0"/>
        <n v="46557.0"/>
        <n v="13822.0"/>
        <n v="23557.0"/>
        <n v="48862.0"/>
        <n v="33879.0"/>
        <n v="10511.0"/>
        <n v="51004.0"/>
        <n v="40640.0"/>
        <n v="43209.0"/>
        <n v="17511.0"/>
        <n v="4648.0"/>
        <n v="4713.0"/>
        <n v="12771.0"/>
        <n v="11786.0"/>
        <n v="3482.0"/>
        <n v="3064.0"/>
        <n v="9964.0"/>
        <n v="716.0"/>
        <n v="9054.0"/>
        <n v="7173.0"/>
        <n v="15587.0"/>
        <n v="3725.0"/>
        <n v="13553.0"/>
        <n v="4568.0"/>
        <n v="9519.0"/>
        <n v="11513.0"/>
        <n v="11928.0"/>
        <n v="6272.0"/>
        <n v="98952.0"/>
        <n v="49240.0"/>
        <n v="11306.0"/>
        <n v="1588.0"/>
        <n v="3852.0"/>
        <n v="2353.0"/>
        <n v="7619.0"/>
        <n v="1929.0"/>
        <n v="7693.0"/>
        <n v="4835.0"/>
        <n v="45324.0"/>
        <n v="48786.0"/>
        <n v="12950.0"/>
        <n v="13054.0"/>
        <n v="52475.0"/>
        <n v="57653.0"/>
        <n v="14149.0"/>
        <n v="5311.0"/>
        <n v="11116.0"/>
        <n v="10473.0"/>
        <n v="4644.0"/>
        <n v="3585.0"/>
        <n v="69700.0"/>
        <n v="32089.0"/>
        <n v="41861.0"/>
        <n v="30349.0"/>
        <n v="48273.0"/>
        <n v="26541.0"/>
        <n v="8669.0"/>
        <n v="5352.0"/>
        <n v="5361.0"/>
        <n v="5054.0"/>
        <n v="5564.0"/>
        <n v="58372.0"/>
        <n v="28906.0"/>
        <n v="6472.0"/>
        <n v="589.0"/>
        <n v="7523.0"/>
        <n v="3786.0"/>
        <n v="5376.0"/>
        <n v="102776.0"/>
        <n v="2646.0"/>
        <n v="21830.0"/>
        <n v="9945.0"/>
        <n v="73422.0"/>
        <n v="60626.0"/>
        <n v="77283.0"/>
        <n v="18382.0"/>
        <n v="28001.0"/>
        <n v="163149.0"/>
        <n v="3398.0"/>
        <n v="102728.0"/>
        <n v="137649.0"/>
        <n v="5495.0"/>
        <n v="67534.0"/>
        <n v="132038.0"/>
        <n v="40571.0"/>
        <n v="24427.0"/>
        <n v="65488.0"/>
        <n v="737990.0"/>
        <n v="424340.0"/>
        <n v="699834.0"/>
        <n v="981461.0"/>
        <n v="10735.0"/>
        <n v="590156.0"/>
        <n v="98938.0"/>
        <n v="432673.0"/>
        <n v="940296.0"/>
        <n v="344201.0"/>
        <n v="6410.0"/>
        <n v="20134.0"/>
        <n v="644697.0"/>
        <n v="336480.0"/>
        <n v="12749.0"/>
        <n v="12591.0"/>
        <n v="6514.0"/>
        <n v="340616.0"/>
        <n v="453974.0"/>
        <n v="1475.0"/>
        <n v="292059.0"/>
        <n v="11814.0"/>
        <n v="23274.0"/>
        <n v="467726.0"/>
        <n v="17531.0"/>
        <n v="8741.0"/>
        <n v="22256.0"/>
        <n v="18831.0"/>
        <n v="6616.0"/>
        <n v="10028.0"/>
        <n v="3002.0"/>
        <n v="2807.0"/>
        <n v="52098.0"/>
        <n v="12672.0"/>
        <n v="9673.0"/>
        <n v="2344.0"/>
        <n v="7950.0"/>
        <n v="10871.0"/>
        <n v="3860.0"/>
        <n v="28719.0"/>
        <n v="4020.0"/>
        <n v="803.0"/>
        <n v="9248.0"/>
        <n v="569.0"/>
        <n v="6474.0"/>
        <n v="5402.0"/>
        <n v="3588.0"/>
        <n v="4655.0"/>
        <n v="6305.0"/>
        <n v="5734.0"/>
        <n v="7290.0"/>
        <n v="3756.0"/>
        <n v="30688.0"/>
        <n v="9246.0"/>
        <n v="26779.0"/>
        <n v="668449.0"/>
        <n v="2338732.0"/>
        <n v="553773.0"/>
        <n v="618816.0"/>
        <n v="1151776.0"/>
        <n v="1155869.0"/>
        <n v="264325.0"/>
        <n v="1135085.0"/>
        <n v="12813.0"/>
        <n v="7521.0"/>
        <n v="113707.0"/>
        <n v="14599.0"/>
        <n v="66458.0"/>
        <n v="2013324.0"/>
        <n v="38487.0"/>
        <n v="3142.0"/>
        <n v="171464.0"/>
        <n v="16543.0"/>
        <n v="33538.0"/>
        <n v="166412.0"/>
        <n v="46039.0"/>
        <n v="33457.0"/>
        <n v="101487.0"/>
        <n v="323498.0"/>
        <n v="172887.0"/>
        <n v="170122.0"/>
        <n v="57187.0"/>
        <n v="15989.0"/>
        <n v="70865.0"/>
        <n v="6753.0"/>
        <n v="12708.0"/>
        <n v="5781.0"/>
        <n v="4626.0"/>
        <n v="6331.0"/>
        <n v="1652.0"/>
        <n v="17179.0"/>
        <n v="3988.0"/>
        <n v="2888.0"/>
        <n v="4963.0"/>
        <n v="19625.0"/>
        <n v="130676.0"/>
        <n v="2549.0"/>
        <n v="131164.0"/>
        <n v="14583.0"/>
        <n v="5653.0"/>
        <n v="20872.0"/>
        <n v="8595.0"/>
        <n v="24711.0"/>
        <n v="4430.0"/>
        <n v="28161.0"/>
        <n v="40405.0"/>
        <n v="5304.0"/>
        <n v="3481.0"/>
        <n v="7676.0"/>
        <n v="4400.0"/>
        <n v="7747.0"/>
        <n v="1600.0"/>
        <n v="76130.0"/>
        <n v="16698.0"/>
        <n v="16986.0"/>
        <n v="28800.0"/>
        <n v="94895.0"/>
        <n v="9375.0"/>
        <n v="8947.0"/>
        <n v="10671.0"/>
        <n v="5523.0"/>
        <n v="15071.0"/>
        <n v="155260.0"/>
        <n v="95762.0"/>
        <n v="63816.0"/>
        <n v="86884.0"/>
        <n v="36503.0"/>
        <n v="217526.0"/>
        <n v="37438.0"/>
        <n v="396802.0"/>
        <n v="41506.0"/>
        <n v="17930.0"/>
        <n v="239363.0"/>
        <n v="18073.0"/>
        <n v="47583.0"/>
        <n v="6758.0"/>
        <n v="71903.0"/>
        <n v="18450.0"/>
        <n v="43261.0"/>
        <n v="43554.0"/>
        <n v="4888.0"/>
        <n v="15309.0"/>
        <n v="53264.0"/>
        <n v="11197.0"/>
        <n v="23764.0"/>
        <n v="14910.0"/>
        <n v="20980.0"/>
        <n v="6601.0"/>
        <n v="13003.0"/>
        <n v="45294.0"/>
        <n v="95989.0"/>
        <n v="10961.0"/>
        <n v="3721.0"/>
        <n v="4942.0"/>
        <n v="39543.0"/>
        <n v="121175.0"/>
        <n v="58336.0"/>
        <n v="17477.0"/>
        <n v="15187.0"/>
        <n v="30196.0"/>
        <n v="17695.0"/>
        <n v="8367.0"/>
        <n v="3821.0"/>
        <n v="4321.0"/>
        <n v="50923.0"/>
        <n v="4595.0"/>
        <n v="60964.0"/>
        <n v="25871.0"/>
        <n v="35860.0"/>
        <n v="18304.0"/>
        <n v="18513.0"/>
        <n v="32060.0"/>
        <n v="55984.0"/>
        <n v="37732.0"/>
        <n v="22155.0"/>
        <n v="4992.0"/>
        <n v="5928.0"/>
        <n v="4168.0"/>
        <n v="12531.0"/>
        <n v="5092.0"/>
        <n v="75638.0"/>
        <n v="3089.0"/>
        <n v="3704.0"/>
        <n v="3340.0"/>
        <n v="6193.0"/>
        <n v="11402.0"/>
        <n v="8673.0"/>
        <n v="3753.0"/>
        <n v="15621.0"/>
        <n v="8527.0"/>
        <n v="13791.0"/>
        <n v="8357.0"/>
        <n v="9901.0"/>
        <n v="1345.0"/>
        <n v="8161.0"/>
        <n v="43853.0"/>
        <n v="67987.0"/>
        <n v="56762.0"/>
        <n v="20942.0"/>
        <n v="866.0"/>
        <n v="9558.0"/>
        <n v="4255.0"/>
        <n v="4063.0"/>
        <n v="10842.0"/>
        <n v="5271.0"/>
        <n v="5230.0"/>
        <n v="8228.0"/>
        <n v="11355.0"/>
        <n v="13600.0"/>
        <n v="22566.0"/>
        <n v="8955.0"/>
        <n v="8047.0"/>
        <n v="6596.0"/>
        <n v="8618.0"/>
        <n v="6473.0"/>
        <n v="4021.0"/>
        <n v="6872.0"/>
        <n v="13128.0"/>
        <n v="4391.0"/>
        <n v="6019.0"/>
        <n v="2226.0"/>
        <n v="7553.0"/>
        <n v="5508.0"/>
        <n v="3339.0"/>
        <n v="3152.0"/>
        <n v="21437.0"/>
        <n v="442979.0"/>
        <n v="41296.0"/>
        <n v="75089.0"/>
        <n v="4345.0"/>
        <n v="10702.0"/>
        <n v="6284.0"/>
        <n v="5263.0"/>
        <n v="3890.0"/>
        <n v="5959.0"/>
        <n v="3059.0"/>
        <n v="1387.0"/>
        <n v="4520.0"/>
        <n v="7615.0"/>
        <n v="4565.0"/>
        <n v="4545.0"/>
        <n v="9202.0"/>
        <n v="3797.0"/>
        <n v="1016.0"/>
        <n v="3650.0"/>
        <n v="8280.0"/>
        <n v="159618.0"/>
        <n v="203987.0"/>
        <n v="25182.0"/>
        <n v="4731.0"/>
        <n v="1403.0"/>
        <n v="44118.0"/>
        <n v="36040.0"/>
        <n v="9613.0"/>
        <n v="18536.0"/>
        <n v="8055.0"/>
        <n v="5900.0"/>
        <n v="4547.0"/>
        <n v="11206.0"/>
        <n v="14213.0"/>
        <n v="6300.0"/>
        <n v="5876.0"/>
        <n v="7938.0"/>
        <n v="23152.0"/>
        <n v="12210.0"/>
        <n v="12130.0"/>
        <n v="30885.0"/>
        <n v="6187.0"/>
        <n v="2960.0"/>
        <n v="2714.0"/>
        <n v="196581.0"/>
        <n v="5218.0"/>
        <n v="9807.0"/>
        <n v="15253.0"/>
        <n v="5152.0"/>
        <n v="6867.0"/>
        <n v="83035.0"/>
        <n v="81956.0"/>
        <n v="9249.0"/>
        <n v="11077.0"/>
        <n v="94625.0"/>
        <n v="9831.0"/>
        <n v="14477.0"/>
        <n v="33602.0"/>
        <n v="105048.0"/>
        <n v="7093.0"/>
        <n v="47065.0"/>
        <n v="76695.0"/>
        <n v="61821.0"/>
        <n v="18717.0"/>
        <n v="7664.0"/>
        <n v="56138.0"/>
        <n v="4689.0"/>
        <n v="16903.0"/>
        <n v="16872.0"/>
        <n v="40733.0"/>
        <n v="86250.0"/>
        <n v="78234.0"/>
        <n v="6240.0"/>
        <n v="2996.0"/>
        <n v="6581.0"/>
        <n v="34008.0"/>
        <n v="67637.0"/>
        <n v="24067.0"/>
        <n v="29091.0"/>
        <n v="80623.0"/>
        <n v="6105.0"/>
        <n v="19169.0"/>
        <n v="18046.0"/>
        <n v="12733.0"/>
        <n v="66972.0"/>
        <n v="7633.0"/>
        <n v="1779.0"/>
        <n v="1923.0"/>
        <n v="24499.0"/>
        <n v="3976.0"/>
        <n v="4163.0"/>
        <n v="3454.0"/>
        <n v="7028.0"/>
        <n v="18348.0"/>
        <n v="7757.0"/>
        <n v="4620.0"/>
        <n v="7064.0"/>
        <n v="17138.0"/>
        <n v="4781.0"/>
        <n v="9830.0"/>
        <n v="6597.0"/>
        <n v="1754.0"/>
        <n v="12668.0"/>
        <n v="7411.0"/>
        <n v="8684.0"/>
        <n v="13626.0"/>
        <n v="8339.0"/>
        <n v="6248.0"/>
        <n v="370429.0"/>
        <n v="881525.0"/>
        <n v="512107.0"/>
        <n v="163786.0"/>
        <n v="47405.0"/>
        <n v="105054.0"/>
        <n v="395852.0"/>
        <n v="326721.0"/>
        <n v="246243.0"/>
        <n v="3093.0"/>
        <n v="13169.0"/>
        <n v="33421.0"/>
        <n v="550519.0"/>
        <n v="114927.0"/>
        <n v="191.0"/>
        <n v="25104.0"/>
        <n v="13542.0"/>
        <n v="221833.0"/>
        <n v="201153.0"/>
        <n v="212140.0"/>
        <n v="25482.0"/>
        <n v="134959.0"/>
        <n v="33865.0"/>
        <n v="148742.0"/>
        <n v="23985.0"/>
        <n v="127042.0"/>
        <n v="176329.0"/>
        <n v="31245.0"/>
        <n v="10434.0"/>
        <n v="8191.0"/>
        <n v="4647.0"/>
        <n v="4735.0"/>
        <n v="5396.0"/>
        <n v="9048.0"/>
        <n v="33355.0"/>
        <n v="12726.0"/>
        <n v="1777.0"/>
        <n v="7106.0"/>
        <n v="27519.0"/>
        <n v="35661.0"/>
        <n v="1295.0"/>
        <n v="11736.0"/>
        <n v="3776.0"/>
        <m/>
      </sharedItems>
    </cacheField>
    <cacheField name="Measurable Impressions" numFmtId="0">
      <sharedItems containsString="0" containsBlank="1" containsNumber="1" containsInteger="1">
        <n v="10242.0"/>
        <n v="13703.0"/>
        <n v="6039.0"/>
        <n v="7654.0"/>
        <n v="18821.0"/>
        <n v="17211.0"/>
        <n v="21704.0"/>
        <n v="12427.0"/>
        <n v="29458.0"/>
        <n v="164487.0"/>
        <n v="44751.0"/>
        <n v="12040.0"/>
        <n v="43535.0"/>
        <n v="2975.0"/>
        <n v="18812.0"/>
        <n v="15752.0"/>
        <n v="71110.0"/>
        <n v="11358.0"/>
        <n v="59462.0"/>
        <n v="66924.0"/>
        <n v="16871.0"/>
        <n v="15714.0"/>
        <n v="11687.0"/>
        <n v="13273.0"/>
        <n v="13873.0"/>
        <n v="19548.0"/>
        <n v="29774.0"/>
        <n v="13461.0"/>
        <n v="11009.0"/>
        <n v="16616.0"/>
        <n v="7862.0"/>
        <n v="9391.0"/>
        <n v="85424.0"/>
        <n v="11852.0"/>
        <n v="10132.0"/>
        <n v="14086.0"/>
        <n v="17815.0"/>
        <n v="41484.0"/>
        <n v="51480.0"/>
        <n v="65080.0"/>
        <n v="70325.0"/>
        <n v="11110.0"/>
        <n v="100222.0"/>
        <n v="23532.0"/>
        <n v="49058.0"/>
        <n v="11931.0"/>
        <n v="15753.0"/>
        <n v="30368.0"/>
        <n v="14049.0"/>
        <n v="16934.0"/>
        <n v="100563.0"/>
        <n v="99311.0"/>
        <n v="140596.0"/>
        <n v="105104.0"/>
        <n v="39750.0"/>
        <n v="104929.0"/>
        <n v="75557.0"/>
        <n v="25003.0"/>
        <n v="60482.0"/>
        <n v="122937.0"/>
        <n v="59369.0"/>
        <n v="184823.0"/>
        <n v="71128.0"/>
        <n v="176562.0"/>
        <n v="13372.0"/>
        <n v="18617.0"/>
        <n v="16300.0"/>
        <n v="10287.0"/>
        <n v="10612.0"/>
        <n v="6215.0"/>
        <n v="11042.0"/>
        <n v="13377.0"/>
        <n v="19480.0"/>
        <n v="11782.0"/>
        <n v="12377.0"/>
        <n v="34123.0"/>
        <n v="7382.0"/>
        <n v="7554.0"/>
        <n v="11524.0"/>
        <n v="33671.0"/>
        <n v="23474.0"/>
        <n v="57543.0"/>
        <n v="9369.0"/>
        <n v="9274.0"/>
        <n v="18087.0"/>
        <n v="35639.0"/>
        <n v="28038.0"/>
        <n v="35043.0"/>
        <n v="21127.0"/>
        <n v="15831.0"/>
        <n v="43298.0"/>
        <n v="15611.0"/>
        <n v="7160.0"/>
        <n v="16558.0"/>
        <n v="42375.0"/>
        <n v="45570.0"/>
        <n v="41918.0"/>
        <n v="62109.0"/>
        <n v="5102.0"/>
        <n v="65374.0"/>
        <n v="7114.0"/>
        <n v="6760.0"/>
        <n v="109463.0"/>
        <n v="43810.0"/>
        <n v="128470.0"/>
        <n v="33779.0"/>
        <n v="27405.0"/>
        <n v="436133.0"/>
        <n v="12644.0"/>
        <n v="12114.0"/>
        <n v="62829.0"/>
        <n v="57434.0"/>
        <n v="20651.0"/>
        <n v="9138.0"/>
        <n v="19654.0"/>
        <n v="76971.0"/>
        <n v="92063.0"/>
        <n v="8882.0"/>
        <n v="18731.0"/>
        <n v="26127.0"/>
        <n v="7154.0"/>
        <n v="7247.0"/>
        <n v="28059.0"/>
        <n v="27357.0"/>
        <n v="11295.0"/>
        <n v="11154.0"/>
        <n v="5883.0"/>
        <n v="41093.0"/>
        <n v="10338.0"/>
        <n v="8009.0"/>
        <n v="7298.0"/>
        <n v="237859.0"/>
        <n v="94941.0"/>
        <n v="8621.0"/>
        <n v="111957.0"/>
        <n v="27542.0"/>
        <n v="79935.0"/>
        <n v="71458.0"/>
        <n v="53603.0"/>
        <n v="8897.0"/>
        <n v="9645.0"/>
        <n v="8925.0"/>
        <n v="21993.0"/>
        <n v="6163.0"/>
        <n v="21497.0"/>
        <n v="23355.0"/>
        <n v="25959.0"/>
        <n v="37660.0"/>
        <n v="13110.0"/>
        <n v="6513.0"/>
        <n v="10311.0"/>
        <n v="13992.0"/>
        <n v="6566.0"/>
        <n v="12505.0"/>
        <n v="8720.0"/>
        <n v="14926.0"/>
        <n v="11636.0"/>
        <n v="13109.0"/>
        <n v="6252.0"/>
        <n v="11170.0"/>
        <n v="16643.0"/>
        <n v="17202.0"/>
        <n v="16711.0"/>
        <n v="10783.0"/>
        <n v="11331.0"/>
        <n v="45565.0"/>
        <n v="1041225.0"/>
        <n v="196583.0"/>
        <n v="300133.0"/>
        <n v="648524.0"/>
        <n v="541133.0"/>
        <n v="24980.0"/>
        <n v="69246.0"/>
        <n v="150003.0"/>
        <n v="385654.0"/>
        <n v="149743.0"/>
        <n v="36526.0"/>
        <n v="37664.0"/>
        <n v="97093.0"/>
        <n v="236426.0"/>
        <n v="50714.0"/>
        <n v="19802.0"/>
        <n v="96539.0"/>
        <n v="51209.0"/>
        <n v="59516.0"/>
        <n v="163634.0"/>
        <n v="54166.0"/>
        <n v="80040.0"/>
        <n v="72874.0"/>
        <n v="69150.0"/>
        <n v="415601.0"/>
        <n v="8619.0"/>
        <n v="10003.0"/>
        <n v="117635.0"/>
        <n v="212073.0"/>
        <n v="137369.0"/>
        <n v="33260.0"/>
        <n v="11388.0"/>
        <n v="9155.0"/>
        <n v="12459.0"/>
        <n v="11234.0"/>
        <n v="99312.0"/>
        <n v="82800.0"/>
        <n v="67027.0"/>
        <n v="77333.0"/>
        <n v="15667.0"/>
        <n v="9096.0"/>
        <n v="25991.0"/>
        <n v="35488.0"/>
        <n v="3482.0"/>
        <n v="6663.0"/>
        <n v="17609.0"/>
        <n v="19588.0"/>
        <n v="101306.0"/>
        <n v="86775.0"/>
        <n v="59893.0"/>
        <n v="81785.0"/>
        <n v="8151.0"/>
        <n v="24752.0"/>
        <n v="19934.0"/>
        <n v="69138.0"/>
        <n v="39522.0"/>
        <n v="247500.0"/>
        <n v="113438.0"/>
        <n v="195447.0"/>
        <n v="45563.0"/>
        <n v="46126.0"/>
        <n v="97903.0"/>
        <n v="67151.0"/>
        <n v="8130.0"/>
        <n v="18079.0"/>
        <n v="17500.0"/>
        <n v="10895.0"/>
        <n v="9042.0"/>
        <n v="10315.0"/>
        <n v="11984.0"/>
        <n v="8191.0"/>
        <n v="11500.0"/>
        <n v="14331.0"/>
        <n v="16755.0"/>
        <n v="112913.0"/>
        <n v="7832.0"/>
        <n v="83922.0"/>
        <n v="12173.0"/>
        <n v="65390.0"/>
        <n v="106432.0"/>
        <n v="19576.0"/>
        <n v="21161.0"/>
        <n v="14456.0"/>
        <n v="31192.0"/>
        <n v="51299.0"/>
        <n v="5881.0"/>
        <n v="11497.0"/>
        <n v="116235.0"/>
        <n v="60868.0"/>
        <n v="26934.0"/>
        <n v="35247.0"/>
        <n v="66739.0"/>
        <n v="49382.0"/>
        <n v="18132.0"/>
        <n v="82985.0"/>
        <n v="64819.0"/>
        <n v="69530.0"/>
        <n v="31974.0"/>
        <n v="8751.0"/>
        <n v="8230.0"/>
        <n v="16749.0"/>
        <n v="15365.0"/>
        <n v="12487.0"/>
        <n v="10596.0"/>
        <n v="15428.0"/>
        <n v="70015.0"/>
        <n v="6867.0"/>
        <n v="12676.0"/>
        <n v="11432.0"/>
        <n v="19288.0"/>
        <n v="7413.0"/>
        <n v="21192.0"/>
        <n v="8648.0"/>
        <n v="13041.0"/>
        <n v="16192.0"/>
        <n v="14527.0"/>
        <n v="11886.0"/>
        <n v="120688.0"/>
        <n v="72687.0"/>
        <n v="20625.0"/>
        <n v="7088.0"/>
        <n v="8526.0"/>
        <n v="18261.0"/>
        <n v="9999.0"/>
        <n v="7441.0"/>
        <n v="13237.0"/>
        <n v="19291.0"/>
        <n v="99065.0"/>
        <n v="85900.0"/>
        <n v="38030.0"/>
        <n v="22276.0"/>
        <n v="34812.0"/>
        <n v="97166.0"/>
        <n v="76803.0"/>
        <n v="21281.0"/>
        <n v="7266.0"/>
        <n v="16044.0"/>
        <n v="19679.0"/>
        <n v="8462.0"/>
        <n v="8450.0"/>
        <n v="91910.0"/>
        <n v="45597.0"/>
        <n v="55929.0"/>
        <n v="46446.0"/>
        <n v="65800.0"/>
        <n v="35126.0"/>
        <n v="15208.0"/>
        <n v="8141.0"/>
        <n v="7643.0"/>
        <n v="7227.0"/>
        <n v="8210.0"/>
        <n v="135099.0"/>
        <n v="172515.0"/>
        <n v="11922.0"/>
        <n v="7480.0"/>
        <n v="14815.0"/>
        <n v="7232.0"/>
        <n v="11490.0"/>
        <n v="128004.0"/>
        <n v="3373.0"/>
        <n v="27750.0"/>
        <n v="12878.0"/>
        <n v="91976.0"/>
        <n v="76071.0"/>
        <n v="94019.0"/>
        <n v="23328.0"/>
        <n v="36335.0"/>
        <n v="200859.0"/>
        <n v="4324.0"/>
        <n v="127130.0"/>
        <n v="178415.0"/>
        <n v="7050.0"/>
        <n v="85013.0"/>
        <n v="167406.0"/>
        <n v="63614.0"/>
        <n v="30084.0"/>
        <n v="80451.0"/>
        <n v="1177859.0"/>
        <n v="634059.0"/>
        <n v="955905.0"/>
        <n v="1731673.0"/>
        <n v="21076.0"/>
        <n v="953556.0"/>
        <n v="161848.0"/>
        <n v="642404.0"/>
        <n v="1516537.0"/>
        <n v="720606.0"/>
        <n v="10860.0"/>
        <n v="30708.0"/>
        <n v="853964.0"/>
        <n v="443202.0"/>
        <n v="19274.0"/>
        <n v="22656.0"/>
        <n v="9378.0"/>
        <n v="488921.0"/>
        <n v="691696.0"/>
        <n v="2054.0"/>
        <n v="428761.0"/>
        <n v="17040.0"/>
        <n v="35934.0"/>
        <n v="634589.0"/>
        <n v="28429.0"/>
        <n v="10606.0"/>
        <n v="25986.0"/>
        <n v="20922.0"/>
        <n v="8778.0"/>
        <n v="37295.0"/>
        <n v="6361.0"/>
        <n v="13393.0"/>
        <n v="86127.0"/>
        <n v="21345.0"/>
        <n v="15088.0"/>
        <n v="7324.0"/>
        <n v="11360.0"/>
        <n v="17138.0"/>
        <n v="6406.0"/>
        <n v="36629.0"/>
        <n v="6692.0"/>
        <n v="2465.0"/>
        <n v="14192.0"/>
        <n v="2059.0"/>
        <n v="12323.0"/>
        <n v="36080.0"/>
        <n v="23556.0"/>
        <n v="7434.0"/>
        <n v="35118.0"/>
        <n v="9413.0"/>
        <n v="11731.0"/>
        <n v="30764.0"/>
        <n v="109518.0"/>
        <n v="22565.0"/>
        <n v="48902.0"/>
        <n v="852442.0"/>
        <n v="3445626.0"/>
        <n v="1120128.0"/>
        <n v="829942.0"/>
        <n v="1396230.0"/>
        <n v="1447900.0"/>
        <n v="378011.0"/>
        <n v="1487426.0"/>
        <n v="21893.0"/>
        <n v="10959.0"/>
        <n v="157940.0"/>
        <n v="24656.0"/>
        <n v="86571.0"/>
        <n v="2669103.0"/>
        <n v="90615.0"/>
        <n v="8823.0"/>
        <n v="247450.0"/>
        <n v="42427.0"/>
        <n v="47535.0"/>
        <n v="251319.0"/>
        <n v="65383.0"/>
        <n v="52172.0"/>
        <n v="136036.0"/>
        <n v="467646.0"/>
        <n v="263424.0"/>
        <n v="256841.0"/>
        <n v="78396.0"/>
        <n v="38916.0"/>
        <n v="95871.0"/>
        <n v="7229.0"/>
        <n v="22261.0"/>
        <n v="16134.0"/>
        <n v="8264.0"/>
        <n v="36245.0"/>
        <n v="8869.0"/>
        <n v="48389.0"/>
        <n v="6863.0"/>
        <n v="10487.0"/>
        <n v="10991.0"/>
        <n v="76531.0"/>
        <n v="183688.0"/>
        <n v="11974.0"/>
        <n v="177952.0"/>
        <n v="19860.0"/>
        <n v="14459.0"/>
        <n v="39250.0"/>
        <n v="14466.0"/>
        <n v="48019.0"/>
        <n v="7869.0"/>
        <n v="59169.0"/>
        <n v="67406.0"/>
        <n v="10731.0"/>
        <n v="13775.0"/>
        <n v="6379.0"/>
        <n v="10690.0"/>
        <n v="14526.0"/>
        <n v="11345.0"/>
        <n v="133578.0"/>
        <n v="23798.0"/>
        <n v="26606.0"/>
        <n v="68566.0"/>
        <n v="145113.0"/>
        <n v="15562.0"/>
        <n v="14256.0"/>
        <n v="12937.0"/>
        <n v="10267.0"/>
        <n v="19095.0"/>
        <n v="169583.0"/>
        <n v="104612.0"/>
        <n v="70011.0"/>
        <n v="94687.0"/>
        <n v="40051.0"/>
        <n v="240731.0"/>
        <n v="40447.0"/>
        <n v="437639.0"/>
        <n v="46163.0"/>
        <n v="19822.0"/>
        <n v="261467.0"/>
        <n v="19655.0"/>
        <n v="51275.0"/>
        <n v="7537.0"/>
        <n v="80390.0"/>
        <n v="24128.0"/>
        <n v="55261.0"/>
        <n v="56558.0"/>
        <n v="12885.0"/>
        <n v="7510.0"/>
        <n v="20244.0"/>
        <n v="68123.0"/>
        <n v="16687.0"/>
        <n v="29364.0"/>
        <n v="20074.0"/>
        <n v="55050.0"/>
        <n v="18909.0"/>
        <n v="21286.0"/>
        <n v="77646.0"/>
        <n v="173923.0"/>
        <n v="15451.0"/>
        <n v="5564.0"/>
        <n v="6868.0"/>
        <n v="54290.0"/>
        <n v="213280.0"/>
        <n v="103569.0"/>
        <n v="38621.0"/>
        <n v="37408.0"/>
        <n v="62327.0"/>
        <n v="37108.0"/>
        <n v="15731.0"/>
        <n v="12741.0"/>
        <n v="9646.0"/>
        <n v="104074.0"/>
        <n v="13765.0"/>
        <n v="108301.0"/>
        <n v="53969.0"/>
        <n v="79837.0"/>
        <n v="44891.0"/>
        <n v="40506.0"/>
        <n v="45251.0"/>
        <n v="99432.0"/>
        <n v="60357.0"/>
        <n v="43802.0"/>
        <n v="10245.0"/>
        <n v="13298.0"/>
        <n v="9768.0"/>
        <n v="28461.0"/>
        <n v="34373.0"/>
        <n v="153987.0"/>
        <n v="13644.0"/>
        <n v="30227.0"/>
        <n v="11662.0"/>
        <n v="8682.0"/>
        <n v="14231.0"/>
        <n v="18578.0"/>
        <n v="20808.0"/>
        <n v="32539.0"/>
        <n v="12625.0"/>
        <n v="25315.0"/>
        <n v="11461.0"/>
        <n v="16266.0"/>
        <n v="8187.0"/>
        <n v="9951.0"/>
        <n v="58642.0"/>
        <n v="79409.0"/>
        <n v="76198.0"/>
        <n v="33479.0"/>
        <n v="13268.0"/>
        <n v="15426.0"/>
        <n v="7669.0"/>
        <n v="9941.0"/>
        <n v="14953.0"/>
        <n v="7065.0"/>
        <n v="6923.0"/>
        <n v="13396.0"/>
        <n v="21740.0"/>
        <n v="20256.0"/>
        <n v="30685.0"/>
        <n v="13829.0"/>
        <n v="33641.0"/>
        <n v="13880.0"/>
        <n v="41618.0"/>
        <n v="17081.0"/>
        <n v="11403.0"/>
        <n v="14248.0"/>
        <n v="27596.0"/>
        <n v="9098.0"/>
        <n v="10952.0"/>
        <n v="16510.0"/>
        <n v="15201.0"/>
        <n v="11539.0"/>
        <n v="7891.0"/>
        <n v="6464.0"/>
        <n v="27586.0"/>
        <n v="611813.0"/>
        <n v="53472.0"/>
        <n v="179723.0"/>
        <n v="8376.0"/>
        <n v="21034.0"/>
        <n v="10919.0"/>
        <n v="9921.0"/>
        <n v="5905.0"/>
        <n v="7947.0"/>
        <n v="6523.0"/>
        <n v="9924.0"/>
        <n v="8037.0"/>
        <n v="14939.0"/>
        <n v="53407.0"/>
        <n v="15617.0"/>
        <n v="85273.0"/>
        <n v="51520.0"/>
        <n v="13468.0"/>
        <n v="55128.0"/>
        <n v="107935.0"/>
        <n v="233150.0"/>
        <n v="338107.0"/>
        <n v="44696.0"/>
        <n v="15332.0"/>
        <n v="13410.0"/>
        <n v="91080.0"/>
        <n v="40684.0"/>
        <n v="11247.0"/>
        <n v="21019.0"/>
        <n v="12724.0"/>
        <n v="10175.0"/>
        <n v="9666.0"/>
        <n v="19459.0"/>
        <n v="8928.0"/>
        <n v="15969.0"/>
        <n v="23455.0"/>
        <n v="10089.0"/>
        <n v="10048.0"/>
        <n v="14030.0"/>
        <n v="35857.0"/>
        <n v="38039.0"/>
        <n v="24129.0"/>
        <n v="151358.0"/>
        <n v="17166.0"/>
        <n v="9953.0"/>
        <n v="9332.0"/>
        <n v="379758.0"/>
        <n v="10763.0"/>
        <n v="68568.0"/>
        <n v="35453.0"/>
        <n v="30383.0"/>
        <n v="9347.0"/>
        <n v="782482.0"/>
        <n v="624118.0"/>
        <n v="31564.0"/>
        <n v="30190.0"/>
        <n v="180681.0"/>
        <n v="25153.0"/>
        <n v="63640.0"/>
        <n v="139167.0"/>
        <n v="167814.0"/>
        <n v="238629.0"/>
        <n v="19681.0"/>
        <n v="73640.0"/>
        <n v="183585.0"/>
        <n v="145505.0"/>
        <n v="46367.0"/>
        <n v="21698.0"/>
        <n v="88836.0"/>
        <n v="31363.0"/>
        <n v="149653.0"/>
        <n v="32085.0"/>
        <n v="477114.0"/>
        <n v="198209.0"/>
        <n v="438695.0"/>
        <n v="9672.0"/>
        <n v="49686.0"/>
        <n v="44917.0"/>
        <n v="195803.0"/>
        <n v="145416.0"/>
        <n v="58308.0"/>
        <n v="143813.0"/>
        <n v="181763.0"/>
        <n v="26283.0"/>
        <n v="182583.0"/>
        <n v="27358.0"/>
        <n v="203986.0"/>
        <n v="191183.0"/>
        <n v="11053.0"/>
        <n v="12458.0"/>
        <n v="15085.0"/>
        <n v="34496.0"/>
        <n v="5219.0"/>
        <n v="5586.0"/>
        <n v="5510.0"/>
        <n v="10191.0"/>
        <n v="25950.0"/>
        <n v="12630.0"/>
        <n v="22254.0"/>
        <n v="10028.0"/>
        <n v="15433.0"/>
        <n v="35689.0"/>
        <n v="7943.0"/>
        <n v="11658.0"/>
        <n v="13508.0"/>
        <n v="8343.0"/>
        <n v="18613.0"/>
        <n v="16576.0"/>
        <n v="11766.0"/>
        <n v="22109.0"/>
        <n v="13051.0"/>
        <n v="10141.0"/>
        <n v="820340.0"/>
        <n v="1550866.0"/>
        <n v="1088748.0"/>
        <n v="374116.0"/>
        <n v="100881.0"/>
        <n v="260998.0"/>
        <n v="699064.0"/>
        <n v="700814.0"/>
        <n v="532325.0"/>
        <n v="6897.0"/>
        <n v="26688.0"/>
        <n v="66729.0"/>
        <n v="977978.0"/>
        <n v="255481.0"/>
        <n v="15564.0"/>
        <n v="61242.0"/>
        <n v="32456.0"/>
        <n v="480882.0"/>
        <n v="557263.0"/>
        <n v="389474.0"/>
        <n v="54149.0"/>
        <n v="274790.0"/>
        <n v="78662.0"/>
        <n v="313071.0"/>
        <n v="63853.0"/>
        <n v="225121.0"/>
        <n v="450103.0"/>
        <n v="49089.0"/>
        <n v="11493.0"/>
        <n v="53104.0"/>
        <n v="13641.0"/>
        <n v="9909.0"/>
        <n v="6390.0"/>
        <n v="7417.0"/>
        <n v="12326.0"/>
        <n v="295405.0"/>
        <n v="24442.0"/>
        <n v="13189.0"/>
        <n v="270098.0"/>
        <n v="292992.0"/>
        <n v="9196.0"/>
        <n v="113735.0"/>
        <n v="9581.0"/>
        <m/>
      </sharedItems>
    </cacheField>
    <cacheField name="Total Conversions" numFmtId="0">
      <sharedItems containsString="0" containsBlank="1" containsNumber="1" containsInteger="1">
        <n v="11.0"/>
        <n v="8.0"/>
        <n v="2.0"/>
        <n v="15.0"/>
        <n v="12.0"/>
        <n v="3.0"/>
        <n v="4.0"/>
        <n v="13.0"/>
        <n v="5.0"/>
        <n v="10.0"/>
        <n v="24.0"/>
        <n v="16.0"/>
        <n v="6.0"/>
        <n v="97.0"/>
        <n v="7.0"/>
        <n v="14.0"/>
        <n v="21.0"/>
        <n v="9.0"/>
        <n v="26.0"/>
        <n v="19.0"/>
        <n v="1.0"/>
        <n v="20.0"/>
        <n v="56.0"/>
        <n v="125.0"/>
        <n v="69.0"/>
        <n v="22.0"/>
        <n v="17.0"/>
        <n v="147.0"/>
        <n v="55.0"/>
        <n v="39.0"/>
        <n v="78.0"/>
        <n v="18.0"/>
        <n v="36.0"/>
        <n v="23.0"/>
        <n v="25.0"/>
        <n v="28.0"/>
        <n v="123.0"/>
        <n v="37.0"/>
        <n v="31.0"/>
        <n v="106.0"/>
        <n v="34.0"/>
        <n v="32.0"/>
        <n v="154.0"/>
        <n v="42.0"/>
        <n v="49.0"/>
        <n v="88.0"/>
        <n v="30.0"/>
        <n v="29.0"/>
        <n v="70.0"/>
        <n v="43.0"/>
        <n v="74.0"/>
        <n v="33.0"/>
        <n v="41.0"/>
        <n v="44.0"/>
        <n v="63.0"/>
        <m/>
      </sharedItems>
    </cacheField>
    <cacheField name="Gross Cost" numFmtId="0">
      <sharedItems containsString="0" containsBlank="1" containsNumber="1">
        <n v="6136.133902"/>
        <n v="6996.231838"/>
        <n v="6506.433687"/>
        <n v="6244.517921"/>
        <n v="6173.41289"/>
        <n v="5740.952219"/>
        <n v="5706.864417"/>
        <n v="5190.535998"/>
        <n v="4752.816685"/>
        <n v="2194.987125"/>
        <n v="2025.784019"/>
        <n v="1970.357345"/>
        <n v="1694.470977"/>
        <n v="1679.833815"/>
        <n v="1534.698"/>
        <n v="1447.873298"/>
        <n v="7065.66928"/>
        <n v="1706.224318"/>
        <n v="1605.566031"/>
        <n v="1524.810224"/>
        <n v="4899.155955"/>
        <n v="1588.6475"/>
        <n v="1521.185189"/>
        <n v="1476.536841"/>
        <n v="6195.840734"/>
        <n v="1596.552373"/>
        <n v="5083.886273"/>
        <n v="6397.602518"/>
        <n v="2653.981579"/>
        <n v="7294.100001"/>
        <n v="2100.820137"/>
        <n v="1500.09932"/>
        <n v="7004.730483"/>
        <n v="1905.889693"/>
        <n v="1675.987427"/>
        <n v="1505.009635"/>
        <n v="6612.14569"/>
        <n v="5884.931394"/>
        <n v="2039.35506"/>
        <n v="1557.01573"/>
        <n v="1506.461108"/>
        <n v="2087.509827"/>
        <n v="2505.403543"/>
        <n v="6751.558981"/>
        <n v="5741.098045"/>
        <n v="4660.560369"/>
        <n v="2200.297094"/>
        <n v="1910.436686"/>
        <n v="1850.464205"/>
        <n v="2866.496671"/>
        <n v="6850.576483"/>
        <n v="6616.88066"/>
        <n v="6605.586158"/>
        <n v="5803.331454"/>
        <n v="5214.298693"/>
        <n v="5124.435934"/>
        <n v="5054.481581"/>
        <n v="4623.089672"/>
        <n v="2905.884162"/>
        <n v="2196.661232"/>
        <n v="2096.285549"/>
        <n v="2027.431388"/>
        <n v="1790.390198"/>
        <n v="1599.715069"/>
        <n v="1574.79128"/>
        <n v="1470.971925"/>
        <n v="1456.934187"/>
        <n v="1759.704833"/>
        <n v="1573.25409"/>
        <n v="1700.795736"/>
        <n v="6815.712325"/>
        <n v="5729.650755"/>
        <n v="2921.110207"/>
        <n v="1808.307918"/>
        <n v="1807.693142"/>
        <n v="2141.469346"/>
        <n v="1525.962329"/>
        <n v="5995.041002"/>
        <n v="6350.916905"/>
        <n v="6336.7181"/>
        <n v="4253.979116"/>
        <n v="1455.703554"/>
        <n v="6879.587097"/>
        <n v="1682.338499"/>
        <n v="6785.063293"/>
        <n v="6753.595242"/>
        <n v="5994.746834"/>
        <n v="3285.834522"/>
        <n v="1632.472782"/>
        <n v="6386.464232"/>
        <n v="4728.012406"/>
        <n v="1991.94384"/>
        <n v="1472.110115"/>
        <n v="6846.447915"/>
        <n v="6417.876169"/>
        <n v="6346.633024"/>
        <n v="4701.496237"/>
        <n v="1890.885935"/>
        <n v="1778.937935"/>
        <n v="1510.61532"/>
        <n v="1481.945157"/>
        <n v="6812.588702"/>
        <n v="6721.094453"/>
        <n v="6708.463351"/>
        <n v="6040.595578"/>
        <n v="5738.809089"/>
        <n v="4250.430439"/>
        <n v="3870.253867"/>
        <n v="2032.700147"/>
        <n v="1936.130798"/>
        <n v="1838.98773"/>
        <n v="1599.076249"/>
        <n v="1541.214047"/>
        <n v="5776.508186"/>
        <n v="3060.424769"/>
        <n v="1517.244377"/>
        <n v="4742.008637"/>
        <n v="2636.202124"/>
        <n v="7311.99875"/>
        <n v="5292.896913"/>
        <n v="6684.062804"/>
        <n v="6162.320833"/>
        <n v="2122.765888"/>
        <n v="3339.454322"/>
        <n v="2127.323828"/>
        <n v="1816.030806"/>
        <n v="2183.952037"/>
        <n v="1530.553686"/>
        <n v="1483.452706"/>
        <n v="6051.334623"/>
        <n v="5038.714067"/>
        <n v="8168.347077"/>
        <n v="6542.612428"/>
        <n v="4934.851563"/>
        <n v="4918.040982"/>
        <n v="2163.265346"/>
        <n v="1809.590961"/>
        <n v="1803.139812"/>
        <n v="1498.3009"/>
        <n v="2365.914372"/>
        <n v="3105.283004"/>
        <n v="3408.076049"/>
        <n v="2959.114973"/>
        <n v="5000.761206"/>
        <n v="6047.174109"/>
        <n v="5573.112396"/>
        <n v="2120.757698"/>
        <n v="3621.417703"/>
        <n v="6345.460338"/>
        <n v="5379.00144"/>
        <n v="1657.159766"/>
        <n v="1578.876432"/>
        <n v="1504.784161"/>
        <n v="6968.00047"/>
        <n v="6774.202636"/>
        <n v="1572.24171"/>
        <n v="3069.123483"/>
        <n v="1583.537104"/>
        <n v="6420.218123"/>
        <n v="2002.537989"/>
        <n v="4051.158749"/>
        <n v="6571.491552"/>
        <n v="5244.34174"/>
        <n v="5218.070231"/>
        <n v="1478.392247"/>
        <n v="1471.175728"/>
        <n v="7979.348589"/>
        <n v="7890.221963"/>
        <n v="7887.612662"/>
        <n v="7814.262494"/>
        <n v="7129.633287"/>
        <n v="6809.356022"/>
        <n v="6651.51451"/>
        <n v="5892.48218"/>
        <n v="5864.126493"/>
        <n v="5767.797381"/>
        <n v="5692.765813"/>
        <n v="5328.524514"/>
        <n v="5266.424233"/>
        <n v="5150.468923"/>
        <n v="5144.474371"/>
        <n v="4574.34827"/>
        <n v="2015.448331"/>
        <n v="1981.050288"/>
        <n v="1945.433188"/>
        <n v="1625.17488"/>
        <n v="1609.149933"/>
        <n v="1579.367346"/>
        <n v="1566.912406"/>
        <n v="1558.549138"/>
        <n v="1554.439959"/>
        <n v="1536.629068"/>
        <n v="1500.026152"/>
        <n v="1487.088288"/>
        <n v="1464.348944"/>
        <n v="1464.064235"/>
        <n v="1453.075462"/>
        <n v="1442.032183"/>
        <n v="1595.752624"/>
        <n v="5632.087973"/>
        <n v="1466.285104"/>
        <n v="3993.214585"/>
        <n v="3223.535948"/>
        <n v="1788.111618"/>
        <n v="1584.821247"/>
        <n v="1610.319977"/>
        <n v="1453.11439"/>
        <n v="1452.59056"/>
        <n v="5530.800458"/>
        <n v="6211.200147"/>
        <n v="1624.840774"/>
        <n v="1611.340211"/>
        <n v="1500.41822"/>
        <n v="6510.446656"/>
        <n v="5587.763675"/>
        <n v="3132.519209"/>
        <n v="6861.53638"/>
        <n v="1763.784061"/>
        <n v="7264.58761"/>
        <n v="7210.686506"/>
        <n v="6942.800458"/>
        <n v="6766.475368"/>
        <n v="6395.550624"/>
        <n v="5808.911254"/>
        <n v="5401.365085"/>
        <n v="2215.631845"/>
        <n v="1631.741712"/>
        <n v="1616.714722"/>
        <n v="1519.596552"/>
        <n v="1493.779328"/>
        <n v="4961.478884"/>
        <n v="4727.813916"/>
        <n v="3411.590029"/>
        <n v="5574.543505"/>
        <n v="6245.134793"/>
        <n v="7851.397478"/>
        <n v="6879.601707"/>
        <n v="5224.932463"/>
        <n v="6943.515824"/>
        <n v="6768.758768"/>
        <n v="6492.676343"/>
        <n v="5973.379892"/>
        <n v="5669.14476"/>
        <n v="5099.28249"/>
        <n v="4514.952724"/>
        <n v="1786.105122"/>
        <n v="1649.459852"/>
        <n v="1620.1655"/>
        <n v="1614.309013"/>
        <n v="1543.310611"/>
        <n v="1502.01775"/>
        <n v="5033.482578"/>
        <n v="1720.870126"/>
        <n v="7663.695294"/>
        <n v="6832.940067"/>
        <n v="6096.045521"/>
        <n v="5343.459431"/>
        <n v="2514.868116"/>
        <n v="2172.841747"/>
        <n v="1801.14885"/>
        <n v="1731.584862"/>
        <n v="1667.655895"/>
        <n v="1493.204528"/>
        <n v="1477.493357"/>
        <n v="4986.51937"/>
        <n v="5216.648879"/>
        <n v="5195.234677"/>
        <n v="1570.34276"/>
        <n v="1530.041892"/>
        <n v="2430.243664"/>
        <n v="5409.083955"/>
        <n v="4669.013669"/>
        <n v="4582.453291"/>
        <n v="2901.209509"/>
        <n v="1659.932713"/>
        <n v="1609.880674"/>
        <n v="3268.007134"/>
        <n v="6745.10344"/>
        <n v="1758.098365"/>
        <n v="1475.245119"/>
        <n v="6765.0004"/>
        <n v="1965.738947"/>
        <n v="1973.562233"/>
        <n v="5038.644724"/>
        <n v="6185.002486"/>
        <n v="2922.286102"/>
        <n v="1730.37357"/>
        <n v="6511.029576"/>
        <n v="1500.722291"/>
        <n v="5284.27704"/>
        <n v="4689.521024"/>
        <n v="1526.787066"/>
        <n v="1441.631095"/>
        <n v="6407.581828"/>
        <n v="6369.811226"/>
        <n v="1476.419509"/>
        <n v="2856.165425"/>
        <n v="6316.488054"/>
        <n v="5045.93793"/>
        <n v="1463.842874"/>
        <n v="2060.993882"/>
        <n v="6486.853909"/>
        <n v="1547.513459"/>
        <n v="3563.098841"/>
        <n v="1503.205183"/>
        <n v="1473.192464"/>
        <n v="6587.243331"/>
        <n v="5702.290265"/>
        <n v="4881.198269"/>
        <n v="3628.34617"/>
        <n v="2649.997803"/>
        <n v="1725.271363"/>
        <n v="1639.813696"/>
        <n v="1583.164302"/>
        <n v="6381.006576"/>
        <n v="1539.60069"/>
        <n v="5711.39201"/>
        <n v="5906.830006"/>
        <n v="4742.047766"/>
        <n v="3137.143043"/>
        <n v="1908.526117"/>
        <n v="1825.725708"/>
        <n v="6781.821647"/>
        <n v="5616.309402"/>
        <n v="7222.211408"/>
        <n v="6756.295179"/>
        <n v="6643.966542"/>
        <n v="5979.67"/>
        <n v="5831.225793"/>
        <n v="5783.843758"/>
        <n v="5284.685565"/>
        <n v="4977.784794"/>
        <n v="4439.368082"/>
        <n v="4196.936777"/>
        <n v="3434.731153"/>
        <n v="1946.050447"/>
        <n v="1803.081497"/>
        <n v="1650.72301"/>
        <n v="1579.379602"/>
        <n v="1568.73602"/>
        <n v="1507.946851"/>
        <n v="1498.29154"/>
        <n v="1442.22799"/>
        <n v="8187.114541"/>
        <n v="8054.141368"/>
        <n v="7788.701621"/>
        <n v="7730.240616"/>
        <n v="7657.108034"/>
        <n v="7495.749847"/>
        <n v="7149.816075"/>
        <n v="6024.422487"/>
        <n v="5906.464967"/>
        <n v="5816.234619"/>
        <n v="5287.567528"/>
        <n v="5239.204787"/>
        <n v="5181.087383"/>
        <n v="4963.966251"/>
        <n v="2468.135837"/>
        <n v="2294.003778"/>
        <n v="2236.485099"/>
        <n v="1733.830172"/>
        <n v="1726.249457"/>
        <n v="1713.978863"/>
        <n v="1594.463397"/>
        <n v="1540.46935"/>
        <n v="1521.372273"/>
        <n v="1477.424856"/>
        <n v="1470.670167"/>
        <n v="6439.283498"/>
        <n v="4984.485583"/>
        <n v="1661.167909"/>
        <n v="4942.283987"/>
        <n v="4718.836114"/>
        <n v="1755.484542"/>
        <n v="5154.644555"/>
        <n v="5102.706729"/>
        <n v="2539.200563"/>
        <n v="1591.772246"/>
        <n v="1505.01155"/>
        <n v="1936.008049"/>
        <n v="3827.366381"/>
        <n v="1560.449936"/>
        <n v="2127.824066"/>
        <n v="6120.602514"/>
        <n v="5874.00478"/>
        <n v="2753.711986"/>
        <n v="1826.318738"/>
        <n v="6431.555152"/>
        <n v="6846.356434"/>
        <n v="6396.868763"/>
        <n v="5740.164546"/>
        <n v="1805.926086"/>
        <n v="1593.010399"/>
        <n v="1506.624304"/>
        <n v="2059.270294"/>
        <n v="1487.996078"/>
        <n v="1912.966882"/>
        <n v="8042.897949"/>
        <n v="8038.570371"/>
        <n v="7880.770406"/>
        <n v="7879.316787"/>
        <n v="7850.644244"/>
        <n v="7818.648297"/>
        <n v="7462.677935"/>
        <n v="6785.70979"/>
        <n v="6417.264564"/>
        <n v="6301.868847"/>
        <n v="6176.004154"/>
        <n v="6032.837114"/>
        <n v="5999.993781"/>
        <n v="5756.271172"/>
        <n v="5153.117204"/>
        <n v="4920.23463"/>
        <n v="4445.874629"/>
        <n v="4386.648215"/>
        <n v="2801.584386"/>
        <n v="2255.522409"/>
        <n v="2039.848792"/>
        <n v="1679.572708"/>
        <n v="1658.332426"/>
        <n v="1600.769588"/>
        <n v="1576.051434"/>
        <n v="1543.612655"/>
        <n v="1508.90767"/>
        <n v="1487.228625"/>
        <n v="1483.384404"/>
        <n v="1738.995282"/>
        <n v="6643.161647"/>
        <n v="5101.321655"/>
        <n v="6683.225487"/>
        <n v="7098.889706"/>
        <n v="1942.482395"/>
        <n v="1718.471077"/>
        <n v="1247.0"/>
        <n v="4704.249956"/>
        <n v="7227.417349"/>
        <n v="6730.012549"/>
        <n v="6335.948388"/>
        <n v="5637.303497"/>
        <n v="2682.436623"/>
        <n v="1718.513762"/>
        <n v="2127.495962"/>
        <n v="6789.533401"/>
        <n v="5714.523867"/>
        <n v="5200.010118"/>
        <n v="5184.585424"/>
        <n v="1924.162675"/>
        <n v="1465.872266"/>
        <n v="2030.142709"/>
        <n v="6727.440499"/>
        <n v="2600.894327"/>
        <n v="6159.366902"/>
        <n v="1555.112078"/>
        <n v="3518.533482"/>
        <n v="6368.862913"/>
        <n v="6094.666799"/>
        <n v="5175.142919"/>
        <n v="1801.058111"/>
        <n v="1567.366071"/>
        <n v="1496.668524"/>
        <n v="2387.686295"/>
        <n v="1724.417704"/>
        <n v="1574.709734"/>
        <n v="1554.389215"/>
        <n v="1952.463773"/>
        <n v="7863.469709"/>
        <n v="7443.483233"/>
        <n v="7261.86504"/>
        <n v="6624.221175"/>
        <n v="6550.30297"/>
        <n v="4874.651722"/>
        <n v="2040.934819"/>
        <n v="2037.865594"/>
        <n v="1628.882813"/>
        <n v="1623.681601"/>
        <n v="1605.538072"/>
        <n v="1550.076655"/>
        <n v="1532.757905"/>
        <n v="1526.296619"/>
        <n v="1500.838771"/>
        <n v="6809.056051"/>
        <n v="5841.15136"/>
        <n v="5247.623883"/>
        <n v="1699.060809"/>
        <n v="6980.229304"/>
        <n v="6837.510602"/>
        <n v="6392.471955"/>
        <n v="2407.794325"/>
        <n v="2360.555244"/>
        <n v="1909.277483"/>
        <n v="2463.821917"/>
        <n v="1743.078687"/>
        <n v="1522.517949"/>
        <n v="6808.562584"/>
        <n v="2549.115158"/>
        <n v="1658.358536"/>
        <n v="1655.792857"/>
        <n v="6177.464545"/>
        <n v="3754.685247"/>
        <n v="7360.992969"/>
        <n v="6928.006202"/>
        <n v="6644.954146"/>
        <n v="6321.491689"/>
        <n v="6318.413085"/>
        <n v="6130.368425"/>
        <n v="5886.071146"/>
        <n v="5296.970091"/>
        <n v="4921.594843"/>
        <n v="4036.089376"/>
        <n v="3122.942574"/>
        <n v="2679.154068"/>
        <n v="2347.918531"/>
        <n v="2217.932092"/>
        <n v="2160.307325"/>
        <n v="1980.393834"/>
        <n v="1978.609661"/>
        <n v="1942.847513"/>
        <n v="1801.349131"/>
        <n v="1595.659466"/>
        <n v="1576.38921"/>
        <n v="1570.29739"/>
        <n v="1504.329214"/>
        <n v="1503.484311"/>
        <n v="1608.882952"/>
        <n v="6761.073824"/>
        <n v="1904.564346"/>
        <n v="1689.083186"/>
        <n v="1447.927193"/>
        <n v="4594.604003"/>
        <n v="1522.512272"/>
        <n v="7292.135059"/>
        <n v="5751.912297"/>
        <n v="3844.991165"/>
        <n v="1639.72335"/>
        <n v="6450.918637"/>
        <n v="1543.66142"/>
        <n v="2496.785436"/>
        <n v="1665.160445"/>
        <n v="2582.493847"/>
        <n v="2139.065793"/>
        <n v="1761.079323"/>
        <n v="1532.357841"/>
        <n v="1527.97628"/>
        <n v="5521.18913"/>
        <n v="1814.098581"/>
        <n v="2239.262819"/>
        <n v="1911.931953"/>
        <n v="6860.359597"/>
        <n v="1880.533168"/>
        <n v="6298.513929"/>
        <n v="6114.034936"/>
        <n v="5912.260975"/>
        <n v="5551.387415"/>
        <n v="1866.34747"/>
        <n v="1531.926885"/>
        <n v="6502.274933"/>
        <n v="5492.821648"/>
        <n v="5464.109817"/>
        <n v="5206.238968"/>
        <n v="2176.657469"/>
        <n v="2133.077113"/>
        <n v="1737.843485"/>
        <n v="1524.470523"/>
        <n v="4156.713383"/>
        <n v="1529.307229"/>
        <n v="1502.680139"/>
        <n v="5086.08996"/>
        <n v="6994.085353"/>
        <n v="5603.048132"/>
        <n v="6858.578118"/>
        <n v="2452.997504"/>
        <n v="2028.370144"/>
        <n v="1451.808544"/>
        <n v="5007.525805"/>
        <n v="6404.003128"/>
        <n v="7273.265988"/>
        <n v="2641.478397"/>
        <n v="5927.806788"/>
        <n v="6997.468963"/>
        <n v="1937.058388"/>
        <n v="6206.637108"/>
        <n v="1449.177804"/>
        <n v="1767.464456"/>
        <n v="7948.480752"/>
        <n v="6522.637526"/>
        <n v="6189.416082"/>
        <n v="1841.358126"/>
        <n v="1805.600513"/>
        <n v="1669.728905"/>
        <n v="1631.782949"/>
        <n v="7629.94427"/>
        <n v="6749.202353"/>
        <n v="5600.355643"/>
        <n v="1704.511123"/>
        <n v="1693.760435"/>
        <n v="1657.56487"/>
        <n v="5048.852553"/>
        <n v="1765.39871"/>
        <n v="1711.106338"/>
        <n v="5668.857079"/>
        <n v="2178.153775"/>
        <n v="1858.132171"/>
        <n v="1521.576648"/>
        <n v="7312.492757"/>
        <n v="1665.965851"/>
        <n v="4652.242051"/>
        <n v="1603.859264"/>
        <n v="4439.838064"/>
        <n v="1835.048738"/>
        <n v="6342.885786"/>
        <n v="5974.87508"/>
        <n v="4804.493233"/>
        <n v="4702.027505"/>
        <n v="1844.986921"/>
        <n v="1519.90401"/>
        <n v="1762.663235"/>
        <n v="6956.627366"/>
        <n v="6909.732318"/>
        <n v="1702.317206"/>
        <n v="1653.510777"/>
        <n v="1522.352623"/>
        <n v="6839.569086"/>
        <n v="7490.860779"/>
        <n v="7467.081487"/>
        <n v="6764.520637"/>
        <n v="6367.869929"/>
        <n v="6341.879301"/>
        <n v="6322.152655"/>
        <n v="6317.510754"/>
        <n v="6307.900751"/>
        <n v="6048.955611"/>
        <n v="5899.429483"/>
        <n v="5330.781969"/>
        <n v="5310.769572"/>
        <n v="5204.313768"/>
        <n v="5159.747494"/>
        <n v="4999.665205"/>
        <n v="4851.394446"/>
        <n v="4652.367629"/>
        <n v="4554.876884"/>
        <n v="3983.621797"/>
        <n v="3444.202946"/>
        <n v="3178.610315"/>
        <n v="2819.935266"/>
        <n v="2712.379678"/>
        <n v="2298.888965"/>
        <n v="1923.808141"/>
        <n v="1819.893602"/>
        <n v="1773.991882"/>
        <n v="1720.881985"/>
        <n v="1612.549327"/>
        <n v="1586.314519"/>
        <n v="1584.731757"/>
        <n v="1582.410977"/>
        <n v="1561.021915"/>
        <n v="1513.088728"/>
        <n v="1503.913054"/>
        <n v="1493.074494"/>
        <n v="1452.207361"/>
        <n v="5092.559215"/>
        <n v="1649.069475"/>
        <n v="6261.575724"/>
        <n v="3818.955182"/>
        <n v="3311.941246"/>
        <n v="2181.247949"/>
        <n v="1668.016"/>
        <n v="1623.614838"/>
        <n v="1471.187144"/>
        <n v="6667.727715"/>
        <n v="6505.526456"/>
        <n v="2209.650957"/>
        <n v="1577.366086"/>
        <n v="1345.369"/>
        <n v="1731.271848"/>
        <n v="2047.348924"/>
        <n v="6559.477756"/>
        <n v="1842.606513"/>
        <n v="5797.219977"/>
        <n v="1527.176274"/>
        <n v="1930.180523"/>
        <n v="1490.006197"/>
        <n v="6236.113094"/>
        <n v="8134.350524"/>
        <n v="7511.656191"/>
        <n v="7483.887187"/>
        <n v="7248.231612"/>
        <n v="6633.532635"/>
        <n v="6057.856722"/>
        <n v="6012.102465"/>
        <n v="5179.041532"/>
        <n v="4733.618783"/>
        <n v="4467.080758"/>
        <n v="4279.230955"/>
        <n v="3433.914287"/>
        <n v="2494.217596"/>
        <n v="2276.277471"/>
        <n v="2144.489587"/>
        <n v="1902.301443"/>
        <n v="1901.094691"/>
        <n v="1818.100044"/>
        <n v="1689.744507"/>
        <n v="1635.920216"/>
        <n v="1568.715259"/>
        <n v="1559.643865"/>
        <n v="1555.534812"/>
        <n v="1542.500216"/>
        <n v="1523.783909"/>
        <n v="1465.51471"/>
        <n v="1440.745362"/>
        <n v="2189.341349"/>
        <n v="1982.416484"/>
        <n v="1919.553678"/>
        <n v="5087.561715"/>
        <n v="3804.64417"/>
        <n v="5694.27094"/>
        <n v="7082.653802"/>
        <n v="1541.719598"/>
        <n v="7854.731991"/>
        <n v="6452.93501"/>
        <n v="5542.512181"/>
        <n v="2912.467156"/>
        <n v="1595.48714"/>
        <n v="1550.938318"/>
        <n v="1532.148881"/>
        <n v="1507.84712"/>
        <n v="1460.009754"/>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Creative Messaging Size Pivot T" cacheId="0" dataCaption="" compact="0" compactData="0">
  <location ref="A1:Y8" firstHeaderRow="0" firstDataRow="2" firstDataCol="1"/>
  <pivotFields>
    <pivotField name="Audience Seg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 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 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name="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name=" 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 7" compact="0" outline="0" multipleItemSelectionAllowed="1" showAll="0">
      <items>
        <item x="0"/>
        <item x="1"/>
        <item x="2"/>
        <item x="3"/>
        <item x="4"/>
        <item t="default"/>
      </items>
    </pivotField>
    <pivotField name="Creative Size" axis="axisCol" dataField="1" compact="0" outline="0" multipleItemSelectionAllowed="1" showAll="0" sortType="ascending">
      <items>
        <item x="0"/>
        <item x="2"/>
        <item x="1"/>
        <item t="default"/>
      </items>
    </pivotField>
    <pivotField name="Creative Messaging" axis="axisRow" compact="0" outline="0" multipleItemSelectionAllowed="1" showAll="0" sortType="ascending">
      <items>
        <item x="3"/>
        <item x="2"/>
        <item x="1"/>
        <item x="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App/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Exchange" compact="0" outline="0" multipleItemSelectionAllowed="1" showAll="0">
      <items>
        <item x="0"/>
        <item x="1"/>
        <item x="2"/>
        <item x="3"/>
        <item x="4"/>
        <item x="5"/>
        <item x="6"/>
        <item x="7"/>
        <item x="8"/>
        <item x="9"/>
        <item x="10"/>
        <item x="11"/>
        <item x="12"/>
        <item x="13"/>
        <item x="14"/>
        <item x="15"/>
        <item x="16"/>
        <item t="default"/>
      </items>
    </pivotField>
    <pivotField name="Device Make" compact="0" outline="0" multipleItemSelectionAllowed="1" showAll="0">
      <items>
        <item x="0"/>
        <item x="1"/>
        <item x="2"/>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name="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name="Viewable 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t="default"/>
      </items>
    </pivotField>
    <pivotField name="Measurable 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t="default"/>
      </items>
    </pivotField>
    <pivotField name="Total Conver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Gross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ame=" 8" compact="0" outline="0" multipleItemSelectionAllowed="1" showAll="0">
      <items>
        <item x="0"/>
        <item t="default"/>
      </items>
    </pivotField>
    <pivotField name="CP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vCP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CV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P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CP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CT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s>
  <rowFields>
    <field x="9"/>
  </rowFields>
  <colFields>
    <field x="8"/>
    <field x="-2"/>
  </colFields>
  <dataFields>
    <dataField name="COUNTA of Creative Size" fld="8" subtotal="count" baseField="0"/>
    <dataField name="AVERAGE of CPA" fld="24" subtotal="average" baseField="0"/>
    <dataField name="AVERAGE of CPC" fld="25" subtotal="average" baseField="0"/>
    <dataField name="AVERAGE of CVR" fld="23" subtotal="average" baseField="0"/>
    <dataField name="AVERAGE of CPM" fld="21" subtotal="average" baseField="0"/>
    <dataField name="AVERAGE of CTR" fld="26" subtotal="average" baseField="0"/>
  </dataFields>
</pivotTableDefinition>
</file>

<file path=xl/pivotTables/pivotTable2.xml><?xml version="1.0" encoding="utf-8"?>
<pivotTableDefinition xmlns="http://schemas.openxmlformats.org/spreadsheetml/2006/main" name="Creative Device Make Pivot" cacheId="0" dataCaption="" compact="0" compactData="0">
  <location ref="A1:Y7" firstHeaderRow="0" firstDataRow="2" firstDataCol="1"/>
  <pivotFields>
    <pivotField name="Audience Seg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 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 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name="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name=" 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 7" compact="0" outline="0" multipleItemSelectionAllowed="1" showAll="0">
      <items>
        <item x="0"/>
        <item x="1"/>
        <item x="2"/>
        <item x="3"/>
        <item x="4"/>
        <item t="default"/>
      </items>
    </pivotField>
    <pivotField name="Creative Size" axis="axisCol" dataField="1" compact="0" outline="0" multipleItemSelectionAllowed="1" showAll="0" sortType="ascending">
      <items>
        <item x="0"/>
        <item x="2"/>
        <item x="1"/>
        <item t="default"/>
      </items>
    </pivotField>
    <pivotField name="Creative Messaging" compact="0" outline="0" multipleItemSelectionAllowed="1" showAll="0">
      <items>
        <item x="0"/>
        <item x="1"/>
        <item x="2"/>
        <item x="3"/>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App/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Exchange" compact="0" outline="0" multipleItemSelectionAllowed="1" showAll="0">
      <items>
        <item x="0"/>
        <item x="1"/>
        <item x="2"/>
        <item x="3"/>
        <item x="4"/>
        <item x="5"/>
        <item x="6"/>
        <item x="7"/>
        <item x="8"/>
        <item x="9"/>
        <item x="10"/>
        <item x="11"/>
        <item x="12"/>
        <item x="13"/>
        <item x="14"/>
        <item x="15"/>
        <item x="16"/>
        <item t="default"/>
      </items>
    </pivotField>
    <pivotField name="Device Make" axis="axisRow" compact="0" outline="0" multipleItemSelectionAllowed="1" showAll="0" sortType="ascending">
      <items>
        <item x="0"/>
        <item x="1"/>
        <item x="2"/>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name="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name="Viewable 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t="default"/>
      </items>
    </pivotField>
    <pivotField name="Measurable 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t="default"/>
      </items>
    </pivotField>
    <pivotField name="Total Conver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Gross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ame=" 8" compact="0" outline="0" multipleItemSelectionAllowed="1" showAll="0">
      <items>
        <item x="0"/>
        <item t="default"/>
      </items>
    </pivotField>
    <pivotField name="CP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vCP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CV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P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CP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CT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s>
  <rowFields>
    <field x="13"/>
  </rowFields>
  <colFields>
    <field x="8"/>
    <field x="-2"/>
  </colFields>
  <dataFields>
    <dataField name="COUNTA of Creative Size" fld="8" subtotal="count" baseField="0"/>
    <dataField name="AVERAGE of CPA" fld="24" subtotal="average" baseField="0"/>
    <dataField name="AVERAGE of CVR" fld="23" subtotal="average" baseField="0"/>
    <dataField name="AVERAGE of CPC" fld="25" subtotal="average" baseField="0"/>
    <dataField name="AVERAGE of CPM" fld="21" subtotal="average" baseField="0"/>
    <dataField name="AVERAGE of CTR" fld="26" subtotal="average" baseField="0"/>
  </dataFields>
</pivotTableDefinition>
</file>

<file path=xl/pivotTables/pivotTable3.xml><?xml version="1.0" encoding="utf-8"?>
<pivotTableDefinition xmlns="http://schemas.openxmlformats.org/spreadsheetml/2006/main" name="Creative Size KPIs Pivot" cacheId="0" dataCaption="" compact="0" compactData="0">
  <location ref="A1:F5" firstHeaderRow="0" firstDataRow="2" firstDataCol="0"/>
  <pivotFields>
    <pivotField name="Audience Seg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 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 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name="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name=" 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 7" compact="0" outline="0" multipleItemSelectionAllowed="1" showAll="0">
      <items>
        <item x="0"/>
        <item x="1"/>
        <item x="2"/>
        <item x="3"/>
        <item x="4"/>
        <item t="default"/>
      </items>
    </pivotField>
    <pivotField name="Creative Size" axis="axisRow" compact="0" outline="0" multipleItemSelectionAllowed="1" showAll="0" sortType="ascending">
      <items>
        <item x="0"/>
        <item x="2"/>
        <item x="1"/>
        <item t="default"/>
      </items>
    </pivotField>
    <pivotField name="Creative Messaging" compact="0" outline="0" multipleItemSelectionAllowed="1" showAll="0">
      <items>
        <item x="0"/>
        <item x="1"/>
        <item x="2"/>
        <item x="3"/>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App/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Exchange" compact="0" outline="0" multipleItemSelectionAllowed="1" showAll="0">
      <items>
        <item x="0"/>
        <item x="1"/>
        <item x="2"/>
        <item x="3"/>
        <item x="4"/>
        <item x="5"/>
        <item x="6"/>
        <item x="7"/>
        <item x="8"/>
        <item x="9"/>
        <item x="10"/>
        <item x="11"/>
        <item x="12"/>
        <item x="13"/>
        <item x="14"/>
        <item x="15"/>
        <item x="16"/>
        <item t="default"/>
      </items>
    </pivotField>
    <pivotField name="Device Make" compact="0" outline="0" multipleItemSelectionAllowed="1" showAll="0">
      <items>
        <item x="0"/>
        <item x="1"/>
        <item x="2"/>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name="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name="Viewable 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t="default"/>
      </items>
    </pivotField>
    <pivotField name="Measurable 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t="default"/>
      </items>
    </pivotField>
    <pivotField name="Total Conver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Gross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ame=" 8" compact="0" outline="0" multipleItemSelectionAllowed="1" showAll="0">
      <items>
        <item x="0"/>
        <item t="default"/>
      </items>
    </pivotField>
    <pivotField name="CP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vCP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CV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P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CP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name="CT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s>
  <rowFields>
    <field x="8"/>
  </rowFields>
  <colFields>
    <field x="-2"/>
  </colFields>
  <dataFields>
    <dataField name="AVERAGE of CVR" fld="23" subtotal="average" baseField="0"/>
    <dataField name="AVERAGE of CPM" fld="21" subtotal="average" baseField="0"/>
    <dataField name="AVERAGE of CPA" fld="24" subtotal="average" baseField="0"/>
    <dataField name="AVERAGE of CPC" fld="25" subtotal="average" baseField="0"/>
    <dataField name="AVERAGE of CTR" fld="26" subtotal="average" baseField="0"/>
  </dataFields>
</pivotTableDefinition>
</file>

<file path=xl/pivotTables/pivotTable4.xml><?xml version="1.0" encoding="utf-8"?>
<pivotTableDefinition xmlns="http://schemas.openxmlformats.org/spreadsheetml/2006/main" name="Creative Size Location Pivot" cacheId="1" dataCaption="" compact="0" compactData="0">
  <location ref="A1:E42" firstHeaderRow="0" firstDataRow="1" firstDataCol="1"/>
  <pivotFields>
    <pivotField name="Creative Size" axis="axisCol" compact="0" outline="0" multipleItemSelectionAllowed="1" showAll="0" sortType="ascending">
      <items>
        <item x="0"/>
        <item x="2"/>
        <item x="1"/>
        <item t="default"/>
      </items>
    </pivotField>
    <pivotField name="Location" axis="axisRow" dataField="1" compact="0" outline="0" multipleItemSelectionAllowed="1" showAll="0" sortType="descending">
      <items>
        <item x="12"/>
        <item x="17"/>
        <item x="33"/>
        <item x="9"/>
        <item x="16"/>
        <item x="18"/>
        <item x="35"/>
        <item x="28"/>
        <item x="2"/>
        <item x="19"/>
        <item x="29"/>
        <item x="32"/>
        <item x="1"/>
        <item x="10"/>
        <item x="5"/>
        <item x="21"/>
        <item x="8"/>
        <item x="23"/>
        <item x="34"/>
        <item x="0"/>
        <item x="37"/>
        <item x="24"/>
        <item x="30"/>
        <item x="20"/>
        <item x="11"/>
        <item x="31"/>
        <item x="22"/>
        <item x="36"/>
        <item x="3"/>
        <item x="27"/>
        <item x="7"/>
        <item x="15"/>
        <item x="38"/>
        <item x="4"/>
        <item x="26"/>
        <item x="25"/>
        <item x="6"/>
        <item x="14"/>
        <item x="13"/>
        <item t="default"/>
      </items>
    </pivotField>
  </pivotFields>
  <rowFields>
    <field x="1"/>
  </rowFields>
  <colFields>
    <field x="0"/>
  </colFields>
  <dataFields>
    <dataField name="COUNTA of Location" fld="1" subtotal="count" baseField="0"/>
  </dataFields>
</pivotTableDefinition>
</file>

<file path=xl/pivotTables/pivotTable5.xml><?xml version="1.0" encoding="utf-8"?>
<pivotTableDefinition xmlns="http://schemas.openxmlformats.org/spreadsheetml/2006/main" name="Creative MessagingLocation Pivo" cacheId="2" dataCaption="" compact="0" compactData="0">
  <location ref="A1:G43" firstHeaderRow="0" firstDataRow="1" firstDataCol="1"/>
  <pivotFields>
    <pivotField name="Creative Messaging" axis="axisCol" dataField="1" compact="0" outline="0" multipleItemSelectionAllowed="1" showAll="0" sortType="ascending">
      <items>
        <item x="4"/>
        <item x="3"/>
        <item x="2"/>
        <item x="1"/>
        <item x="0"/>
        <item t="default"/>
      </items>
    </pivotField>
    <pivotField name="Location" axis="axisRow" compact="0" outline="0" multipleItemSelectionAllowed="1" showAll="0" sortType="ascending">
      <items>
        <item x="39"/>
        <item x="13"/>
        <item x="14"/>
        <item x="6"/>
        <item x="25"/>
        <item x="26"/>
        <item x="4"/>
        <item x="38"/>
        <item x="15"/>
        <item x="7"/>
        <item x="27"/>
        <item x="3"/>
        <item x="36"/>
        <item x="22"/>
        <item x="31"/>
        <item x="11"/>
        <item x="20"/>
        <item x="30"/>
        <item x="24"/>
        <item x="37"/>
        <item x="0"/>
        <item x="34"/>
        <item x="23"/>
        <item x="8"/>
        <item x="21"/>
        <item x="5"/>
        <item x="10"/>
        <item x="1"/>
        <item x="32"/>
        <item x="29"/>
        <item x="19"/>
        <item x="2"/>
        <item x="28"/>
        <item x="35"/>
        <item x="18"/>
        <item x="16"/>
        <item x="9"/>
        <item x="33"/>
        <item x="17"/>
        <item x="12"/>
        <item t="default"/>
      </items>
    </pivotField>
  </pivotFields>
  <rowFields>
    <field x="1"/>
  </rowFields>
  <colFields>
    <field x="0"/>
  </colFields>
  <dataFields>
    <dataField name="COUNTA of Creative Messaging" fld="0" subtotal="count" baseField="0"/>
  </dataFields>
</pivotTableDefinition>
</file>

<file path=xl/pivotTables/pivotTable6.xml><?xml version="1.0" encoding="utf-8"?>
<pivotTableDefinition xmlns="http://schemas.openxmlformats.org/spreadsheetml/2006/main" name="Audience Pivot Table 1" cacheId="3" dataCaption="" compact="0" compactData="0">
  <location ref="A1:B730" firstHeaderRow="0" firstDataRow="1" firstDataCol="0"/>
  <pivotFields>
    <pivotField name="Audience Segment" axis="axisRow" compact="0" outline="0" multipleItemSelectionAllowed="1" showAll="0" sortType="ascending">
      <items>
        <item x="727"/>
        <item x="338"/>
        <item x="197"/>
        <item x="536"/>
        <item x="81"/>
        <item x="528"/>
        <item x="421"/>
        <item x="534"/>
        <item x="315"/>
        <item x="364"/>
        <item x="726"/>
        <item x="305"/>
        <item x="320"/>
        <item x="312"/>
        <item x="295"/>
        <item x="200"/>
        <item x="21"/>
        <item x="656"/>
        <item x="299"/>
        <item x="702"/>
        <item x="643"/>
        <item x="127"/>
        <item x="681"/>
        <item x="461"/>
        <item x="697"/>
        <item x="571"/>
        <item x="99"/>
        <item x="198"/>
        <item x="397"/>
        <item x="396"/>
        <item x="69"/>
        <item x="679"/>
        <item x="135"/>
        <item x="440"/>
        <item x="449"/>
        <item x="117"/>
        <item x="453"/>
        <item x="699"/>
        <item x="302"/>
        <item x="65"/>
        <item x="432"/>
        <item x="34"/>
        <item x="477"/>
        <item x="448"/>
        <item x="31"/>
        <item x="425"/>
        <item x="381"/>
        <item x="497"/>
        <item x="675"/>
        <item x="545"/>
        <item x="278"/>
        <item x="603"/>
        <item x="582"/>
        <item x="615"/>
        <item x="360"/>
        <item x="698"/>
        <item x="204"/>
        <item x="464"/>
        <item x="478"/>
        <item x="152"/>
        <item x="229"/>
        <item x="228"/>
        <item x="490"/>
        <item x="304"/>
        <item x="189"/>
        <item x="377"/>
        <item x="475"/>
        <item x="205"/>
        <item x="480"/>
        <item x="191"/>
        <item x="616"/>
        <item x="370"/>
        <item x="83"/>
        <item x="589"/>
        <item x="155"/>
        <item x="594"/>
        <item x="39"/>
        <item x="674"/>
        <item x="707"/>
        <item x="292"/>
        <item x="279"/>
        <item x="281"/>
        <item x="187"/>
        <item x="66"/>
        <item x="340"/>
        <item x="260"/>
        <item x="654"/>
        <item x="126"/>
        <item x="561"/>
        <item x="40"/>
        <item x="196"/>
        <item x="605"/>
        <item x="496"/>
        <item x="288"/>
        <item x="15"/>
        <item x="530"/>
        <item x="493"/>
        <item x="19"/>
        <item x="88"/>
        <item x="115"/>
        <item x="313"/>
        <item x="424"/>
        <item x="601"/>
        <item x="524"/>
        <item x="188"/>
        <item x="311"/>
        <item x="523"/>
        <item x="262"/>
        <item x="247"/>
        <item x="108"/>
        <item x="138"/>
        <item x="62"/>
        <item x="492"/>
        <item x="620"/>
        <item x="268"/>
        <item x="599"/>
        <item x="185"/>
        <item x="472"/>
        <item x="653"/>
        <item x="261"/>
        <item x="275"/>
        <item x="418"/>
        <item x="203"/>
        <item x="565"/>
        <item x="463"/>
        <item x="64"/>
        <item x="447"/>
        <item x="596"/>
        <item x="92"/>
        <item x="541"/>
        <item x="580"/>
        <item x="217"/>
        <item x="136"/>
        <item x="680"/>
        <item x="566"/>
        <item x="705"/>
        <item x="291"/>
        <item x="362"/>
        <item x="434"/>
        <item x="287"/>
        <item x="251"/>
        <item x="16"/>
        <item x="617"/>
        <item x="669"/>
        <item x="720"/>
        <item x="174"/>
        <item x="333"/>
        <item x="429"/>
        <item x="264"/>
        <item x="120"/>
        <item x="413"/>
        <item x="329"/>
        <item x="693"/>
        <item x="242"/>
        <item x="395"/>
        <item x="553"/>
        <item x="199"/>
        <item x="529"/>
        <item x="37"/>
        <item x="56"/>
        <item x="581"/>
        <item x="294"/>
        <item x="415"/>
        <item x="384"/>
        <item x="506"/>
        <item x="391"/>
        <item x="5"/>
        <item x="632"/>
        <item x="178"/>
        <item x="567"/>
        <item x="256"/>
        <item x="296"/>
        <item x="104"/>
        <item x="6"/>
        <item x="552"/>
        <item x="414"/>
        <item x="578"/>
        <item x="600"/>
        <item x="569"/>
        <item x="411"/>
        <item x="71"/>
        <item x="270"/>
        <item x="327"/>
        <item x="678"/>
        <item x="390"/>
        <item x="121"/>
        <item x="213"/>
        <item x="405"/>
        <item x="280"/>
        <item x="483"/>
        <item x="437"/>
        <item x="714"/>
        <item x="575"/>
        <item x="509"/>
        <item x="382"/>
        <item x="624"/>
        <item x="46"/>
        <item x="20"/>
        <item x="142"/>
        <item x="664"/>
        <item x="176"/>
        <item x="427"/>
        <item x="202"/>
        <item x="309"/>
        <item x="692"/>
        <item x="219"/>
        <item x="160"/>
        <item x="591"/>
        <item x="716"/>
        <item x="32"/>
        <item x="132"/>
        <item x="383"/>
        <item x="347"/>
        <item x="239"/>
        <item x="344"/>
        <item x="482"/>
        <item x="606"/>
        <item x="4"/>
        <item x="532"/>
        <item x="439"/>
        <item x="214"/>
        <item x="401"/>
        <item x="683"/>
        <item x="412"/>
        <item x="348"/>
        <item x="684"/>
        <item x="310"/>
        <item x="481"/>
        <item x="147"/>
        <item x="398"/>
        <item x="579"/>
        <item x="167"/>
        <item x="592"/>
        <item x="399"/>
        <item x="466"/>
        <item x="166"/>
        <item x="141"/>
        <item x="343"/>
        <item x="298"/>
        <item x="1"/>
        <item x="551"/>
        <item x="332"/>
        <item x="431"/>
        <item x="44"/>
        <item x="253"/>
        <item x="161"/>
        <item x="637"/>
        <item x="450"/>
        <item x="436"/>
        <item x="53"/>
        <item x="400"/>
        <item x="169"/>
        <item x="719"/>
        <item x="243"/>
        <item x="254"/>
        <item x="505"/>
        <item x="317"/>
        <item x="625"/>
        <item x="179"/>
        <item x="162"/>
        <item x="355"/>
        <item x="134"/>
        <item x="322"/>
        <item x="586"/>
        <item x="687"/>
        <item x="70"/>
        <item x="43"/>
        <item x="240"/>
        <item x="230"/>
        <item x="631"/>
        <item x="271"/>
        <item x="443"/>
        <item x="2"/>
        <item x="389"/>
        <item x="171"/>
        <item x="690"/>
        <item x="374"/>
        <item x="636"/>
        <item x="570"/>
        <item x="446"/>
        <item x="457"/>
        <item x="220"/>
        <item x="149"/>
        <item x="494"/>
        <item x="618"/>
        <item x="3"/>
        <item x="234"/>
        <item x="283"/>
        <item x="255"/>
        <item x="452"/>
        <item x="144"/>
        <item x="629"/>
        <item x="289"/>
        <item x="503"/>
        <item x="77"/>
        <item x="222"/>
        <item x="613"/>
        <item x="550"/>
        <item x="133"/>
        <item x="455"/>
        <item x="27"/>
        <item x="498"/>
        <item x="209"/>
        <item x="487"/>
        <item x="574"/>
        <item x="612"/>
        <item x="24"/>
        <item x="331"/>
        <item x="284"/>
        <item x="407"/>
        <item x="662"/>
        <item x="430"/>
        <item x="628"/>
        <item x="172"/>
        <item x="409"/>
        <item x="689"/>
        <item x="328"/>
        <item x="638"/>
        <item x="293"/>
        <item x="265"/>
        <item x="89"/>
        <item x="233"/>
        <item x="408"/>
        <item x="208"/>
        <item x="640"/>
        <item x="143"/>
        <item x="627"/>
        <item x="301"/>
        <item x="163"/>
        <item x="610"/>
        <item x="368"/>
        <item x="469"/>
        <item x="406"/>
        <item x="676"/>
        <item x="306"/>
        <item x="713"/>
        <item x="231"/>
        <item x="388"/>
        <item x="148"/>
        <item x="682"/>
        <item x="266"/>
        <item x="158"/>
        <item x="456"/>
        <item x="639"/>
        <item x="535"/>
        <item x="544"/>
        <item x="670"/>
        <item x="153"/>
        <item x="238"/>
        <item x="633"/>
        <item x="501"/>
        <item x="634"/>
        <item x="507"/>
        <item x="55"/>
        <item x="486"/>
        <item x="559"/>
        <item x="622"/>
        <item x="93"/>
        <item x="54"/>
        <item x="78"/>
        <item x="686"/>
        <item x="402"/>
        <item x="79"/>
        <item x="604"/>
        <item x="585"/>
        <item x="688"/>
        <item x="170"/>
        <item x="685"/>
        <item x="444"/>
        <item x="221"/>
        <item x="502"/>
        <item x="85"/>
        <item x="584"/>
        <item x="57"/>
        <item x="216"/>
        <item x="673"/>
        <item x="548"/>
        <item x="626"/>
        <item x="177"/>
        <item x="485"/>
        <item x="237"/>
        <item x="236"/>
        <item x="428"/>
        <item x="102"/>
        <item x="14"/>
        <item x="277"/>
        <item x="113"/>
        <item x="173"/>
        <item x="623"/>
        <item x="660"/>
        <item x="90"/>
        <item x="326"/>
        <item x="410"/>
        <item x="504"/>
        <item x="101"/>
        <item x="375"/>
        <item x="325"/>
        <item x="241"/>
        <item x="84"/>
        <item x="36"/>
        <item x="52"/>
        <item x="26"/>
        <item x="180"/>
        <item x="129"/>
        <item x="404"/>
        <item x="531"/>
        <item x="29"/>
        <item x="346"/>
        <item x="82"/>
        <item x="181"/>
        <item x="356"/>
        <item x="86"/>
        <item x="223"/>
        <item x="272"/>
        <item x="500"/>
        <item x="345"/>
        <item x="330"/>
        <item x="119"/>
        <item x="576"/>
        <item x="130"/>
        <item x="403"/>
        <item x="308"/>
        <item x="353"/>
        <item x="663"/>
        <item x="80"/>
        <item x="470"/>
        <item x="297"/>
        <item x="369"/>
        <item x="642"/>
        <item x="568"/>
        <item x="557"/>
        <item x="467"/>
        <item x="691"/>
        <item x="218"/>
        <item x="324"/>
        <item x="94"/>
        <item x="372"/>
        <item x="154"/>
        <item x="558"/>
        <item x="175"/>
        <item x="468"/>
        <item x="630"/>
        <item x="50"/>
        <item x="351"/>
        <item x="168"/>
        <item x="118"/>
        <item x="556"/>
        <item x="235"/>
        <item x="105"/>
        <item x="103"/>
        <item x="718"/>
        <item x="51"/>
        <item x="131"/>
        <item x="349"/>
        <item x="438"/>
        <item x="641"/>
        <item x="525"/>
        <item x="323"/>
        <item x="95"/>
        <item x="314"/>
        <item x="318"/>
        <item x="116"/>
        <item x="635"/>
        <item x="385"/>
        <item x="285"/>
        <item x="8"/>
        <item x="608"/>
        <item x="354"/>
        <item x="145"/>
        <item x="350"/>
        <item x="0"/>
        <item x="290"/>
        <item x="471"/>
        <item x="352"/>
        <item x="201"/>
        <item x="106"/>
        <item x="445"/>
        <item x="224"/>
        <item x="435"/>
        <item x="508"/>
        <item x="7"/>
        <item x="316"/>
        <item x="611"/>
        <item x="96"/>
        <item x="371"/>
        <item x="593"/>
        <item x="597"/>
        <item x="715"/>
        <item x="307"/>
        <item x="97"/>
        <item x="614"/>
        <item x="538"/>
        <item x="659"/>
        <item x="649"/>
        <item x="12"/>
        <item x="602"/>
        <item x="165"/>
        <item x="245"/>
        <item x="598"/>
        <item x="644"/>
        <item x="458"/>
        <item x="58"/>
        <item x="146"/>
        <item x="520"/>
        <item x="195"/>
        <item x="476"/>
        <item x="725"/>
        <item x="555"/>
        <item x="365"/>
        <item x="666"/>
        <item x="516"/>
        <item x="711"/>
        <item x="658"/>
        <item x="342"/>
        <item x="207"/>
        <item x="73"/>
        <item x="98"/>
        <item x="704"/>
        <item x="366"/>
        <item x="667"/>
        <item x="182"/>
        <item x="695"/>
        <item x="156"/>
        <item x="68"/>
        <item x="465"/>
        <item x="547"/>
        <item x="159"/>
        <item x="157"/>
        <item x="122"/>
        <item x="225"/>
        <item x="335"/>
        <item x="124"/>
        <item x="28"/>
        <item x="258"/>
        <item x="489"/>
        <item x="250"/>
        <item x="519"/>
        <item x="183"/>
        <item x="590"/>
        <item x="10"/>
        <item x="696"/>
        <item x="724"/>
        <item x="259"/>
        <item x="560"/>
        <item x="572"/>
        <item x="491"/>
        <item x="59"/>
        <item x="573"/>
        <item x="339"/>
        <item x="274"/>
        <item x="587"/>
        <item x="515"/>
        <item x="703"/>
        <item x="474"/>
        <item x="722"/>
        <item x="363"/>
        <item x="652"/>
        <item x="479"/>
        <item x="549"/>
        <item x="419"/>
        <item x="484"/>
        <item x="151"/>
        <item x="460"/>
        <item x="192"/>
        <item x="190"/>
        <item x="336"/>
        <item x="300"/>
        <item x="433"/>
        <item x="712"/>
        <item x="226"/>
        <item x="341"/>
        <item x="361"/>
        <item x="25"/>
        <item x="706"/>
        <item x="379"/>
        <item x="125"/>
        <item x="211"/>
        <item x="61"/>
        <item x="63"/>
        <item x="621"/>
        <item x="38"/>
        <item x="164"/>
        <item x="23"/>
        <item x="416"/>
        <item x="35"/>
        <item x="709"/>
        <item x="367"/>
        <item x="563"/>
        <item x="588"/>
        <item x="665"/>
        <item x="423"/>
        <item x="646"/>
        <item x="378"/>
        <item x="22"/>
        <item x="337"/>
        <item x="583"/>
        <item x="394"/>
        <item x="595"/>
        <item x="420"/>
        <item x="677"/>
        <item x="186"/>
        <item x="33"/>
        <item x="76"/>
        <item x="17"/>
        <item x="441"/>
        <item x="710"/>
        <item x="9"/>
        <item x="392"/>
        <item x="513"/>
        <item x="252"/>
        <item x="393"/>
        <item x="648"/>
        <item x="47"/>
        <item x="462"/>
        <item x="194"/>
        <item x="701"/>
        <item x="249"/>
        <item x="540"/>
        <item x="30"/>
        <item x="655"/>
        <item x="91"/>
        <item x="137"/>
        <item x="700"/>
        <item x="517"/>
        <item x="442"/>
        <item x="11"/>
        <item x="717"/>
        <item x="526"/>
        <item x="41"/>
        <item x="227"/>
        <item x="48"/>
        <item x="319"/>
        <item x="514"/>
        <item x="694"/>
        <item x="488"/>
        <item x="708"/>
        <item x="495"/>
        <item x="49"/>
        <item x="114"/>
        <item x="60"/>
        <item x="387"/>
        <item x="380"/>
        <item x="334"/>
        <item x="184"/>
        <item x="422"/>
        <item x="72"/>
        <item x="107"/>
        <item x="645"/>
        <item x="577"/>
        <item x="512"/>
        <item x="215"/>
        <item x="499"/>
        <item x="359"/>
        <item x="303"/>
        <item x="376"/>
        <item x="511"/>
        <item x="357"/>
        <item x="276"/>
        <item x="533"/>
        <item x="386"/>
        <item x="87"/>
        <item x="140"/>
        <item x="111"/>
        <item x="564"/>
        <item x="139"/>
        <item x="510"/>
        <item x="232"/>
        <item x="123"/>
        <item x="451"/>
        <item x="539"/>
        <item x="473"/>
        <item x="647"/>
        <item x="109"/>
        <item x="321"/>
        <item x="454"/>
        <item x="537"/>
        <item x="244"/>
        <item x="45"/>
        <item x="18"/>
        <item x="74"/>
        <item x="257"/>
        <item x="721"/>
        <item x="269"/>
        <item x="42"/>
        <item x="246"/>
        <item x="657"/>
        <item x="273"/>
        <item x="358"/>
        <item x="546"/>
        <item x="518"/>
        <item x="150"/>
        <item x="282"/>
        <item x="417"/>
        <item x="619"/>
        <item x="527"/>
        <item x="263"/>
        <item x="75"/>
        <item x="110"/>
        <item x="609"/>
        <item x="543"/>
        <item x="671"/>
        <item x="128"/>
        <item x="607"/>
        <item x="650"/>
        <item x="286"/>
        <item x="672"/>
        <item x="210"/>
        <item x="193"/>
        <item x="67"/>
        <item x="212"/>
        <item x="100"/>
        <item x="661"/>
        <item x="426"/>
        <item x="562"/>
        <item x="13"/>
        <item x="554"/>
        <item x="373"/>
        <item x="668"/>
        <item x="522"/>
        <item x="267"/>
        <item x="521"/>
        <item x="459"/>
        <item x="248"/>
        <item x="206"/>
        <item x="112"/>
        <item x="651"/>
        <item x="723"/>
        <item x="542"/>
        <item t="default"/>
      </items>
    </pivotField>
    <pivotField name="Creative Size" compact="0" outline="0" multipleItemSelectionAllowed="1" showAll="0">
      <items>
        <item x="0"/>
        <item x="1"/>
        <item x="2"/>
        <item x="3"/>
        <item t="default"/>
      </items>
    </pivotField>
    <pivotField name="Creative Messaging" compact="0" outline="0" multipleItemSelectionAllowed="1" showAll="0">
      <items>
        <item x="0"/>
        <item x="1"/>
        <item x="2"/>
        <item x="3"/>
        <item x="4"/>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App/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t="default"/>
      </items>
    </pivotField>
    <pivotField name="Exchange" compact="0" outline="0" multipleItemSelectionAllowed="1" showAll="0">
      <items>
        <item x="0"/>
        <item x="1"/>
        <item x="2"/>
        <item x="3"/>
        <item x="4"/>
        <item x="5"/>
        <item x="6"/>
        <item x="7"/>
        <item x="8"/>
        <item x="9"/>
        <item x="10"/>
        <item x="11"/>
        <item x="12"/>
        <item x="13"/>
        <item x="14"/>
        <item x="15"/>
        <item x="16"/>
        <item x="17"/>
        <item t="default"/>
      </items>
    </pivotField>
    <pivotField name="Device Make" compact="0" outline="0" multipleItemSelectionAllowed="1" showAll="0">
      <items>
        <item x="0"/>
        <item x="1"/>
        <item x="2"/>
        <item x="3"/>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t="default"/>
      </items>
    </pivotField>
    <pivotField name="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Viewable 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name="Measurable 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t="default"/>
      </items>
    </pivotField>
    <pivotField name="Total Conver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Gross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s>
  <rowFields>
    <field x="0"/>
  </row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Audience Segment">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udience Segment_1" cache="SlicerCache_Table_1_Col_1" caption="Audience Segment" rowHeight="247650"/>
</x14:slicers>
</file>

<file path=xl/tables/table1.xml><?xml version="1.0" encoding="utf-8"?>
<table xmlns="http://schemas.openxmlformats.org/spreadsheetml/2006/main" ref="A1:M728" displayName="Table_1" name="Table_1" id="1">
  <autoFilter ref="$A$1:$M$728"/>
  <tableColumns count="13">
    <tableColumn name="Audience Segment" id="1"/>
    <tableColumn name="Creative Size" id="2"/>
    <tableColumn name="Creative Messaging" id="3"/>
    <tableColumn name="Location" id="4"/>
    <tableColumn name="App/URL" id="5"/>
    <tableColumn name="Exchange" id="6"/>
    <tableColumn name="Device Make" id="7"/>
    <tableColumn name="Impressions" id="8"/>
    <tableColumn name="Clicks" id="9"/>
    <tableColumn name="Viewable Impressions" id="10"/>
    <tableColumn name="Measurable Impressions" id="11"/>
    <tableColumn name="Total Conversions" id="12"/>
    <tableColumn name="Gross Cost" id="1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ebay.com" TargetMode="External"/><Relationship Id="rId194" Type="http://schemas.openxmlformats.org/officeDocument/2006/relationships/hyperlink" Target="http://ebay.com" TargetMode="External"/><Relationship Id="rId193" Type="http://schemas.openxmlformats.org/officeDocument/2006/relationships/hyperlink" Target="http://ebay.com" TargetMode="External"/><Relationship Id="rId192" Type="http://schemas.openxmlformats.org/officeDocument/2006/relationships/hyperlink" Target="http://ebay.com" TargetMode="External"/><Relationship Id="rId191" Type="http://schemas.openxmlformats.org/officeDocument/2006/relationships/hyperlink" Target="http://ebay.com" TargetMode="External"/><Relationship Id="rId187" Type="http://schemas.openxmlformats.org/officeDocument/2006/relationships/hyperlink" Target="http://ebay.com" TargetMode="External"/><Relationship Id="rId186" Type="http://schemas.openxmlformats.org/officeDocument/2006/relationships/hyperlink" Target="http://ebay.com" TargetMode="External"/><Relationship Id="rId185" Type="http://schemas.openxmlformats.org/officeDocument/2006/relationships/hyperlink" Target="http://ebay.com" TargetMode="External"/><Relationship Id="rId184" Type="http://schemas.openxmlformats.org/officeDocument/2006/relationships/hyperlink" Target="http://ebay.com" TargetMode="External"/><Relationship Id="rId189" Type="http://schemas.openxmlformats.org/officeDocument/2006/relationships/hyperlink" Target="http://ebay.com" TargetMode="External"/><Relationship Id="rId188" Type="http://schemas.openxmlformats.org/officeDocument/2006/relationships/hyperlink" Target="http://ebay.com" TargetMode="External"/><Relationship Id="rId183" Type="http://schemas.openxmlformats.org/officeDocument/2006/relationships/hyperlink" Target="http://ebay.com" TargetMode="External"/><Relationship Id="rId182" Type="http://schemas.openxmlformats.org/officeDocument/2006/relationships/hyperlink" Target="http://ebay.com" TargetMode="External"/><Relationship Id="rId181" Type="http://schemas.openxmlformats.org/officeDocument/2006/relationships/hyperlink" Target="http://ebay.com" TargetMode="External"/><Relationship Id="rId180" Type="http://schemas.openxmlformats.org/officeDocument/2006/relationships/hyperlink" Target="http://ebay.com" TargetMode="External"/><Relationship Id="rId176" Type="http://schemas.openxmlformats.org/officeDocument/2006/relationships/hyperlink" Target="http://ebay.com" TargetMode="External"/><Relationship Id="rId297" Type="http://schemas.openxmlformats.org/officeDocument/2006/relationships/hyperlink" Target="http://insidethemagic.net" TargetMode="External"/><Relationship Id="rId175" Type="http://schemas.openxmlformats.org/officeDocument/2006/relationships/hyperlink" Target="http://ebay.com" TargetMode="External"/><Relationship Id="rId296" Type="http://schemas.openxmlformats.org/officeDocument/2006/relationships/hyperlink" Target="http://insider.com" TargetMode="External"/><Relationship Id="rId174" Type="http://schemas.openxmlformats.org/officeDocument/2006/relationships/hyperlink" Target="http://ebay.com" TargetMode="External"/><Relationship Id="rId295" Type="http://schemas.openxmlformats.org/officeDocument/2006/relationships/hyperlink" Target="http://insider.com" TargetMode="External"/><Relationship Id="rId173" Type="http://schemas.openxmlformats.org/officeDocument/2006/relationships/hyperlink" Target="http://ebay.com" TargetMode="External"/><Relationship Id="rId294" Type="http://schemas.openxmlformats.org/officeDocument/2006/relationships/hyperlink" Target="http://insider.com" TargetMode="External"/><Relationship Id="rId179" Type="http://schemas.openxmlformats.org/officeDocument/2006/relationships/hyperlink" Target="http://ebay.com" TargetMode="External"/><Relationship Id="rId178" Type="http://schemas.openxmlformats.org/officeDocument/2006/relationships/hyperlink" Target="http://ebay.com" TargetMode="External"/><Relationship Id="rId299" Type="http://schemas.openxmlformats.org/officeDocument/2006/relationships/hyperlink" Target="http://investing.com" TargetMode="External"/><Relationship Id="rId177" Type="http://schemas.openxmlformats.org/officeDocument/2006/relationships/hyperlink" Target="http://ebay.com" TargetMode="External"/><Relationship Id="rId298" Type="http://schemas.openxmlformats.org/officeDocument/2006/relationships/hyperlink" Target="http://investing.com" TargetMode="External"/><Relationship Id="rId198" Type="http://schemas.openxmlformats.org/officeDocument/2006/relationships/hyperlink" Target="http://ebay.com" TargetMode="External"/><Relationship Id="rId197" Type="http://schemas.openxmlformats.org/officeDocument/2006/relationships/hyperlink" Target="http://ebay.com" TargetMode="External"/><Relationship Id="rId196" Type="http://schemas.openxmlformats.org/officeDocument/2006/relationships/hyperlink" Target="http://ebay.com" TargetMode="External"/><Relationship Id="rId195" Type="http://schemas.openxmlformats.org/officeDocument/2006/relationships/hyperlink" Target="http://ebay.com" TargetMode="External"/><Relationship Id="rId199" Type="http://schemas.openxmlformats.org/officeDocument/2006/relationships/hyperlink" Target="http://editorsnation.com" TargetMode="External"/><Relationship Id="rId150" Type="http://schemas.openxmlformats.org/officeDocument/2006/relationships/hyperlink" Target="http://dailymail.co.uk/news" TargetMode="External"/><Relationship Id="rId271" Type="http://schemas.openxmlformats.org/officeDocument/2006/relationships/hyperlink" Target="http://geeksforgeeks.org" TargetMode="External"/><Relationship Id="rId392" Type="http://schemas.openxmlformats.org/officeDocument/2006/relationships/hyperlink" Target="http://mlb.com" TargetMode="External"/><Relationship Id="rId270" Type="http://schemas.openxmlformats.org/officeDocument/2006/relationships/hyperlink" Target="http://gamingbible.com" TargetMode="External"/><Relationship Id="rId391" Type="http://schemas.openxmlformats.org/officeDocument/2006/relationships/hyperlink" Target="http://mlb.com" TargetMode="External"/><Relationship Id="rId390" Type="http://schemas.openxmlformats.org/officeDocument/2006/relationships/hyperlink" Target="http://mlb.com" TargetMode="External"/><Relationship Id="rId1" Type="http://schemas.openxmlformats.org/officeDocument/2006/relationships/hyperlink" Target="http://abcnews.go.com" TargetMode="External"/><Relationship Id="rId2" Type="http://schemas.openxmlformats.org/officeDocument/2006/relationships/hyperlink" Target="http://accuweather.com" TargetMode="External"/><Relationship Id="rId3" Type="http://schemas.openxmlformats.org/officeDocument/2006/relationships/hyperlink" Target="http://accuweather.com" TargetMode="External"/><Relationship Id="rId149" Type="http://schemas.openxmlformats.org/officeDocument/2006/relationships/hyperlink" Target="http://dailymail.co.uk/news" TargetMode="External"/><Relationship Id="rId4" Type="http://schemas.openxmlformats.org/officeDocument/2006/relationships/hyperlink" Target="http://accuweather.com" TargetMode="External"/><Relationship Id="rId148" Type="http://schemas.openxmlformats.org/officeDocument/2006/relationships/hyperlink" Target="http://dailyhodl.com" TargetMode="External"/><Relationship Id="rId269" Type="http://schemas.openxmlformats.org/officeDocument/2006/relationships/hyperlink" Target="http://gamespot.com" TargetMode="External"/><Relationship Id="rId9" Type="http://schemas.openxmlformats.org/officeDocument/2006/relationships/hyperlink" Target="http://accuweather.com" TargetMode="External"/><Relationship Id="rId143" Type="http://schemas.openxmlformats.org/officeDocument/2006/relationships/hyperlink" Target="http://dafont.com" TargetMode="External"/><Relationship Id="rId264" Type="http://schemas.openxmlformats.org/officeDocument/2006/relationships/hyperlink" Target="http://foxnews.com" TargetMode="External"/><Relationship Id="rId385" Type="http://schemas.openxmlformats.org/officeDocument/2006/relationships/hyperlink" Target="http://microsoftcasualgames.com" TargetMode="External"/><Relationship Id="rId142" Type="http://schemas.openxmlformats.org/officeDocument/2006/relationships/hyperlink" Target="http://culturess.com" TargetMode="External"/><Relationship Id="rId263" Type="http://schemas.openxmlformats.org/officeDocument/2006/relationships/hyperlink" Target="http://foxnews.com" TargetMode="External"/><Relationship Id="rId384" Type="http://schemas.openxmlformats.org/officeDocument/2006/relationships/hyperlink" Target="http://miamiherald.com" TargetMode="External"/><Relationship Id="rId141" Type="http://schemas.openxmlformats.org/officeDocument/2006/relationships/hyperlink" Target="http://culinaryhill.com" TargetMode="External"/><Relationship Id="rId262" Type="http://schemas.openxmlformats.org/officeDocument/2006/relationships/hyperlink" Target="http://foxnews.com" TargetMode="External"/><Relationship Id="rId383" Type="http://schemas.openxmlformats.org/officeDocument/2006/relationships/hyperlink" Target="http://miamiherald.com" TargetMode="External"/><Relationship Id="rId140" Type="http://schemas.openxmlformats.org/officeDocument/2006/relationships/hyperlink" Target="http://commercialappeal.com" TargetMode="External"/><Relationship Id="rId261" Type="http://schemas.openxmlformats.org/officeDocument/2006/relationships/hyperlink" Target="http://foxnews.com" TargetMode="External"/><Relationship Id="rId382" Type="http://schemas.openxmlformats.org/officeDocument/2006/relationships/hyperlink" Target="http://merriam-webster.com/dictionary" TargetMode="External"/><Relationship Id="rId5" Type="http://schemas.openxmlformats.org/officeDocument/2006/relationships/hyperlink" Target="http://accuweather.com" TargetMode="External"/><Relationship Id="rId147" Type="http://schemas.openxmlformats.org/officeDocument/2006/relationships/hyperlink" Target="http://dailydot.com" TargetMode="External"/><Relationship Id="rId268" Type="http://schemas.openxmlformats.org/officeDocument/2006/relationships/hyperlink" Target="http://gamerant.com" TargetMode="External"/><Relationship Id="rId389" Type="http://schemas.openxmlformats.org/officeDocument/2006/relationships/hyperlink" Target="http://milb.com" TargetMode="External"/><Relationship Id="rId6" Type="http://schemas.openxmlformats.org/officeDocument/2006/relationships/hyperlink" Target="http://accuweather.com" TargetMode="External"/><Relationship Id="rId146" Type="http://schemas.openxmlformats.org/officeDocument/2006/relationships/hyperlink" Target="http://daily-choices.com" TargetMode="External"/><Relationship Id="rId267" Type="http://schemas.openxmlformats.org/officeDocument/2006/relationships/hyperlink" Target="http://gamerant.com" TargetMode="External"/><Relationship Id="rId388" Type="http://schemas.openxmlformats.org/officeDocument/2006/relationships/hyperlink" Target="http://microsoftcasualgames.com" TargetMode="External"/><Relationship Id="rId7" Type="http://schemas.openxmlformats.org/officeDocument/2006/relationships/hyperlink" Target="http://accuweather.com" TargetMode="External"/><Relationship Id="rId145" Type="http://schemas.openxmlformats.org/officeDocument/2006/relationships/hyperlink" Target="http://daily-choices.com" TargetMode="External"/><Relationship Id="rId266" Type="http://schemas.openxmlformats.org/officeDocument/2006/relationships/hyperlink" Target="http://gameofglam.com" TargetMode="External"/><Relationship Id="rId387" Type="http://schemas.openxmlformats.org/officeDocument/2006/relationships/hyperlink" Target="http://microsoftcasualgames.com" TargetMode="External"/><Relationship Id="rId8" Type="http://schemas.openxmlformats.org/officeDocument/2006/relationships/hyperlink" Target="http://accuweather.com" TargetMode="External"/><Relationship Id="rId144" Type="http://schemas.openxmlformats.org/officeDocument/2006/relationships/hyperlink" Target="http://dailybee.com" TargetMode="External"/><Relationship Id="rId265" Type="http://schemas.openxmlformats.org/officeDocument/2006/relationships/hyperlink" Target="http://funnyand.com" TargetMode="External"/><Relationship Id="rId386" Type="http://schemas.openxmlformats.org/officeDocument/2006/relationships/hyperlink" Target="http://microsoftcasualgames.com" TargetMode="External"/><Relationship Id="rId260" Type="http://schemas.openxmlformats.org/officeDocument/2006/relationships/hyperlink" Target="http://foxnews.com" TargetMode="External"/><Relationship Id="rId381" Type="http://schemas.openxmlformats.org/officeDocument/2006/relationships/hyperlink" Target="http://merriam-webster.com/dictionary" TargetMode="External"/><Relationship Id="rId380" Type="http://schemas.openxmlformats.org/officeDocument/2006/relationships/hyperlink" Target="http://merriam-webster.com" TargetMode="External"/><Relationship Id="rId139" Type="http://schemas.openxmlformats.org/officeDocument/2006/relationships/hyperlink" Target="http://cnn.com" TargetMode="External"/><Relationship Id="rId138" Type="http://schemas.openxmlformats.org/officeDocument/2006/relationships/hyperlink" Target="http://cnn.com" TargetMode="External"/><Relationship Id="rId259" Type="http://schemas.openxmlformats.org/officeDocument/2006/relationships/hyperlink" Target="http://foxnews.com" TargetMode="External"/><Relationship Id="rId137" Type="http://schemas.openxmlformats.org/officeDocument/2006/relationships/hyperlink" Target="http://cnn.com" TargetMode="External"/><Relationship Id="rId258" Type="http://schemas.openxmlformats.org/officeDocument/2006/relationships/hyperlink" Target="http://foxnews.com" TargetMode="External"/><Relationship Id="rId379" Type="http://schemas.openxmlformats.org/officeDocument/2006/relationships/hyperlink" Target="http://medicalnewstoday.com" TargetMode="External"/><Relationship Id="rId132" Type="http://schemas.openxmlformats.org/officeDocument/2006/relationships/hyperlink" Target="http://cnn.com" TargetMode="External"/><Relationship Id="rId253" Type="http://schemas.openxmlformats.org/officeDocument/2006/relationships/hyperlink" Target="http://foxbusiness.com" TargetMode="External"/><Relationship Id="rId374" Type="http://schemas.openxmlformats.org/officeDocument/2006/relationships/hyperlink" Target="http://maxroll.gg" TargetMode="External"/><Relationship Id="rId495" Type="http://schemas.openxmlformats.org/officeDocument/2006/relationships/hyperlink" Target="http://poshland.com" TargetMode="External"/><Relationship Id="rId131" Type="http://schemas.openxmlformats.org/officeDocument/2006/relationships/hyperlink" Target="http://cnet.com" TargetMode="External"/><Relationship Id="rId252" Type="http://schemas.openxmlformats.org/officeDocument/2006/relationships/hyperlink" Target="http://fox59.com" TargetMode="External"/><Relationship Id="rId373" Type="http://schemas.openxmlformats.org/officeDocument/2006/relationships/hyperlink" Target="http://marca.com" TargetMode="External"/><Relationship Id="rId494" Type="http://schemas.openxmlformats.org/officeDocument/2006/relationships/hyperlink" Target="http://politico.com" TargetMode="External"/><Relationship Id="rId130" Type="http://schemas.openxmlformats.org/officeDocument/2006/relationships/hyperlink" Target="http://cnet.com" TargetMode="External"/><Relationship Id="rId251" Type="http://schemas.openxmlformats.org/officeDocument/2006/relationships/hyperlink" Target="http://fortune.com" TargetMode="External"/><Relationship Id="rId372" Type="http://schemas.openxmlformats.org/officeDocument/2006/relationships/hyperlink" Target="http://marca.com" TargetMode="External"/><Relationship Id="rId493" Type="http://schemas.openxmlformats.org/officeDocument/2006/relationships/hyperlink" Target="http://politico.com" TargetMode="External"/><Relationship Id="rId250" Type="http://schemas.openxmlformats.org/officeDocument/2006/relationships/hyperlink" Target="http://forbes.com" TargetMode="External"/><Relationship Id="rId371" Type="http://schemas.openxmlformats.org/officeDocument/2006/relationships/hyperlink" Target="http://mapquest.com" TargetMode="External"/><Relationship Id="rId492" Type="http://schemas.openxmlformats.org/officeDocument/2006/relationships/hyperlink" Target="http://phys.org" TargetMode="External"/><Relationship Id="rId136" Type="http://schemas.openxmlformats.org/officeDocument/2006/relationships/hyperlink" Target="http://cnn.com" TargetMode="External"/><Relationship Id="rId257" Type="http://schemas.openxmlformats.org/officeDocument/2006/relationships/hyperlink" Target="http://foxnews.com" TargetMode="External"/><Relationship Id="rId378" Type="http://schemas.openxmlformats.org/officeDocument/2006/relationships/hyperlink" Target="http://medicalnewstoday.com" TargetMode="External"/><Relationship Id="rId499" Type="http://schemas.openxmlformats.org/officeDocument/2006/relationships/hyperlink" Target="http://ranker.com" TargetMode="External"/><Relationship Id="rId135" Type="http://schemas.openxmlformats.org/officeDocument/2006/relationships/hyperlink" Target="http://cnn.com" TargetMode="External"/><Relationship Id="rId256" Type="http://schemas.openxmlformats.org/officeDocument/2006/relationships/hyperlink" Target="http://foxnews.com" TargetMode="External"/><Relationship Id="rId377" Type="http://schemas.openxmlformats.org/officeDocument/2006/relationships/hyperlink" Target="http://medicalnewstoday.com" TargetMode="External"/><Relationship Id="rId498" Type="http://schemas.openxmlformats.org/officeDocument/2006/relationships/hyperlink" Target="http://poshland.com" TargetMode="External"/><Relationship Id="rId134" Type="http://schemas.openxmlformats.org/officeDocument/2006/relationships/hyperlink" Target="http://cnn.com" TargetMode="External"/><Relationship Id="rId255" Type="http://schemas.openxmlformats.org/officeDocument/2006/relationships/hyperlink" Target="http://foxnews.com" TargetMode="External"/><Relationship Id="rId376" Type="http://schemas.openxmlformats.org/officeDocument/2006/relationships/hyperlink" Target="http://medical-news.org" TargetMode="External"/><Relationship Id="rId497" Type="http://schemas.openxmlformats.org/officeDocument/2006/relationships/hyperlink" Target="http://poshland.com" TargetMode="External"/><Relationship Id="rId133" Type="http://schemas.openxmlformats.org/officeDocument/2006/relationships/hyperlink" Target="http://cnn.com" TargetMode="External"/><Relationship Id="rId254" Type="http://schemas.openxmlformats.org/officeDocument/2006/relationships/hyperlink" Target="http://foxnews.com" TargetMode="External"/><Relationship Id="rId375" Type="http://schemas.openxmlformats.org/officeDocument/2006/relationships/hyperlink" Target="http://mayoclinic.org" TargetMode="External"/><Relationship Id="rId496" Type="http://schemas.openxmlformats.org/officeDocument/2006/relationships/hyperlink" Target="http://poshland.com" TargetMode="External"/><Relationship Id="rId172" Type="http://schemas.openxmlformats.org/officeDocument/2006/relationships/hyperlink" Target="http://ebay.com" TargetMode="External"/><Relationship Id="rId293" Type="http://schemas.openxmlformats.org/officeDocument/2006/relationships/hyperlink" Target="http://ign.com" TargetMode="External"/><Relationship Id="rId171" Type="http://schemas.openxmlformats.org/officeDocument/2006/relationships/hyperlink" Target="http://ebay.com" TargetMode="External"/><Relationship Id="rId292" Type="http://schemas.openxmlformats.org/officeDocument/2006/relationships/hyperlink" Target="http://ign.com" TargetMode="External"/><Relationship Id="rId170" Type="http://schemas.openxmlformats.org/officeDocument/2006/relationships/hyperlink" Target="http://ebay.com" TargetMode="External"/><Relationship Id="rId291" Type="http://schemas.openxmlformats.org/officeDocument/2006/relationships/hyperlink" Target="http://ign.com" TargetMode="External"/><Relationship Id="rId290" Type="http://schemas.openxmlformats.org/officeDocument/2006/relationships/hyperlink" Target="http://iflscience.com" TargetMode="External"/><Relationship Id="rId165" Type="http://schemas.openxmlformats.org/officeDocument/2006/relationships/hyperlink" Target="http://drugs.com" TargetMode="External"/><Relationship Id="rId286" Type="http://schemas.openxmlformats.org/officeDocument/2006/relationships/hyperlink" Target="http://homehacks.co" TargetMode="External"/><Relationship Id="rId164" Type="http://schemas.openxmlformats.org/officeDocument/2006/relationships/hyperlink" Target="http://drugs.com" TargetMode="External"/><Relationship Id="rId285" Type="http://schemas.openxmlformats.org/officeDocument/2006/relationships/hyperlink" Target="http://homeaddict.io" TargetMode="External"/><Relationship Id="rId163" Type="http://schemas.openxmlformats.org/officeDocument/2006/relationships/hyperlink" Target="http://drugs.com" TargetMode="External"/><Relationship Id="rId284" Type="http://schemas.openxmlformats.org/officeDocument/2006/relationships/hyperlink" Target="http://historycollection.com" TargetMode="External"/><Relationship Id="rId162" Type="http://schemas.openxmlformats.org/officeDocument/2006/relationships/hyperlink" Target="http://drugs.com" TargetMode="External"/><Relationship Id="rId283" Type="http://schemas.openxmlformats.org/officeDocument/2006/relationships/hyperlink" Target="http://historyallday.com" TargetMode="External"/><Relationship Id="rId169" Type="http://schemas.openxmlformats.org/officeDocument/2006/relationships/hyperlink" Target="http://ebay.com" TargetMode="External"/><Relationship Id="rId168" Type="http://schemas.openxmlformats.org/officeDocument/2006/relationships/hyperlink" Target="http://ebay.com" TargetMode="External"/><Relationship Id="rId289" Type="http://schemas.openxmlformats.org/officeDocument/2006/relationships/hyperlink" Target="http://icy-veins.com" TargetMode="External"/><Relationship Id="rId167" Type="http://schemas.openxmlformats.org/officeDocument/2006/relationships/hyperlink" Target="http://ebay.com" TargetMode="External"/><Relationship Id="rId288" Type="http://schemas.openxmlformats.org/officeDocument/2006/relationships/hyperlink" Target="http://icy-veins.com" TargetMode="External"/><Relationship Id="rId166" Type="http://schemas.openxmlformats.org/officeDocument/2006/relationships/hyperlink" Target="http://drugs.com" TargetMode="External"/><Relationship Id="rId287" Type="http://schemas.openxmlformats.org/officeDocument/2006/relationships/hyperlink" Target="http://houseplans.net" TargetMode="External"/><Relationship Id="rId161" Type="http://schemas.openxmlformats.org/officeDocument/2006/relationships/hyperlink" Target="http://dotesports.com" TargetMode="External"/><Relationship Id="rId282" Type="http://schemas.openxmlformats.org/officeDocument/2006/relationships/hyperlink" Target="http://hindustantimes.com" TargetMode="External"/><Relationship Id="rId160" Type="http://schemas.openxmlformats.org/officeDocument/2006/relationships/hyperlink" Target="http://doodle.com" TargetMode="External"/><Relationship Id="rId281" Type="http://schemas.openxmlformats.org/officeDocument/2006/relationships/hyperlink" Target="http://hindustantimes.com" TargetMode="External"/><Relationship Id="rId280" Type="http://schemas.openxmlformats.org/officeDocument/2006/relationships/hyperlink" Target="http://heraldweekly.com" TargetMode="External"/><Relationship Id="rId159" Type="http://schemas.openxmlformats.org/officeDocument/2006/relationships/hyperlink" Target="http://doctoreport.com" TargetMode="External"/><Relationship Id="rId154" Type="http://schemas.openxmlformats.org/officeDocument/2006/relationships/hyperlink" Target="http://dexerto.com" TargetMode="External"/><Relationship Id="rId275" Type="http://schemas.openxmlformats.org/officeDocument/2006/relationships/hyperlink" Target="http://greatschools.org" TargetMode="External"/><Relationship Id="rId396" Type="http://schemas.openxmlformats.org/officeDocument/2006/relationships/hyperlink" Target="http://mobileposse.com" TargetMode="External"/><Relationship Id="rId153" Type="http://schemas.openxmlformats.org/officeDocument/2006/relationships/hyperlink" Target="http://dailymail.co.uk/tvshowbiz" TargetMode="External"/><Relationship Id="rId274" Type="http://schemas.openxmlformats.org/officeDocument/2006/relationships/hyperlink" Target="http://geeksforgeeks.org" TargetMode="External"/><Relationship Id="rId395" Type="http://schemas.openxmlformats.org/officeDocument/2006/relationships/hyperlink" Target="http://mlb.com" TargetMode="External"/><Relationship Id="rId152" Type="http://schemas.openxmlformats.org/officeDocument/2006/relationships/hyperlink" Target="http://dailymail.co.uk/tvshowbiz" TargetMode="External"/><Relationship Id="rId273" Type="http://schemas.openxmlformats.org/officeDocument/2006/relationships/hyperlink" Target="http://geeksforgeeks.org" TargetMode="External"/><Relationship Id="rId394" Type="http://schemas.openxmlformats.org/officeDocument/2006/relationships/hyperlink" Target="http://mlb.com" TargetMode="External"/><Relationship Id="rId151" Type="http://schemas.openxmlformats.org/officeDocument/2006/relationships/hyperlink" Target="http://dailymail.co.uk/tvshowbiz" TargetMode="External"/><Relationship Id="rId272" Type="http://schemas.openxmlformats.org/officeDocument/2006/relationships/hyperlink" Target="http://geeksforgeeks.org" TargetMode="External"/><Relationship Id="rId393" Type="http://schemas.openxmlformats.org/officeDocument/2006/relationships/hyperlink" Target="http://mlb.com" TargetMode="External"/><Relationship Id="rId158" Type="http://schemas.openxmlformats.org/officeDocument/2006/relationships/hyperlink" Target="http://dmv.org" TargetMode="External"/><Relationship Id="rId279" Type="http://schemas.openxmlformats.org/officeDocument/2006/relationships/hyperlink" Target="http://healthyrecipesblogs.com" TargetMode="External"/><Relationship Id="rId157" Type="http://schemas.openxmlformats.org/officeDocument/2006/relationships/hyperlink" Target="http://dinneratthezoo.com" TargetMode="External"/><Relationship Id="rId278" Type="http://schemas.openxmlformats.org/officeDocument/2006/relationships/hyperlink" Target="http://healthline.com" TargetMode="External"/><Relationship Id="rId399" Type="http://schemas.openxmlformats.org/officeDocument/2006/relationships/hyperlink" Target="http://msn.com" TargetMode="External"/><Relationship Id="rId156" Type="http://schemas.openxmlformats.org/officeDocument/2006/relationships/hyperlink" Target="http://dictionary.com" TargetMode="External"/><Relationship Id="rId277" Type="http://schemas.openxmlformats.org/officeDocument/2006/relationships/hyperlink" Target="http://health.usnews.com" TargetMode="External"/><Relationship Id="rId398" Type="http://schemas.openxmlformats.org/officeDocument/2006/relationships/hyperlink" Target="http://motor-junkie.com" TargetMode="External"/><Relationship Id="rId155" Type="http://schemas.openxmlformats.org/officeDocument/2006/relationships/hyperlink" Target="http://dictionary.com" TargetMode="External"/><Relationship Id="rId276" Type="http://schemas.openxmlformats.org/officeDocument/2006/relationships/hyperlink" Target="http://greedyfinance.com" TargetMode="External"/><Relationship Id="rId397" Type="http://schemas.openxmlformats.org/officeDocument/2006/relationships/hyperlink" Target="http://moneyppl.com" TargetMode="External"/><Relationship Id="rId40" Type="http://schemas.openxmlformats.org/officeDocument/2006/relationships/hyperlink" Target="http://autotrader.com" TargetMode="External"/><Relationship Id="rId42" Type="http://schemas.openxmlformats.org/officeDocument/2006/relationships/hyperlink" Target="http://baseball.fantasysports.yahoo.com" TargetMode="External"/><Relationship Id="rId41" Type="http://schemas.openxmlformats.org/officeDocument/2006/relationships/hyperlink" Target="http://a-z-animals.com" TargetMode="External"/><Relationship Id="rId44" Type="http://schemas.openxmlformats.org/officeDocument/2006/relationships/hyperlink" Target="http://bbc.com" TargetMode="External"/><Relationship Id="rId43" Type="http://schemas.openxmlformats.org/officeDocument/2006/relationships/hyperlink" Target="http://baseball-reference.com" TargetMode="External"/><Relationship Id="rId46" Type="http://schemas.openxmlformats.org/officeDocument/2006/relationships/hyperlink" Target="http://bbc.com" TargetMode="External"/><Relationship Id="rId45" Type="http://schemas.openxmlformats.org/officeDocument/2006/relationships/hyperlink" Target="http://bbc.com" TargetMode="External"/><Relationship Id="rId509" Type="http://schemas.openxmlformats.org/officeDocument/2006/relationships/hyperlink" Target="http://realtor.com" TargetMode="External"/><Relationship Id="rId508" Type="http://schemas.openxmlformats.org/officeDocument/2006/relationships/hyperlink" Target="http://realtor.com" TargetMode="External"/><Relationship Id="rId629" Type="http://schemas.openxmlformats.org/officeDocument/2006/relationships/hyperlink" Target="http://weather.com" TargetMode="External"/><Relationship Id="rId503" Type="http://schemas.openxmlformats.org/officeDocument/2006/relationships/hyperlink" Target="http://realtor.com" TargetMode="External"/><Relationship Id="rId624" Type="http://schemas.openxmlformats.org/officeDocument/2006/relationships/hyperlink" Target="http://weather.com" TargetMode="External"/><Relationship Id="rId502" Type="http://schemas.openxmlformats.org/officeDocument/2006/relationships/hyperlink" Target="http://realtor.com" TargetMode="External"/><Relationship Id="rId623" Type="http://schemas.openxmlformats.org/officeDocument/2006/relationships/hyperlink" Target="http://washingtonpost.com" TargetMode="External"/><Relationship Id="rId501" Type="http://schemas.openxmlformats.org/officeDocument/2006/relationships/hyperlink" Target="http://realtor.com" TargetMode="External"/><Relationship Id="rId622" Type="http://schemas.openxmlformats.org/officeDocument/2006/relationships/hyperlink" Target="http://w3schools.com" TargetMode="External"/><Relationship Id="rId500" Type="http://schemas.openxmlformats.org/officeDocument/2006/relationships/hyperlink" Target="http://ranker.com" TargetMode="External"/><Relationship Id="rId621" Type="http://schemas.openxmlformats.org/officeDocument/2006/relationships/hyperlink" Target="http://w3schools.com" TargetMode="External"/><Relationship Id="rId507" Type="http://schemas.openxmlformats.org/officeDocument/2006/relationships/hyperlink" Target="http://realtor.com" TargetMode="External"/><Relationship Id="rId628" Type="http://schemas.openxmlformats.org/officeDocument/2006/relationships/hyperlink" Target="http://weather.com" TargetMode="External"/><Relationship Id="rId506" Type="http://schemas.openxmlformats.org/officeDocument/2006/relationships/hyperlink" Target="http://realtor.com" TargetMode="External"/><Relationship Id="rId627" Type="http://schemas.openxmlformats.org/officeDocument/2006/relationships/hyperlink" Target="http://weather.com" TargetMode="External"/><Relationship Id="rId505" Type="http://schemas.openxmlformats.org/officeDocument/2006/relationships/hyperlink" Target="http://realtor.com" TargetMode="External"/><Relationship Id="rId626" Type="http://schemas.openxmlformats.org/officeDocument/2006/relationships/hyperlink" Target="http://weather.com" TargetMode="External"/><Relationship Id="rId504" Type="http://schemas.openxmlformats.org/officeDocument/2006/relationships/hyperlink" Target="http://realtor.com" TargetMode="External"/><Relationship Id="rId625" Type="http://schemas.openxmlformats.org/officeDocument/2006/relationships/hyperlink" Target="http://weather.com" TargetMode="External"/><Relationship Id="rId48" Type="http://schemas.openxmlformats.org/officeDocument/2006/relationships/hyperlink" Target="http://bbc.com" TargetMode="External"/><Relationship Id="rId47" Type="http://schemas.openxmlformats.org/officeDocument/2006/relationships/hyperlink" Target="http://bbc.com" TargetMode="External"/><Relationship Id="rId49" Type="http://schemas.openxmlformats.org/officeDocument/2006/relationships/hyperlink" Target="http://behindthevoiceactors.com" TargetMode="External"/><Relationship Id="rId620" Type="http://schemas.openxmlformats.org/officeDocument/2006/relationships/hyperlink" Target="http://w3schools.com" TargetMode="External"/><Relationship Id="rId31" Type="http://schemas.openxmlformats.org/officeDocument/2006/relationships/hyperlink" Target="http://aol.com" TargetMode="External"/><Relationship Id="rId30" Type="http://schemas.openxmlformats.org/officeDocument/2006/relationships/hyperlink" Target="http://aol.com" TargetMode="External"/><Relationship Id="rId33" Type="http://schemas.openxmlformats.org/officeDocument/2006/relationships/hyperlink" Target="http://apnews.com" TargetMode="External"/><Relationship Id="rId32" Type="http://schemas.openxmlformats.org/officeDocument/2006/relationships/hyperlink" Target="http://aol.com" TargetMode="External"/><Relationship Id="rId35" Type="http://schemas.openxmlformats.org/officeDocument/2006/relationships/hyperlink" Target="http://att.yahoo.com" TargetMode="External"/><Relationship Id="rId34" Type="http://schemas.openxmlformats.org/officeDocument/2006/relationships/hyperlink" Target="http://apnews.com" TargetMode="External"/><Relationship Id="rId619" Type="http://schemas.openxmlformats.org/officeDocument/2006/relationships/hyperlink" Target="http://w3schools.com" TargetMode="External"/><Relationship Id="rId618" Type="http://schemas.openxmlformats.org/officeDocument/2006/relationships/hyperlink" Target="http://usssa.com" TargetMode="External"/><Relationship Id="rId613" Type="http://schemas.openxmlformats.org/officeDocument/2006/relationships/hyperlink" Target="http://usatoday.com" TargetMode="External"/><Relationship Id="rId612" Type="http://schemas.openxmlformats.org/officeDocument/2006/relationships/hyperlink" Target="http://usatoday.com" TargetMode="External"/><Relationship Id="rId611" Type="http://schemas.openxmlformats.org/officeDocument/2006/relationships/hyperlink" Target="http://usatoday.com" TargetMode="External"/><Relationship Id="rId610" Type="http://schemas.openxmlformats.org/officeDocument/2006/relationships/hyperlink" Target="http://upworthy.com" TargetMode="External"/><Relationship Id="rId617" Type="http://schemas.openxmlformats.org/officeDocument/2006/relationships/hyperlink" Target="http://usnews.com" TargetMode="External"/><Relationship Id="rId616" Type="http://schemas.openxmlformats.org/officeDocument/2006/relationships/hyperlink" Target="http://uscellular.com" TargetMode="External"/><Relationship Id="rId615" Type="http://schemas.openxmlformats.org/officeDocument/2006/relationships/hyperlink" Target="http://usatoday.com" TargetMode="External"/><Relationship Id="rId614" Type="http://schemas.openxmlformats.org/officeDocument/2006/relationships/hyperlink" Target="http://usatoday.com" TargetMode="External"/><Relationship Id="rId37" Type="http://schemas.openxmlformats.org/officeDocument/2006/relationships/hyperlink" Target="http://autotrader.com" TargetMode="External"/><Relationship Id="rId36" Type="http://schemas.openxmlformats.org/officeDocument/2006/relationships/hyperlink" Target="http://att.yahoo.com" TargetMode="External"/><Relationship Id="rId39" Type="http://schemas.openxmlformats.org/officeDocument/2006/relationships/hyperlink" Target="http://autotrader.com" TargetMode="External"/><Relationship Id="rId38" Type="http://schemas.openxmlformats.org/officeDocument/2006/relationships/hyperlink" Target="http://autotrader.com" TargetMode="External"/><Relationship Id="rId20" Type="http://schemas.openxmlformats.org/officeDocument/2006/relationships/hyperlink" Target="http://activebeat.com" TargetMode="External"/><Relationship Id="rId22" Type="http://schemas.openxmlformats.org/officeDocument/2006/relationships/hyperlink" Target="http://ajc.com" TargetMode="External"/><Relationship Id="rId21" Type="http://schemas.openxmlformats.org/officeDocument/2006/relationships/hyperlink" Target="http://ajc.com" TargetMode="External"/><Relationship Id="rId24" Type="http://schemas.openxmlformats.org/officeDocument/2006/relationships/hyperlink" Target="http://ajc.com" TargetMode="External"/><Relationship Id="rId23" Type="http://schemas.openxmlformats.org/officeDocument/2006/relationships/hyperlink" Target="http://ajc.com" TargetMode="External"/><Relationship Id="rId409" Type="http://schemas.openxmlformats.org/officeDocument/2006/relationships/hyperlink" Target="http://msn.com" TargetMode="External"/><Relationship Id="rId404" Type="http://schemas.openxmlformats.org/officeDocument/2006/relationships/hyperlink" Target="http://msn.com" TargetMode="External"/><Relationship Id="rId525" Type="http://schemas.openxmlformats.org/officeDocument/2006/relationships/hyperlink" Target="http://redfin.com" TargetMode="External"/><Relationship Id="rId646" Type="http://schemas.openxmlformats.org/officeDocument/2006/relationships/hyperlink" Target="http://weather.com" TargetMode="External"/><Relationship Id="rId403" Type="http://schemas.openxmlformats.org/officeDocument/2006/relationships/hyperlink" Target="http://msn.com" TargetMode="External"/><Relationship Id="rId524" Type="http://schemas.openxmlformats.org/officeDocument/2006/relationships/hyperlink" Target="http://realtor.com" TargetMode="External"/><Relationship Id="rId645" Type="http://schemas.openxmlformats.org/officeDocument/2006/relationships/hyperlink" Target="http://weather.com" TargetMode="External"/><Relationship Id="rId402" Type="http://schemas.openxmlformats.org/officeDocument/2006/relationships/hyperlink" Target="http://msn.com" TargetMode="External"/><Relationship Id="rId523" Type="http://schemas.openxmlformats.org/officeDocument/2006/relationships/hyperlink" Target="http://realtor.com" TargetMode="External"/><Relationship Id="rId644" Type="http://schemas.openxmlformats.org/officeDocument/2006/relationships/hyperlink" Target="http://weather.com" TargetMode="External"/><Relationship Id="rId401" Type="http://schemas.openxmlformats.org/officeDocument/2006/relationships/hyperlink" Target="http://msn.com" TargetMode="External"/><Relationship Id="rId522" Type="http://schemas.openxmlformats.org/officeDocument/2006/relationships/hyperlink" Target="http://realtor.com" TargetMode="External"/><Relationship Id="rId643" Type="http://schemas.openxmlformats.org/officeDocument/2006/relationships/hyperlink" Target="http://weather.com" TargetMode="External"/><Relationship Id="rId408" Type="http://schemas.openxmlformats.org/officeDocument/2006/relationships/hyperlink" Target="http://msn.com" TargetMode="External"/><Relationship Id="rId529" Type="http://schemas.openxmlformats.org/officeDocument/2006/relationships/hyperlink" Target="http://repairlinkshop.com" TargetMode="External"/><Relationship Id="rId407" Type="http://schemas.openxmlformats.org/officeDocument/2006/relationships/hyperlink" Target="http://msn.com" TargetMode="External"/><Relationship Id="rId528" Type="http://schemas.openxmlformats.org/officeDocument/2006/relationships/hyperlink" Target="http://rent.com" TargetMode="External"/><Relationship Id="rId649" Type="http://schemas.openxmlformats.org/officeDocument/2006/relationships/hyperlink" Target="http://weather.com" TargetMode="External"/><Relationship Id="rId406" Type="http://schemas.openxmlformats.org/officeDocument/2006/relationships/hyperlink" Target="http://msn.com" TargetMode="External"/><Relationship Id="rId527" Type="http://schemas.openxmlformats.org/officeDocument/2006/relationships/hyperlink" Target="http://rent.com" TargetMode="External"/><Relationship Id="rId648" Type="http://schemas.openxmlformats.org/officeDocument/2006/relationships/hyperlink" Target="http://weather.com" TargetMode="External"/><Relationship Id="rId405" Type="http://schemas.openxmlformats.org/officeDocument/2006/relationships/hyperlink" Target="http://msn.com" TargetMode="External"/><Relationship Id="rId526" Type="http://schemas.openxmlformats.org/officeDocument/2006/relationships/hyperlink" Target="http://reference.com" TargetMode="External"/><Relationship Id="rId647" Type="http://schemas.openxmlformats.org/officeDocument/2006/relationships/hyperlink" Target="http://weather.com" TargetMode="External"/><Relationship Id="rId26" Type="http://schemas.openxmlformats.org/officeDocument/2006/relationships/hyperlink" Target="http://allrecipes.com" TargetMode="External"/><Relationship Id="rId25" Type="http://schemas.openxmlformats.org/officeDocument/2006/relationships/hyperlink" Target="http://al.com" TargetMode="External"/><Relationship Id="rId28" Type="http://schemas.openxmlformats.org/officeDocument/2006/relationships/hyperlink" Target="http://androidauthority.com" TargetMode="External"/><Relationship Id="rId27" Type="http://schemas.openxmlformats.org/officeDocument/2006/relationships/hyperlink" Target="http://alotfinance.com" TargetMode="External"/><Relationship Id="rId400" Type="http://schemas.openxmlformats.org/officeDocument/2006/relationships/hyperlink" Target="http://msn.com" TargetMode="External"/><Relationship Id="rId521" Type="http://schemas.openxmlformats.org/officeDocument/2006/relationships/hyperlink" Target="http://realtor.com" TargetMode="External"/><Relationship Id="rId642" Type="http://schemas.openxmlformats.org/officeDocument/2006/relationships/hyperlink" Target="http://weather.com" TargetMode="External"/><Relationship Id="rId29" Type="http://schemas.openxmlformats.org/officeDocument/2006/relationships/hyperlink" Target="http://androidpolice.com" TargetMode="External"/><Relationship Id="rId520" Type="http://schemas.openxmlformats.org/officeDocument/2006/relationships/hyperlink" Target="http://realtor.com" TargetMode="External"/><Relationship Id="rId641" Type="http://schemas.openxmlformats.org/officeDocument/2006/relationships/hyperlink" Target="http://weather.com" TargetMode="External"/><Relationship Id="rId640" Type="http://schemas.openxmlformats.org/officeDocument/2006/relationships/hyperlink" Target="http://weather.com" TargetMode="External"/><Relationship Id="rId11" Type="http://schemas.openxmlformats.org/officeDocument/2006/relationships/hyperlink" Target="http://accuweather.com" TargetMode="External"/><Relationship Id="rId10" Type="http://schemas.openxmlformats.org/officeDocument/2006/relationships/hyperlink" Target="http://accuweather.com" TargetMode="External"/><Relationship Id="rId13" Type="http://schemas.openxmlformats.org/officeDocument/2006/relationships/hyperlink" Target="http://accuweather.com" TargetMode="External"/><Relationship Id="rId12" Type="http://schemas.openxmlformats.org/officeDocument/2006/relationships/hyperlink" Target="http://accuweather.com" TargetMode="External"/><Relationship Id="rId519" Type="http://schemas.openxmlformats.org/officeDocument/2006/relationships/hyperlink" Target="http://realtor.com" TargetMode="External"/><Relationship Id="rId514" Type="http://schemas.openxmlformats.org/officeDocument/2006/relationships/hyperlink" Target="http://realtor.com" TargetMode="External"/><Relationship Id="rId635" Type="http://schemas.openxmlformats.org/officeDocument/2006/relationships/hyperlink" Target="http://weather.com" TargetMode="External"/><Relationship Id="rId513" Type="http://schemas.openxmlformats.org/officeDocument/2006/relationships/hyperlink" Target="http://realtor.com" TargetMode="External"/><Relationship Id="rId634" Type="http://schemas.openxmlformats.org/officeDocument/2006/relationships/hyperlink" Target="http://weather.com" TargetMode="External"/><Relationship Id="rId512" Type="http://schemas.openxmlformats.org/officeDocument/2006/relationships/hyperlink" Target="http://realtor.com" TargetMode="External"/><Relationship Id="rId633" Type="http://schemas.openxmlformats.org/officeDocument/2006/relationships/hyperlink" Target="http://weather.com" TargetMode="External"/><Relationship Id="rId511" Type="http://schemas.openxmlformats.org/officeDocument/2006/relationships/hyperlink" Target="http://realtor.com" TargetMode="External"/><Relationship Id="rId632" Type="http://schemas.openxmlformats.org/officeDocument/2006/relationships/hyperlink" Target="http://weather.com" TargetMode="External"/><Relationship Id="rId518" Type="http://schemas.openxmlformats.org/officeDocument/2006/relationships/hyperlink" Target="http://realtor.com" TargetMode="External"/><Relationship Id="rId639" Type="http://schemas.openxmlformats.org/officeDocument/2006/relationships/hyperlink" Target="http://weather.com" TargetMode="External"/><Relationship Id="rId517" Type="http://schemas.openxmlformats.org/officeDocument/2006/relationships/hyperlink" Target="http://realtor.com" TargetMode="External"/><Relationship Id="rId638" Type="http://schemas.openxmlformats.org/officeDocument/2006/relationships/hyperlink" Target="http://weather.com" TargetMode="External"/><Relationship Id="rId516" Type="http://schemas.openxmlformats.org/officeDocument/2006/relationships/hyperlink" Target="http://realtor.com" TargetMode="External"/><Relationship Id="rId637" Type="http://schemas.openxmlformats.org/officeDocument/2006/relationships/hyperlink" Target="http://weather.com" TargetMode="External"/><Relationship Id="rId515" Type="http://schemas.openxmlformats.org/officeDocument/2006/relationships/hyperlink" Target="http://realtor.com" TargetMode="External"/><Relationship Id="rId636" Type="http://schemas.openxmlformats.org/officeDocument/2006/relationships/hyperlink" Target="http://weather.com" TargetMode="External"/><Relationship Id="rId15" Type="http://schemas.openxmlformats.org/officeDocument/2006/relationships/hyperlink" Target="http://accuweather.com" TargetMode="External"/><Relationship Id="rId14" Type="http://schemas.openxmlformats.org/officeDocument/2006/relationships/hyperlink" Target="http://accuweather.com" TargetMode="External"/><Relationship Id="rId17" Type="http://schemas.openxmlformats.org/officeDocument/2006/relationships/hyperlink" Target="http://activebeat.com" TargetMode="External"/><Relationship Id="rId16" Type="http://schemas.openxmlformats.org/officeDocument/2006/relationships/hyperlink" Target="http://accuweather.com" TargetMode="External"/><Relationship Id="rId19" Type="http://schemas.openxmlformats.org/officeDocument/2006/relationships/hyperlink" Target="http://activebeat.com" TargetMode="External"/><Relationship Id="rId510" Type="http://schemas.openxmlformats.org/officeDocument/2006/relationships/hyperlink" Target="http://realtor.com" TargetMode="External"/><Relationship Id="rId631" Type="http://schemas.openxmlformats.org/officeDocument/2006/relationships/hyperlink" Target="http://weather.com" TargetMode="External"/><Relationship Id="rId18" Type="http://schemas.openxmlformats.org/officeDocument/2006/relationships/hyperlink" Target="http://activebeat.com" TargetMode="External"/><Relationship Id="rId630" Type="http://schemas.openxmlformats.org/officeDocument/2006/relationships/hyperlink" Target="http://weather.com" TargetMode="External"/><Relationship Id="rId84" Type="http://schemas.openxmlformats.org/officeDocument/2006/relationships/hyperlink" Target="http://buzzfeed.com" TargetMode="External"/><Relationship Id="rId83" Type="http://schemas.openxmlformats.org/officeDocument/2006/relationships/hyperlink" Target="http://buzzfeed.com" TargetMode="External"/><Relationship Id="rId86" Type="http://schemas.openxmlformats.org/officeDocument/2006/relationships/hyperlink" Target="http://calculator.net" TargetMode="External"/><Relationship Id="rId85" Type="http://schemas.openxmlformats.org/officeDocument/2006/relationships/hyperlink" Target="http://calculator.net" TargetMode="External"/><Relationship Id="rId88" Type="http://schemas.openxmlformats.org/officeDocument/2006/relationships/hyperlink" Target="http://calculator.net" TargetMode="External"/><Relationship Id="rId87" Type="http://schemas.openxmlformats.org/officeDocument/2006/relationships/hyperlink" Target="http://calculator.net" TargetMode="External"/><Relationship Id="rId89" Type="http://schemas.openxmlformats.org/officeDocument/2006/relationships/hyperlink" Target="http://calculator.net" TargetMode="External"/><Relationship Id="rId709" Type="http://schemas.openxmlformats.org/officeDocument/2006/relationships/hyperlink" Target="http://yahoo.com" TargetMode="External"/><Relationship Id="rId708" Type="http://schemas.openxmlformats.org/officeDocument/2006/relationships/hyperlink" Target="http://yahoo.com" TargetMode="External"/><Relationship Id="rId707" Type="http://schemas.openxmlformats.org/officeDocument/2006/relationships/hyperlink" Target="http://yahoo.com" TargetMode="External"/><Relationship Id="rId706" Type="http://schemas.openxmlformats.org/officeDocument/2006/relationships/hyperlink" Target="http://yahoo.com" TargetMode="External"/><Relationship Id="rId80" Type="http://schemas.openxmlformats.org/officeDocument/2006/relationships/hyperlink" Target="http://businessinsider.com" TargetMode="External"/><Relationship Id="rId82" Type="http://schemas.openxmlformats.org/officeDocument/2006/relationships/hyperlink" Target="http://businessinsider.com" TargetMode="External"/><Relationship Id="rId81" Type="http://schemas.openxmlformats.org/officeDocument/2006/relationships/hyperlink" Target="http://businessinsider.com" TargetMode="External"/><Relationship Id="rId701" Type="http://schemas.openxmlformats.org/officeDocument/2006/relationships/hyperlink" Target="http://yahoo.com" TargetMode="External"/><Relationship Id="rId700" Type="http://schemas.openxmlformats.org/officeDocument/2006/relationships/hyperlink" Target="http://yahoo.com" TargetMode="External"/><Relationship Id="rId705" Type="http://schemas.openxmlformats.org/officeDocument/2006/relationships/hyperlink" Target="http://yahoo.com" TargetMode="External"/><Relationship Id="rId704" Type="http://schemas.openxmlformats.org/officeDocument/2006/relationships/hyperlink" Target="http://yahoo.com" TargetMode="External"/><Relationship Id="rId703" Type="http://schemas.openxmlformats.org/officeDocument/2006/relationships/hyperlink" Target="http://yahoo.com" TargetMode="External"/><Relationship Id="rId702" Type="http://schemas.openxmlformats.org/officeDocument/2006/relationships/hyperlink" Target="http://yahoo.com" TargetMode="External"/><Relationship Id="rId73" Type="http://schemas.openxmlformats.org/officeDocument/2006/relationships/hyperlink" Target="http://boattrader.com" TargetMode="External"/><Relationship Id="rId72" Type="http://schemas.openxmlformats.org/officeDocument/2006/relationships/hyperlink" Target="http://boattrader.com" TargetMode="External"/><Relationship Id="rId75" Type="http://schemas.openxmlformats.org/officeDocument/2006/relationships/hyperlink" Target="http://boattrader.com" TargetMode="External"/><Relationship Id="rId74" Type="http://schemas.openxmlformats.org/officeDocument/2006/relationships/hyperlink" Target="http://boattrader.com" TargetMode="External"/><Relationship Id="rId77" Type="http://schemas.openxmlformats.org/officeDocument/2006/relationships/hyperlink" Target="http://bridesblush.com" TargetMode="External"/><Relationship Id="rId76" Type="http://schemas.openxmlformats.org/officeDocument/2006/relationships/hyperlink" Target="http://boxrox.com" TargetMode="External"/><Relationship Id="rId79" Type="http://schemas.openxmlformats.org/officeDocument/2006/relationships/hyperlink" Target="http://businessinsider.com" TargetMode="External"/><Relationship Id="rId78" Type="http://schemas.openxmlformats.org/officeDocument/2006/relationships/hyperlink" Target="http://britannica.com" TargetMode="External"/><Relationship Id="rId71" Type="http://schemas.openxmlformats.org/officeDocument/2006/relationships/hyperlink" Target="http://boattrader.com" TargetMode="External"/><Relationship Id="rId70" Type="http://schemas.openxmlformats.org/officeDocument/2006/relationships/hyperlink" Target="http://bleacherbreaker.com" TargetMode="External"/><Relationship Id="rId62" Type="http://schemas.openxmlformats.org/officeDocument/2006/relationships/hyperlink" Target="http://biblegateway.com" TargetMode="External"/><Relationship Id="rId61" Type="http://schemas.openxmlformats.org/officeDocument/2006/relationships/hyperlink" Target="http://biblegateway.com" TargetMode="External"/><Relationship Id="rId64" Type="http://schemas.openxmlformats.org/officeDocument/2006/relationships/hyperlink" Target="http://biblegateway.com" TargetMode="External"/><Relationship Id="rId63" Type="http://schemas.openxmlformats.org/officeDocument/2006/relationships/hyperlink" Target="http://biblegateway.com" TargetMode="External"/><Relationship Id="rId66" Type="http://schemas.openxmlformats.org/officeDocument/2006/relationships/hyperlink" Target="http://biblegateway.com" TargetMode="External"/><Relationship Id="rId65" Type="http://schemas.openxmlformats.org/officeDocument/2006/relationships/hyperlink" Target="http://biblegateway.com" TargetMode="External"/><Relationship Id="rId68" Type="http://schemas.openxmlformats.org/officeDocument/2006/relationships/hyperlink" Target="http://biblestudytools.com" TargetMode="External"/><Relationship Id="rId67" Type="http://schemas.openxmlformats.org/officeDocument/2006/relationships/hyperlink" Target="http://biblegateway.com" TargetMode="External"/><Relationship Id="rId609" Type="http://schemas.openxmlformats.org/officeDocument/2006/relationships/hyperlink" Target="http://tripadvisor.com" TargetMode="External"/><Relationship Id="rId608" Type="http://schemas.openxmlformats.org/officeDocument/2006/relationships/hyperlink" Target="http://travelerdreams.com" TargetMode="External"/><Relationship Id="rId607" Type="http://schemas.openxmlformats.org/officeDocument/2006/relationships/hyperlink" Target="http://travelerdreams.com" TargetMode="External"/><Relationship Id="rId728" Type="http://schemas.openxmlformats.org/officeDocument/2006/relationships/drawing" Target="../drawings/drawing1.xml"/><Relationship Id="rId60" Type="http://schemas.openxmlformats.org/officeDocument/2006/relationships/hyperlink" Target="http://biblegateway.com" TargetMode="External"/><Relationship Id="rId602" Type="http://schemas.openxmlformats.org/officeDocument/2006/relationships/hyperlink" Target="http://tomsguide.com" TargetMode="External"/><Relationship Id="rId723" Type="http://schemas.openxmlformats.org/officeDocument/2006/relationships/hyperlink" Target="http://zillow.com" TargetMode="External"/><Relationship Id="rId601" Type="http://schemas.openxmlformats.org/officeDocument/2006/relationships/hyperlink" Target="http://todaysnyc.com" TargetMode="External"/><Relationship Id="rId722" Type="http://schemas.openxmlformats.org/officeDocument/2006/relationships/hyperlink" Target="http://zillow.com" TargetMode="External"/><Relationship Id="rId600" Type="http://schemas.openxmlformats.org/officeDocument/2006/relationships/hyperlink" Target="http://timeanddate.com" TargetMode="External"/><Relationship Id="rId721" Type="http://schemas.openxmlformats.org/officeDocument/2006/relationships/hyperlink" Target="http://zillow.com" TargetMode="External"/><Relationship Id="rId720" Type="http://schemas.openxmlformats.org/officeDocument/2006/relationships/hyperlink" Target="http://zillow.com" TargetMode="External"/><Relationship Id="rId606" Type="http://schemas.openxmlformats.org/officeDocument/2006/relationships/hyperlink" Target="http://topclassactions.com" TargetMode="External"/><Relationship Id="rId727" Type="http://schemas.openxmlformats.org/officeDocument/2006/relationships/hyperlink" Target="http://zone.msn.com" TargetMode="External"/><Relationship Id="rId605" Type="http://schemas.openxmlformats.org/officeDocument/2006/relationships/hyperlink" Target="http://topclassactions.com" TargetMode="External"/><Relationship Id="rId726" Type="http://schemas.openxmlformats.org/officeDocument/2006/relationships/hyperlink" Target="http://zillow.com" TargetMode="External"/><Relationship Id="rId604" Type="http://schemas.openxmlformats.org/officeDocument/2006/relationships/hyperlink" Target="http://tomsguide.com" TargetMode="External"/><Relationship Id="rId725" Type="http://schemas.openxmlformats.org/officeDocument/2006/relationships/hyperlink" Target="http://zillow.com" TargetMode="External"/><Relationship Id="rId603" Type="http://schemas.openxmlformats.org/officeDocument/2006/relationships/hyperlink" Target="http://tomsguide.com" TargetMode="External"/><Relationship Id="rId724" Type="http://schemas.openxmlformats.org/officeDocument/2006/relationships/hyperlink" Target="http://zillow.com" TargetMode="External"/><Relationship Id="rId69" Type="http://schemas.openxmlformats.org/officeDocument/2006/relationships/hyperlink" Target="http://billboard.com" TargetMode="External"/><Relationship Id="rId51" Type="http://schemas.openxmlformats.org/officeDocument/2006/relationships/hyperlink" Target="http://biblegateway.com" TargetMode="External"/><Relationship Id="rId50" Type="http://schemas.openxmlformats.org/officeDocument/2006/relationships/hyperlink" Target="http://bestbuy.com" TargetMode="External"/><Relationship Id="rId53" Type="http://schemas.openxmlformats.org/officeDocument/2006/relationships/hyperlink" Target="http://biblegateway.com" TargetMode="External"/><Relationship Id="rId52" Type="http://schemas.openxmlformats.org/officeDocument/2006/relationships/hyperlink" Target="http://biblegateway.com" TargetMode="External"/><Relationship Id="rId55" Type="http://schemas.openxmlformats.org/officeDocument/2006/relationships/hyperlink" Target="http://biblegateway.com" TargetMode="External"/><Relationship Id="rId54" Type="http://schemas.openxmlformats.org/officeDocument/2006/relationships/hyperlink" Target="http://biblegateway.com" TargetMode="External"/><Relationship Id="rId57" Type="http://schemas.openxmlformats.org/officeDocument/2006/relationships/hyperlink" Target="http://biblegateway.com" TargetMode="External"/><Relationship Id="rId56" Type="http://schemas.openxmlformats.org/officeDocument/2006/relationships/hyperlink" Target="http://biblegateway.com" TargetMode="External"/><Relationship Id="rId719" Type="http://schemas.openxmlformats.org/officeDocument/2006/relationships/hyperlink" Target="http://zillow.com" TargetMode="External"/><Relationship Id="rId718" Type="http://schemas.openxmlformats.org/officeDocument/2006/relationships/hyperlink" Target="http://zdnet.com" TargetMode="External"/><Relationship Id="rId717" Type="http://schemas.openxmlformats.org/officeDocument/2006/relationships/hyperlink" Target="http://zdnet.com" TargetMode="External"/><Relationship Id="rId712" Type="http://schemas.openxmlformats.org/officeDocument/2006/relationships/hyperlink" Target="http://yellowpages.com" TargetMode="External"/><Relationship Id="rId711" Type="http://schemas.openxmlformats.org/officeDocument/2006/relationships/hyperlink" Target="http://yellowpages.com" TargetMode="External"/><Relationship Id="rId710" Type="http://schemas.openxmlformats.org/officeDocument/2006/relationships/hyperlink" Target="http://yahoo.com" TargetMode="External"/><Relationship Id="rId716" Type="http://schemas.openxmlformats.org/officeDocument/2006/relationships/hyperlink" Target="http://yourroyals.com" TargetMode="External"/><Relationship Id="rId715" Type="http://schemas.openxmlformats.org/officeDocument/2006/relationships/hyperlink" Target="http://yourdailysportfix.com" TargetMode="External"/><Relationship Id="rId714" Type="http://schemas.openxmlformats.org/officeDocument/2006/relationships/hyperlink" Target="http://yourdailysportfix.com" TargetMode="External"/><Relationship Id="rId713" Type="http://schemas.openxmlformats.org/officeDocument/2006/relationships/hyperlink" Target="http://yellowpages.com" TargetMode="External"/><Relationship Id="rId59" Type="http://schemas.openxmlformats.org/officeDocument/2006/relationships/hyperlink" Target="http://biblegateway.com" TargetMode="External"/><Relationship Id="rId58" Type="http://schemas.openxmlformats.org/officeDocument/2006/relationships/hyperlink" Target="http://biblegateway.com" TargetMode="External"/><Relationship Id="rId590" Type="http://schemas.openxmlformats.org/officeDocument/2006/relationships/hyperlink" Target="http://thesaurus.com" TargetMode="External"/><Relationship Id="rId107" Type="http://schemas.openxmlformats.org/officeDocument/2006/relationships/hyperlink" Target="http://cbsnews.com" TargetMode="External"/><Relationship Id="rId228" Type="http://schemas.openxmlformats.org/officeDocument/2006/relationships/hyperlink" Target="http://finance.yahoo.com" TargetMode="External"/><Relationship Id="rId349" Type="http://schemas.openxmlformats.org/officeDocument/2006/relationships/hyperlink" Target="http://mail.yahoo.com" TargetMode="External"/><Relationship Id="rId106" Type="http://schemas.openxmlformats.org/officeDocument/2006/relationships/hyperlink" Target="http://cbsnews.com" TargetMode="External"/><Relationship Id="rId227" Type="http://schemas.openxmlformats.org/officeDocument/2006/relationships/hyperlink" Target="http://finance.yahoo.com" TargetMode="External"/><Relationship Id="rId348" Type="http://schemas.openxmlformats.org/officeDocument/2006/relationships/hyperlink" Target="http://mail.yahoo.com" TargetMode="External"/><Relationship Id="rId469" Type="http://schemas.openxmlformats.org/officeDocument/2006/relationships/hyperlink" Target="http://outlook.live.com" TargetMode="External"/><Relationship Id="rId105" Type="http://schemas.openxmlformats.org/officeDocument/2006/relationships/hyperlink" Target="http://cbsnews.com" TargetMode="External"/><Relationship Id="rId226" Type="http://schemas.openxmlformats.org/officeDocument/2006/relationships/hyperlink" Target="http://finance.yahoo.com" TargetMode="External"/><Relationship Id="rId347" Type="http://schemas.openxmlformats.org/officeDocument/2006/relationships/hyperlink" Target="http://mail.yahoo.com" TargetMode="External"/><Relationship Id="rId468" Type="http://schemas.openxmlformats.org/officeDocument/2006/relationships/hyperlink" Target="http://outlook.live.com" TargetMode="External"/><Relationship Id="rId589" Type="http://schemas.openxmlformats.org/officeDocument/2006/relationships/hyperlink" Target="http://thesaurus.com" TargetMode="External"/><Relationship Id="rId104" Type="http://schemas.openxmlformats.org/officeDocument/2006/relationships/hyperlink" Target="http://cbsnews.com" TargetMode="External"/><Relationship Id="rId225" Type="http://schemas.openxmlformats.org/officeDocument/2006/relationships/hyperlink" Target="http://finance.yahoo.com" TargetMode="External"/><Relationship Id="rId346" Type="http://schemas.openxmlformats.org/officeDocument/2006/relationships/hyperlink" Target="http://mail.yahoo.com" TargetMode="External"/><Relationship Id="rId467" Type="http://schemas.openxmlformats.org/officeDocument/2006/relationships/hyperlink" Target="http://outlook.live.com" TargetMode="External"/><Relationship Id="rId588" Type="http://schemas.openxmlformats.org/officeDocument/2006/relationships/hyperlink" Target="http://thesaurus.com" TargetMode="External"/><Relationship Id="rId109" Type="http://schemas.openxmlformats.org/officeDocument/2006/relationships/hyperlink" Target="http://cbsnews.com" TargetMode="External"/><Relationship Id="rId108" Type="http://schemas.openxmlformats.org/officeDocument/2006/relationships/hyperlink" Target="http://cbsnews.com" TargetMode="External"/><Relationship Id="rId229" Type="http://schemas.openxmlformats.org/officeDocument/2006/relationships/hyperlink" Target="http://finance.yahoo.com" TargetMode="External"/><Relationship Id="rId220" Type="http://schemas.openxmlformats.org/officeDocument/2006/relationships/hyperlink" Target="http://finance.yahoo.com" TargetMode="External"/><Relationship Id="rId341" Type="http://schemas.openxmlformats.org/officeDocument/2006/relationships/hyperlink" Target="http://mail.aol.com" TargetMode="External"/><Relationship Id="rId462" Type="http://schemas.openxmlformats.org/officeDocument/2006/relationships/hyperlink" Target="http://nytimes.com" TargetMode="External"/><Relationship Id="rId583" Type="http://schemas.openxmlformats.org/officeDocument/2006/relationships/hyperlink" Target="http://therighthairstyles.com" TargetMode="External"/><Relationship Id="rId340" Type="http://schemas.openxmlformats.org/officeDocument/2006/relationships/hyperlink" Target="http://mail.aol.com" TargetMode="External"/><Relationship Id="rId461" Type="http://schemas.openxmlformats.org/officeDocument/2006/relationships/hyperlink" Target="http://nypost.com" TargetMode="External"/><Relationship Id="rId582" Type="http://schemas.openxmlformats.org/officeDocument/2006/relationships/hyperlink" Target="http://thekrazycouponlady.com" TargetMode="External"/><Relationship Id="rId460" Type="http://schemas.openxmlformats.org/officeDocument/2006/relationships/hyperlink" Target="http://nypost.com" TargetMode="External"/><Relationship Id="rId581" Type="http://schemas.openxmlformats.org/officeDocument/2006/relationships/hyperlink" Target="http://thehulltruth.com" TargetMode="External"/><Relationship Id="rId580" Type="http://schemas.openxmlformats.org/officeDocument/2006/relationships/hyperlink" Target="http://thegamer.com" TargetMode="External"/><Relationship Id="rId103" Type="http://schemas.openxmlformats.org/officeDocument/2006/relationships/hyperlink" Target="http://cbsnews.com" TargetMode="External"/><Relationship Id="rId224" Type="http://schemas.openxmlformats.org/officeDocument/2006/relationships/hyperlink" Target="http://finance.yahoo.com" TargetMode="External"/><Relationship Id="rId345" Type="http://schemas.openxmlformats.org/officeDocument/2006/relationships/hyperlink" Target="http://mail.yahoo.com" TargetMode="External"/><Relationship Id="rId466" Type="http://schemas.openxmlformats.org/officeDocument/2006/relationships/hyperlink" Target="http://onechicagocenter.com" TargetMode="External"/><Relationship Id="rId587" Type="http://schemas.openxmlformats.org/officeDocument/2006/relationships/hyperlink" Target="http://thesaurus.com" TargetMode="External"/><Relationship Id="rId102" Type="http://schemas.openxmlformats.org/officeDocument/2006/relationships/hyperlink" Target="http://cbsnews.com" TargetMode="External"/><Relationship Id="rId223" Type="http://schemas.openxmlformats.org/officeDocument/2006/relationships/hyperlink" Target="http://finance.yahoo.com" TargetMode="External"/><Relationship Id="rId344" Type="http://schemas.openxmlformats.org/officeDocument/2006/relationships/hyperlink" Target="http://mail.yahoo.com" TargetMode="External"/><Relationship Id="rId465" Type="http://schemas.openxmlformats.org/officeDocument/2006/relationships/hyperlink" Target="http://omnicalculator.com" TargetMode="External"/><Relationship Id="rId586" Type="http://schemas.openxmlformats.org/officeDocument/2006/relationships/hyperlink" Target="http://thesaurus.com" TargetMode="External"/><Relationship Id="rId101" Type="http://schemas.openxmlformats.org/officeDocument/2006/relationships/hyperlink" Target="http://carscoops.com" TargetMode="External"/><Relationship Id="rId222" Type="http://schemas.openxmlformats.org/officeDocument/2006/relationships/hyperlink" Target="http://finance.yahoo.com" TargetMode="External"/><Relationship Id="rId343" Type="http://schemas.openxmlformats.org/officeDocument/2006/relationships/hyperlink" Target="http://mail.aol.com" TargetMode="External"/><Relationship Id="rId464" Type="http://schemas.openxmlformats.org/officeDocument/2006/relationships/hyperlink" Target="http://omnicalculator.com" TargetMode="External"/><Relationship Id="rId585" Type="http://schemas.openxmlformats.org/officeDocument/2006/relationships/hyperlink" Target="http://thesaurus.com" TargetMode="External"/><Relationship Id="rId100" Type="http://schemas.openxmlformats.org/officeDocument/2006/relationships/hyperlink" Target="http://cars.com" TargetMode="External"/><Relationship Id="rId221" Type="http://schemas.openxmlformats.org/officeDocument/2006/relationships/hyperlink" Target="http://finance.yahoo.com" TargetMode="External"/><Relationship Id="rId342" Type="http://schemas.openxmlformats.org/officeDocument/2006/relationships/hyperlink" Target="http://mail.aol.com" TargetMode="External"/><Relationship Id="rId463" Type="http://schemas.openxmlformats.org/officeDocument/2006/relationships/hyperlink" Target="http://nytimes.com" TargetMode="External"/><Relationship Id="rId584" Type="http://schemas.openxmlformats.org/officeDocument/2006/relationships/hyperlink" Target="http://thesaltymarshmallow.com" TargetMode="External"/><Relationship Id="rId217" Type="http://schemas.openxmlformats.org/officeDocument/2006/relationships/hyperlink" Target="http://femanin.com" TargetMode="External"/><Relationship Id="rId338" Type="http://schemas.openxmlformats.org/officeDocument/2006/relationships/hyperlink" Target="http://mail.aol.com" TargetMode="External"/><Relationship Id="rId459" Type="http://schemas.openxmlformats.org/officeDocument/2006/relationships/hyperlink" Target="http://nypost.com" TargetMode="External"/><Relationship Id="rId216" Type="http://schemas.openxmlformats.org/officeDocument/2006/relationships/hyperlink" Target="http://fandomwire.com" TargetMode="External"/><Relationship Id="rId337" Type="http://schemas.openxmlformats.org/officeDocument/2006/relationships/hyperlink" Target="http://mail.aol.com" TargetMode="External"/><Relationship Id="rId458" Type="http://schemas.openxmlformats.org/officeDocument/2006/relationships/hyperlink" Target="http://nypost.com" TargetMode="External"/><Relationship Id="rId579" Type="http://schemas.openxmlformats.org/officeDocument/2006/relationships/hyperlink" Target="http://thefinancechatter.com" TargetMode="External"/><Relationship Id="rId215" Type="http://schemas.openxmlformats.org/officeDocument/2006/relationships/hyperlink" Target="http://fandomwire.com" TargetMode="External"/><Relationship Id="rId336" Type="http://schemas.openxmlformats.org/officeDocument/2006/relationships/hyperlink" Target="http://mail.aol.com" TargetMode="External"/><Relationship Id="rId457" Type="http://schemas.openxmlformats.org/officeDocument/2006/relationships/hyperlink" Target="http://nypost.com" TargetMode="External"/><Relationship Id="rId578" Type="http://schemas.openxmlformats.org/officeDocument/2006/relationships/hyperlink" Target="http://thebigmansworld.com" TargetMode="External"/><Relationship Id="rId699" Type="http://schemas.openxmlformats.org/officeDocument/2006/relationships/hyperlink" Target="http://yahoo.com" TargetMode="External"/><Relationship Id="rId214" Type="http://schemas.openxmlformats.org/officeDocument/2006/relationships/hyperlink" Target="http://fandomwire.com" TargetMode="External"/><Relationship Id="rId335" Type="http://schemas.openxmlformats.org/officeDocument/2006/relationships/hyperlink" Target="http://mail.aol.com" TargetMode="External"/><Relationship Id="rId456" Type="http://schemas.openxmlformats.org/officeDocument/2006/relationships/hyperlink" Target="http://nypost.com" TargetMode="External"/><Relationship Id="rId577" Type="http://schemas.openxmlformats.org/officeDocument/2006/relationships/hyperlink" Target="http://techradar.com" TargetMode="External"/><Relationship Id="rId698" Type="http://schemas.openxmlformats.org/officeDocument/2006/relationships/hyperlink" Target="http://yahoo.com" TargetMode="External"/><Relationship Id="rId219" Type="http://schemas.openxmlformats.org/officeDocument/2006/relationships/hyperlink" Target="http://finance.yahoo.com" TargetMode="External"/><Relationship Id="rId218" Type="http://schemas.openxmlformats.org/officeDocument/2006/relationships/hyperlink" Target="http://femanin.com" TargetMode="External"/><Relationship Id="rId339" Type="http://schemas.openxmlformats.org/officeDocument/2006/relationships/hyperlink" Target="http://mail.aol.com" TargetMode="External"/><Relationship Id="rId330" Type="http://schemas.openxmlformats.org/officeDocument/2006/relationships/hyperlink" Target="http://mail.aol.com" TargetMode="External"/><Relationship Id="rId451" Type="http://schemas.openxmlformats.org/officeDocument/2006/relationships/hyperlink" Target="http://newsmemory.com" TargetMode="External"/><Relationship Id="rId572" Type="http://schemas.openxmlformats.org/officeDocument/2006/relationships/hyperlink" Target="http://streetinsider.com" TargetMode="External"/><Relationship Id="rId693" Type="http://schemas.openxmlformats.org/officeDocument/2006/relationships/hyperlink" Target="http://yahoo.com" TargetMode="External"/><Relationship Id="rId450" Type="http://schemas.openxmlformats.org/officeDocument/2006/relationships/hyperlink" Target="http://newsharper.com" TargetMode="External"/><Relationship Id="rId571" Type="http://schemas.openxmlformats.org/officeDocument/2006/relationships/hyperlink" Target="http://streetinsider.com" TargetMode="External"/><Relationship Id="rId692" Type="http://schemas.openxmlformats.org/officeDocument/2006/relationships/hyperlink" Target="http://yahoo.com" TargetMode="External"/><Relationship Id="rId570" Type="http://schemas.openxmlformats.org/officeDocument/2006/relationships/hyperlink" Target="http://sports.yahoo.com" TargetMode="External"/><Relationship Id="rId691" Type="http://schemas.openxmlformats.org/officeDocument/2006/relationships/hyperlink" Target="http://yahoo.com" TargetMode="External"/><Relationship Id="rId690" Type="http://schemas.openxmlformats.org/officeDocument/2006/relationships/hyperlink" Target="http://yahoo.com" TargetMode="External"/><Relationship Id="rId213" Type="http://schemas.openxmlformats.org/officeDocument/2006/relationships/hyperlink" Target="http://fandom.com" TargetMode="External"/><Relationship Id="rId334" Type="http://schemas.openxmlformats.org/officeDocument/2006/relationships/hyperlink" Target="http://mail.aol.com" TargetMode="External"/><Relationship Id="rId455" Type="http://schemas.openxmlformats.org/officeDocument/2006/relationships/hyperlink" Target="http://nsfas-applications.co.za" TargetMode="External"/><Relationship Id="rId576" Type="http://schemas.openxmlformats.org/officeDocument/2006/relationships/hyperlink" Target="http://tastesbetterfromscratch.com" TargetMode="External"/><Relationship Id="rId697" Type="http://schemas.openxmlformats.org/officeDocument/2006/relationships/hyperlink" Target="http://yahoo.com" TargetMode="External"/><Relationship Id="rId212" Type="http://schemas.openxmlformats.org/officeDocument/2006/relationships/hyperlink" Target="http://fandom.com" TargetMode="External"/><Relationship Id="rId333" Type="http://schemas.openxmlformats.org/officeDocument/2006/relationships/hyperlink" Target="http://mail.aol.com" TargetMode="External"/><Relationship Id="rId454" Type="http://schemas.openxmlformats.org/officeDocument/2006/relationships/hyperlink" Target="http://npr.org" TargetMode="External"/><Relationship Id="rId575" Type="http://schemas.openxmlformats.org/officeDocument/2006/relationships/hyperlink" Target="http://tasteofhome.com" TargetMode="External"/><Relationship Id="rId696" Type="http://schemas.openxmlformats.org/officeDocument/2006/relationships/hyperlink" Target="http://yahoo.com" TargetMode="External"/><Relationship Id="rId211" Type="http://schemas.openxmlformats.org/officeDocument/2006/relationships/hyperlink" Target="http://fandom.com" TargetMode="External"/><Relationship Id="rId332" Type="http://schemas.openxmlformats.org/officeDocument/2006/relationships/hyperlink" Target="http://mail.aol.com" TargetMode="External"/><Relationship Id="rId453" Type="http://schemas.openxmlformats.org/officeDocument/2006/relationships/hyperlink" Target="http://npr.org" TargetMode="External"/><Relationship Id="rId574" Type="http://schemas.openxmlformats.org/officeDocument/2006/relationships/hyperlink" Target="http://taboolanews.com" TargetMode="External"/><Relationship Id="rId695" Type="http://schemas.openxmlformats.org/officeDocument/2006/relationships/hyperlink" Target="http://yahoo.com" TargetMode="External"/><Relationship Id="rId210" Type="http://schemas.openxmlformats.org/officeDocument/2006/relationships/hyperlink" Target="http://fandom.com" TargetMode="External"/><Relationship Id="rId331" Type="http://schemas.openxmlformats.org/officeDocument/2006/relationships/hyperlink" Target="http://mail.aol.com" TargetMode="External"/><Relationship Id="rId452" Type="http://schemas.openxmlformats.org/officeDocument/2006/relationships/hyperlink" Target="http://newsmemory.com" TargetMode="External"/><Relationship Id="rId573" Type="http://schemas.openxmlformats.org/officeDocument/2006/relationships/hyperlink" Target="http://streetinsider.com" TargetMode="External"/><Relationship Id="rId694" Type="http://schemas.openxmlformats.org/officeDocument/2006/relationships/hyperlink" Target="http://yahoo.com" TargetMode="External"/><Relationship Id="rId370" Type="http://schemas.openxmlformats.org/officeDocument/2006/relationships/hyperlink" Target="http://mapquest.com" TargetMode="External"/><Relationship Id="rId491" Type="http://schemas.openxmlformats.org/officeDocument/2006/relationships/hyperlink" Target="http://people.com" TargetMode="External"/><Relationship Id="rId490" Type="http://schemas.openxmlformats.org/officeDocument/2006/relationships/hyperlink" Target="http://people.com" TargetMode="External"/><Relationship Id="rId129" Type="http://schemas.openxmlformats.org/officeDocument/2006/relationships/hyperlink" Target="http://cnbc.com" TargetMode="External"/><Relationship Id="rId128" Type="http://schemas.openxmlformats.org/officeDocument/2006/relationships/hyperlink" Target="http://cnbc.com" TargetMode="External"/><Relationship Id="rId249" Type="http://schemas.openxmlformats.org/officeDocument/2006/relationships/hyperlink" Target="http://forbes.com" TargetMode="External"/><Relationship Id="rId127" Type="http://schemas.openxmlformats.org/officeDocument/2006/relationships/hyperlink" Target="http://clutchpoints.com" TargetMode="External"/><Relationship Id="rId248" Type="http://schemas.openxmlformats.org/officeDocument/2006/relationships/hyperlink" Target="http://forbes.com" TargetMode="External"/><Relationship Id="rId369" Type="http://schemas.openxmlformats.org/officeDocument/2006/relationships/hyperlink" Target="http://mapquest.com" TargetMode="External"/><Relationship Id="rId126" Type="http://schemas.openxmlformats.org/officeDocument/2006/relationships/hyperlink" Target="http://classmates.com" TargetMode="External"/><Relationship Id="rId247" Type="http://schemas.openxmlformats.org/officeDocument/2006/relationships/hyperlink" Target="http://forbes.com" TargetMode="External"/><Relationship Id="rId368" Type="http://schemas.openxmlformats.org/officeDocument/2006/relationships/hyperlink" Target="http://mail.yahoo.com" TargetMode="External"/><Relationship Id="rId489" Type="http://schemas.openxmlformats.org/officeDocument/2006/relationships/hyperlink" Target="http://people.com" TargetMode="External"/><Relationship Id="rId121" Type="http://schemas.openxmlformats.org/officeDocument/2006/relationships/hyperlink" Target="http://chicagotribune.com" TargetMode="External"/><Relationship Id="rId242" Type="http://schemas.openxmlformats.org/officeDocument/2006/relationships/hyperlink" Target="http://forbes.com" TargetMode="External"/><Relationship Id="rId363" Type="http://schemas.openxmlformats.org/officeDocument/2006/relationships/hyperlink" Target="http://mail.yahoo.com" TargetMode="External"/><Relationship Id="rId484" Type="http://schemas.openxmlformats.org/officeDocument/2006/relationships/hyperlink" Target="http://pandora.com" TargetMode="External"/><Relationship Id="rId120" Type="http://schemas.openxmlformats.org/officeDocument/2006/relationships/hyperlink" Target="http://cheezburger.com" TargetMode="External"/><Relationship Id="rId241" Type="http://schemas.openxmlformats.org/officeDocument/2006/relationships/hyperlink" Target="http://forbes.com" TargetMode="External"/><Relationship Id="rId362" Type="http://schemas.openxmlformats.org/officeDocument/2006/relationships/hyperlink" Target="http://mail.yahoo.com" TargetMode="External"/><Relationship Id="rId483" Type="http://schemas.openxmlformats.org/officeDocument/2006/relationships/hyperlink" Target="http://pandora.com" TargetMode="External"/><Relationship Id="rId240" Type="http://schemas.openxmlformats.org/officeDocument/2006/relationships/hyperlink" Target="http://forbes.com" TargetMode="External"/><Relationship Id="rId361" Type="http://schemas.openxmlformats.org/officeDocument/2006/relationships/hyperlink" Target="http://mail.yahoo.com" TargetMode="External"/><Relationship Id="rId482" Type="http://schemas.openxmlformats.org/officeDocument/2006/relationships/hyperlink" Target="http://pandora.com" TargetMode="External"/><Relationship Id="rId360" Type="http://schemas.openxmlformats.org/officeDocument/2006/relationships/hyperlink" Target="http://mail.yahoo.com" TargetMode="External"/><Relationship Id="rId481" Type="http://schemas.openxmlformats.org/officeDocument/2006/relationships/hyperlink" Target="http://outlook.live.com" TargetMode="External"/><Relationship Id="rId125" Type="http://schemas.openxmlformats.org/officeDocument/2006/relationships/hyperlink" Target="http://classmates.com" TargetMode="External"/><Relationship Id="rId246" Type="http://schemas.openxmlformats.org/officeDocument/2006/relationships/hyperlink" Target="http://forbes.com" TargetMode="External"/><Relationship Id="rId367" Type="http://schemas.openxmlformats.org/officeDocument/2006/relationships/hyperlink" Target="http://mail.yahoo.com" TargetMode="External"/><Relationship Id="rId488" Type="http://schemas.openxmlformats.org/officeDocument/2006/relationships/hyperlink" Target="http://people.com" TargetMode="External"/><Relationship Id="rId124" Type="http://schemas.openxmlformats.org/officeDocument/2006/relationships/hyperlink" Target="http://classmates.com" TargetMode="External"/><Relationship Id="rId245" Type="http://schemas.openxmlformats.org/officeDocument/2006/relationships/hyperlink" Target="http://forbes.com" TargetMode="External"/><Relationship Id="rId366" Type="http://schemas.openxmlformats.org/officeDocument/2006/relationships/hyperlink" Target="http://mail.yahoo.com" TargetMode="External"/><Relationship Id="rId487" Type="http://schemas.openxmlformats.org/officeDocument/2006/relationships/hyperlink" Target="http://people.com" TargetMode="External"/><Relationship Id="rId123" Type="http://schemas.openxmlformats.org/officeDocument/2006/relationships/hyperlink" Target="http://citationmachine.net" TargetMode="External"/><Relationship Id="rId244" Type="http://schemas.openxmlformats.org/officeDocument/2006/relationships/hyperlink" Target="http://forbes.com" TargetMode="External"/><Relationship Id="rId365" Type="http://schemas.openxmlformats.org/officeDocument/2006/relationships/hyperlink" Target="http://mail.yahoo.com" TargetMode="External"/><Relationship Id="rId486" Type="http://schemas.openxmlformats.org/officeDocument/2006/relationships/hyperlink" Target="http://people.com" TargetMode="External"/><Relationship Id="rId122" Type="http://schemas.openxmlformats.org/officeDocument/2006/relationships/hyperlink" Target="http://chocolatecoveredkatie.com" TargetMode="External"/><Relationship Id="rId243" Type="http://schemas.openxmlformats.org/officeDocument/2006/relationships/hyperlink" Target="http://forbes.com" TargetMode="External"/><Relationship Id="rId364" Type="http://schemas.openxmlformats.org/officeDocument/2006/relationships/hyperlink" Target="http://mail.yahoo.com" TargetMode="External"/><Relationship Id="rId485" Type="http://schemas.openxmlformats.org/officeDocument/2006/relationships/hyperlink" Target="http://pandora.com" TargetMode="External"/><Relationship Id="rId95" Type="http://schemas.openxmlformats.org/officeDocument/2006/relationships/hyperlink" Target="http://cars.com" TargetMode="External"/><Relationship Id="rId94" Type="http://schemas.openxmlformats.org/officeDocument/2006/relationships/hyperlink" Target="http://cars.com" TargetMode="External"/><Relationship Id="rId97" Type="http://schemas.openxmlformats.org/officeDocument/2006/relationships/hyperlink" Target="http://cars.com" TargetMode="External"/><Relationship Id="rId96" Type="http://schemas.openxmlformats.org/officeDocument/2006/relationships/hyperlink" Target="http://cars.com" TargetMode="External"/><Relationship Id="rId99" Type="http://schemas.openxmlformats.org/officeDocument/2006/relationships/hyperlink" Target="http://cars.com" TargetMode="External"/><Relationship Id="rId480" Type="http://schemas.openxmlformats.org/officeDocument/2006/relationships/hyperlink" Target="http://outlook.live.com" TargetMode="External"/><Relationship Id="rId98" Type="http://schemas.openxmlformats.org/officeDocument/2006/relationships/hyperlink" Target="http://cars.com" TargetMode="External"/><Relationship Id="rId91" Type="http://schemas.openxmlformats.org/officeDocument/2006/relationships/hyperlink" Target="http://cargurus.com" TargetMode="External"/><Relationship Id="rId90" Type="http://schemas.openxmlformats.org/officeDocument/2006/relationships/hyperlink" Target="http://cargurus.com" TargetMode="External"/><Relationship Id="rId93" Type="http://schemas.openxmlformats.org/officeDocument/2006/relationships/hyperlink" Target="http://cargurus.com" TargetMode="External"/><Relationship Id="rId92" Type="http://schemas.openxmlformats.org/officeDocument/2006/relationships/hyperlink" Target="http://cargurus.com" TargetMode="External"/><Relationship Id="rId118" Type="http://schemas.openxmlformats.org/officeDocument/2006/relationships/hyperlink" Target="http://cheapoair.com" TargetMode="External"/><Relationship Id="rId239" Type="http://schemas.openxmlformats.org/officeDocument/2006/relationships/hyperlink" Target="http://forbes.com" TargetMode="External"/><Relationship Id="rId117" Type="http://schemas.openxmlformats.org/officeDocument/2006/relationships/hyperlink" Target="http://cheapoair.com" TargetMode="External"/><Relationship Id="rId238" Type="http://schemas.openxmlformats.org/officeDocument/2006/relationships/hyperlink" Target="http://flightaware.com" TargetMode="External"/><Relationship Id="rId359" Type="http://schemas.openxmlformats.org/officeDocument/2006/relationships/hyperlink" Target="http://mail.yahoo.com" TargetMode="External"/><Relationship Id="rId116" Type="http://schemas.openxmlformats.org/officeDocument/2006/relationships/hyperlink" Target="http://cbssports.com" TargetMode="External"/><Relationship Id="rId237" Type="http://schemas.openxmlformats.org/officeDocument/2006/relationships/hyperlink" Target="http://flightaware.com" TargetMode="External"/><Relationship Id="rId358" Type="http://schemas.openxmlformats.org/officeDocument/2006/relationships/hyperlink" Target="http://mail.yahoo.com" TargetMode="External"/><Relationship Id="rId479" Type="http://schemas.openxmlformats.org/officeDocument/2006/relationships/hyperlink" Target="http://outlook.live.com" TargetMode="External"/><Relationship Id="rId115" Type="http://schemas.openxmlformats.org/officeDocument/2006/relationships/hyperlink" Target="http://cbssports.com" TargetMode="External"/><Relationship Id="rId236" Type="http://schemas.openxmlformats.org/officeDocument/2006/relationships/hyperlink" Target="http://flightaware.com" TargetMode="External"/><Relationship Id="rId357" Type="http://schemas.openxmlformats.org/officeDocument/2006/relationships/hyperlink" Target="http://mail.yahoo.com" TargetMode="External"/><Relationship Id="rId478" Type="http://schemas.openxmlformats.org/officeDocument/2006/relationships/hyperlink" Target="http://outlook.live.com" TargetMode="External"/><Relationship Id="rId599" Type="http://schemas.openxmlformats.org/officeDocument/2006/relationships/hyperlink" Target="http://timeanddate.com" TargetMode="External"/><Relationship Id="rId119" Type="http://schemas.openxmlformats.org/officeDocument/2006/relationships/hyperlink" Target="http://cheezburger.com" TargetMode="External"/><Relationship Id="rId110" Type="http://schemas.openxmlformats.org/officeDocument/2006/relationships/hyperlink" Target="http://cbsnews.com" TargetMode="External"/><Relationship Id="rId231" Type="http://schemas.openxmlformats.org/officeDocument/2006/relationships/hyperlink" Target="http://findagrave.com" TargetMode="External"/><Relationship Id="rId352" Type="http://schemas.openxmlformats.org/officeDocument/2006/relationships/hyperlink" Target="http://mail.yahoo.com" TargetMode="External"/><Relationship Id="rId473" Type="http://schemas.openxmlformats.org/officeDocument/2006/relationships/hyperlink" Target="http://outlook.live.com" TargetMode="External"/><Relationship Id="rId594" Type="http://schemas.openxmlformats.org/officeDocument/2006/relationships/hyperlink" Target="http://the-sun.com" TargetMode="External"/><Relationship Id="rId230" Type="http://schemas.openxmlformats.org/officeDocument/2006/relationships/hyperlink" Target="http://finance.yahoo.com" TargetMode="External"/><Relationship Id="rId351" Type="http://schemas.openxmlformats.org/officeDocument/2006/relationships/hyperlink" Target="http://mail.yahoo.com" TargetMode="External"/><Relationship Id="rId472" Type="http://schemas.openxmlformats.org/officeDocument/2006/relationships/hyperlink" Target="http://outlook.live.com" TargetMode="External"/><Relationship Id="rId593" Type="http://schemas.openxmlformats.org/officeDocument/2006/relationships/hyperlink" Target="http://the-sun.com" TargetMode="External"/><Relationship Id="rId350" Type="http://schemas.openxmlformats.org/officeDocument/2006/relationships/hyperlink" Target="http://mail.yahoo.com" TargetMode="External"/><Relationship Id="rId471" Type="http://schemas.openxmlformats.org/officeDocument/2006/relationships/hyperlink" Target="http://outlook.live.com" TargetMode="External"/><Relationship Id="rId592" Type="http://schemas.openxmlformats.org/officeDocument/2006/relationships/hyperlink" Target="http://the-sun.com" TargetMode="External"/><Relationship Id="rId470" Type="http://schemas.openxmlformats.org/officeDocument/2006/relationships/hyperlink" Target="http://outlook.live.com" TargetMode="External"/><Relationship Id="rId591" Type="http://schemas.openxmlformats.org/officeDocument/2006/relationships/hyperlink" Target="http://thesaurus.com" TargetMode="External"/><Relationship Id="rId114" Type="http://schemas.openxmlformats.org/officeDocument/2006/relationships/hyperlink" Target="http://cbssports.com" TargetMode="External"/><Relationship Id="rId235" Type="http://schemas.openxmlformats.org/officeDocument/2006/relationships/hyperlink" Target="http://firstcoastnews.com" TargetMode="External"/><Relationship Id="rId356" Type="http://schemas.openxmlformats.org/officeDocument/2006/relationships/hyperlink" Target="http://mail.yahoo.com" TargetMode="External"/><Relationship Id="rId477" Type="http://schemas.openxmlformats.org/officeDocument/2006/relationships/hyperlink" Target="http://outlook.live.com" TargetMode="External"/><Relationship Id="rId598" Type="http://schemas.openxmlformats.org/officeDocument/2006/relationships/hyperlink" Target="http://timeanddate.com" TargetMode="External"/><Relationship Id="rId113" Type="http://schemas.openxmlformats.org/officeDocument/2006/relationships/hyperlink" Target="http://cbsnews.com" TargetMode="External"/><Relationship Id="rId234" Type="http://schemas.openxmlformats.org/officeDocument/2006/relationships/hyperlink" Target="http://finviz.com" TargetMode="External"/><Relationship Id="rId355" Type="http://schemas.openxmlformats.org/officeDocument/2006/relationships/hyperlink" Target="http://mail.yahoo.com" TargetMode="External"/><Relationship Id="rId476" Type="http://schemas.openxmlformats.org/officeDocument/2006/relationships/hyperlink" Target="http://outlook.live.com" TargetMode="External"/><Relationship Id="rId597" Type="http://schemas.openxmlformats.org/officeDocument/2006/relationships/hyperlink" Target="http://the-sun.com" TargetMode="External"/><Relationship Id="rId112" Type="http://schemas.openxmlformats.org/officeDocument/2006/relationships/hyperlink" Target="http://cbsnews.com" TargetMode="External"/><Relationship Id="rId233" Type="http://schemas.openxmlformats.org/officeDocument/2006/relationships/hyperlink" Target="http://findagrave.com" TargetMode="External"/><Relationship Id="rId354" Type="http://schemas.openxmlformats.org/officeDocument/2006/relationships/hyperlink" Target="http://mail.yahoo.com" TargetMode="External"/><Relationship Id="rId475" Type="http://schemas.openxmlformats.org/officeDocument/2006/relationships/hyperlink" Target="http://outlook.live.com" TargetMode="External"/><Relationship Id="rId596" Type="http://schemas.openxmlformats.org/officeDocument/2006/relationships/hyperlink" Target="http://the-sun.com" TargetMode="External"/><Relationship Id="rId111" Type="http://schemas.openxmlformats.org/officeDocument/2006/relationships/hyperlink" Target="http://cbsnews.com" TargetMode="External"/><Relationship Id="rId232" Type="http://schemas.openxmlformats.org/officeDocument/2006/relationships/hyperlink" Target="http://findagrave.com" TargetMode="External"/><Relationship Id="rId353" Type="http://schemas.openxmlformats.org/officeDocument/2006/relationships/hyperlink" Target="http://mail.yahoo.com" TargetMode="External"/><Relationship Id="rId474" Type="http://schemas.openxmlformats.org/officeDocument/2006/relationships/hyperlink" Target="http://outlook.live.com" TargetMode="External"/><Relationship Id="rId595" Type="http://schemas.openxmlformats.org/officeDocument/2006/relationships/hyperlink" Target="http://the-sun.com" TargetMode="External"/><Relationship Id="rId305" Type="http://schemas.openxmlformats.org/officeDocument/2006/relationships/hyperlink" Target="http://jdpower.com" TargetMode="External"/><Relationship Id="rId426" Type="http://schemas.openxmlformats.org/officeDocument/2006/relationships/hyperlink" Target="http://msn.com" TargetMode="External"/><Relationship Id="rId547" Type="http://schemas.openxmlformats.org/officeDocument/2006/relationships/hyperlink" Target="http://shareably.net" TargetMode="External"/><Relationship Id="rId668" Type="http://schemas.openxmlformats.org/officeDocument/2006/relationships/hyperlink" Target="http://whatismyipaddress.com" TargetMode="External"/><Relationship Id="rId304" Type="http://schemas.openxmlformats.org/officeDocument/2006/relationships/hyperlink" Target="http://jdpower.com" TargetMode="External"/><Relationship Id="rId425" Type="http://schemas.openxmlformats.org/officeDocument/2006/relationships/hyperlink" Target="http://msn.com" TargetMode="External"/><Relationship Id="rId546" Type="http://schemas.openxmlformats.org/officeDocument/2006/relationships/hyperlink" Target="http://semana.com" TargetMode="External"/><Relationship Id="rId667" Type="http://schemas.openxmlformats.org/officeDocument/2006/relationships/hyperlink" Target="http://whatismyipaddress.com" TargetMode="External"/><Relationship Id="rId303" Type="http://schemas.openxmlformats.org/officeDocument/2006/relationships/hyperlink" Target="http://investopedia.com" TargetMode="External"/><Relationship Id="rId424" Type="http://schemas.openxmlformats.org/officeDocument/2006/relationships/hyperlink" Target="http://msn.com" TargetMode="External"/><Relationship Id="rId545" Type="http://schemas.openxmlformats.org/officeDocument/2006/relationships/hyperlink" Target="http://seedsgames.com" TargetMode="External"/><Relationship Id="rId666" Type="http://schemas.openxmlformats.org/officeDocument/2006/relationships/hyperlink" Target="http://whatismyipaddress.com" TargetMode="External"/><Relationship Id="rId302" Type="http://schemas.openxmlformats.org/officeDocument/2006/relationships/hyperlink" Target="http://investopedia.com" TargetMode="External"/><Relationship Id="rId423" Type="http://schemas.openxmlformats.org/officeDocument/2006/relationships/hyperlink" Target="http://msn.com" TargetMode="External"/><Relationship Id="rId544" Type="http://schemas.openxmlformats.org/officeDocument/2006/relationships/hyperlink" Target="http://screenrant.com" TargetMode="External"/><Relationship Id="rId665" Type="http://schemas.openxmlformats.org/officeDocument/2006/relationships/hyperlink" Target="http://whatismyipaddress.com" TargetMode="External"/><Relationship Id="rId309" Type="http://schemas.openxmlformats.org/officeDocument/2006/relationships/hyperlink" Target="http://kbb.com" TargetMode="External"/><Relationship Id="rId308" Type="http://schemas.openxmlformats.org/officeDocument/2006/relationships/hyperlink" Target="http://kbb.com" TargetMode="External"/><Relationship Id="rId429" Type="http://schemas.openxmlformats.org/officeDocument/2006/relationships/hyperlink" Target="http://my.yahoo.com" TargetMode="External"/><Relationship Id="rId307" Type="http://schemas.openxmlformats.org/officeDocument/2006/relationships/hyperlink" Target="http://kbb.com" TargetMode="External"/><Relationship Id="rId428" Type="http://schemas.openxmlformats.org/officeDocument/2006/relationships/hyperlink" Target="http://my.earthlink.net" TargetMode="External"/><Relationship Id="rId549" Type="http://schemas.openxmlformats.org/officeDocument/2006/relationships/hyperlink" Target="http://signin.ebay.com" TargetMode="External"/><Relationship Id="rId306" Type="http://schemas.openxmlformats.org/officeDocument/2006/relationships/hyperlink" Target="http://jdpower.com" TargetMode="External"/><Relationship Id="rId427" Type="http://schemas.openxmlformats.org/officeDocument/2006/relationships/hyperlink" Target="http://msn.com" TargetMode="External"/><Relationship Id="rId548" Type="http://schemas.openxmlformats.org/officeDocument/2006/relationships/hyperlink" Target="http://si.com" TargetMode="External"/><Relationship Id="rId669" Type="http://schemas.openxmlformats.org/officeDocument/2006/relationships/hyperlink" Target="http://whatismyipaddress.com" TargetMode="External"/><Relationship Id="rId660" Type="http://schemas.openxmlformats.org/officeDocument/2006/relationships/hyperlink" Target="http://weather.com" TargetMode="External"/><Relationship Id="rId301" Type="http://schemas.openxmlformats.org/officeDocument/2006/relationships/hyperlink" Target="http://investmentguru.com" TargetMode="External"/><Relationship Id="rId422" Type="http://schemas.openxmlformats.org/officeDocument/2006/relationships/hyperlink" Target="http://msn.com" TargetMode="External"/><Relationship Id="rId543" Type="http://schemas.openxmlformats.org/officeDocument/2006/relationships/hyperlink" Target="http://screenrant.com" TargetMode="External"/><Relationship Id="rId664" Type="http://schemas.openxmlformats.org/officeDocument/2006/relationships/hyperlink" Target="http://whatismyipaddress.com" TargetMode="External"/><Relationship Id="rId300" Type="http://schemas.openxmlformats.org/officeDocument/2006/relationships/hyperlink" Target="http://investing.com" TargetMode="External"/><Relationship Id="rId421" Type="http://schemas.openxmlformats.org/officeDocument/2006/relationships/hyperlink" Target="http://msn.com" TargetMode="External"/><Relationship Id="rId542" Type="http://schemas.openxmlformats.org/officeDocument/2006/relationships/hyperlink" Target="http://screenrant.com" TargetMode="External"/><Relationship Id="rId663" Type="http://schemas.openxmlformats.org/officeDocument/2006/relationships/hyperlink" Target="http://whatismyipaddress.com" TargetMode="External"/><Relationship Id="rId420" Type="http://schemas.openxmlformats.org/officeDocument/2006/relationships/hyperlink" Target="http://msn.com" TargetMode="External"/><Relationship Id="rId541" Type="http://schemas.openxmlformats.org/officeDocument/2006/relationships/hyperlink" Target="http://screenrant.com" TargetMode="External"/><Relationship Id="rId662" Type="http://schemas.openxmlformats.org/officeDocument/2006/relationships/hyperlink" Target="http://webmd.com" TargetMode="External"/><Relationship Id="rId540" Type="http://schemas.openxmlformats.org/officeDocument/2006/relationships/hyperlink" Target="http://screenrant.com" TargetMode="External"/><Relationship Id="rId661" Type="http://schemas.openxmlformats.org/officeDocument/2006/relationships/hyperlink" Target="http://webmd.com" TargetMode="External"/><Relationship Id="rId415" Type="http://schemas.openxmlformats.org/officeDocument/2006/relationships/hyperlink" Target="http://msn.com" TargetMode="External"/><Relationship Id="rId536" Type="http://schemas.openxmlformats.org/officeDocument/2006/relationships/hyperlink" Target="http://sallysbakingaddiction.com" TargetMode="External"/><Relationship Id="rId657" Type="http://schemas.openxmlformats.org/officeDocument/2006/relationships/hyperlink" Target="http://weather.com" TargetMode="External"/><Relationship Id="rId414" Type="http://schemas.openxmlformats.org/officeDocument/2006/relationships/hyperlink" Target="http://msn.com" TargetMode="External"/><Relationship Id="rId535" Type="http://schemas.openxmlformats.org/officeDocument/2006/relationships/hyperlink" Target="http://rvtrader.com" TargetMode="External"/><Relationship Id="rId656" Type="http://schemas.openxmlformats.org/officeDocument/2006/relationships/hyperlink" Target="http://weather.com" TargetMode="External"/><Relationship Id="rId413" Type="http://schemas.openxmlformats.org/officeDocument/2006/relationships/hyperlink" Target="http://msn.com" TargetMode="External"/><Relationship Id="rId534" Type="http://schemas.openxmlformats.org/officeDocument/2006/relationships/hyperlink" Target="http://rollingstone.com" TargetMode="External"/><Relationship Id="rId655" Type="http://schemas.openxmlformats.org/officeDocument/2006/relationships/hyperlink" Target="http://weather.com" TargetMode="External"/><Relationship Id="rId412" Type="http://schemas.openxmlformats.org/officeDocument/2006/relationships/hyperlink" Target="http://msn.com" TargetMode="External"/><Relationship Id="rId533" Type="http://schemas.openxmlformats.org/officeDocument/2006/relationships/hyperlink" Target="http://rollingstone.com" TargetMode="External"/><Relationship Id="rId654" Type="http://schemas.openxmlformats.org/officeDocument/2006/relationships/hyperlink" Target="http://weather.com" TargetMode="External"/><Relationship Id="rId419" Type="http://schemas.openxmlformats.org/officeDocument/2006/relationships/hyperlink" Target="http://msn.com" TargetMode="External"/><Relationship Id="rId418" Type="http://schemas.openxmlformats.org/officeDocument/2006/relationships/hyperlink" Target="http://msn.com" TargetMode="External"/><Relationship Id="rId539" Type="http://schemas.openxmlformats.org/officeDocument/2006/relationships/hyperlink" Target="http://scitechdaily.com" TargetMode="External"/><Relationship Id="rId417" Type="http://schemas.openxmlformats.org/officeDocument/2006/relationships/hyperlink" Target="http://msn.com" TargetMode="External"/><Relationship Id="rId538" Type="http://schemas.openxmlformats.org/officeDocument/2006/relationships/hyperlink" Target="http://sciencesensei.com" TargetMode="External"/><Relationship Id="rId659" Type="http://schemas.openxmlformats.org/officeDocument/2006/relationships/hyperlink" Target="http://weather.com" TargetMode="External"/><Relationship Id="rId416" Type="http://schemas.openxmlformats.org/officeDocument/2006/relationships/hyperlink" Target="http://msn.com" TargetMode="External"/><Relationship Id="rId537" Type="http://schemas.openxmlformats.org/officeDocument/2006/relationships/hyperlink" Target="http://sciencealert.com" TargetMode="External"/><Relationship Id="rId658" Type="http://schemas.openxmlformats.org/officeDocument/2006/relationships/hyperlink" Target="http://weather.com" TargetMode="External"/><Relationship Id="rId411" Type="http://schemas.openxmlformats.org/officeDocument/2006/relationships/hyperlink" Target="http://msn.com" TargetMode="External"/><Relationship Id="rId532" Type="http://schemas.openxmlformats.org/officeDocument/2006/relationships/hyperlink" Target="http://rollingstone.com" TargetMode="External"/><Relationship Id="rId653" Type="http://schemas.openxmlformats.org/officeDocument/2006/relationships/hyperlink" Target="http://weather.com" TargetMode="External"/><Relationship Id="rId410" Type="http://schemas.openxmlformats.org/officeDocument/2006/relationships/hyperlink" Target="http://msn.com" TargetMode="External"/><Relationship Id="rId531" Type="http://schemas.openxmlformats.org/officeDocument/2006/relationships/hyperlink" Target="http://reuters.com" TargetMode="External"/><Relationship Id="rId652" Type="http://schemas.openxmlformats.org/officeDocument/2006/relationships/hyperlink" Target="http://weather.com" TargetMode="External"/><Relationship Id="rId530" Type="http://schemas.openxmlformats.org/officeDocument/2006/relationships/hyperlink" Target="http://reuters.com" TargetMode="External"/><Relationship Id="rId651" Type="http://schemas.openxmlformats.org/officeDocument/2006/relationships/hyperlink" Target="http://weather.com" TargetMode="External"/><Relationship Id="rId650" Type="http://schemas.openxmlformats.org/officeDocument/2006/relationships/hyperlink" Target="http://weather.com" TargetMode="External"/><Relationship Id="rId206" Type="http://schemas.openxmlformats.org/officeDocument/2006/relationships/hyperlink" Target="http://evite.com" TargetMode="External"/><Relationship Id="rId327" Type="http://schemas.openxmlformats.org/officeDocument/2006/relationships/hyperlink" Target="http://mail.aol.com" TargetMode="External"/><Relationship Id="rId448" Type="http://schemas.openxmlformats.org/officeDocument/2006/relationships/hyperlink" Target="http://news.yahoo.com" TargetMode="External"/><Relationship Id="rId569" Type="http://schemas.openxmlformats.org/officeDocument/2006/relationships/hyperlink" Target="http://sports.yahoo.com" TargetMode="External"/><Relationship Id="rId205" Type="http://schemas.openxmlformats.org/officeDocument/2006/relationships/hyperlink" Target="http://essentiallysports.com" TargetMode="External"/><Relationship Id="rId326" Type="http://schemas.openxmlformats.org/officeDocument/2006/relationships/hyperlink" Target="http://mail.aol.com" TargetMode="External"/><Relationship Id="rId447" Type="http://schemas.openxmlformats.org/officeDocument/2006/relationships/hyperlink" Target="http://news.yahoo.com" TargetMode="External"/><Relationship Id="rId568" Type="http://schemas.openxmlformats.org/officeDocument/2006/relationships/hyperlink" Target="http://sportpirate.com" TargetMode="External"/><Relationship Id="rId689" Type="http://schemas.openxmlformats.org/officeDocument/2006/relationships/hyperlink" Target="http://yahoo.com" TargetMode="External"/><Relationship Id="rId204" Type="http://schemas.openxmlformats.org/officeDocument/2006/relationships/hyperlink" Target="http://essentiallysports.com" TargetMode="External"/><Relationship Id="rId325" Type="http://schemas.openxmlformats.org/officeDocument/2006/relationships/hyperlink" Target="http://mail.aol.com" TargetMode="External"/><Relationship Id="rId446" Type="http://schemas.openxmlformats.org/officeDocument/2006/relationships/hyperlink" Target="http://news.yahoo.com" TargetMode="External"/><Relationship Id="rId567" Type="http://schemas.openxmlformats.org/officeDocument/2006/relationships/hyperlink" Target="http://sporcle.com" TargetMode="External"/><Relationship Id="rId688" Type="http://schemas.openxmlformats.org/officeDocument/2006/relationships/hyperlink" Target="http://yahoo.com" TargetMode="External"/><Relationship Id="rId203" Type="http://schemas.openxmlformats.org/officeDocument/2006/relationships/hyperlink" Target="http://espn.com" TargetMode="External"/><Relationship Id="rId324" Type="http://schemas.openxmlformats.org/officeDocument/2006/relationships/hyperlink" Target="http://macrumors.com" TargetMode="External"/><Relationship Id="rId445" Type="http://schemas.openxmlformats.org/officeDocument/2006/relationships/hyperlink" Target="http://news.yahoo.com" TargetMode="External"/><Relationship Id="rId566" Type="http://schemas.openxmlformats.org/officeDocument/2006/relationships/hyperlink" Target="http://soaps.sheknows.com" TargetMode="External"/><Relationship Id="rId687" Type="http://schemas.openxmlformats.org/officeDocument/2006/relationships/hyperlink" Target="http://yahoo.com" TargetMode="External"/><Relationship Id="rId209" Type="http://schemas.openxmlformats.org/officeDocument/2006/relationships/hyperlink" Target="http://factinate.com" TargetMode="External"/><Relationship Id="rId208" Type="http://schemas.openxmlformats.org/officeDocument/2006/relationships/hyperlink" Target="http://factable.com" TargetMode="External"/><Relationship Id="rId329" Type="http://schemas.openxmlformats.org/officeDocument/2006/relationships/hyperlink" Target="http://mail.aol.com" TargetMode="External"/><Relationship Id="rId207" Type="http://schemas.openxmlformats.org/officeDocument/2006/relationships/hyperlink" Target="http://ew.com" TargetMode="External"/><Relationship Id="rId328" Type="http://schemas.openxmlformats.org/officeDocument/2006/relationships/hyperlink" Target="http://mail.aol.com" TargetMode="External"/><Relationship Id="rId449" Type="http://schemas.openxmlformats.org/officeDocument/2006/relationships/hyperlink" Target="http://news.yahoo.com" TargetMode="External"/><Relationship Id="rId440" Type="http://schemas.openxmlformats.org/officeDocument/2006/relationships/hyperlink" Target="http://nbcnews.com" TargetMode="External"/><Relationship Id="rId561" Type="http://schemas.openxmlformats.org/officeDocument/2006/relationships/hyperlink" Target="http://slickdeals.net" TargetMode="External"/><Relationship Id="rId682" Type="http://schemas.openxmlformats.org/officeDocument/2006/relationships/hyperlink" Target="http://wunderground.com" TargetMode="External"/><Relationship Id="rId560" Type="http://schemas.openxmlformats.org/officeDocument/2006/relationships/hyperlink" Target="http://slickdeals.net" TargetMode="External"/><Relationship Id="rId681" Type="http://schemas.openxmlformats.org/officeDocument/2006/relationships/hyperlink" Target="http://wunderground.com" TargetMode="External"/><Relationship Id="rId680" Type="http://schemas.openxmlformats.org/officeDocument/2006/relationships/hyperlink" Target="http://wsvn.com" TargetMode="External"/><Relationship Id="rId202" Type="http://schemas.openxmlformats.org/officeDocument/2006/relationships/hyperlink" Target="http://espn.com" TargetMode="External"/><Relationship Id="rId323" Type="http://schemas.openxmlformats.org/officeDocument/2006/relationships/hyperlink" Target="http://macrumors.com" TargetMode="External"/><Relationship Id="rId444" Type="http://schemas.openxmlformats.org/officeDocument/2006/relationships/hyperlink" Target="http://news.yahoo.com" TargetMode="External"/><Relationship Id="rId565" Type="http://schemas.openxmlformats.org/officeDocument/2006/relationships/hyperlink" Target="http://sneakertoast.com" TargetMode="External"/><Relationship Id="rId686" Type="http://schemas.openxmlformats.org/officeDocument/2006/relationships/hyperlink" Target="http://yahoo.com" TargetMode="External"/><Relationship Id="rId201" Type="http://schemas.openxmlformats.org/officeDocument/2006/relationships/hyperlink" Target="http://eonline.com" TargetMode="External"/><Relationship Id="rId322" Type="http://schemas.openxmlformats.org/officeDocument/2006/relationships/hyperlink" Target="http://m.timesofindia.com" TargetMode="External"/><Relationship Id="rId443" Type="http://schemas.openxmlformats.org/officeDocument/2006/relationships/hyperlink" Target="http://nbcsports.com" TargetMode="External"/><Relationship Id="rId564" Type="http://schemas.openxmlformats.org/officeDocument/2006/relationships/hyperlink" Target="http://slickdeals.net" TargetMode="External"/><Relationship Id="rId685" Type="http://schemas.openxmlformats.org/officeDocument/2006/relationships/hyperlink" Target="http://yahoo.com" TargetMode="External"/><Relationship Id="rId200" Type="http://schemas.openxmlformats.org/officeDocument/2006/relationships/hyperlink" Target="http://eenadu.net" TargetMode="External"/><Relationship Id="rId321" Type="http://schemas.openxmlformats.org/officeDocument/2006/relationships/hyperlink" Target="http://m.timesofindia.com" TargetMode="External"/><Relationship Id="rId442" Type="http://schemas.openxmlformats.org/officeDocument/2006/relationships/hyperlink" Target="http://nbcnews.com" TargetMode="External"/><Relationship Id="rId563" Type="http://schemas.openxmlformats.org/officeDocument/2006/relationships/hyperlink" Target="http://slickdeals.net" TargetMode="External"/><Relationship Id="rId684" Type="http://schemas.openxmlformats.org/officeDocument/2006/relationships/hyperlink" Target="http://yahoo.com" TargetMode="External"/><Relationship Id="rId320" Type="http://schemas.openxmlformats.org/officeDocument/2006/relationships/hyperlink" Target="http://m.timesofindia.com" TargetMode="External"/><Relationship Id="rId441" Type="http://schemas.openxmlformats.org/officeDocument/2006/relationships/hyperlink" Target="http://nbcnews.com" TargetMode="External"/><Relationship Id="rId562" Type="http://schemas.openxmlformats.org/officeDocument/2006/relationships/hyperlink" Target="http://slickdeals.net" TargetMode="External"/><Relationship Id="rId683" Type="http://schemas.openxmlformats.org/officeDocument/2006/relationships/hyperlink" Target="http://yachtworld.com" TargetMode="External"/><Relationship Id="rId316" Type="http://schemas.openxmlformats.org/officeDocument/2006/relationships/hyperlink" Target="http://lensvid.com" TargetMode="External"/><Relationship Id="rId437" Type="http://schemas.openxmlformats.org/officeDocument/2006/relationships/hyperlink" Target="http://nbcmiami.com" TargetMode="External"/><Relationship Id="rId558" Type="http://schemas.openxmlformats.org/officeDocument/2006/relationships/hyperlink" Target="http://slickdeals.net" TargetMode="External"/><Relationship Id="rId679" Type="http://schemas.openxmlformats.org/officeDocument/2006/relationships/hyperlink" Target="http://wsmv.com" TargetMode="External"/><Relationship Id="rId315" Type="http://schemas.openxmlformats.org/officeDocument/2006/relationships/hyperlink" Target="http://kiplinger.com" TargetMode="External"/><Relationship Id="rId436" Type="http://schemas.openxmlformats.org/officeDocument/2006/relationships/hyperlink" Target="http://nbcdfw.com" TargetMode="External"/><Relationship Id="rId557" Type="http://schemas.openxmlformats.org/officeDocument/2006/relationships/hyperlink" Target="http://slickdeals.net" TargetMode="External"/><Relationship Id="rId678" Type="http://schemas.openxmlformats.org/officeDocument/2006/relationships/hyperlink" Target="http://wsj.com" TargetMode="External"/><Relationship Id="rId314" Type="http://schemas.openxmlformats.org/officeDocument/2006/relationships/hyperlink" Target="http://kbb.com" TargetMode="External"/><Relationship Id="rId435" Type="http://schemas.openxmlformats.org/officeDocument/2006/relationships/hyperlink" Target="http://nbcchicago.com" TargetMode="External"/><Relationship Id="rId556" Type="http://schemas.openxmlformats.org/officeDocument/2006/relationships/hyperlink" Target="http://signupgenius.com" TargetMode="External"/><Relationship Id="rId677" Type="http://schemas.openxmlformats.org/officeDocument/2006/relationships/hyperlink" Target="http://wordunscrambler.me" TargetMode="External"/><Relationship Id="rId313" Type="http://schemas.openxmlformats.org/officeDocument/2006/relationships/hyperlink" Target="http://kbb.com" TargetMode="External"/><Relationship Id="rId434" Type="http://schemas.openxmlformats.org/officeDocument/2006/relationships/hyperlink" Target="http://nbcchicago.com" TargetMode="External"/><Relationship Id="rId555" Type="http://schemas.openxmlformats.org/officeDocument/2006/relationships/hyperlink" Target="http://signupgenius.com" TargetMode="External"/><Relationship Id="rId676" Type="http://schemas.openxmlformats.org/officeDocument/2006/relationships/hyperlink" Target="http://womenshealthmag.com" TargetMode="External"/><Relationship Id="rId319" Type="http://schemas.openxmlformats.org/officeDocument/2006/relationships/hyperlink" Target="http://lotterypost.com" TargetMode="External"/><Relationship Id="rId318" Type="http://schemas.openxmlformats.org/officeDocument/2006/relationships/hyperlink" Target="http://lotterypost.com" TargetMode="External"/><Relationship Id="rId439" Type="http://schemas.openxmlformats.org/officeDocument/2006/relationships/hyperlink" Target="http://nbcnews.com" TargetMode="External"/><Relationship Id="rId317" Type="http://schemas.openxmlformats.org/officeDocument/2006/relationships/hyperlink" Target="http://livescience.com" TargetMode="External"/><Relationship Id="rId438" Type="http://schemas.openxmlformats.org/officeDocument/2006/relationships/hyperlink" Target="http://nbcnews.com" TargetMode="External"/><Relationship Id="rId559" Type="http://schemas.openxmlformats.org/officeDocument/2006/relationships/hyperlink" Target="http://slickdeals.net" TargetMode="External"/><Relationship Id="rId550" Type="http://schemas.openxmlformats.org/officeDocument/2006/relationships/hyperlink" Target="http://signin.ebay.com" TargetMode="External"/><Relationship Id="rId671" Type="http://schemas.openxmlformats.org/officeDocument/2006/relationships/hyperlink" Target="http://wikihow.com" TargetMode="External"/><Relationship Id="rId670" Type="http://schemas.openxmlformats.org/officeDocument/2006/relationships/hyperlink" Target="http://wikihow.com" TargetMode="External"/><Relationship Id="rId312" Type="http://schemas.openxmlformats.org/officeDocument/2006/relationships/hyperlink" Target="http://kbb.com" TargetMode="External"/><Relationship Id="rId433" Type="http://schemas.openxmlformats.org/officeDocument/2006/relationships/hyperlink" Target="http://nba.com" TargetMode="External"/><Relationship Id="rId554" Type="http://schemas.openxmlformats.org/officeDocument/2006/relationships/hyperlink" Target="http://signupgenius.com" TargetMode="External"/><Relationship Id="rId675" Type="http://schemas.openxmlformats.org/officeDocument/2006/relationships/hyperlink" Target="http://wizofawes.com" TargetMode="External"/><Relationship Id="rId311" Type="http://schemas.openxmlformats.org/officeDocument/2006/relationships/hyperlink" Target="http://kbb.com" TargetMode="External"/><Relationship Id="rId432" Type="http://schemas.openxmlformats.org/officeDocument/2006/relationships/hyperlink" Target="http://myfitnesspal.com" TargetMode="External"/><Relationship Id="rId553" Type="http://schemas.openxmlformats.org/officeDocument/2006/relationships/hyperlink" Target="http://signupgenius.com" TargetMode="External"/><Relationship Id="rId674" Type="http://schemas.openxmlformats.org/officeDocument/2006/relationships/hyperlink" Target="http://wikihow.com" TargetMode="External"/><Relationship Id="rId310" Type="http://schemas.openxmlformats.org/officeDocument/2006/relationships/hyperlink" Target="http://kbb.com" TargetMode="External"/><Relationship Id="rId431" Type="http://schemas.openxmlformats.org/officeDocument/2006/relationships/hyperlink" Target="http://mydailymagazine.com" TargetMode="External"/><Relationship Id="rId552" Type="http://schemas.openxmlformats.org/officeDocument/2006/relationships/hyperlink" Target="http://signupgenius.com" TargetMode="External"/><Relationship Id="rId673" Type="http://schemas.openxmlformats.org/officeDocument/2006/relationships/hyperlink" Target="http://wikihow.com" TargetMode="External"/><Relationship Id="rId430" Type="http://schemas.openxmlformats.org/officeDocument/2006/relationships/hyperlink" Target="http://my.yahoo.com" TargetMode="External"/><Relationship Id="rId551" Type="http://schemas.openxmlformats.org/officeDocument/2006/relationships/hyperlink" Target="http://signupgenius.com" TargetMode="External"/><Relationship Id="rId672" Type="http://schemas.openxmlformats.org/officeDocument/2006/relationships/hyperlink" Target="http://wikihow.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ebay.com" TargetMode="External"/><Relationship Id="rId194" Type="http://schemas.openxmlformats.org/officeDocument/2006/relationships/hyperlink" Target="http://ebay.com" TargetMode="External"/><Relationship Id="rId193" Type="http://schemas.openxmlformats.org/officeDocument/2006/relationships/hyperlink" Target="http://ebay.com" TargetMode="External"/><Relationship Id="rId192" Type="http://schemas.openxmlformats.org/officeDocument/2006/relationships/hyperlink" Target="http://ebay.com" TargetMode="External"/><Relationship Id="rId191" Type="http://schemas.openxmlformats.org/officeDocument/2006/relationships/hyperlink" Target="http://ebay.com" TargetMode="External"/><Relationship Id="rId187" Type="http://schemas.openxmlformats.org/officeDocument/2006/relationships/hyperlink" Target="http://ebay.com" TargetMode="External"/><Relationship Id="rId186" Type="http://schemas.openxmlformats.org/officeDocument/2006/relationships/hyperlink" Target="http://ebay.com" TargetMode="External"/><Relationship Id="rId185" Type="http://schemas.openxmlformats.org/officeDocument/2006/relationships/hyperlink" Target="http://ebay.com" TargetMode="External"/><Relationship Id="rId184" Type="http://schemas.openxmlformats.org/officeDocument/2006/relationships/hyperlink" Target="http://ebay.com" TargetMode="External"/><Relationship Id="rId189" Type="http://schemas.openxmlformats.org/officeDocument/2006/relationships/hyperlink" Target="http://ebay.com" TargetMode="External"/><Relationship Id="rId188" Type="http://schemas.openxmlformats.org/officeDocument/2006/relationships/hyperlink" Target="http://ebay.com" TargetMode="External"/><Relationship Id="rId183" Type="http://schemas.openxmlformats.org/officeDocument/2006/relationships/hyperlink" Target="http://ebay.com" TargetMode="External"/><Relationship Id="rId182" Type="http://schemas.openxmlformats.org/officeDocument/2006/relationships/hyperlink" Target="http://ebay.com" TargetMode="External"/><Relationship Id="rId181" Type="http://schemas.openxmlformats.org/officeDocument/2006/relationships/hyperlink" Target="http://ebay.com" TargetMode="External"/><Relationship Id="rId180" Type="http://schemas.openxmlformats.org/officeDocument/2006/relationships/hyperlink" Target="http://ebay.com" TargetMode="External"/><Relationship Id="rId176" Type="http://schemas.openxmlformats.org/officeDocument/2006/relationships/hyperlink" Target="http://ebay.com" TargetMode="External"/><Relationship Id="rId297" Type="http://schemas.openxmlformats.org/officeDocument/2006/relationships/hyperlink" Target="http://insider.com" TargetMode="External"/><Relationship Id="rId175" Type="http://schemas.openxmlformats.org/officeDocument/2006/relationships/hyperlink" Target="http://ebay.com" TargetMode="External"/><Relationship Id="rId296" Type="http://schemas.openxmlformats.org/officeDocument/2006/relationships/hyperlink" Target="http://insider.com" TargetMode="External"/><Relationship Id="rId174" Type="http://schemas.openxmlformats.org/officeDocument/2006/relationships/hyperlink" Target="http://ebay.com" TargetMode="External"/><Relationship Id="rId295" Type="http://schemas.openxmlformats.org/officeDocument/2006/relationships/hyperlink" Target="http://insider.com" TargetMode="External"/><Relationship Id="rId173" Type="http://schemas.openxmlformats.org/officeDocument/2006/relationships/hyperlink" Target="http://ebay.com" TargetMode="External"/><Relationship Id="rId294" Type="http://schemas.openxmlformats.org/officeDocument/2006/relationships/hyperlink" Target="http://ign.com" TargetMode="External"/><Relationship Id="rId179" Type="http://schemas.openxmlformats.org/officeDocument/2006/relationships/hyperlink" Target="http://ebay.com" TargetMode="External"/><Relationship Id="rId178" Type="http://schemas.openxmlformats.org/officeDocument/2006/relationships/hyperlink" Target="http://ebay.com" TargetMode="External"/><Relationship Id="rId299" Type="http://schemas.openxmlformats.org/officeDocument/2006/relationships/hyperlink" Target="http://investing.com" TargetMode="External"/><Relationship Id="rId177" Type="http://schemas.openxmlformats.org/officeDocument/2006/relationships/hyperlink" Target="http://ebay.com" TargetMode="External"/><Relationship Id="rId298" Type="http://schemas.openxmlformats.org/officeDocument/2006/relationships/hyperlink" Target="http://insidethemagic.net" TargetMode="External"/><Relationship Id="rId198" Type="http://schemas.openxmlformats.org/officeDocument/2006/relationships/hyperlink" Target="http://ebay.com" TargetMode="External"/><Relationship Id="rId197" Type="http://schemas.openxmlformats.org/officeDocument/2006/relationships/hyperlink" Target="http://ebay.com" TargetMode="External"/><Relationship Id="rId196" Type="http://schemas.openxmlformats.org/officeDocument/2006/relationships/hyperlink" Target="http://ebay.com" TargetMode="External"/><Relationship Id="rId195" Type="http://schemas.openxmlformats.org/officeDocument/2006/relationships/hyperlink" Target="http://ebay.com" TargetMode="External"/><Relationship Id="rId199" Type="http://schemas.openxmlformats.org/officeDocument/2006/relationships/hyperlink" Target="http://ebay.com" TargetMode="External"/><Relationship Id="rId150" Type="http://schemas.openxmlformats.org/officeDocument/2006/relationships/hyperlink" Target="http://dailymail.co.uk/news" TargetMode="External"/><Relationship Id="rId271" Type="http://schemas.openxmlformats.org/officeDocument/2006/relationships/hyperlink" Target="http://gamingbible.com" TargetMode="External"/><Relationship Id="rId392" Type="http://schemas.openxmlformats.org/officeDocument/2006/relationships/hyperlink" Target="http://mlb.com" TargetMode="External"/><Relationship Id="rId270" Type="http://schemas.openxmlformats.org/officeDocument/2006/relationships/hyperlink" Target="http://gamespot.com" TargetMode="External"/><Relationship Id="rId391" Type="http://schemas.openxmlformats.org/officeDocument/2006/relationships/hyperlink" Target="http://mlb.com" TargetMode="External"/><Relationship Id="rId390" Type="http://schemas.openxmlformats.org/officeDocument/2006/relationships/hyperlink" Target="http://milb.com" TargetMode="External"/><Relationship Id="rId1" Type="http://schemas.openxmlformats.org/officeDocument/2006/relationships/hyperlink" Target="http://abcnews.go.com" TargetMode="External"/><Relationship Id="rId2" Type="http://schemas.openxmlformats.org/officeDocument/2006/relationships/hyperlink" Target="http://accuweather.com" TargetMode="External"/><Relationship Id="rId3" Type="http://schemas.openxmlformats.org/officeDocument/2006/relationships/hyperlink" Target="http://accuweather.com" TargetMode="External"/><Relationship Id="rId149" Type="http://schemas.openxmlformats.org/officeDocument/2006/relationships/hyperlink" Target="http://dailyhodl.com" TargetMode="External"/><Relationship Id="rId4" Type="http://schemas.openxmlformats.org/officeDocument/2006/relationships/hyperlink" Target="http://accuweather.com" TargetMode="External"/><Relationship Id="rId148" Type="http://schemas.openxmlformats.org/officeDocument/2006/relationships/hyperlink" Target="http://dailydot.com" TargetMode="External"/><Relationship Id="rId269" Type="http://schemas.openxmlformats.org/officeDocument/2006/relationships/hyperlink" Target="http://gamerant.com" TargetMode="External"/><Relationship Id="rId9" Type="http://schemas.openxmlformats.org/officeDocument/2006/relationships/hyperlink" Target="http://accuweather.com" TargetMode="External"/><Relationship Id="rId143" Type="http://schemas.openxmlformats.org/officeDocument/2006/relationships/hyperlink" Target="http://culturess.com" TargetMode="External"/><Relationship Id="rId264" Type="http://schemas.openxmlformats.org/officeDocument/2006/relationships/hyperlink" Target="http://foxnews.com" TargetMode="External"/><Relationship Id="rId385" Type="http://schemas.openxmlformats.org/officeDocument/2006/relationships/hyperlink" Target="http://miamiherald.com" TargetMode="External"/><Relationship Id="rId142" Type="http://schemas.openxmlformats.org/officeDocument/2006/relationships/hyperlink" Target="http://culinaryhill.com" TargetMode="External"/><Relationship Id="rId263" Type="http://schemas.openxmlformats.org/officeDocument/2006/relationships/hyperlink" Target="http://foxnews.com" TargetMode="External"/><Relationship Id="rId384" Type="http://schemas.openxmlformats.org/officeDocument/2006/relationships/hyperlink" Target="http://miamiherald.com" TargetMode="External"/><Relationship Id="rId141" Type="http://schemas.openxmlformats.org/officeDocument/2006/relationships/hyperlink" Target="http://commercialappeal.com" TargetMode="External"/><Relationship Id="rId262" Type="http://schemas.openxmlformats.org/officeDocument/2006/relationships/hyperlink" Target="http://foxnews.com" TargetMode="External"/><Relationship Id="rId383" Type="http://schemas.openxmlformats.org/officeDocument/2006/relationships/hyperlink" Target="http://merriam-webster.com/dictionary" TargetMode="External"/><Relationship Id="rId140" Type="http://schemas.openxmlformats.org/officeDocument/2006/relationships/hyperlink" Target="http://cnn.com" TargetMode="External"/><Relationship Id="rId261" Type="http://schemas.openxmlformats.org/officeDocument/2006/relationships/hyperlink" Target="http://foxnews.com" TargetMode="External"/><Relationship Id="rId382" Type="http://schemas.openxmlformats.org/officeDocument/2006/relationships/hyperlink" Target="http://merriam-webster.com/dictionary" TargetMode="External"/><Relationship Id="rId5" Type="http://schemas.openxmlformats.org/officeDocument/2006/relationships/hyperlink" Target="http://accuweather.com" TargetMode="External"/><Relationship Id="rId147" Type="http://schemas.openxmlformats.org/officeDocument/2006/relationships/hyperlink" Target="http://daily-choices.com" TargetMode="External"/><Relationship Id="rId268" Type="http://schemas.openxmlformats.org/officeDocument/2006/relationships/hyperlink" Target="http://gamerant.com" TargetMode="External"/><Relationship Id="rId389" Type="http://schemas.openxmlformats.org/officeDocument/2006/relationships/hyperlink" Target="http://microsoftcasualgames.com" TargetMode="External"/><Relationship Id="rId6" Type="http://schemas.openxmlformats.org/officeDocument/2006/relationships/hyperlink" Target="http://accuweather.com" TargetMode="External"/><Relationship Id="rId146" Type="http://schemas.openxmlformats.org/officeDocument/2006/relationships/hyperlink" Target="http://daily-choices.com" TargetMode="External"/><Relationship Id="rId267" Type="http://schemas.openxmlformats.org/officeDocument/2006/relationships/hyperlink" Target="http://gameofglam.com" TargetMode="External"/><Relationship Id="rId388" Type="http://schemas.openxmlformats.org/officeDocument/2006/relationships/hyperlink" Target="http://microsoftcasualgames.com" TargetMode="External"/><Relationship Id="rId7" Type="http://schemas.openxmlformats.org/officeDocument/2006/relationships/hyperlink" Target="http://accuweather.com" TargetMode="External"/><Relationship Id="rId145" Type="http://schemas.openxmlformats.org/officeDocument/2006/relationships/hyperlink" Target="http://dailybee.com" TargetMode="External"/><Relationship Id="rId266" Type="http://schemas.openxmlformats.org/officeDocument/2006/relationships/hyperlink" Target="http://funnyand.com" TargetMode="External"/><Relationship Id="rId387" Type="http://schemas.openxmlformats.org/officeDocument/2006/relationships/hyperlink" Target="http://microsoftcasualgames.com" TargetMode="External"/><Relationship Id="rId8" Type="http://schemas.openxmlformats.org/officeDocument/2006/relationships/hyperlink" Target="http://accuweather.com" TargetMode="External"/><Relationship Id="rId144" Type="http://schemas.openxmlformats.org/officeDocument/2006/relationships/hyperlink" Target="http://dafont.com" TargetMode="External"/><Relationship Id="rId265" Type="http://schemas.openxmlformats.org/officeDocument/2006/relationships/hyperlink" Target="http://foxnews.com" TargetMode="External"/><Relationship Id="rId386" Type="http://schemas.openxmlformats.org/officeDocument/2006/relationships/hyperlink" Target="http://microsoftcasualgames.com" TargetMode="External"/><Relationship Id="rId260" Type="http://schemas.openxmlformats.org/officeDocument/2006/relationships/hyperlink" Target="http://foxnews.com" TargetMode="External"/><Relationship Id="rId381" Type="http://schemas.openxmlformats.org/officeDocument/2006/relationships/hyperlink" Target="http://merriam-webster.com" TargetMode="External"/><Relationship Id="rId380" Type="http://schemas.openxmlformats.org/officeDocument/2006/relationships/hyperlink" Target="http://medicalnewstoday.com" TargetMode="External"/><Relationship Id="rId139" Type="http://schemas.openxmlformats.org/officeDocument/2006/relationships/hyperlink" Target="http://cnn.com" TargetMode="External"/><Relationship Id="rId138" Type="http://schemas.openxmlformats.org/officeDocument/2006/relationships/hyperlink" Target="http://cnn.com" TargetMode="External"/><Relationship Id="rId259" Type="http://schemas.openxmlformats.org/officeDocument/2006/relationships/hyperlink" Target="http://foxnews.com" TargetMode="External"/><Relationship Id="rId137" Type="http://schemas.openxmlformats.org/officeDocument/2006/relationships/hyperlink" Target="http://cnn.com" TargetMode="External"/><Relationship Id="rId258" Type="http://schemas.openxmlformats.org/officeDocument/2006/relationships/hyperlink" Target="http://foxnews.com" TargetMode="External"/><Relationship Id="rId379" Type="http://schemas.openxmlformats.org/officeDocument/2006/relationships/hyperlink" Target="http://medicalnewstoday.com" TargetMode="External"/><Relationship Id="rId132" Type="http://schemas.openxmlformats.org/officeDocument/2006/relationships/hyperlink" Target="http://cnet.com" TargetMode="External"/><Relationship Id="rId253" Type="http://schemas.openxmlformats.org/officeDocument/2006/relationships/hyperlink" Target="http://fox59.com" TargetMode="External"/><Relationship Id="rId374" Type="http://schemas.openxmlformats.org/officeDocument/2006/relationships/hyperlink" Target="http://marca.com" TargetMode="External"/><Relationship Id="rId495" Type="http://schemas.openxmlformats.org/officeDocument/2006/relationships/hyperlink" Target="http://politico.com" TargetMode="External"/><Relationship Id="rId131" Type="http://schemas.openxmlformats.org/officeDocument/2006/relationships/hyperlink" Target="http://cnet.com" TargetMode="External"/><Relationship Id="rId252" Type="http://schemas.openxmlformats.org/officeDocument/2006/relationships/hyperlink" Target="http://fortune.com" TargetMode="External"/><Relationship Id="rId373" Type="http://schemas.openxmlformats.org/officeDocument/2006/relationships/hyperlink" Target="http://marca.com" TargetMode="External"/><Relationship Id="rId494" Type="http://schemas.openxmlformats.org/officeDocument/2006/relationships/hyperlink" Target="http://politico.com" TargetMode="External"/><Relationship Id="rId130" Type="http://schemas.openxmlformats.org/officeDocument/2006/relationships/hyperlink" Target="http://cnbc.com" TargetMode="External"/><Relationship Id="rId251" Type="http://schemas.openxmlformats.org/officeDocument/2006/relationships/hyperlink" Target="http://forbes.com" TargetMode="External"/><Relationship Id="rId372" Type="http://schemas.openxmlformats.org/officeDocument/2006/relationships/hyperlink" Target="http://mapquest.com" TargetMode="External"/><Relationship Id="rId493" Type="http://schemas.openxmlformats.org/officeDocument/2006/relationships/hyperlink" Target="http://phys.org" TargetMode="External"/><Relationship Id="rId250" Type="http://schemas.openxmlformats.org/officeDocument/2006/relationships/hyperlink" Target="http://forbes.com" TargetMode="External"/><Relationship Id="rId371" Type="http://schemas.openxmlformats.org/officeDocument/2006/relationships/hyperlink" Target="http://mapquest.com" TargetMode="External"/><Relationship Id="rId492" Type="http://schemas.openxmlformats.org/officeDocument/2006/relationships/hyperlink" Target="http://people.com" TargetMode="External"/><Relationship Id="rId136" Type="http://schemas.openxmlformats.org/officeDocument/2006/relationships/hyperlink" Target="http://cnn.com" TargetMode="External"/><Relationship Id="rId257" Type="http://schemas.openxmlformats.org/officeDocument/2006/relationships/hyperlink" Target="http://foxnews.com" TargetMode="External"/><Relationship Id="rId378" Type="http://schemas.openxmlformats.org/officeDocument/2006/relationships/hyperlink" Target="http://medicalnewstoday.com" TargetMode="External"/><Relationship Id="rId499" Type="http://schemas.openxmlformats.org/officeDocument/2006/relationships/hyperlink" Target="http://poshland.com" TargetMode="External"/><Relationship Id="rId135" Type="http://schemas.openxmlformats.org/officeDocument/2006/relationships/hyperlink" Target="http://cnn.com" TargetMode="External"/><Relationship Id="rId256" Type="http://schemas.openxmlformats.org/officeDocument/2006/relationships/hyperlink" Target="http://foxnews.com" TargetMode="External"/><Relationship Id="rId377" Type="http://schemas.openxmlformats.org/officeDocument/2006/relationships/hyperlink" Target="http://medical-news.org" TargetMode="External"/><Relationship Id="rId498" Type="http://schemas.openxmlformats.org/officeDocument/2006/relationships/hyperlink" Target="http://poshland.com" TargetMode="External"/><Relationship Id="rId134" Type="http://schemas.openxmlformats.org/officeDocument/2006/relationships/hyperlink" Target="http://cnn.com" TargetMode="External"/><Relationship Id="rId255" Type="http://schemas.openxmlformats.org/officeDocument/2006/relationships/hyperlink" Target="http://foxnews.com" TargetMode="External"/><Relationship Id="rId376" Type="http://schemas.openxmlformats.org/officeDocument/2006/relationships/hyperlink" Target="http://mayoclinic.org" TargetMode="External"/><Relationship Id="rId497" Type="http://schemas.openxmlformats.org/officeDocument/2006/relationships/hyperlink" Target="http://poshland.com" TargetMode="External"/><Relationship Id="rId133" Type="http://schemas.openxmlformats.org/officeDocument/2006/relationships/hyperlink" Target="http://cnn.com" TargetMode="External"/><Relationship Id="rId254" Type="http://schemas.openxmlformats.org/officeDocument/2006/relationships/hyperlink" Target="http://foxbusiness.com" TargetMode="External"/><Relationship Id="rId375" Type="http://schemas.openxmlformats.org/officeDocument/2006/relationships/hyperlink" Target="http://maxroll.gg" TargetMode="External"/><Relationship Id="rId496" Type="http://schemas.openxmlformats.org/officeDocument/2006/relationships/hyperlink" Target="http://poshland.com" TargetMode="External"/><Relationship Id="rId172" Type="http://schemas.openxmlformats.org/officeDocument/2006/relationships/hyperlink" Target="http://ebay.com" TargetMode="External"/><Relationship Id="rId293" Type="http://schemas.openxmlformats.org/officeDocument/2006/relationships/hyperlink" Target="http://ign.com" TargetMode="External"/><Relationship Id="rId171" Type="http://schemas.openxmlformats.org/officeDocument/2006/relationships/hyperlink" Target="http://ebay.com" TargetMode="External"/><Relationship Id="rId292" Type="http://schemas.openxmlformats.org/officeDocument/2006/relationships/hyperlink" Target="http://ign.com" TargetMode="External"/><Relationship Id="rId170" Type="http://schemas.openxmlformats.org/officeDocument/2006/relationships/hyperlink" Target="http://ebay.com" TargetMode="External"/><Relationship Id="rId291" Type="http://schemas.openxmlformats.org/officeDocument/2006/relationships/hyperlink" Target="http://iflscience.com" TargetMode="External"/><Relationship Id="rId290" Type="http://schemas.openxmlformats.org/officeDocument/2006/relationships/hyperlink" Target="http://icy-veins.com" TargetMode="External"/><Relationship Id="rId165" Type="http://schemas.openxmlformats.org/officeDocument/2006/relationships/hyperlink" Target="http://drugs.com" TargetMode="External"/><Relationship Id="rId286" Type="http://schemas.openxmlformats.org/officeDocument/2006/relationships/hyperlink" Target="http://homeaddict.io" TargetMode="External"/><Relationship Id="rId164" Type="http://schemas.openxmlformats.org/officeDocument/2006/relationships/hyperlink" Target="http://drugs.com" TargetMode="External"/><Relationship Id="rId285" Type="http://schemas.openxmlformats.org/officeDocument/2006/relationships/hyperlink" Target="http://historycollection.com" TargetMode="External"/><Relationship Id="rId163" Type="http://schemas.openxmlformats.org/officeDocument/2006/relationships/hyperlink" Target="http://drugs.com" TargetMode="External"/><Relationship Id="rId284" Type="http://schemas.openxmlformats.org/officeDocument/2006/relationships/hyperlink" Target="http://historyallday.com" TargetMode="External"/><Relationship Id="rId162" Type="http://schemas.openxmlformats.org/officeDocument/2006/relationships/hyperlink" Target="http://dotesports.com" TargetMode="External"/><Relationship Id="rId283" Type="http://schemas.openxmlformats.org/officeDocument/2006/relationships/hyperlink" Target="http://hindustantimes.com" TargetMode="External"/><Relationship Id="rId169" Type="http://schemas.openxmlformats.org/officeDocument/2006/relationships/hyperlink" Target="http://ebay.com" TargetMode="External"/><Relationship Id="rId168" Type="http://schemas.openxmlformats.org/officeDocument/2006/relationships/hyperlink" Target="http://ebay.com" TargetMode="External"/><Relationship Id="rId289" Type="http://schemas.openxmlformats.org/officeDocument/2006/relationships/hyperlink" Target="http://icy-veins.com" TargetMode="External"/><Relationship Id="rId167" Type="http://schemas.openxmlformats.org/officeDocument/2006/relationships/hyperlink" Target="http://drugs.com" TargetMode="External"/><Relationship Id="rId288" Type="http://schemas.openxmlformats.org/officeDocument/2006/relationships/hyperlink" Target="http://houseplans.net" TargetMode="External"/><Relationship Id="rId166" Type="http://schemas.openxmlformats.org/officeDocument/2006/relationships/hyperlink" Target="http://drugs.com" TargetMode="External"/><Relationship Id="rId287" Type="http://schemas.openxmlformats.org/officeDocument/2006/relationships/hyperlink" Target="http://homehacks.co" TargetMode="External"/><Relationship Id="rId161" Type="http://schemas.openxmlformats.org/officeDocument/2006/relationships/hyperlink" Target="http://doodle.com" TargetMode="External"/><Relationship Id="rId282" Type="http://schemas.openxmlformats.org/officeDocument/2006/relationships/hyperlink" Target="http://hindustantimes.com" TargetMode="External"/><Relationship Id="rId160" Type="http://schemas.openxmlformats.org/officeDocument/2006/relationships/hyperlink" Target="http://doctoreport.com" TargetMode="External"/><Relationship Id="rId281" Type="http://schemas.openxmlformats.org/officeDocument/2006/relationships/hyperlink" Target="http://heraldweekly.com" TargetMode="External"/><Relationship Id="rId280" Type="http://schemas.openxmlformats.org/officeDocument/2006/relationships/hyperlink" Target="http://healthyrecipesblogs.com" TargetMode="External"/><Relationship Id="rId159" Type="http://schemas.openxmlformats.org/officeDocument/2006/relationships/hyperlink" Target="http://dmv.org" TargetMode="External"/><Relationship Id="rId154" Type="http://schemas.openxmlformats.org/officeDocument/2006/relationships/hyperlink" Target="http://dailymail.co.uk/tvshowbiz" TargetMode="External"/><Relationship Id="rId275" Type="http://schemas.openxmlformats.org/officeDocument/2006/relationships/hyperlink" Target="http://geeksforgeeks.org" TargetMode="External"/><Relationship Id="rId396" Type="http://schemas.openxmlformats.org/officeDocument/2006/relationships/hyperlink" Target="http://mlb.com" TargetMode="External"/><Relationship Id="rId153" Type="http://schemas.openxmlformats.org/officeDocument/2006/relationships/hyperlink" Target="http://dailymail.co.uk/tvshowbiz" TargetMode="External"/><Relationship Id="rId274" Type="http://schemas.openxmlformats.org/officeDocument/2006/relationships/hyperlink" Target="http://geeksforgeeks.org" TargetMode="External"/><Relationship Id="rId395" Type="http://schemas.openxmlformats.org/officeDocument/2006/relationships/hyperlink" Target="http://mlb.com" TargetMode="External"/><Relationship Id="rId152" Type="http://schemas.openxmlformats.org/officeDocument/2006/relationships/hyperlink" Target="http://dailymail.co.uk/tvshowbiz" TargetMode="External"/><Relationship Id="rId273" Type="http://schemas.openxmlformats.org/officeDocument/2006/relationships/hyperlink" Target="http://geeksforgeeks.org" TargetMode="External"/><Relationship Id="rId394" Type="http://schemas.openxmlformats.org/officeDocument/2006/relationships/hyperlink" Target="http://mlb.com" TargetMode="External"/><Relationship Id="rId151" Type="http://schemas.openxmlformats.org/officeDocument/2006/relationships/hyperlink" Target="http://dailymail.co.uk/news" TargetMode="External"/><Relationship Id="rId272" Type="http://schemas.openxmlformats.org/officeDocument/2006/relationships/hyperlink" Target="http://geeksforgeeks.org" TargetMode="External"/><Relationship Id="rId393" Type="http://schemas.openxmlformats.org/officeDocument/2006/relationships/hyperlink" Target="http://mlb.com" TargetMode="External"/><Relationship Id="rId158" Type="http://schemas.openxmlformats.org/officeDocument/2006/relationships/hyperlink" Target="http://dinneratthezoo.com" TargetMode="External"/><Relationship Id="rId279" Type="http://schemas.openxmlformats.org/officeDocument/2006/relationships/hyperlink" Target="http://healthline.com" TargetMode="External"/><Relationship Id="rId157" Type="http://schemas.openxmlformats.org/officeDocument/2006/relationships/hyperlink" Target="http://dictionary.com" TargetMode="External"/><Relationship Id="rId278" Type="http://schemas.openxmlformats.org/officeDocument/2006/relationships/hyperlink" Target="http://health.usnews.com" TargetMode="External"/><Relationship Id="rId399" Type="http://schemas.openxmlformats.org/officeDocument/2006/relationships/hyperlink" Target="http://motor-junkie.com" TargetMode="External"/><Relationship Id="rId156" Type="http://schemas.openxmlformats.org/officeDocument/2006/relationships/hyperlink" Target="http://dictionary.com" TargetMode="External"/><Relationship Id="rId277" Type="http://schemas.openxmlformats.org/officeDocument/2006/relationships/hyperlink" Target="http://greedyfinance.com" TargetMode="External"/><Relationship Id="rId398" Type="http://schemas.openxmlformats.org/officeDocument/2006/relationships/hyperlink" Target="http://moneyppl.com" TargetMode="External"/><Relationship Id="rId155" Type="http://schemas.openxmlformats.org/officeDocument/2006/relationships/hyperlink" Target="http://dexerto.com" TargetMode="External"/><Relationship Id="rId276" Type="http://schemas.openxmlformats.org/officeDocument/2006/relationships/hyperlink" Target="http://greatschools.org" TargetMode="External"/><Relationship Id="rId397" Type="http://schemas.openxmlformats.org/officeDocument/2006/relationships/hyperlink" Target="http://mobileposse.com" TargetMode="External"/><Relationship Id="rId40" Type="http://schemas.openxmlformats.org/officeDocument/2006/relationships/hyperlink" Target="http://autotrader.com" TargetMode="External"/><Relationship Id="rId42" Type="http://schemas.openxmlformats.org/officeDocument/2006/relationships/hyperlink" Target="http://a-z-animals.com" TargetMode="External"/><Relationship Id="rId41" Type="http://schemas.openxmlformats.org/officeDocument/2006/relationships/hyperlink" Target="http://autotrader.com" TargetMode="External"/><Relationship Id="rId44" Type="http://schemas.openxmlformats.org/officeDocument/2006/relationships/hyperlink" Target="http://baseball-reference.com" TargetMode="External"/><Relationship Id="rId43" Type="http://schemas.openxmlformats.org/officeDocument/2006/relationships/hyperlink" Target="http://baseball.fantasysports.yahoo.com" TargetMode="External"/><Relationship Id="rId46" Type="http://schemas.openxmlformats.org/officeDocument/2006/relationships/hyperlink" Target="http://bbc.com" TargetMode="External"/><Relationship Id="rId45" Type="http://schemas.openxmlformats.org/officeDocument/2006/relationships/hyperlink" Target="http://bbc.com" TargetMode="External"/><Relationship Id="rId509" Type="http://schemas.openxmlformats.org/officeDocument/2006/relationships/hyperlink" Target="http://realtor.com" TargetMode="External"/><Relationship Id="rId508" Type="http://schemas.openxmlformats.org/officeDocument/2006/relationships/hyperlink" Target="http://realtor.com" TargetMode="External"/><Relationship Id="rId629" Type="http://schemas.openxmlformats.org/officeDocument/2006/relationships/hyperlink" Target="http://weather.com" TargetMode="External"/><Relationship Id="rId503" Type="http://schemas.openxmlformats.org/officeDocument/2006/relationships/hyperlink" Target="http://realtor.com" TargetMode="External"/><Relationship Id="rId624" Type="http://schemas.openxmlformats.org/officeDocument/2006/relationships/hyperlink" Target="http://washingtonpost.com" TargetMode="External"/><Relationship Id="rId502" Type="http://schemas.openxmlformats.org/officeDocument/2006/relationships/hyperlink" Target="http://realtor.com" TargetMode="External"/><Relationship Id="rId623" Type="http://schemas.openxmlformats.org/officeDocument/2006/relationships/hyperlink" Target="http://w3schools.com" TargetMode="External"/><Relationship Id="rId501" Type="http://schemas.openxmlformats.org/officeDocument/2006/relationships/hyperlink" Target="http://ranker.com" TargetMode="External"/><Relationship Id="rId622" Type="http://schemas.openxmlformats.org/officeDocument/2006/relationships/hyperlink" Target="http://w3schools.com" TargetMode="External"/><Relationship Id="rId500" Type="http://schemas.openxmlformats.org/officeDocument/2006/relationships/hyperlink" Target="http://ranker.com" TargetMode="External"/><Relationship Id="rId621" Type="http://schemas.openxmlformats.org/officeDocument/2006/relationships/hyperlink" Target="http://w3schools.com" TargetMode="External"/><Relationship Id="rId507" Type="http://schemas.openxmlformats.org/officeDocument/2006/relationships/hyperlink" Target="http://realtor.com" TargetMode="External"/><Relationship Id="rId628" Type="http://schemas.openxmlformats.org/officeDocument/2006/relationships/hyperlink" Target="http://weather.com" TargetMode="External"/><Relationship Id="rId506" Type="http://schemas.openxmlformats.org/officeDocument/2006/relationships/hyperlink" Target="http://realtor.com" TargetMode="External"/><Relationship Id="rId627" Type="http://schemas.openxmlformats.org/officeDocument/2006/relationships/hyperlink" Target="http://weather.com" TargetMode="External"/><Relationship Id="rId505" Type="http://schemas.openxmlformats.org/officeDocument/2006/relationships/hyperlink" Target="http://realtor.com" TargetMode="External"/><Relationship Id="rId626" Type="http://schemas.openxmlformats.org/officeDocument/2006/relationships/hyperlink" Target="http://weather.com" TargetMode="External"/><Relationship Id="rId504" Type="http://schemas.openxmlformats.org/officeDocument/2006/relationships/hyperlink" Target="http://realtor.com" TargetMode="External"/><Relationship Id="rId625" Type="http://schemas.openxmlformats.org/officeDocument/2006/relationships/hyperlink" Target="http://weather.com" TargetMode="External"/><Relationship Id="rId48" Type="http://schemas.openxmlformats.org/officeDocument/2006/relationships/hyperlink" Target="http://bbc.com" TargetMode="External"/><Relationship Id="rId47" Type="http://schemas.openxmlformats.org/officeDocument/2006/relationships/hyperlink" Target="http://bbc.com" TargetMode="External"/><Relationship Id="rId49" Type="http://schemas.openxmlformats.org/officeDocument/2006/relationships/hyperlink" Target="http://bbc.com" TargetMode="External"/><Relationship Id="rId620" Type="http://schemas.openxmlformats.org/officeDocument/2006/relationships/hyperlink" Target="http://w3schools.com" TargetMode="External"/><Relationship Id="rId31" Type="http://schemas.openxmlformats.org/officeDocument/2006/relationships/hyperlink" Target="http://aol.com" TargetMode="External"/><Relationship Id="rId30" Type="http://schemas.openxmlformats.org/officeDocument/2006/relationships/hyperlink" Target="http://androidpolice.com" TargetMode="External"/><Relationship Id="rId33" Type="http://schemas.openxmlformats.org/officeDocument/2006/relationships/hyperlink" Target="http://aol.com" TargetMode="External"/><Relationship Id="rId32" Type="http://schemas.openxmlformats.org/officeDocument/2006/relationships/hyperlink" Target="http://aol.com" TargetMode="External"/><Relationship Id="rId35" Type="http://schemas.openxmlformats.org/officeDocument/2006/relationships/hyperlink" Target="http://apnews.com" TargetMode="External"/><Relationship Id="rId34" Type="http://schemas.openxmlformats.org/officeDocument/2006/relationships/hyperlink" Target="http://apnews.com" TargetMode="External"/><Relationship Id="rId619" Type="http://schemas.openxmlformats.org/officeDocument/2006/relationships/hyperlink" Target="http://usssa.com" TargetMode="External"/><Relationship Id="rId618" Type="http://schemas.openxmlformats.org/officeDocument/2006/relationships/hyperlink" Target="http://usnews.com" TargetMode="External"/><Relationship Id="rId613" Type="http://schemas.openxmlformats.org/officeDocument/2006/relationships/hyperlink" Target="http://usatoday.com" TargetMode="External"/><Relationship Id="rId612" Type="http://schemas.openxmlformats.org/officeDocument/2006/relationships/hyperlink" Target="http://usatoday.com" TargetMode="External"/><Relationship Id="rId611" Type="http://schemas.openxmlformats.org/officeDocument/2006/relationships/hyperlink" Target="http://upworthy.com" TargetMode="External"/><Relationship Id="rId610" Type="http://schemas.openxmlformats.org/officeDocument/2006/relationships/hyperlink" Target="http://tripadvisor.com" TargetMode="External"/><Relationship Id="rId617" Type="http://schemas.openxmlformats.org/officeDocument/2006/relationships/hyperlink" Target="http://uscellular.com" TargetMode="External"/><Relationship Id="rId616" Type="http://schemas.openxmlformats.org/officeDocument/2006/relationships/hyperlink" Target="http://usatoday.com" TargetMode="External"/><Relationship Id="rId615" Type="http://schemas.openxmlformats.org/officeDocument/2006/relationships/hyperlink" Target="http://usatoday.com" TargetMode="External"/><Relationship Id="rId614" Type="http://schemas.openxmlformats.org/officeDocument/2006/relationships/hyperlink" Target="http://usatoday.com" TargetMode="External"/><Relationship Id="rId37" Type="http://schemas.openxmlformats.org/officeDocument/2006/relationships/hyperlink" Target="http://att.yahoo.com" TargetMode="External"/><Relationship Id="rId36" Type="http://schemas.openxmlformats.org/officeDocument/2006/relationships/hyperlink" Target="http://att.yahoo.com" TargetMode="External"/><Relationship Id="rId39" Type="http://schemas.openxmlformats.org/officeDocument/2006/relationships/hyperlink" Target="http://autotrader.com" TargetMode="External"/><Relationship Id="rId38" Type="http://schemas.openxmlformats.org/officeDocument/2006/relationships/hyperlink" Target="http://autotrader.com" TargetMode="External"/><Relationship Id="rId20" Type="http://schemas.openxmlformats.org/officeDocument/2006/relationships/hyperlink" Target="http://activebeat.com" TargetMode="External"/><Relationship Id="rId22" Type="http://schemas.openxmlformats.org/officeDocument/2006/relationships/hyperlink" Target="http://ajc.com" TargetMode="External"/><Relationship Id="rId21" Type="http://schemas.openxmlformats.org/officeDocument/2006/relationships/hyperlink" Target="http://ajc.com" TargetMode="External"/><Relationship Id="rId24" Type="http://schemas.openxmlformats.org/officeDocument/2006/relationships/hyperlink" Target="http://ajc.com" TargetMode="External"/><Relationship Id="rId23" Type="http://schemas.openxmlformats.org/officeDocument/2006/relationships/hyperlink" Target="http://ajc.com" TargetMode="External"/><Relationship Id="rId409" Type="http://schemas.openxmlformats.org/officeDocument/2006/relationships/hyperlink" Target="http://msn.com" TargetMode="External"/><Relationship Id="rId404" Type="http://schemas.openxmlformats.org/officeDocument/2006/relationships/hyperlink" Target="http://msn.com" TargetMode="External"/><Relationship Id="rId525" Type="http://schemas.openxmlformats.org/officeDocument/2006/relationships/hyperlink" Target="http://realtor.com" TargetMode="External"/><Relationship Id="rId646" Type="http://schemas.openxmlformats.org/officeDocument/2006/relationships/hyperlink" Target="http://weather.com" TargetMode="External"/><Relationship Id="rId403" Type="http://schemas.openxmlformats.org/officeDocument/2006/relationships/hyperlink" Target="http://msn.com" TargetMode="External"/><Relationship Id="rId524" Type="http://schemas.openxmlformats.org/officeDocument/2006/relationships/hyperlink" Target="http://realtor.com" TargetMode="External"/><Relationship Id="rId645" Type="http://schemas.openxmlformats.org/officeDocument/2006/relationships/hyperlink" Target="http://weather.com" TargetMode="External"/><Relationship Id="rId402" Type="http://schemas.openxmlformats.org/officeDocument/2006/relationships/hyperlink" Target="http://msn.com" TargetMode="External"/><Relationship Id="rId523" Type="http://schemas.openxmlformats.org/officeDocument/2006/relationships/hyperlink" Target="http://realtor.com" TargetMode="External"/><Relationship Id="rId644" Type="http://schemas.openxmlformats.org/officeDocument/2006/relationships/hyperlink" Target="http://weather.com" TargetMode="External"/><Relationship Id="rId401" Type="http://schemas.openxmlformats.org/officeDocument/2006/relationships/hyperlink" Target="http://msn.com" TargetMode="External"/><Relationship Id="rId522" Type="http://schemas.openxmlformats.org/officeDocument/2006/relationships/hyperlink" Target="http://realtor.com" TargetMode="External"/><Relationship Id="rId643" Type="http://schemas.openxmlformats.org/officeDocument/2006/relationships/hyperlink" Target="http://weather.com" TargetMode="External"/><Relationship Id="rId408" Type="http://schemas.openxmlformats.org/officeDocument/2006/relationships/hyperlink" Target="http://msn.com" TargetMode="External"/><Relationship Id="rId529" Type="http://schemas.openxmlformats.org/officeDocument/2006/relationships/hyperlink" Target="http://rent.com" TargetMode="External"/><Relationship Id="rId407" Type="http://schemas.openxmlformats.org/officeDocument/2006/relationships/hyperlink" Target="http://msn.com" TargetMode="External"/><Relationship Id="rId528" Type="http://schemas.openxmlformats.org/officeDocument/2006/relationships/hyperlink" Target="http://rent.com" TargetMode="External"/><Relationship Id="rId649" Type="http://schemas.openxmlformats.org/officeDocument/2006/relationships/hyperlink" Target="http://weather.com" TargetMode="External"/><Relationship Id="rId406" Type="http://schemas.openxmlformats.org/officeDocument/2006/relationships/hyperlink" Target="http://msn.com" TargetMode="External"/><Relationship Id="rId527" Type="http://schemas.openxmlformats.org/officeDocument/2006/relationships/hyperlink" Target="http://reference.com" TargetMode="External"/><Relationship Id="rId648" Type="http://schemas.openxmlformats.org/officeDocument/2006/relationships/hyperlink" Target="http://weather.com" TargetMode="External"/><Relationship Id="rId405" Type="http://schemas.openxmlformats.org/officeDocument/2006/relationships/hyperlink" Target="http://msn.com" TargetMode="External"/><Relationship Id="rId526" Type="http://schemas.openxmlformats.org/officeDocument/2006/relationships/hyperlink" Target="http://redfin.com" TargetMode="External"/><Relationship Id="rId647" Type="http://schemas.openxmlformats.org/officeDocument/2006/relationships/hyperlink" Target="http://weather.com" TargetMode="External"/><Relationship Id="rId26" Type="http://schemas.openxmlformats.org/officeDocument/2006/relationships/hyperlink" Target="http://wwe.com/" TargetMode="External"/><Relationship Id="rId25" Type="http://schemas.openxmlformats.org/officeDocument/2006/relationships/hyperlink" Target="http://al.com" TargetMode="External"/><Relationship Id="rId28" Type="http://schemas.openxmlformats.org/officeDocument/2006/relationships/hyperlink" Target="http://alotfinance.com" TargetMode="External"/><Relationship Id="rId27" Type="http://schemas.openxmlformats.org/officeDocument/2006/relationships/hyperlink" Target="http://allrecipes.com" TargetMode="External"/><Relationship Id="rId400" Type="http://schemas.openxmlformats.org/officeDocument/2006/relationships/hyperlink" Target="http://msn.com" TargetMode="External"/><Relationship Id="rId521" Type="http://schemas.openxmlformats.org/officeDocument/2006/relationships/hyperlink" Target="http://realtor.com" TargetMode="External"/><Relationship Id="rId642" Type="http://schemas.openxmlformats.org/officeDocument/2006/relationships/hyperlink" Target="http://weather.com" TargetMode="External"/><Relationship Id="rId29" Type="http://schemas.openxmlformats.org/officeDocument/2006/relationships/hyperlink" Target="http://androidauthority.com" TargetMode="External"/><Relationship Id="rId520" Type="http://schemas.openxmlformats.org/officeDocument/2006/relationships/hyperlink" Target="http://realtor.com" TargetMode="External"/><Relationship Id="rId641" Type="http://schemas.openxmlformats.org/officeDocument/2006/relationships/hyperlink" Target="http://weather.com" TargetMode="External"/><Relationship Id="rId640" Type="http://schemas.openxmlformats.org/officeDocument/2006/relationships/hyperlink" Target="http://weather.com" TargetMode="External"/><Relationship Id="rId11" Type="http://schemas.openxmlformats.org/officeDocument/2006/relationships/hyperlink" Target="http://accuweather.com" TargetMode="External"/><Relationship Id="rId10" Type="http://schemas.openxmlformats.org/officeDocument/2006/relationships/hyperlink" Target="http://accuweather.com" TargetMode="External"/><Relationship Id="rId13" Type="http://schemas.openxmlformats.org/officeDocument/2006/relationships/hyperlink" Target="http://accuweather.com" TargetMode="External"/><Relationship Id="rId12" Type="http://schemas.openxmlformats.org/officeDocument/2006/relationships/hyperlink" Target="http://accuweather.com" TargetMode="External"/><Relationship Id="rId519" Type="http://schemas.openxmlformats.org/officeDocument/2006/relationships/hyperlink" Target="http://realtor.com" TargetMode="External"/><Relationship Id="rId514" Type="http://schemas.openxmlformats.org/officeDocument/2006/relationships/hyperlink" Target="http://realtor.com" TargetMode="External"/><Relationship Id="rId635" Type="http://schemas.openxmlformats.org/officeDocument/2006/relationships/hyperlink" Target="http://weather.com" TargetMode="External"/><Relationship Id="rId513" Type="http://schemas.openxmlformats.org/officeDocument/2006/relationships/hyperlink" Target="http://realtor.com" TargetMode="External"/><Relationship Id="rId634" Type="http://schemas.openxmlformats.org/officeDocument/2006/relationships/hyperlink" Target="http://weather.com" TargetMode="External"/><Relationship Id="rId512" Type="http://schemas.openxmlformats.org/officeDocument/2006/relationships/hyperlink" Target="http://realtor.com" TargetMode="External"/><Relationship Id="rId633" Type="http://schemas.openxmlformats.org/officeDocument/2006/relationships/hyperlink" Target="http://weather.com" TargetMode="External"/><Relationship Id="rId511" Type="http://schemas.openxmlformats.org/officeDocument/2006/relationships/hyperlink" Target="http://realtor.com" TargetMode="External"/><Relationship Id="rId632" Type="http://schemas.openxmlformats.org/officeDocument/2006/relationships/hyperlink" Target="http://weather.com" TargetMode="External"/><Relationship Id="rId518" Type="http://schemas.openxmlformats.org/officeDocument/2006/relationships/hyperlink" Target="http://realtor.com" TargetMode="External"/><Relationship Id="rId639" Type="http://schemas.openxmlformats.org/officeDocument/2006/relationships/hyperlink" Target="http://weather.com" TargetMode="External"/><Relationship Id="rId517" Type="http://schemas.openxmlformats.org/officeDocument/2006/relationships/hyperlink" Target="http://realtor.com" TargetMode="External"/><Relationship Id="rId638" Type="http://schemas.openxmlformats.org/officeDocument/2006/relationships/hyperlink" Target="http://weather.com" TargetMode="External"/><Relationship Id="rId516" Type="http://schemas.openxmlformats.org/officeDocument/2006/relationships/hyperlink" Target="http://realtor.com" TargetMode="External"/><Relationship Id="rId637" Type="http://schemas.openxmlformats.org/officeDocument/2006/relationships/hyperlink" Target="http://weather.com" TargetMode="External"/><Relationship Id="rId515" Type="http://schemas.openxmlformats.org/officeDocument/2006/relationships/hyperlink" Target="http://realtor.com" TargetMode="External"/><Relationship Id="rId636" Type="http://schemas.openxmlformats.org/officeDocument/2006/relationships/hyperlink" Target="http://weather.com" TargetMode="External"/><Relationship Id="rId15" Type="http://schemas.openxmlformats.org/officeDocument/2006/relationships/hyperlink" Target="http://accuweather.com" TargetMode="External"/><Relationship Id="rId14" Type="http://schemas.openxmlformats.org/officeDocument/2006/relationships/hyperlink" Target="http://accuweather.com" TargetMode="External"/><Relationship Id="rId17" Type="http://schemas.openxmlformats.org/officeDocument/2006/relationships/hyperlink" Target="http://activebeat.com" TargetMode="External"/><Relationship Id="rId16" Type="http://schemas.openxmlformats.org/officeDocument/2006/relationships/hyperlink" Target="http://accuweather.com" TargetMode="External"/><Relationship Id="rId19" Type="http://schemas.openxmlformats.org/officeDocument/2006/relationships/hyperlink" Target="http://activebeat.com" TargetMode="External"/><Relationship Id="rId510" Type="http://schemas.openxmlformats.org/officeDocument/2006/relationships/hyperlink" Target="http://realtor.com" TargetMode="External"/><Relationship Id="rId631" Type="http://schemas.openxmlformats.org/officeDocument/2006/relationships/hyperlink" Target="http://weather.com" TargetMode="External"/><Relationship Id="rId18" Type="http://schemas.openxmlformats.org/officeDocument/2006/relationships/hyperlink" Target="http://activebeat.com" TargetMode="External"/><Relationship Id="rId630" Type="http://schemas.openxmlformats.org/officeDocument/2006/relationships/hyperlink" Target="http://weather.com" TargetMode="External"/><Relationship Id="rId84" Type="http://schemas.openxmlformats.org/officeDocument/2006/relationships/hyperlink" Target="http://buzzfeed.com" TargetMode="External"/><Relationship Id="rId83" Type="http://schemas.openxmlformats.org/officeDocument/2006/relationships/hyperlink" Target="http://businessinsider.com" TargetMode="External"/><Relationship Id="rId86" Type="http://schemas.openxmlformats.org/officeDocument/2006/relationships/hyperlink" Target="http://calculator.net" TargetMode="External"/><Relationship Id="rId85" Type="http://schemas.openxmlformats.org/officeDocument/2006/relationships/hyperlink" Target="http://buzzfeed.com" TargetMode="External"/><Relationship Id="rId88" Type="http://schemas.openxmlformats.org/officeDocument/2006/relationships/hyperlink" Target="http://calculator.net" TargetMode="External"/><Relationship Id="rId87" Type="http://schemas.openxmlformats.org/officeDocument/2006/relationships/hyperlink" Target="http://calculator.net" TargetMode="External"/><Relationship Id="rId89" Type="http://schemas.openxmlformats.org/officeDocument/2006/relationships/hyperlink" Target="http://calculator.net" TargetMode="External"/><Relationship Id="rId709" Type="http://schemas.openxmlformats.org/officeDocument/2006/relationships/hyperlink" Target="http://yahoo.com" TargetMode="External"/><Relationship Id="rId708" Type="http://schemas.openxmlformats.org/officeDocument/2006/relationships/hyperlink" Target="http://yahoo.com" TargetMode="External"/><Relationship Id="rId707" Type="http://schemas.openxmlformats.org/officeDocument/2006/relationships/hyperlink" Target="http://yahoo.com" TargetMode="External"/><Relationship Id="rId706" Type="http://schemas.openxmlformats.org/officeDocument/2006/relationships/hyperlink" Target="http://yahoo.com" TargetMode="External"/><Relationship Id="rId80" Type="http://schemas.openxmlformats.org/officeDocument/2006/relationships/hyperlink" Target="http://businessinsider.com" TargetMode="External"/><Relationship Id="rId82" Type="http://schemas.openxmlformats.org/officeDocument/2006/relationships/hyperlink" Target="http://businessinsider.com" TargetMode="External"/><Relationship Id="rId81" Type="http://schemas.openxmlformats.org/officeDocument/2006/relationships/hyperlink" Target="http://businessinsider.com" TargetMode="External"/><Relationship Id="rId701" Type="http://schemas.openxmlformats.org/officeDocument/2006/relationships/hyperlink" Target="http://yahoo.com" TargetMode="External"/><Relationship Id="rId700" Type="http://schemas.openxmlformats.org/officeDocument/2006/relationships/hyperlink" Target="http://yahoo.com" TargetMode="External"/><Relationship Id="rId705" Type="http://schemas.openxmlformats.org/officeDocument/2006/relationships/hyperlink" Target="http://yahoo.com" TargetMode="External"/><Relationship Id="rId704" Type="http://schemas.openxmlformats.org/officeDocument/2006/relationships/hyperlink" Target="http://yahoo.com" TargetMode="External"/><Relationship Id="rId703" Type="http://schemas.openxmlformats.org/officeDocument/2006/relationships/hyperlink" Target="http://yahoo.com" TargetMode="External"/><Relationship Id="rId702" Type="http://schemas.openxmlformats.org/officeDocument/2006/relationships/hyperlink" Target="http://yahoo.com" TargetMode="External"/><Relationship Id="rId73" Type="http://schemas.openxmlformats.org/officeDocument/2006/relationships/hyperlink" Target="http://boattrader.com" TargetMode="External"/><Relationship Id="rId72" Type="http://schemas.openxmlformats.org/officeDocument/2006/relationships/hyperlink" Target="http://boattrader.com" TargetMode="External"/><Relationship Id="rId75" Type="http://schemas.openxmlformats.org/officeDocument/2006/relationships/hyperlink" Target="http://boattrader.com" TargetMode="External"/><Relationship Id="rId74" Type="http://schemas.openxmlformats.org/officeDocument/2006/relationships/hyperlink" Target="http://boattrader.com" TargetMode="External"/><Relationship Id="rId77" Type="http://schemas.openxmlformats.org/officeDocument/2006/relationships/hyperlink" Target="http://boxrox.com" TargetMode="External"/><Relationship Id="rId76" Type="http://schemas.openxmlformats.org/officeDocument/2006/relationships/hyperlink" Target="http://boattrader.com" TargetMode="External"/><Relationship Id="rId79" Type="http://schemas.openxmlformats.org/officeDocument/2006/relationships/hyperlink" Target="http://britannica.com" TargetMode="External"/><Relationship Id="rId78" Type="http://schemas.openxmlformats.org/officeDocument/2006/relationships/hyperlink" Target="http://bridesblush.com" TargetMode="External"/><Relationship Id="rId71" Type="http://schemas.openxmlformats.org/officeDocument/2006/relationships/hyperlink" Target="http://bleacherbreaker.com" TargetMode="External"/><Relationship Id="rId70" Type="http://schemas.openxmlformats.org/officeDocument/2006/relationships/hyperlink" Target="http://billboard.com" TargetMode="External"/><Relationship Id="rId62" Type="http://schemas.openxmlformats.org/officeDocument/2006/relationships/hyperlink" Target="http://biblegateway.com" TargetMode="External"/><Relationship Id="rId61" Type="http://schemas.openxmlformats.org/officeDocument/2006/relationships/hyperlink" Target="http://biblegateway.com" TargetMode="External"/><Relationship Id="rId64" Type="http://schemas.openxmlformats.org/officeDocument/2006/relationships/hyperlink" Target="http://biblegateway.com" TargetMode="External"/><Relationship Id="rId63" Type="http://schemas.openxmlformats.org/officeDocument/2006/relationships/hyperlink" Target="http://biblegateway.com" TargetMode="External"/><Relationship Id="rId66" Type="http://schemas.openxmlformats.org/officeDocument/2006/relationships/hyperlink" Target="http://biblegateway.com" TargetMode="External"/><Relationship Id="rId65" Type="http://schemas.openxmlformats.org/officeDocument/2006/relationships/hyperlink" Target="http://biblegateway.com" TargetMode="External"/><Relationship Id="rId68" Type="http://schemas.openxmlformats.org/officeDocument/2006/relationships/hyperlink" Target="http://biblegateway.com" TargetMode="External"/><Relationship Id="rId67" Type="http://schemas.openxmlformats.org/officeDocument/2006/relationships/hyperlink" Target="http://biblegateway.com" TargetMode="External"/><Relationship Id="rId609" Type="http://schemas.openxmlformats.org/officeDocument/2006/relationships/hyperlink" Target="http://travelerdreams.com" TargetMode="External"/><Relationship Id="rId608" Type="http://schemas.openxmlformats.org/officeDocument/2006/relationships/hyperlink" Target="http://travelerdreams.com" TargetMode="External"/><Relationship Id="rId729" Type="http://schemas.openxmlformats.org/officeDocument/2006/relationships/drawing" Target="../drawings/drawing2.xml"/><Relationship Id="rId607" Type="http://schemas.openxmlformats.org/officeDocument/2006/relationships/hyperlink" Target="http://topclassactions.com" TargetMode="External"/><Relationship Id="rId728" Type="http://schemas.openxmlformats.org/officeDocument/2006/relationships/hyperlink" Target="http://zone.msn.com" TargetMode="External"/><Relationship Id="rId60" Type="http://schemas.openxmlformats.org/officeDocument/2006/relationships/hyperlink" Target="http://biblegateway.com" TargetMode="External"/><Relationship Id="rId602" Type="http://schemas.openxmlformats.org/officeDocument/2006/relationships/hyperlink" Target="http://todaysnyc.com" TargetMode="External"/><Relationship Id="rId723" Type="http://schemas.openxmlformats.org/officeDocument/2006/relationships/hyperlink" Target="http://zillow.com" TargetMode="External"/><Relationship Id="rId601" Type="http://schemas.openxmlformats.org/officeDocument/2006/relationships/hyperlink" Target="http://timeanddate.com" TargetMode="External"/><Relationship Id="rId722" Type="http://schemas.openxmlformats.org/officeDocument/2006/relationships/hyperlink" Target="http://zillow.com" TargetMode="External"/><Relationship Id="rId600" Type="http://schemas.openxmlformats.org/officeDocument/2006/relationships/hyperlink" Target="http://timeanddate.com" TargetMode="External"/><Relationship Id="rId721" Type="http://schemas.openxmlformats.org/officeDocument/2006/relationships/hyperlink" Target="http://zillow.com" TargetMode="External"/><Relationship Id="rId720" Type="http://schemas.openxmlformats.org/officeDocument/2006/relationships/hyperlink" Target="http://zillow.com" TargetMode="External"/><Relationship Id="rId606" Type="http://schemas.openxmlformats.org/officeDocument/2006/relationships/hyperlink" Target="http://topclassactions.com" TargetMode="External"/><Relationship Id="rId727" Type="http://schemas.openxmlformats.org/officeDocument/2006/relationships/hyperlink" Target="http://zillow.com" TargetMode="External"/><Relationship Id="rId605" Type="http://schemas.openxmlformats.org/officeDocument/2006/relationships/hyperlink" Target="http://tomsguide.com" TargetMode="External"/><Relationship Id="rId726" Type="http://schemas.openxmlformats.org/officeDocument/2006/relationships/hyperlink" Target="http://zillow.com" TargetMode="External"/><Relationship Id="rId604" Type="http://schemas.openxmlformats.org/officeDocument/2006/relationships/hyperlink" Target="http://tomsguide.com" TargetMode="External"/><Relationship Id="rId725" Type="http://schemas.openxmlformats.org/officeDocument/2006/relationships/hyperlink" Target="http://zillow.com" TargetMode="External"/><Relationship Id="rId603" Type="http://schemas.openxmlformats.org/officeDocument/2006/relationships/hyperlink" Target="http://tomsguide.com" TargetMode="External"/><Relationship Id="rId724" Type="http://schemas.openxmlformats.org/officeDocument/2006/relationships/hyperlink" Target="http://zillow.com" TargetMode="External"/><Relationship Id="rId69" Type="http://schemas.openxmlformats.org/officeDocument/2006/relationships/hyperlink" Target="http://biblestudytools.com" TargetMode="External"/><Relationship Id="rId51" Type="http://schemas.openxmlformats.org/officeDocument/2006/relationships/hyperlink" Target="http://bestbuy.com" TargetMode="External"/><Relationship Id="rId50" Type="http://schemas.openxmlformats.org/officeDocument/2006/relationships/hyperlink" Target="http://behindthevoiceactors.com" TargetMode="External"/><Relationship Id="rId53" Type="http://schemas.openxmlformats.org/officeDocument/2006/relationships/hyperlink" Target="http://biblegateway.com" TargetMode="External"/><Relationship Id="rId52" Type="http://schemas.openxmlformats.org/officeDocument/2006/relationships/hyperlink" Target="http://biblegateway.com" TargetMode="External"/><Relationship Id="rId55" Type="http://schemas.openxmlformats.org/officeDocument/2006/relationships/hyperlink" Target="http://biblegateway.com" TargetMode="External"/><Relationship Id="rId54" Type="http://schemas.openxmlformats.org/officeDocument/2006/relationships/hyperlink" Target="http://biblegateway.com" TargetMode="External"/><Relationship Id="rId57" Type="http://schemas.openxmlformats.org/officeDocument/2006/relationships/hyperlink" Target="http://biblegateway.com" TargetMode="External"/><Relationship Id="rId56" Type="http://schemas.openxmlformats.org/officeDocument/2006/relationships/hyperlink" Target="http://biblegateway.com" TargetMode="External"/><Relationship Id="rId719" Type="http://schemas.openxmlformats.org/officeDocument/2006/relationships/hyperlink" Target="http://zdnet.com" TargetMode="External"/><Relationship Id="rId718" Type="http://schemas.openxmlformats.org/officeDocument/2006/relationships/hyperlink" Target="http://zdnet.com" TargetMode="External"/><Relationship Id="rId717" Type="http://schemas.openxmlformats.org/officeDocument/2006/relationships/hyperlink" Target="http://yourroyals.com" TargetMode="External"/><Relationship Id="rId712" Type="http://schemas.openxmlformats.org/officeDocument/2006/relationships/hyperlink" Target="http://yellowpages.com" TargetMode="External"/><Relationship Id="rId711" Type="http://schemas.openxmlformats.org/officeDocument/2006/relationships/hyperlink" Target="http://yahoo.com" TargetMode="External"/><Relationship Id="rId710" Type="http://schemas.openxmlformats.org/officeDocument/2006/relationships/hyperlink" Target="http://yahoo.com" TargetMode="External"/><Relationship Id="rId716" Type="http://schemas.openxmlformats.org/officeDocument/2006/relationships/hyperlink" Target="http://yourdailysportfix.com" TargetMode="External"/><Relationship Id="rId715" Type="http://schemas.openxmlformats.org/officeDocument/2006/relationships/hyperlink" Target="http://yourdailysportfix.com" TargetMode="External"/><Relationship Id="rId714" Type="http://schemas.openxmlformats.org/officeDocument/2006/relationships/hyperlink" Target="http://yellowpages.com" TargetMode="External"/><Relationship Id="rId713" Type="http://schemas.openxmlformats.org/officeDocument/2006/relationships/hyperlink" Target="http://yellowpages.com" TargetMode="External"/><Relationship Id="rId59" Type="http://schemas.openxmlformats.org/officeDocument/2006/relationships/hyperlink" Target="http://biblegateway.com" TargetMode="External"/><Relationship Id="rId58" Type="http://schemas.openxmlformats.org/officeDocument/2006/relationships/hyperlink" Target="http://biblegateway.com" TargetMode="External"/><Relationship Id="rId590" Type="http://schemas.openxmlformats.org/officeDocument/2006/relationships/hyperlink" Target="http://thesaurus.com" TargetMode="External"/><Relationship Id="rId107" Type="http://schemas.openxmlformats.org/officeDocument/2006/relationships/hyperlink" Target="http://cbsnews.com" TargetMode="External"/><Relationship Id="rId228" Type="http://schemas.openxmlformats.org/officeDocument/2006/relationships/hyperlink" Target="http://finance.yahoo.com" TargetMode="External"/><Relationship Id="rId349" Type="http://schemas.openxmlformats.org/officeDocument/2006/relationships/hyperlink" Target="http://mail.yahoo.com" TargetMode="External"/><Relationship Id="rId106" Type="http://schemas.openxmlformats.org/officeDocument/2006/relationships/hyperlink" Target="http://cbsnews.com" TargetMode="External"/><Relationship Id="rId227" Type="http://schemas.openxmlformats.org/officeDocument/2006/relationships/hyperlink" Target="http://finance.yahoo.com" TargetMode="External"/><Relationship Id="rId348" Type="http://schemas.openxmlformats.org/officeDocument/2006/relationships/hyperlink" Target="http://mail.yahoo.com" TargetMode="External"/><Relationship Id="rId469" Type="http://schemas.openxmlformats.org/officeDocument/2006/relationships/hyperlink" Target="http://outlook.live.com" TargetMode="External"/><Relationship Id="rId105" Type="http://schemas.openxmlformats.org/officeDocument/2006/relationships/hyperlink" Target="http://cbsnews.com" TargetMode="External"/><Relationship Id="rId226" Type="http://schemas.openxmlformats.org/officeDocument/2006/relationships/hyperlink" Target="http://finance.yahoo.com" TargetMode="External"/><Relationship Id="rId347" Type="http://schemas.openxmlformats.org/officeDocument/2006/relationships/hyperlink" Target="http://mail.yahoo.com" TargetMode="External"/><Relationship Id="rId468" Type="http://schemas.openxmlformats.org/officeDocument/2006/relationships/hyperlink" Target="http://outlook.live.com" TargetMode="External"/><Relationship Id="rId589" Type="http://schemas.openxmlformats.org/officeDocument/2006/relationships/hyperlink" Target="http://thesaurus.com" TargetMode="External"/><Relationship Id="rId104" Type="http://schemas.openxmlformats.org/officeDocument/2006/relationships/hyperlink" Target="http://cbsnews.com" TargetMode="External"/><Relationship Id="rId225" Type="http://schemas.openxmlformats.org/officeDocument/2006/relationships/hyperlink" Target="http://finance.yahoo.com" TargetMode="External"/><Relationship Id="rId346" Type="http://schemas.openxmlformats.org/officeDocument/2006/relationships/hyperlink" Target="http://mail.yahoo.com" TargetMode="External"/><Relationship Id="rId467" Type="http://schemas.openxmlformats.org/officeDocument/2006/relationships/hyperlink" Target="http://onechicagocenter.com" TargetMode="External"/><Relationship Id="rId588" Type="http://schemas.openxmlformats.org/officeDocument/2006/relationships/hyperlink" Target="http://thesaurus.com" TargetMode="External"/><Relationship Id="rId109" Type="http://schemas.openxmlformats.org/officeDocument/2006/relationships/hyperlink" Target="http://cbsnews.com" TargetMode="External"/><Relationship Id="rId108" Type="http://schemas.openxmlformats.org/officeDocument/2006/relationships/hyperlink" Target="http://cbsnews.com" TargetMode="External"/><Relationship Id="rId229" Type="http://schemas.openxmlformats.org/officeDocument/2006/relationships/hyperlink" Target="http://finance.yahoo.com" TargetMode="External"/><Relationship Id="rId220" Type="http://schemas.openxmlformats.org/officeDocument/2006/relationships/hyperlink" Target="http://finance.yahoo.com" TargetMode="External"/><Relationship Id="rId341" Type="http://schemas.openxmlformats.org/officeDocument/2006/relationships/hyperlink" Target="http://mail.aol.com" TargetMode="External"/><Relationship Id="rId462" Type="http://schemas.openxmlformats.org/officeDocument/2006/relationships/hyperlink" Target="http://nypost.com" TargetMode="External"/><Relationship Id="rId583" Type="http://schemas.openxmlformats.org/officeDocument/2006/relationships/hyperlink" Target="http://thekrazycouponlady.com" TargetMode="External"/><Relationship Id="rId340" Type="http://schemas.openxmlformats.org/officeDocument/2006/relationships/hyperlink" Target="http://mail.aol.com" TargetMode="External"/><Relationship Id="rId461" Type="http://schemas.openxmlformats.org/officeDocument/2006/relationships/hyperlink" Target="http://nypost.com" TargetMode="External"/><Relationship Id="rId582" Type="http://schemas.openxmlformats.org/officeDocument/2006/relationships/hyperlink" Target="http://thehulltruth.com" TargetMode="External"/><Relationship Id="rId460" Type="http://schemas.openxmlformats.org/officeDocument/2006/relationships/hyperlink" Target="http://nypost.com" TargetMode="External"/><Relationship Id="rId581" Type="http://schemas.openxmlformats.org/officeDocument/2006/relationships/hyperlink" Target="http://thegamer.com" TargetMode="External"/><Relationship Id="rId580" Type="http://schemas.openxmlformats.org/officeDocument/2006/relationships/hyperlink" Target="http://thefinancechatter.com" TargetMode="External"/><Relationship Id="rId103" Type="http://schemas.openxmlformats.org/officeDocument/2006/relationships/hyperlink" Target="http://cbsnews.com" TargetMode="External"/><Relationship Id="rId224" Type="http://schemas.openxmlformats.org/officeDocument/2006/relationships/hyperlink" Target="http://finance.yahoo.com" TargetMode="External"/><Relationship Id="rId345" Type="http://schemas.openxmlformats.org/officeDocument/2006/relationships/hyperlink" Target="http://mail.yahoo.com" TargetMode="External"/><Relationship Id="rId466" Type="http://schemas.openxmlformats.org/officeDocument/2006/relationships/hyperlink" Target="http://omnicalculator.com" TargetMode="External"/><Relationship Id="rId587" Type="http://schemas.openxmlformats.org/officeDocument/2006/relationships/hyperlink" Target="http://thesaurus.com" TargetMode="External"/><Relationship Id="rId102" Type="http://schemas.openxmlformats.org/officeDocument/2006/relationships/hyperlink" Target="http://carscoops.com" TargetMode="External"/><Relationship Id="rId223" Type="http://schemas.openxmlformats.org/officeDocument/2006/relationships/hyperlink" Target="http://finance.yahoo.com" TargetMode="External"/><Relationship Id="rId344" Type="http://schemas.openxmlformats.org/officeDocument/2006/relationships/hyperlink" Target="http://mail.aol.com" TargetMode="External"/><Relationship Id="rId465" Type="http://schemas.openxmlformats.org/officeDocument/2006/relationships/hyperlink" Target="http://omnicalculator.com" TargetMode="External"/><Relationship Id="rId586" Type="http://schemas.openxmlformats.org/officeDocument/2006/relationships/hyperlink" Target="http://thesaurus.com" TargetMode="External"/><Relationship Id="rId101" Type="http://schemas.openxmlformats.org/officeDocument/2006/relationships/hyperlink" Target="http://cars.com" TargetMode="External"/><Relationship Id="rId222" Type="http://schemas.openxmlformats.org/officeDocument/2006/relationships/hyperlink" Target="http://finance.yahoo.com" TargetMode="External"/><Relationship Id="rId343" Type="http://schemas.openxmlformats.org/officeDocument/2006/relationships/hyperlink" Target="http://mail.aol.com" TargetMode="External"/><Relationship Id="rId464" Type="http://schemas.openxmlformats.org/officeDocument/2006/relationships/hyperlink" Target="http://nytimes.com" TargetMode="External"/><Relationship Id="rId585" Type="http://schemas.openxmlformats.org/officeDocument/2006/relationships/hyperlink" Target="http://thesaltymarshmallow.com" TargetMode="External"/><Relationship Id="rId100" Type="http://schemas.openxmlformats.org/officeDocument/2006/relationships/hyperlink" Target="http://cars.com" TargetMode="External"/><Relationship Id="rId221" Type="http://schemas.openxmlformats.org/officeDocument/2006/relationships/hyperlink" Target="http://finance.yahoo.com" TargetMode="External"/><Relationship Id="rId342" Type="http://schemas.openxmlformats.org/officeDocument/2006/relationships/hyperlink" Target="http://mail.aol.com" TargetMode="External"/><Relationship Id="rId463" Type="http://schemas.openxmlformats.org/officeDocument/2006/relationships/hyperlink" Target="http://nytimes.com" TargetMode="External"/><Relationship Id="rId584" Type="http://schemas.openxmlformats.org/officeDocument/2006/relationships/hyperlink" Target="http://therighthairstyles.com" TargetMode="External"/><Relationship Id="rId217" Type="http://schemas.openxmlformats.org/officeDocument/2006/relationships/hyperlink" Target="http://fandomwire.com" TargetMode="External"/><Relationship Id="rId338" Type="http://schemas.openxmlformats.org/officeDocument/2006/relationships/hyperlink" Target="http://mail.aol.com" TargetMode="External"/><Relationship Id="rId459" Type="http://schemas.openxmlformats.org/officeDocument/2006/relationships/hyperlink" Target="http://nypost.com" TargetMode="External"/><Relationship Id="rId216" Type="http://schemas.openxmlformats.org/officeDocument/2006/relationships/hyperlink" Target="http://fandomwire.com" TargetMode="External"/><Relationship Id="rId337" Type="http://schemas.openxmlformats.org/officeDocument/2006/relationships/hyperlink" Target="http://mail.aol.com" TargetMode="External"/><Relationship Id="rId458" Type="http://schemas.openxmlformats.org/officeDocument/2006/relationships/hyperlink" Target="http://nypost.com" TargetMode="External"/><Relationship Id="rId579" Type="http://schemas.openxmlformats.org/officeDocument/2006/relationships/hyperlink" Target="http://thebigmansworld.com" TargetMode="External"/><Relationship Id="rId215" Type="http://schemas.openxmlformats.org/officeDocument/2006/relationships/hyperlink" Target="http://fandomwire.com" TargetMode="External"/><Relationship Id="rId336" Type="http://schemas.openxmlformats.org/officeDocument/2006/relationships/hyperlink" Target="http://mail.aol.com" TargetMode="External"/><Relationship Id="rId457" Type="http://schemas.openxmlformats.org/officeDocument/2006/relationships/hyperlink" Target="http://nypost.com" TargetMode="External"/><Relationship Id="rId578" Type="http://schemas.openxmlformats.org/officeDocument/2006/relationships/hyperlink" Target="http://techradar.com" TargetMode="External"/><Relationship Id="rId699" Type="http://schemas.openxmlformats.org/officeDocument/2006/relationships/hyperlink" Target="http://yahoo.com" TargetMode="External"/><Relationship Id="rId214" Type="http://schemas.openxmlformats.org/officeDocument/2006/relationships/hyperlink" Target="http://fandom.com" TargetMode="External"/><Relationship Id="rId335" Type="http://schemas.openxmlformats.org/officeDocument/2006/relationships/hyperlink" Target="http://mail.aol.com" TargetMode="External"/><Relationship Id="rId456" Type="http://schemas.openxmlformats.org/officeDocument/2006/relationships/hyperlink" Target="http://nsfas-applications.co.za" TargetMode="External"/><Relationship Id="rId577" Type="http://schemas.openxmlformats.org/officeDocument/2006/relationships/hyperlink" Target="http://tastesbetterfromscratch.com" TargetMode="External"/><Relationship Id="rId698" Type="http://schemas.openxmlformats.org/officeDocument/2006/relationships/hyperlink" Target="http://yahoo.com" TargetMode="External"/><Relationship Id="rId219" Type="http://schemas.openxmlformats.org/officeDocument/2006/relationships/hyperlink" Target="http://femanin.com" TargetMode="External"/><Relationship Id="rId218" Type="http://schemas.openxmlformats.org/officeDocument/2006/relationships/hyperlink" Target="http://femanin.com" TargetMode="External"/><Relationship Id="rId339" Type="http://schemas.openxmlformats.org/officeDocument/2006/relationships/hyperlink" Target="http://mail.aol.com" TargetMode="External"/><Relationship Id="rId330" Type="http://schemas.openxmlformats.org/officeDocument/2006/relationships/hyperlink" Target="http://mail.aol.com" TargetMode="External"/><Relationship Id="rId451" Type="http://schemas.openxmlformats.org/officeDocument/2006/relationships/hyperlink" Target="http://newsharper.com" TargetMode="External"/><Relationship Id="rId572" Type="http://schemas.openxmlformats.org/officeDocument/2006/relationships/hyperlink" Target="http://streetinsider.com" TargetMode="External"/><Relationship Id="rId693" Type="http://schemas.openxmlformats.org/officeDocument/2006/relationships/hyperlink" Target="http://yahoo.com" TargetMode="External"/><Relationship Id="rId450" Type="http://schemas.openxmlformats.org/officeDocument/2006/relationships/hyperlink" Target="http://news.yahoo.com" TargetMode="External"/><Relationship Id="rId571" Type="http://schemas.openxmlformats.org/officeDocument/2006/relationships/hyperlink" Target="http://sports.yahoo.com" TargetMode="External"/><Relationship Id="rId692" Type="http://schemas.openxmlformats.org/officeDocument/2006/relationships/hyperlink" Target="http://yahoo.com" TargetMode="External"/><Relationship Id="rId570" Type="http://schemas.openxmlformats.org/officeDocument/2006/relationships/hyperlink" Target="http://sports.yahoo.com" TargetMode="External"/><Relationship Id="rId691" Type="http://schemas.openxmlformats.org/officeDocument/2006/relationships/hyperlink" Target="http://yahoo.com" TargetMode="External"/><Relationship Id="rId690" Type="http://schemas.openxmlformats.org/officeDocument/2006/relationships/hyperlink" Target="http://yahoo.com" TargetMode="External"/><Relationship Id="rId213" Type="http://schemas.openxmlformats.org/officeDocument/2006/relationships/hyperlink" Target="http://fandom.com" TargetMode="External"/><Relationship Id="rId334" Type="http://schemas.openxmlformats.org/officeDocument/2006/relationships/hyperlink" Target="http://mail.aol.com" TargetMode="External"/><Relationship Id="rId455" Type="http://schemas.openxmlformats.org/officeDocument/2006/relationships/hyperlink" Target="http://npr.org" TargetMode="External"/><Relationship Id="rId576" Type="http://schemas.openxmlformats.org/officeDocument/2006/relationships/hyperlink" Target="http://tasteofhome.com" TargetMode="External"/><Relationship Id="rId697" Type="http://schemas.openxmlformats.org/officeDocument/2006/relationships/hyperlink" Target="http://yahoo.com" TargetMode="External"/><Relationship Id="rId212" Type="http://schemas.openxmlformats.org/officeDocument/2006/relationships/hyperlink" Target="http://fandom.com" TargetMode="External"/><Relationship Id="rId333" Type="http://schemas.openxmlformats.org/officeDocument/2006/relationships/hyperlink" Target="http://mail.aol.com" TargetMode="External"/><Relationship Id="rId454" Type="http://schemas.openxmlformats.org/officeDocument/2006/relationships/hyperlink" Target="http://npr.org" TargetMode="External"/><Relationship Id="rId575" Type="http://schemas.openxmlformats.org/officeDocument/2006/relationships/hyperlink" Target="http://taboolanews.com" TargetMode="External"/><Relationship Id="rId696" Type="http://schemas.openxmlformats.org/officeDocument/2006/relationships/hyperlink" Target="http://yahoo.com" TargetMode="External"/><Relationship Id="rId211" Type="http://schemas.openxmlformats.org/officeDocument/2006/relationships/hyperlink" Target="http://fandom.com" TargetMode="External"/><Relationship Id="rId332" Type="http://schemas.openxmlformats.org/officeDocument/2006/relationships/hyperlink" Target="http://mail.aol.com" TargetMode="External"/><Relationship Id="rId453" Type="http://schemas.openxmlformats.org/officeDocument/2006/relationships/hyperlink" Target="http://newsmemory.com" TargetMode="External"/><Relationship Id="rId574" Type="http://schemas.openxmlformats.org/officeDocument/2006/relationships/hyperlink" Target="http://streetinsider.com" TargetMode="External"/><Relationship Id="rId695" Type="http://schemas.openxmlformats.org/officeDocument/2006/relationships/hyperlink" Target="http://yahoo.com" TargetMode="External"/><Relationship Id="rId210" Type="http://schemas.openxmlformats.org/officeDocument/2006/relationships/hyperlink" Target="http://factinate.com" TargetMode="External"/><Relationship Id="rId331" Type="http://schemas.openxmlformats.org/officeDocument/2006/relationships/hyperlink" Target="http://mail.aol.com" TargetMode="External"/><Relationship Id="rId452" Type="http://schemas.openxmlformats.org/officeDocument/2006/relationships/hyperlink" Target="http://newsmemory.com" TargetMode="External"/><Relationship Id="rId573" Type="http://schemas.openxmlformats.org/officeDocument/2006/relationships/hyperlink" Target="http://streetinsider.com" TargetMode="External"/><Relationship Id="rId694" Type="http://schemas.openxmlformats.org/officeDocument/2006/relationships/hyperlink" Target="http://yahoo.com" TargetMode="External"/><Relationship Id="rId370" Type="http://schemas.openxmlformats.org/officeDocument/2006/relationships/hyperlink" Target="http://mapquest.com" TargetMode="External"/><Relationship Id="rId491" Type="http://schemas.openxmlformats.org/officeDocument/2006/relationships/hyperlink" Target="http://people.com" TargetMode="External"/><Relationship Id="rId490" Type="http://schemas.openxmlformats.org/officeDocument/2006/relationships/hyperlink" Target="http://people.com" TargetMode="External"/><Relationship Id="rId129" Type="http://schemas.openxmlformats.org/officeDocument/2006/relationships/hyperlink" Target="http://cnbc.com" TargetMode="External"/><Relationship Id="rId128" Type="http://schemas.openxmlformats.org/officeDocument/2006/relationships/hyperlink" Target="http://clutchpoints.com" TargetMode="External"/><Relationship Id="rId249" Type="http://schemas.openxmlformats.org/officeDocument/2006/relationships/hyperlink" Target="http://forbes.com" TargetMode="External"/><Relationship Id="rId127" Type="http://schemas.openxmlformats.org/officeDocument/2006/relationships/hyperlink" Target="http://classmates.com" TargetMode="External"/><Relationship Id="rId248" Type="http://schemas.openxmlformats.org/officeDocument/2006/relationships/hyperlink" Target="http://forbes.com" TargetMode="External"/><Relationship Id="rId369" Type="http://schemas.openxmlformats.org/officeDocument/2006/relationships/hyperlink" Target="http://mail.yahoo.com" TargetMode="External"/><Relationship Id="rId126" Type="http://schemas.openxmlformats.org/officeDocument/2006/relationships/hyperlink" Target="http://classmates.com" TargetMode="External"/><Relationship Id="rId247" Type="http://schemas.openxmlformats.org/officeDocument/2006/relationships/hyperlink" Target="http://forbes.com" TargetMode="External"/><Relationship Id="rId368" Type="http://schemas.openxmlformats.org/officeDocument/2006/relationships/hyperlink" Target="http://mail.yahoo.com" TargetMode="External"/><Relationship Id="rId489" Type="http://schemas.openxmlformats.org/officeDocument/2006/relationships/hyperlink" Target="http://people.com" TargetMode="External"/><Relationship Id="rId121" Type="http://schemas.openxmlformats.org/officeDocument/2006/relationships/hyperlink" Target="http://cheezburger.com" TargetMode="External"/><Relationship Id="rId242" Type="http://schemas.openxmlformats.org/officeDocument/2006/relationships/hyperlink" Target="http://forbes.com" TargetMode="External"/><Relationship Id="rId363" Type="http://schemas.openxmlformats.org/officeDocument/2006/relationships/hyperlink" Target="http://mail.yahoo.com" TargetMode="External"/><Relationship Id="rId484" Type="http://schemas.openxmlformats.org/officeDocument/2006/relationships/hyperlink" Target="http://pandora.com" TargetMode="External"/><Relationship Id="rId120" Type="http://schemas.openxmlformats.org/officeDocument/2006/relationships/hyperlink" Target="http://cheezburger.com" TargetMode="External"/><Relationship Id="rId241" Type="http://schemas.openxmlformats.org/officeDocument/2006/relationships/hyperlink" Target="http://forbes.com" TargetMode="External"/><Relationship Id="rId362" Type="http://schemas.openxmlformats.org/officeDocument/2006/relationships/hyperlink" Target="http://mail.yahoo.com" TargetMode="External"/><Relationship Id="rId483" Type="http://schemas.openxmlformats.org/officeDocument/2006/relationships/hyperlink" Target="http://pandora.com" TargetMode="External"/><Relationship Id="rId240" Type="http://schemas.openxmlformats.org/officeDocument/2006/relationships/hyperlink" Target="http://forbes.com" TargetMode="External"/><Relationship Id="rId361" Type="http://schemas.openxmlformats.org/officeDocument/2006/relationships/hyperlink" Target="http://mail.yahoo.com" TargetMode="External"/><Relationship Id="rId482" Type="http://schemas.openxmlformats.org/officeDocument/2006/relationships/hyperlink" Target="http://outlook.live.com" TargetMode="External"/><Relationship Id="rId360" Type="http://schemas.openxmlformats.org/officeDocument/2006/relationships/hyperlink" Target="http://mail.yahoo.com" TargetMode="External"/><Relationship Id="rId481" Type="http://schemas.openxmlformats.org/officeDocument/2006/relationships/hyperlink" Target="http://outlook.live.com" TargetMode="External"/><Relationship Id="rId125" Type="http://schemas.openxmlformats.org/officeDocument/2006/relationships/hyperlink" Target="http://classmates.com" TargetMode="External"/><Relationship Id="rId246" Type="http://schemas.openxmlformats.org/officeDocument/2006/relationships/hyperlink" Target="http://forbes.com" TargetMode="External"/><Relationship Id="rId367" Type="http://schemas.openxmlformats.org/officeDocument/2006/relationships/hyperlink" Target="http://mail.yahoo.com" TargetMode="External"/><Relationship Id="rId488" Type="http://schemas.openxmlformats.org/officeDocument/2006/relationships/hyperlink" Target="http://people.com" TargetMode="External"/><Relationship Id="rId124" Type="http://schemas.openxmlformats.org/officeDocument/2006/relationships/hyperlink" Target="http://citationmachine.net" TargetMode="External"/><Relationship Id="rId245" Type="http://schemas.openxmlformats.org/officeDocument/2006/relationships/hyperlink" Target="http://forbes.com" TargetMode="External"/><Relationship Id="rId366" Type="http://schemas.openxmlformats.org/officeDocument/2006/relationships/hyperlink" Target="http://mail.yahoo.com" TargetMode="External"/><Relationship Id="rId487" Type="http://schemas.openxmlformats.org/officeDocument/2006/relationships/hyperlink" Target="http://people.com" TargetMode="External"/><Relationship Id="rId123" Type="http://schemas.openxmlformats.org/officeDocument/2006/relationships/hyperlink" Target="http://chocolatecoveredkatie.com" TargetMode="External"/><Relationship Id="rId244" Type="http://schemas.openxmlformats.org/officeDocument/2006/relationships/hyperlink" Target="http://forbes.com" TargetMode="External"/><Relationship Id="rId365" Type="http://schemas.openxmlformats.org/officeDocument/2006/relationships/hyperlink" Target="http://mail.yahoo.com" TargetMode="External"/><Relationship Id="rId486" Type="http://schemas.openxmlformats.org/officeDocument/2006/relationships/hyperlink" Target="http://pandora.com" TargetMode="External"/><Relationship Id="rId122" Type="http://schemas.openxmlformats.org/officeDocument/2006/relationships/hyperlink" Target="http://chicagotribune.com" TargetMode="External"/><Relationship Id="rId243" Type="http://schemas.openxmlformats.org/officeDocument/2006/relationships/hyperlink" Target="http://forbes.com" TargetMode="External"/><Relationship Id="rId364" Type="http://schemas.openxmlformats.org/officeDocument/2006/relationships/hyperlink" Target="http://mail.yahoo.com" TargetMode="External"/><Relationship Id="rId485" Type="http://schemas.openxmlformats.org/officeDocument/2006/relationships/hyperlink" Target="http://pandora.com" TargetMode="External"/><Relationship Id="rId95" Type="http://schemas.openxmlformats.org/officeDocument/2006/relationships/hyperlink" Target="http://cars.com" TargetMode="External"/><Relationship Id="rId94" Type="http://schemas.openxmlformats.org/officeDocument/2006/relationships/hyperlink" Target="http://cargurus.com" TargetMode="External"/><Relationship Id="rId97" Type="http://schemas.openxmlformats.org/officeDocument/2006/relationships/hyperlink" Target="http://cars.com" TargetMode="External"/><Relationship Id="rId96" Type="http://schemas.openxmlformats.org/officeDocument/2006/relationships/hyperlink" Target="http://cars.com" TargetMode="External"/><Relationship Id="rId99" Type="http://schemas.openxmlformats.org/officeDocument/2006/relationships/hyperlink" Target="http://cars.com" TargetMode="External"/><Relationship Id="rId480" Type="http://schemas.openxmlformats.org/officeDocument/2006/relationships/hyperlink" Target="http://outlook.live.com" TargetMode="External"/><Relationship Id="rId98" Type="http://schemas.openxmlformats.org/officeDocument/2006/relationships/hyperlink" Target="http://cars.com" TargetMode="External"/><Relationship Id="rId91" Type="http://schemas.openxmlformats.org/officeDocument/2006/relationships/hyperlink" Target="http://cargurus.com" TargetMode="External"/><Relationship Id="rId90" Type="http://schemas.openxmlformats.org/officeDocument/2006/relationships/hyperlink" Target="http://calculator.net" TargetMode="External"/><Relationship Id="rId93" Type="http://schemas.openxmlformats.org/officeDocument/2006/relationships/hyperlink" Target="http://cargurus.com" TargetMode="External"/><Relationship Id="rId92" Type="http://schemas.openxmlformats.org/officeDocument/2006/relationships/hyperlink" Target="http://cargurus.com" TargetMode="External"/><Relationship Id="rId118" Type="http://schemas.openxmlformats.org/officeDocument/2006/relationships/hyperlink" Target="http://cheapoair.com" TargetMode="External"/><Relationship Id="rId239" Type="http://schemas.openxmlformats.org/officeDocument/2006/relationships/hyperlink" Target="http://flightaware.com" TargetMode="External"/><Relationship Id="rId117" Type="http://schemas.openxmlformats.org/officeDocument/2006/relationships/hyperlink" Target="http://cbssports.com" TargetMode="External"/><Relationship Id="rId238" Type="http://schemas.openxmlformats.org/officeDocument/2006/relationships/hyperlink" Target="http://flightaware.com" TargetMode="External"/><Relationship Id="rId359" Type="http://schemas.openxmlformats.org/officeDocument/2006/relationships/hyperlink" Target="http://mail.yahoo.com" TargetMode="External"/><Relationship Id="rId116" Type="http://schemas.openxmlformats.org/officeDocument/2006/relationships/hyperlink" Target="http://cbssports.com" TargetMode="External"/><Relationship Id="rId237" Type="http://schemas.openxmlformats.org/officeDocument/2006/relationships/hyperlink" Target="http://flightaware.com" TargetMode="External"/><Relationship Id="rId358" Type="http://schemas.openxmlformats.org/officeDocument/2006/relationships/hyperlink" Target="http://mail.yahoo.com" TargetMode="External"/><Relationship Id="rId479" Type="http://schemas.openxmlformats.org/officeDocument/2006/relationships/hyperlink" Target="http://outlook.live.com" TargetMode="External"/><Relationship Id="rId115" Type="http://schemas.openxmlformats.org/officeDocument/2006/relationships/hyperlink" Target="http://cbssports.com" TargetMode="External"/><Relationship Id="rId236" Type="http://schemas.openxmlformats.org/officeDocument/2006/relationships/hyperlink" Target="http://firstcoastnews.com" TargetMode="External"/><Relationship Id="rId357" Type="http://schemas.openxmlformats.org/officeDocument/2006/relationships/hyperlink" Target="http://mail.yahoo.com" TargetMode="External"/><Relationship Id="rId478" Type="http://schemas.openxmlformats.org/officeDocument/2006/relationships/hyperlink" Target="http://outlook.live.com" TargetMode="External"/><Relationship Id="rId599" Type="http://schemas.openxmlformats.org/officeDocument/2006/relationships/hyperlink" Target="http://timeanddate.com" TargetMode="External"/><Relationship Id="rId119" Type="http://schemas.openxmlformats.org/officeDocument/2006/relationships/hyperlink" Target="http://cheapoair.com" TargetMode="External"/><Relationship Id="rId110" Type="http://schemas.openxmlformats.org/officeDocument/2006/relationships/hyperlink" Target="http://cbsnews.com" TargetMode="External"/><Relationship Id="rId231" Type="http://schemas.openxmlformats.org/officeDocument/2006/relationships/hyperlink" Target="http://finance.yahoo.com" TargetMode="External"/><Relationship Id="rId352" Type="http://schemas.openxmlformats.org/officeDocument/2006/relationships/hyperlink" Target="http://mail.yahoo.com" TargetMode="External"/><Relationship Id="rId473" Type="http://schemas.openxmlformats.org/officeDocument/2006/relationships/hyperlink" Target="http://outlook.live.com" TargetMode="External"/><Relationship Id="rId594" Type="http://schemas.openxmlformats.org/officeDocument/2006/relationships/hyperlink" Target="http://the-sun.com" TargetMode="External"/><Relationship Id="rId230" Type="http://schemas.openxmlformats.org/officeDocument/2006/relationships/hyperlink" Target="http://finance.yahoo.com" TargetMode="External"/><Relationship Id="rId351" Type="http://schemas.openxmlformats.org/officeDocument/2006/relationships/hyperlink" Target="http://mail.yahoo.com" TargetMode="External"/><Relationship Id="rId472" Type="http://schemas.openxmlformats.org/officeDocument/2006/relationships/hyperlink" Target="http://outlook.live.com" TargetMode="External"/><Relationship Id="rId593" Type="http://schemas.openxmlformats.org/officeDocument/2006/relationships/hyperlink" Target="http://the-sun.com" TargetMode="External"/><Relationship Id="rId350" Type="http://schemas.openxmlformats.org/officeDocument/2006/relationships/hyperlink" Target="http://mail.yahoo.com" TargetMode="External"/><Relationship Id="rId471" Type="http://schemas.openxmlformats.org/officeDocument/2006/relationships/hyperlink" Target="http://outlook.live.com" TargetMode="External"/><Relationship Id="rId592" Type="http://schemas.openxmlformats.org/officeDocument/2006/relationships/hyperlink" Target="http://thesaurus.com" TargetMode="External"/><Relationship Id="rId470" Type="http://schemas.openxmlformats.org/officeDocument/2006/relationships/hyperlink" Target="http://outlook.live.com" TargetMode="External"/><Relationship Id="rId591" Type="http://schemas.openxmlformats.org/officeDocument/2006/relationships/hyperlink" Target="http://thesaurus.com" TargetMode="External"/><Relationship Id="rId114" Type="http://schemas.openxmlformats.org/officeDocument/2006/relationships/hyperlink" Target="http://cbsnews.com" TargetMode="External"/><Relationship Id="rId235" Type="http://schemas.openxmlformats.org/officeDocument/2006/relationships/hyperlink" Target="http://finviz.com" TargetMode="External"/><Relationship Id="rId356" Type="http://schemas.openxmlformats.org/officeDocument/2006/relationships/hyperlink" Target="http://mail.yahoo.com" TargetMode="External"/><Relationship Id="rId477" Type="http://schemas.openxmlformats.org/officeDocument/2006/relationships/hyperlink" Target="http://outlook.live.com" TargetMode="External"/><Relationship Id="rId598" Type="http://schemas.openxmlformats.org/officeDocument/2006/relationships/hyperlink" Target="http://the-sun.com" TargetMode="External"/><Relationship Id="rId113" Type="http://schemas.openxmlformats.org/officeDocument/2006/relationships/hyperlink" Target="http://cbsnews.com" TargetMode="External"/><Relationship Id="rId234" Type="http://schemas.openxmlformats.org/officeDocument/2006/relationships/hyperlink" Target="http://findagrave.com" TargetMode="External"/><Relationship Id="rId355" Type="http://schemas.openxmlformats.org/officeDocument/2006/relationships/hyperlink" Target="http://mail.yahoo.com" TargetMode="External"/><Relationship Id="rId476" Type="http://schemas.openxmlformats.org/officeDocument/2006/relationships/hyperlink" Target="http://outlook.live.com" TargetMode="External"/><Relationship Id="rId597" Type="http://schemas.openxmlformats.org/officeDocument/2006/relationships/hyperlink" Target="http://the-sun.com" TargetMode="External"/><Relationship Id="rId112" Type="http://schemas.openxmlformats.org/officeDocument/2006/relationships/hyperlink" Target="http://cbsnews.com" TargetMode="External"/><Relationship Id="rId233" Type="http://schemas.openxmlformats.org/officeDocument/2006/relationships/hyperlink" Target="http://findagrave.com" TargetMode="External"/><Relationship Id="rId354" Type="http://schemas.openxmlformats.org/officeDocument/2006/relationships/hyperlink" Target="http://mail.yahoo.com" TargetMode="External"/><Relationship Id="rId475" Type="http://schemas.openxmlformats.org/officeDocument/2006/relationships/hyperlink" Target="http://outlook.live.com" TargetMode="External"/><Relationship Id="rId596" Type="http://schemas.openxmlformats.org/officeDocument/2006/relationships/hyperlink" Target="http://the-sun.com" TargetMode="External"/><Relationship Id="rId111" Type="http://schemas.openxmlformats.org/officeDocument/2006/relationships/hyperlink" Target="http://cbsnews.com" TargetMode="External"/><Relationship Id="rId232" Type="http://schemas.openxmlformats.org/officeDocument/2006/relationships/hyperlink" Target="http://findagrave.com" TargetMode="External"/><Relationship Id="rId353" Type="http://schemas.openxmlformats.org/officeDocument/2006/relationships/hyperlink" Target="http://mail.yahoo.com" TargetMode="External"/><Relationship Id="rId474" Type="http://schemas.openxmlformats.org/officeDocument/2006/relationships/hyperlink" Target="http://outlook.live.com" TargetMode="External"/><Relationship Id="rId595" Type="http://schemas.openxmlformats.org/officeDocument/2006/relationships/hyperlink" Target="http://the-sun.com" TargetMode="External"/><Relationship Id="rId305" Type="http://schemas.openxmlformats.org/officeDocument/2006/relationships/hyperlink" Target="http://jdpower.com" TargetMode="External"/><Relationship Id="rId426" Type="http://schemas.openxmlformats.org/officeDocument/2006/relationships/hyperlink" Target="http://msn.com" TargetMode="External"/><Relationship Id="rId547" Type="http://schemas.openxmlformats.org/officeDocument/2006/relationships/hyperlink" Target="http://semana.com" TargetMode="External"/><Relationship Id="rId668" Type="http://schemas.openxmlformats.org/officeDocument/2006/relationships/hyperlink" Target="http://whatismyipaddress.com" TargetMode="External"/><Relationship Id="rId304" Type="http://schemas.openxmlformats.org/officeDocument/2006/relationships/hyperlink" Target="http://investopedia.com" TargetMode="External"/><Relationship Id="rId425" Type="http://schemas.openxmlformats.org/officeDocument/2006/relationships/hyperlink" Target="http://msn.com" TargetMode="External"/><Relationship Id="rId546" Type="http://schemas.openxmlformats.org/officeDocument/2006/relationships/hyperlink" Target="http://seedsgames.com" TargetMode="External"/><Relationship Id="rId667" Type="http://schemas.openxmlformats.org/officeDocument/2006/relationships/hyperlink" Target="http://whatismyipaddress.com" TargetMode="External"/><Relationship Id="rId303" Type="http://schemas.openxmlformats.org/officeDocument/2006/relationships/hyperlink" Target="http://investopedia.com" TargetMode="External"/><Relationship Id="rId424" Type="http://schemas.openxmlformats.org/officeDocument/2006/relationships/hyperlink" Target="http://msn.com" TargetMode="External"/><Relationship Id="rId545" Type="http://schemas.openxmlformats.org/officeDocument/2006/relationships/hyperlink" Target="http://screenrant.com" TargetMode="External"/><Relationship Id="rId666" Type="http://schemas.openxmlformats.org/officeDocument/2006/relationships/hyperlink" Target="http://whatismyipaddress.com" TargetMode="External"/><Relationship Id="rId302" Type="http://schemas.openxmlformats.org/officeDocument/2006/relationships/hyperlink" Target="http://investmentguru.com" TargetMode="External"/><Relationship Id="rId423" Type="http://schemas.openxmlformats.org/officeDocument/2006/relationships/hyperlink" Target="http://msn.com" TargetMode="External"/><Relationship Id="rId544" Type="http://schemas.openxmlformats.org/officeDocument/2006/relationships/hyperlink" Target="http://screenrant.com" TargetMode="External"/><Relationship Id="rId665" Type="http://schemas.openxmlformats.org/officeDocument/2006/relationships/hyperlink" Target="http://whatismyipaddress.com" TargetMode="External"/><Relationship Id="rId309" Type="http://schemas.openxmlformats.org/officeDocument/2006/relationships/hyperlink" Target="http://kbb.com" TargetMode="External"/><Relationship Id="rId308" Type="http://schemas.openxmlformats.org/officeDocument/2006/relationships/hyperlink" Target="http://kbb.com" TargetMode="External"/><Relationship Id="rId429" Type="http://schemas.openxmlformats.org/officeDocument/2006/relationships/hyperlink" Target="http://my.earthlink.net" TargetMode="External"/><Relationship Id="rId307" Type="http://schemas.openxmlformats.org/officeDocument/2006/relationships/hyperlink" Target="http://jdpower.com" TargetMode="External"/><Relationship Id="rId428" Type="http://schemas.openxmlformats.org/officeDocument/2006/relationships/hyperlink" Target="http://msn.com" TargetMode="External"/><Relationship Id="rId549" Type="http://schemas.openxmlformats.org/officeDocument/2006/relationships/hyperlink" Target="http://si.com" TargetMode="External"/><Relationship Id="rId306" Type="http://schemas.openxmlformats.org/officeDocument/2006/relationships/hyperlink" Target="http://jdpower.com" TargetMode="External"/><Relationship Id="rId427" Type="http://schemas.openxmlformats.org/officeDocument/2006/relationships/hyperlink" Target="http://msn.com" TargetMode="External"/><Relationship Id="rId548" Type="http://schemas.openxmlformats.org/officeDocument/2006/relationships/hyperlink" Target="http://shareably.net" TargetMode="External"/><Relationship Id="rId669" Type="http://schemas.openxmlformats.org/officeDocument/2006/relationships/hyperlink" Target="http://whatismyipaddress.com" TargetMode="External"/><Relationship Id="rId660" Type="http://schemas.openxmlformats.org/officeDocument/2006/relationships/hyperlink" Target="http://weather.com" TargetMode="External"/><Relationship Id="rId301" Type="http://schemas.openxmlformats.org/officeDocument/2006/relationships/hyperlink" Target="http://investing.com" TargetMode="External"/><Relationship Id="rId422" Type="http://schemas.openxmlformats.org/officeDocument/2006/relationships/hyperlink" Target="http://msn.com" TargetMode="External"/><Relationship Id="rId543" Type="http://schemas.openxmlformats.org/officeDocument/2006/relationships/hyperlink" Target="http://screenrant.com" TargetMode="External"/><Relationship Id="rId664" Type="http://schemas.openxmlformats.org/officeDocument/2006/relationships/hyperlink" Target="http://whatismyipaddress.com" TargetMode="External"/><Relationship Id="rId300" Type="http://schemas.openxmlformats.org/officeDocument/2006/relationships/hyperlink" Target="http://investing.com" TargetMode="External"/><Relationship Id="rId421" Type="http://schemas.openxmlformats.org/officeDocument/2006/relationships/hyperlink" Target="http://msn.com" TargetMode="External"/><Relationship Id="rId542" Type="http://schemas.openxmlformats.org/officeDocument/2006/relationships/hyperlink" Target="http://screenrant.com" TargetMode="External"/><Relationship Id="rId663" Type="http://schemas.openxmlformats.org/officeDocument/2006/relationships/hyperlink" Target="http://webmd.com" TargetMode="External"/><Relationship Id="rId420" Type="http://schemas.openxmlformats.org/officeDocument/2006/relationships/hyperlink" Target="http://msn.com" TargetMode="External"/><Relationship Id="rId541" Type="http://schemas.openxmlformats.org/officeDocument/2006/relationships/hyperlink" Target="http://screenrant.com" TargetMode="External"/><Relationship Id="rId662" Type="http://schemas.openxmlformats.org/officeDocument/2006/relationships/hyperlink" Target="http://webmd.com" TargetMode="External"/><Relationship Id="rId540" Type="http://schemas.openxmlformats.org/officeDocument/2006/relationships/hyperlink" Target="http://scitechdaily.com" TargetMode="External"/><Relationship Id="rId661" Type="http://schemas.openxmlformats.org/officeDocument/2006/relationships/hyperlink" Target="http://weather.com" TargetMode="External"/><Relationship Id="rId415" Type="http://schemas.openxmlformats.org/officeDocument/2006/relationships/hyperlink" Target="http://msn.com" TargetMode="External"/><Relationship Id="rId536" Type="http://schemas.openxmlformats.org/officeDocument/2006/relationships/hyperlink" Target="http://rvtrader.com" TargetMode="External"/><Relationship Id="rId657" Type="http://schemas.openxmlformats.org/officeDocument/2006/relationships/hyperlink" Target="http://weather.com" TargetMode="External"/><Relationship Id="rId414" Type="http://schemas.openxmlformats.org/officeDocument/2006/relationships/hyperlink" Target="http://msn.com" TargetMode="External"/><Relationship Id="rId535" Type="http://schemas.openxmlformats.org/officeDocument/2006/relationships/hyperlink" Target="http://rollingstone.com" TargetMode="External"/><Relationship Id="rId656" Type="http://schemas.openxmlformats.org/officeDocument/2006/relationships/hyperlink" Target="http://weather.com" TargetMode="External"/><Relationship Id="rId413" Type="http://schemas.openxmlformats.org/officeDocument/2006/relationships/hyperlink" Target="http://msn.com" TargetMode="External"/><Relationship Id="rId534" Type="http://schemas.openxmlformats.org/officeDocument/2006/relationships/hyperlink" Target="http://rollingstone.com" TargetMode="External"/><Relationship Id="rId655" Type="http://schemas.openxmlformats.org/officeDocument/2006/relationships/hyperlink" Target="http://weather.com" TargetMode="External"/><Relationship Id="rId412" Type="http://schemas.openxmlformats.org/officeDocument/2006/relationships/hyperlink" Target="http://msn.com" TargetMode="External"/><Relationship Id="rId533" Type="http://schemas.openxmlformats.org/officeDocument/2006/relationships/hyperlink" Target="http://rollingstone.com" TargetMode="External"/><Relationship Id="rId654" Type="http://schemas.openxmlformats.org/officeDocument/2006/relationships/hyperlink" Target="http://weather.com" TargetMode="External"/><Relationship Id="rId419" Type="http://schemas.openxmlformats.org/officeDocument/2006/relationships/hyperlink" Target="http://msn.com" TargetMode="External"/><Relationship Id="rId418" Type="http://schemas.openxmlformats.org/officeDocument/2006/relationships/hyperlink" Target="http://msn.com" TargetMode="External"/><Relationship Id="rId539" Type="http://schemas.openxmlformats.org/officeDocument/2006/relationships/hyperlink" Target="http://sciencesensei.com" TargetMode="External"/><Relationship Id="rId417" Type="http://schemas.openxmlformats.org/officeDocument/2006/relationships/hyperlink" Target="http://msn.com" TargetMode="External"/><Relationship Id="rId538" Type="http://schemas.openxmlformats.org/officeDocument/2006/relationships/hyperlink" Target="http://sciencealert.com" TargetMode="External"/><Relationship Id="rId659" Type="http://schemas.openxmlformats.org/officeDocument/2006/relationships/hyperlink" Target="http://weather.com" TargetMode="External"/><Relationship Id="rId416" Type="http://schemas.openxmlformats.org/officeDocument/2006/relationships/hyperlink" Target="http://msn.com" TargetMode="External"/><Relationship Id="rId537" Type="http://schemas.openxmlformats.org/officeDocument/2006/relationships/hyperlink" Target="http://sallysbakingaddiction.com" TargetMode="External"/><Relationship Id="rId658" Type="http://schemas.openxmlformats.org/officeDocument/2006/relationships/hyperlink" Target="http://weather.com" TargetMode="External"/><Relationship Id="rId411" Type="http://schemas.openxmlformats.org/officeDocument/2006/relationships/hyperlink" Target="http://msn.com" TargetMode="External"/><Relationship Id="rId532" Type="http://schemas.openxmlformats.org/officeDocument/2006/relationships/hyperlink" Target="http://reuters.com" TargetMode="External"/><Relationship Id="rId653" Type="http://schemas.openxmlformats.org/officeDocument/2006/relationships/hyperlink" Target="http://weather.com" TargetMode="External"/><Relationship Id="rId410" Type="http://schemas.openxmlformats.org/officeDocument/2006/relationships/hyperlink" Target="http://msn.com" TargetMode="External"/><Relationship Id="rId531" Type="http://schemas.openxmlformats.org/officeDocument/2006/relationships/hyperlink" Target="http://reuters.com" TargetMode="External"/><Relationship Id="rId652" Type="http://schemas.openxmlformats.org/officeDocument/2006/relationships/hyperlink" Target="http://weather.com" TargetMode="External"/><Relationship Id="rId530" Type="http://schemas.openxmlformats.org/officeDocument/2006/relationships/hyperlink" Target="http://repairlinkshop.com" TargetMode="External"/><Relationship Id="rId651" Type="http://schemas.openxmlformats.org/officeDocument/2006/relationships/hyperlink" Target="http://weather.com" TargetMode="External"/><Relationship Id="rId650" Type="http://schemas.openxmlformats.org/officeDocument/2006/relationships/hyperlink" Target="http://weather.com" TargetMode="External"/><Relationship Id="rId206" Type="http://schemas.openxmlformats.org/officeDocument/2006/relationships/hyperlink" Target="http://essentiallysports.com" TargetMode="External"/><Relationship Id="rId327" Type="http://schemas.openxmlformats.org/officeDocument/2006/relationships/hyperlink" Target="http://mail.aol.com" TargetMode="External"/><Relationship Id="rId448" Type="http://schemas.openxmlformats.org/officeDocument/2006/relationships/hyperlink" Target="http://news.yahoo.com" TargetMode="External"/><Relationship Id="rId569" Type="http://schemas.openxmlformats.org/officeDocument/2006/relationships/hyperlink" Target="http://sportpirate.com" TargetMode="External"/><Relationship Id="rId205" Type="http://schemas.openxmlformats.org/officeDocument/2006/relationships/hyperlink" Target="http://essentiallysports.com" TargetMode="External"/><Relationship Id="rId326" Type="http://schemas.openxmlformats.org/officeDocument/2006/relationships/hyperlink" Target="http://mail.aol.com" TargetMode="External"/><Relationship Id="rId447" Type="http://schemas.openxmlformats.org/officeDocument/2006/relationships/hyperlink" Target="http://news.yahoo.com" TargetMode="External"/><Relationship Id="rId568" Type="http://schemas.openxmlformats.org/officeDocument/2006/relationships/hyperlink" Target="http://sporcle.com" TargetMode="External"/><Relationship Id="rId689" Type="http://schemas.openxmlformats.org/officeDocument/2006/relationships/hyperlink" Target="http://yahoo.com" TargetMode="External"/><Relationship Id="rId204" Type="http://schemas.openxmlformats.org/officeDocument/2006/relationships/hyperlink" Target="http://espn.com" TargetMode="External"/><Relationship Id="rId325" Type="http://schemas.openxmlformats.org/officeDocument/2006/relationships/hyperlink" Target="http://macrumors.com" TargetMode="External"/><Relationship Id="rId446" Type="http://schemas.openxmlformats.org/officeDocument/2006/relationships/hyperlink" Target="http://news.yahoo.com" TargetMode="External"/><Relationship Id="rId567" Type="http://schemas.openxmlformats.org/officeDocument/2006/relationships/hyperlink" Target="http://soaps.sheknows.com" TargetMode="External"/><Relationship Id="rId688" Type="http://schemas.openxmlformats.org/officeDocument/2006/relationships/hyperlink" Target="http://yahoo.com" TargetMode="External"/><Relationship Id="rId203" Type="http://schemas.openxmlformats.org/officeDocument/2006/relationships/hyperlink" Target="http://espn.com" TargetMode="External"/><Relationship Id="rId324" Type="http://schemas.openxmlformats.org/officeDocument/2006/relationships/hyperlink" Target="http://macrumors.com" TargetMode="External"/><Relationship Id="rId445" Type="http://schemas.openxmlformats.org/officeDocument/2006/relationships/hyperlink" Target="http://news.yahoo.com" TargetMode="External"/><Relationship Id="rId566" Type="http://schemas.openxmlformats.org/officeDocument/2006/relationships/hyperlink" Target="http://sneakertoast.com" TargetMode="External"/><Relationship Id="rId687" Type="http://schemas.openxmlformats.org/officeDocument/2006/relationships/hyperlink" Target="http://yahoo.com" TargetMode="External"/><Relationship Id="rId209" Type="http://schemas.openxmlformats.org/officeDocument/2006/relationships/hyperlink" Target="http://factable.com" TargetMode="External"/><Relationship Id="rId208" Type="http://schemas.openxmlformats.org/officeDocument/2006/relationships/hyperlink" Target="http://ew.com" TargetMode="External"/><Relationship Id="rId329" Type="http://schemas.openxmlformats.org/officeDocument/2006/relationships/hyperlink" Target="http://mail.aol.com" TargetMode="External"/><Relationship Id="rId207" Type="http://schemas.openxmlformats.org/officeDocument/2006/relationships/hyperlink" Target="http://evite.com" TargetMode="External"/><Relationship Id="rId328" Type="http://schemas.openxmlformats.org/officeDocument/2006/relationships/hyperlink" Target="http://mail.aol.com" TargetMode="External"/><Relationship Id="rId449" Type="http://schemas.openxmlformats.org/officeDocument/2006/relationships/hyperlink" Target="http://news.yahoo.com" TargetMode="External"/><Relationship Id="rId440" Type="http://schemas.openxmlformats.org/officeDocument/2006/relationships/hyperlink" Target="http://nbcnews.com" TargetMode="External"/><Relationship Id="rId561" Type="http://schemas.openxmlformats.org/officeDocument/2006/relationships/hyperlink" Target="http://slickdeals.net" TargetMode="External"/><Relationship Id="rId682" Type="http://schemas.openxmlformats.org/officeDocument/2006/relationships/hyperlink" Target="http://wunderground.com" TargetMode="External"/><Relationship Id="rId560" Type="http://schemas.openxmlformats.org/officeDocument/2006/relationships/hyperlink" Target="http://slickdeals.net" TargetMode="External"/><Relationship Id="rId681" Type="http://schemas.openxmlformats.org/officeDocument/2006/relationships/hyperlink" Target="http://wsvn.com" TargetMode="External"/><Relationship Id="rId680" Type="http://schemas.openxmlformats.org/officeDocument/2006/relationships/hyperlink" Target="http://wsmv.com" TargetMode="External"/><Relationship Id="rId202" Type="http://schemas.openxmlformats.org/officeDocument/2006/relationships/hyperlink" Target="http://eonline.com" TargetMode="External"/><Relationship Id="rId323" Type="http://schemas.openxmlformats.org/officeDocument/2006/relationships/hyperlink" Target="http://m.timesofindia.com" TargetMode="External"/><Relationship Id="rId444" Type="http://schemas.openxmlformats.org/officeDocument/2006/relationships/hyperlink" Target="http://nbcsports.com" TargetMode="External"/><Relationship Id="rId565" Type="http://schemas.openxmlformats.org/officeDocument/2006/relationships/hyperlink" Target="http://slickdeals.net" TargetMode="External"/><Relationship Id="rId686" Type="http://schemas.openxmlformats.org/officeDocument/2006/relationships/hyperlink" Target="http://yahoo.com" TargetMode="External"/><Relationship Id="rId201" Type="http://schemas.openxmlformats.org/officeDocument/2006/relationships/hyperlink" Target="http://eenadu.net" TargetMode="External"/><Relationship Id="rId322" Type="http://schemas.openxmlformats.org/officeDocument/2006/relationships/hyperlink" Target="http://m.timesofindia.com" TargetMode="External"/><Relationship Id="rId443" Type="http://schemas.openxmlformats.org/officeDocument/2006/relationships/hyperlink" Target="http://nbcnews.com" TargetMode="External"/><Relationship Id="rId564" Type="http://schemas.openxmlformats.org/officeDocument/2006/relationships/hyperlink" Target="http://slickdeals.net" TargetMode="External"/><Relationship Id="rId685" Type="http://schemas.openxmlformats.org/officeDocument/2006/relationships/hyperlink" Target="http://yahoo.com" TargetMode="External"/><Relationship Id="rId200" Type="http://schemas.openxmlformats.org/officeDocument/2006/relationships/hyperlink" Target="http://editorsnation.com" TargetMode="External"/><Relationship Id="rId321" Type="http://schemas.openxmlformats.org/officeDocument/2006/relationships/hyperlink" Target="http://m.timesofindia.com" TargetMode="External"/><Relationship Id="rId442" Type="http://schemas.openxmlformats.org/officeDocument/2006/relationships/hyperlink" Target="http://nbcnews.com" TargetMode="External"/><Relationship Id="rId563" Type="http://schemas.openxmlformats.org/officeDocument/2006/relationships/hyperlink" Target="http://slickdeals.net" TargetMode="External"/><Relationship Id="rId684" Type="http://schemas.openxmlformats.org/officeDocument/2006/relationships/hyperlink" Target="http://yachtworld.com" TargetMode="External"/><Relationship Id="rId320" Type="http://schemas.openxmlformats.org/officeDocument/2006/relationships/hyperlink" Target="http://lotterypost.com" TargetMode="External"/><Relationship Id="rId441" Type="http://schemas.openxmlformats.org/officeDocument/2006/relationships/hyperlink" Target="http://nbcnews.com" TargetMode="External"/><Relationship Id="rId562" Type="http://schemas.openxmlformats.org/officeDocument/2006/relationships/hyperlink" Target="http://slickdeals.net" TargetMode="External"/><Relationship Id="rId683" Type="http://schemas.openxmlformats.org/officeDocument/2006/relationships/hyperlink" Target="http://wunderground.com" TargetMode="External"/><Relationship Id="rId316" Type="http://schemas.openxmlformats.org/officeDocument/2006/relationships/hyperlink" Target="http://kiplinger.com" TargetMode="External"/><Relationship Id="rId437" Type="http://schemas.openxmlformats.org/officeDocument/2006/relationships/hyperlink" Target="http://nbcdfw.com" TargetMode="External"/><Relationship Id="rId558" Type="http://schemas.openxmlformats.org/officeDocument/2006/relationships/hyperlink" Target="http://slickdeals.net" TargetMode="External"/><Relationship Id="rId679" Type="http://schemas.openxmlformats.org/officeDocument/2006/relationships/hyperlink" Target="http://wsj.com" TargetMode="External"/><Relationship Id="rId315" Type="http://schemas.openxmlformats.org/officeDocument/2006/relationships/hyperlink" Target="http://kbb.com" TargetMode="External"/><Relationship Id="rId436" Type="http://schemas.openxmlformats.org/officeDocument/2006/relationships/hyperlink" Target="http://nbcchicago.com" TargetMode="External"/><Relationship Id="rId557" Type="http://schemas.openxmlformats.org/officeDocument/2006/relationships/hyperlink" Target="http://signupgenius.com" TargetMode="External"/><Relationship Id="rId678" Type="http://schemas.openxmlformats.org/officeDocument/2006/relationships/hyperlink" Target="http://wordunscrambler.me" TargetMode="External"/><Relationship Id="rId314" Type="http://schemas.openxmlformats.org/officeDocument/2006/relationships/hyperlink" Target="http://kbb.com" TargetMode="External"/><Relationship Id="rId435" Type="http://schemas.openxmlformats.org/officeDocument/2006/relationships/hyperlink" Target="http://nbcchicago.com" TargetMode="External"/><Relationship Id="rId556" Type="http://schemas.openxmlformats.org/officeDocument/2006/relationships/hyperlink" Target="http://signupgenius.com" TargetMode="External"/><Relationship Id="rId677" Type="http://schemas.openxmlformats.org/officeDocument/2006/relationships/hyperlink" Target="http://womenshealthmag.com" TargetMode="External"/><Relationship Id="rId313" Type="http://schemas.openxmlformats.org/officeDocument/2006/relationships/hyperlink" Target="http://kbb.com" TargetMode="External"/><Relationship Id="rId434" Type="http://schemas.openxmlformats.org/officeDocument/2006/relationships/hyperlink" Target="http://nba.com" TargetMode="External"/><Relationship Id="rId555" Type="http://schemas.openxmlformats.org/officeDocument/2006/relationships/hyperlink" Target="http://signupgenius.com" TargetMode="External"/><Relationship Id="rId676" Type="http://schemas.openxmlformats.org/officeDocument/2006/relationships/hyperlink" Target="http://wizofawes.com" TargetMode="External"/><Relationship Id="rId319" Type="http://schemas.openxmlformats.org/officeDocument/2006/relationships/hyperlink" Target="http://lotterypost.com" TargetMode="External"/><Relationship Id="rId318" Type="http://schemas.openxmlformats.org/officeDocument/2006/relationships/hyperlink" Target="http://livescience.com" TargetMode="External"/><Relationship Id="rId439" Type="http://schemas.openxmlformats.org/officeDocument/2006/relationships/hyperlink" Target="http://nbcnews.com" TargetMode="External"/><Relationship Id="rId317" Type="http://schemas.openxmlformats.org/officeDocument/2006/relationships/hyperlink" Target="http://lensvid.com" TargetMode="External"/><Relationship Id="rId438" Type="http://schemas.openxmlformats.org/officeDocument/2006/relationships/hyperlink" Target="http://nbcmiami.com" TargetMode="External"/><Relationship Id="rId559" Type="http://schemas.openxmlformats.org/officeDocument/2006/relationships/hyperlink" Target="http://slickdeals.net" TargetMode="External"/><Relationship Id="rId550" Type="http://schemas.openxmlformats.org/officeDocument/2006/relationships/hyperlink" Target="http://signin.ebay.com" TargetMode="External"/><Relationship Id="rId671" Type="http://schemas.openxmlformats.org/officeDocument/2006/relationships/hyperlink" Target="http://wikihow.com" TargetMode="External"/><Relationship Id="rId670" Type="http://schemas.openxmlformats.org/officeDocument/2006/relationships/hyperlink" Target="http://whatismyipaddress.com" TargetMode="External"/><Relationship Id="rId312" Type="http://schemas.openxmlformats.org/officeDocument/2006/relationships/hyperlink" Target="http://kbb.com" TargetMode="External"/><Relationship Id="rId433" Type="http://schemas.openxmlformats.org/officeDocument/2006/relationships/hyperlink" Target="http://myfitnesspal.com" TargetMode="External"/><Relationship Id="rId554" Type="http://schemas.openxmlformats.org/officeDocument/2006/relationships/hyperlink" Target="http://signupgenius.com" TargetMode="External"/><Relationship Id="rId675" Type="http://schemas.openxmlformats.org/officeDocument/2006/relationships/hyperlink" Target="http://wikihow.com" TargetMode="External"/><Relationship Id="rId311" Type="http://schemas.openxmlformats.org/officeDocument/2006/relationships/hyperlink" Target="http://kbb.com" TargetMode="External"/><Relationship Id="rId432" Type="http://schemas.openxmlformats.org/officeDocument/2006/relationships/hyperlink" Target="http://mydailymagazine.com" TargetMode="External"/><Relationship Id="rId553" Type="http://schemas.openxmlformats.org/officeDocument/2006/relationships/hyperlink" Target="http://signupgenius.com" TargetMode="External"/><Relationship Id="rId674" Type="http://schemas.openxmlformats.org/officeDocument/2006/relationships/hyperlink" Target="http://wikihow.com" TargetMode="External"/><Relationship Id="rId310" Type="http://schemas.openxmlformats.org/officeDocument/2006/relationships/hyperlink" Target="http://kbb.com" TargetMode="External"/><Relationship Id="rId431" Type="http://schemas.openxmlformats.org/officeDocument/2006/relationships/hyperlink" Target="http://my.yahoo.com" TargetMode="External"/><Relationship Id="rId552" Type="http://schemas.openxmlformats.org/officeDocument/2006/relationships/hyperlink" Target="http://signupgenius.com" TargetMode="External"/><Relationship Id="rId673" Type="http://schemas.openxmlformats.org/officeDocument/2006/relationships/hyperlink" Target="http://wikihow.com" TargetMode="External"/><Relationship Id="rId430" Type="http://schemas.openxmlformats.org/officeDocument/2006/relationships/hyperlink" Target="http://my.yahoo.com" TargetMode="External"/><Relationship Id="rId551" Type="http://schemas.openxmlformats.org/officeDocument/2006/relationships/hyperlink" Target="http://signin.ebay.com" TargetMode="External"/><Relationship Id="rId672" Type="http://schemas.openxmlformats.org/officeDocument/2006/relationships/hyperlink" Target="http://wikihow.com"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forbes.com" TargetMode="External"/><Relationship Id="rId194" Type="http://schemas.openxmlformats.org/officeDocument/2006/relationships/hyperlink" Target="http://forbes.com" TargetMode="External"/><Relationship Id="rId193" Type="http://schemas.openxmlformats.org/officeDocument/2006/relationships/hyperlink" Target="http://forbes.com" TargetMode="External"/><Relationship Id="rId192" Type="http://schemas.openxmlformats.org/officeDocument/2006/relationships/hyperlink" Target="http://forbes.com" TargetMode="External"/><Relationship Id="rId191" Type="http://schemas.openxmlformats.org/officeDocument/2006/relationships/hyperlink" Target="http://forbes.com" TargetMode="External"/><Relationship Id="rId187" Type="http://schemas.openxmlformats.org/officeDocument/2006/relationships/hyperlink" Target="http://flightaware.com" TargetMode="External"/><Relationship Id="rId186" Type="http://schemas.openxmlformats.org/officeDocument/2006/relationships/hyperlink" Target="http://flightaware.com" TargetMode="External"/><Relationship Id="rId185" Type="http://schemas.openxmlformats.org/officeDocument/2006/relationships/hyperlink" Target="http://flightaware.com" TargetMode="External"/><Relationship Id="rId184" Type="http://schemas.openxmlformats.org/officeDocument/2006/relationships/hyperlink" Target="http://firstcoastnews.com" TargetMode="External"/><Relationship Id="rId189" Type="http://schemas.openxmlformats.org/officeDocument/2006/relationships/hyperlink" Target="http://forbes.com" TargetMode="External"/><Relationship Id="rId188" Type="http://schemas.openxmlformats.org/officeDocument/2006/relationships/hyperlink" Target="http://forbes.com" TargetMode="External"/><Relationship Id="rId183" Type="http://schemas.openxmlformats.org/officeDocument/2006/relationships/hyperlink" Target="http://finviz.com" TargetMode="External"/><Relationship Id="rId182" Type="http://schemas.openxmlformats.org/officeDocument/2006/relationships/hyperlink" Target="http://findagrave.com" TargetMode="External"/><Relationship Id="rId181" Type="http://schemas.openxmlformats.org/officeDocument/2006/relationships/hyperlink" Target="http://findagrave.com" TargetMode="External"/><Relationship Id="rId180" Type="http://schemas.openxmlformats.org/officeDocument/2006/relationships/hyperlink" Target="http://finance.yahoo.com" TargetMode="External"/><Relationship Id="rId176" Type="http://schemas.openxmlformats.org/officeDocument/2006/relationships/hyperlink" Target="http://finance.yahoo.com" TargetMode="External"/><Relationship Id="rId297" Type="http://schemas.openxmlformats.org/officeDocument/2006/relationships/hyperlink" Target="http://mapquest.com" TargetMode="External"/><Relationship Id="rId175" Type="http://schemas.openxmlformats.org/officeDocument/2006/relationships/hyperlink" Target="http://finance.yahoo.com" TargetMode="External"/><Relationship Id="rId296" Type="http://schemas.openxmlformats.org/officeDocument/2006/relationships/hyperlink" Target="http://mapquest.com" TargetMode="External"/><Relationship Id="rId174" Type="http://schemas.openxmlformats.org/officeDocument/2006/relationships/hyperlink" Target="http://finance.yahoo.com" TargetMode="External"/><Relationship Id="rId295" Type="http://schemas.openxmlformats.org/officeDocument/2006/relationships/hyperlink" Target="http://mapquest.com" TargetMode="External"/><Relationship Id="rId173" Type="http://schemas.openxmlformats.org/officeDocument/2006/relationships/hyperlink" Target="http://finance.yahoo.com" TargetMode="External"/><Relationship Id="rId294" Type="http://schemas.openxmlformats.org/officeDocument/2006/relationships/hyperlink" Target="http://mail.yahoo.com" TargetMode="External"/><Relationship Id="rId179" Type="http://schemas.openxmlformats.org/officeDocument/2006/relationships/hyperlink" Target="http://finance.yahoo.com" TargetMode="External"/><Relationship Id="rId178" Type="http://schemas.openxmlformats.org/officeDocument/2006/relationships/hyperlink" Target="http://finance.yahoo.com" TargetMode="External"/><Relationship Id="rId299" Type="http://schemas.openxmlformats.org/officeDocument/2006/relationships/hyperlink" Target="http://marca.com" TargetMode="External"/><Relationship Id="rId177" Type="http://schemas.openxmlformats.org/officeDocument/2006/relationships/hyperlink" Target="http://finance.yahoo.com" TargetMode="External"/><Relationship Id="rId298" Type="http://schemas.openxmlformats.org/officeDocument/2006/relationships/hyperlink" Target="http://marca.com" TargetMode="External"/><Relationship Id="rId198" Type="http://schemas.openxmlformats.org/officeDocument/2006/relationships/hyperlink" Target="http://fortune.com" TargetMode="External"/><Relationship Id="rId197" Type="http://schemas.openxmlformats.org/officeDocument/2006/relationships/hyperlink" Target="http://forbes.com" TargetMode="External"/><Relationship Id="rId196" Type="http://schemas.openxmlformats.org/officeDocument/2006/relationships/hyperlink" Target="http://forbes.com" TargetMode="External"/><Relationship Id="rId195" Type="http://schemas.openxmlformats.org/officeDocument/2006/relationships/hyperlink" Target="http://forbes.com" TargetMode="External"/><Relationship Id="rId199" Type="http://schemas.openxmlformats.org/officeDocument/2006/relationships/hyperlink" Target="http://fox59.com" TargetMode="External"/><Relationship Id="rId150" Type="http://schemas.openxmlformats.org/officeDocument/2006/relationships/hyperlink" Target="http://ebay.com" TargetMode="External"/><Relationship Id="rId271" Type="http://schemas.openxmlformats.org/officeDocument/2006/relationships/hyperlink" Target="http://mail.yahoo.com" TargetMode="External"/><Relationship Id="rId392" Type="http://schemas.openxmlformats.org/officeDocument/2006/relationships/hyperlink" Target="http://pandora.com" TargetMode="External"/><Relationship Id="rId270" Type="http://schemas.openxmlformats.org/officeDocument/2006/relationships/hyperlink" Target="http://mail.aol.com" TargetMode="External"/><Relationship Id="rId391" Type="http://schemas.openxmlformats.org/officeDocument/2006/relationships/hyperlink" Target="http://pandora.com" TargetMode="External"/><Relationship Id="rId390" Type="http://schemas.openxmlformats.org/officeDocument/2006/relationships/hyperlink" Target="http://outlook.live.com" TargetMode="External"/><Relationship Id="rId1" Type="http://schemas.openxmlformats.org/officeDocument/2006/relationships/hyperlink" Target="http://accuweather.com" TargetMode="External"/><Relationship Id="rId2" Type="http://schemas.openxmlformats.org/officeDocument/2006/relationships/hyperlink" Target="http://accuweather.com" TargetMode="External"/><Relationship Id="rId3" Type="http://schemas.openxmlformats.org/officeDocument/2006/relationships/hyperlink" Target="http://accuweather.com" TargetMode="External"/><Relationship Id="rId149" Type="http://schemas.openxmlformats.org/officeDocument/2006/relationships/hyperlink" Target="http://ebay.com" TargetMode="External"/><Relationship Id="rId4" Type="http://schemas.openxmlformats.org/officeDocument/2006/relationships/hyperlink" Target="http://accuweather.com" TargetMode="External"/><Relationship Id="rId148" Type="http://schemas.openxmlformats.org/officeDocument/2006/relationships/hyperlink" Target="http://ebay.com" TargetMode="External"/><Relationship Id="rId269" Type="http://schemas.openxmlformats.org/officeDocument/2006/relationships/hyperlink" Target="http://mail.aol.com" TargetMode="External"/><Relationship Id="rId9" Type="http://schemas.openxmlformats.org/officeDocument/2006/relationships/hyperlink" Target="http://accuweather.com" TargetMode="External"/><Relationship Id="rId143" Type="http://schemas.openxmlformats.org/officeDocument/2006/relationships/hyperlink" Target="http://ebay.com" TargetMode="External"/><Relationship Id="rId264" Type="http://schemas.openxmlformats.org/officeDocument/2006/relationships/hyperlink" Target="http://mail.aol.com" TargetMode="External"/><Relationship Id="rId385" Type="http://schemas.openxmlformats.org/officeDocument/2006/relationships/hyperlink" Target="http://outlook.live.com" TargetMode="External"/><Relationship Id="rId142" Type="http://schemas.openxmlformats.org/officeDocument/2006/relationships/hyperlink" Target="http://ebay.com" TargetMode="External"/><Relationship Id="rId263" Type="http://schemas.openxmlformats.org/officeDocument/2006/relationships/hyperlink" Target="http://mail.aol.com" TargetMode="External"/><Relationship Id="rId384" Type="http://schemas.openxmlformats.org/officeDocument/2006/relationships/hyperlink" Target="http://outlook.live.com" TargetMode="External"/><Relationship Id="rId141" Type="http://schemas.openxmlformats.org/officeDocument/2006/relationships/hyperlink" Target="http://ebay.com" TargetMode="External"/><Relationship Id="rId262" Type="http://schemas.openxmlformats.org/officeDocument/2006/relationships/hyperlink" Target="http://mail.aol.com" TargetMode="External"/><Relationship Id="rId383" Type="http://schemas.openxmlformats.org/officeDocument/2006/relationships/hyperlink" Target="http://outlook.live.com" TargetMode="External"/><Relationship Id="rId140" Type="http://schemas.openxmlformats.org/officeDocument/2006/relationships/hyperlink" Target="http://ebay.com" TargetMode="External"/><Relationship Id="rId261" Type="http://schemas.openxmlformats.org/officeDocument/2006/relationships/hyperlink" Target="http://mail.aol.com" TargetMode="External"/><Relationship Id="rId382" Type="http://schemas.openxmlformats.org/officeDocument/2006/relationships/hyperlink" Target="http://outlook.live.com" TargetMode="External"/><Relationship Id="rId5" Type="http://schemas.openxmlformats.org/officeDocument/2006/relationships/hyperlink" Target="http://accuweather.com" TargetMode="External"/><Relationship Id="rId147" Type="http://schemas.openxmlformats.org/officeDocument/2006/relationships/hyperlink" Target="http://ebay.com" TargetMode="External"/><Relationship Id="rId268" Type="http://schemas.openxmlformats.org/officeDocument/2006/relationships/hyperlink" Target="http://mail.aol.com" TargetMode="External"/><Relationship Id="rId389" Type="http://schemas.openxmlformats.org/officeDocument/2006/relationships/hyperlink" Target="http://outlook.live.com" TargetMode="External"/><Relationship Id="rId6" Type="http://schemas.openxmlformats.org/officeDocument/2006/relationships/hyperlink" Target="http://accuweather.com" TargetMode="External"/><Relationship Id="rId146" Type="http://schemas.openxmlformats.org/officeDocument/2006/relationships/hyperlink" Target="http://ebay.com" TargetMode="External"/><Relationship Id="rId267" Type="http://schemas.openxmlformats.org/officeDocument/2006/relationships/hyperlink" Target="http://mail.aol.com" TargetMode="External"/><Relationship Id="rId388" Type="http://schemas.openxmlformats.org/officeDocument/2006/relationships/hyperlink" Target="http://outlook.live.com" TargetMode="External"/><Relationship Id="rId7" Type="http://schemas.openxmlformats.org/officeDocument/2006/relationships/hyperlink" Target="http://accuweather.com" TargetMode="External"/><Relationship Id="rId145" Type="http://schemas.openxmlformats.org/officeDocument/2006/relationships/hyperlink" Target="http://ebay.com" TargetMode="External"/><Relationship Id="rId266" Type="http://schemas.openxmlformats.org/officeDocument/2006/relationships/hyperlink" Target="http://mail.aol.com" TargetMode="External"/><Relationship Id="rId387" Type="http://schemas.openxmlformats.org/officeDocument/2006/relationships/hyperlink" Target="http://outlook.live.com" TargetMode="External"/><Relationship Id="rId8" Type="http://schemas.openxmlformats.org/officeDocument/2006/relationships/hyperlink" Target="http://accuweather.com" TargetMode="External"/><Relationship Id="rId144" Type="http://schemas.openxmlformats.org/officeDocument/2006/relationships/hyperlink" Target="http://ebay.com" TargetMode="External"/><Relationship Id="rId265" Type="http://schemas.openxmlformats.org/officeDocument/2006/relationships/hyperlink" Target="http://mail.aol.com" TargetMode="External"/><Relationship Id="rId386" Type="http://schemas.openxmlformats.org/officeDocument/2006/relationships/hyperlink" Target="http://outlook.live.com" TargetMode="External"/><Relationship Id="rId260" Type="http://schemas.openxmlformats.org/officeDocument/2006/relationships/hyperlink" Target="http://mail.aol.com" TargetMode="External"/><Relationship Id="rId381" Type="http://schemas.openxmlformats.org/officeDocument/2006/relationships/hyperlink" Target="http://outlook.live.com" TargetMode="External"/><Relationship Id="rId380" Type="http://schemas.openxmlformats.org/officeDocument/2006/relationships/hyperlink" Target="http://outlook.live.com" TargetMode="External"/><Relationship Id="rId139" Type="http://schemas.openxmlformats.org/officeDocument/2006/relationships/hyperlink" Target="http://ebay.com" TargetMode="External"/><Relationship Id="rId138" Type="http://schemas.openxmlformats.org/officeDocument/2006/relationships/hyperlink" Target="http://ebay.com" TargetMode="External"/><Relationship Id="rId259" Type="http://schemas.openxmlformats.org/officeDocument/2006/relationships/hyperlink" Target="http://mail.aol.com" TargetMode="External"/><Relationship Id="rId137" Type="http://schemas.openxmlformats.org/officeDocument/2006/relationships/hyperlink" Target="http://ebay.com" TargetMode="External"/><Relationship Id="rId258" Type="http://schemas.openxmlformats.org/officeDocument/2006/relationships/hyperlink" Target="http://mail.aol.com" TargetMode="External"/><Relationship Id="rId379" Type="http://schemas.openxmlformats.org/officeDocument/2006/relationships/hyperlink" Target="http://onechicagocenter.com" TargetMode="External"/><Relationship Id="rId132" Type="http://schemas.openxmlformats.org/officeDocument/2006/relationships/hyperlink" Target="http://drugs.com" TargetMode="External"/><Relationship Id="rId253" Type="http://schemas.openxmlformats.org/officeDocument/2006/relationships/hyperlink" Target="http://m.timesofindia.com" TargetMode="External"/><Relationship Id="rId374" Type="http://schemas.openxmlformats.org/officeDocument/2006/relationships/hyperlink" Target="http://nypost.com" TargetMode="External"/><Relationship Id="rId495" Type="http://schemas.openxmlformats.org/officeDocument/2006/relationships/hyperlink" Target="http://w3schools.com" TargetMode="External"/><Relationship Id="rId131" Type="http://schemas.openxmlformats.org/officeDocument/2006/relationships/hyperlink" Target="http://drugs.com" TargetMode="External"/><Relationship Id="rId252" Type="http://schemas.openxmlformats.org/officeDocument/2006/relationships/hyperlink" Target="http://lotterypost.com" TargetMode="External"/><Relationship Id="rId373" Type="http://schemas.openxmlformats.org/officeDocument/2006/relationships/hyperlink" Target="http://nypost.com" TargetMode="External"/><Relationship Id="rId494" Type="http://schemas.openxmlformats.org/officeDocument/2006/relationships/hyperlink" Target="http://w3schools.com" TargetMode="External"/><Relationship Id="rId130" Type="http://schemas.openxmlformats.org/officeDocument/2006/relationships/hyperlink" Target="http://drugs.com" TargetMode="External"/><Relationship Id="rId251" Type="http://schemas.openxmlformats.org/officeDocument/2006/relationships/hyperlink" Target="http://lotterypost.com" TargetMode="External"/><Relationship Id="rId372" Type="http://schemas.openxmlformats.org/officeDocument/2006/relationships/hyperlink" Target="http://nypost.com" TargetMode="External"/><Relationship Id="rId493" Type="http://schemas.openxmlformats.org/officeDocument/2006/relationships/hyperlink" Target="http://w3schools.com" TargetMode="External"/><Relationship Id="rId250" Type="http://schemas.openxmlformats.org/officeDocument/2006/relationships/hyperlink" Target="http://livescience.com" TargetMode="External"/><Relationship Id="rId371" Type="http://schemas.openxmlformats.org/officeDocument/2006/relationships/hyperlink" Target="http://nypost.com" TargetMode="External"/><Relationship Id="rId492" Type="http://schemas.openxmlformats.org/officeDocument/2006/relationships/hyperlink" Target="http://usssa.com" TargetMode="External"/><Relationship Id="rId136" Type="http://schemas.openxmlformats.org/officeDocument/2006/relationships/hyperlink" Target="http://ebay.com" TargetMode="External"/><Relationship Id="rId257" Type="http://schemas.openxmlformats.org/officeDocument/2006/relationships/hyperlink" Target="http://mail.aol.com" TargetMode="External"/><Relationship Id="rId378" Type="http://schemas.openxmlformats.org/officeDocument/2006/relationships/hyperlink" Target="http://omnicalculator.com" TargetMode="External"/><Relationship Id="rId499" Type="http://schemas.openxmlformats.org/officeDocument/2006/relationships/hyperlink" Target="http://weather.com" TargetMode="External"/><Relationship Id="rId135" Type="http://schemas.openxmlformats.org/officeDocument/2006/relationships/hyperlink" Target="http://ebay.com" TargetMode="External"/><Relationship Id="rId256" Type="http://schemas.openxmlformats.org/officeDocument/2006/relationships/hyperlink" Target="http://macrumors.com" TargetMode="External"/><Relationship Id="rId377" Type="http://schemas.openxmlformats.org/officeDocument/2006/relationships/hyperlink" Target="http://omnicalculator.com" TargetMode="External"/><Relationship Id="rId498" Type="http://schemas.openxmlformats.org/officeDocument/2006/relationships/hyperlink" Target="http://weather.com" TargetMode="External"/><Relationship Id="rId134" Type="http://schemas.openxmlformats.org/officeDocument/2006/relationships/hyperlink" Target="http://ebay.com" TargetMode="External"/><Relationship Id="rId255" Type="http://schemas.openxmlformats.org/officeDocument/2006/relationships/hyperlink" Target="http://macrumors.com" TargetMode="External"/><Relationship Id="rId376" Type="http://schemas.openxmlformats.org/officeDocument/2006/relationships/hyperlink" Target="http://nytimes.com" TargetMode="External"/><Relationship Id="rId497" Type="http://schemas.openxmlformats.org/officeDocument/2006/relationships/hyperlink" Target="http://weather.com" TargetMode="External"/><Relationship Id="rId133" Type="http://schemas.openxmlformats.org/officeDocument/2006/relationships/hyperlink" Target="http://ebay.com" TargetMode="External"/><Relationship Id="rId254" Type="http://schemas.openxmlformats.org/officeDocument/2006/relationships/hyperlink" Target="http://m.timesofindia.com" TargetMode="External"/><Relationship Id="rId375" Type="http://schemas.openxmlformats.org/officeDocument/2006/relationships/hyperlink" Target="http://nytimes.com" TargetMode="External"/><Relationship Id="rId496" Type="http://schemas.openxmlformats.org/officeDocument/2006/relationships/hyperlink" Target="http://washingtonpost.com" TargetMode="External"/><Relationship Id="rId172" Type="http://schemas.openxmlformats.org/officeDocument/2006/relationships/hyperlink" Target="http://finance.yahoo.com" TargetMode="External"/><Relationship Id="rId293" Type="http://schemas.openxmlformats.org/officeDocument/2006/relationships/hyperlink" Target="http://mail.yahoo.com" TargetMode="External"/><Relationship Id="rId171" Type="http://schemas.openxmlformats.org/officeDocument/2006/relationships/hyperlink" Target="http://femanin.com" TargetMode="External"/><Relationship Id="rId292" Type="http://schemas.openxmlformats.org/officeDocument/2006/relationships/hyperlink" Target="http://mail.yahoo.com" TargetMode="External"/><Relationship Id="rId170" Type="http://schemas.openxmlformats.org/officeDocument/2006/relationships/hyperlink" Target="http://femanin.com" TargetMode="External"/><Relationship Id="rId291" Type="http://schemas.openxmlformats.org/officeDocument/2006/relationships/hyperlink" Target="http://mail.yahoo.com" TargetMode="External"/><Relationship Id="rId290" Type="http://schemas.openxmlformats.org/officeDocument/2006/relationships/hyperlink" Target="http://mail.yahoo.com" TargetMode="External"/><Relationship Id="rId165" Type="http://schemas.openxmlformats.org/officeDocument/2006/relationships/hyperlink" Target="http://factable.com" TargetMode="External"/><Relationship Id="rId286" Type="http://schemas.openxmlformats.org/officeDocument/2006/relationships/hyperlink" Target="http://mail.yahoo.com" TargetMode="External"/><Relationship Id="rId164" Type="http://schemas.openxmlformats.org/officeDocument/2006/relationships/hyperlink" Target="http://ew.com" TargetMode="External"/><Relationship Id="rId285" Type="http://schemas.openxmlformats.org/officeDocument/2006/relationships/hyperlink" Target="http://mail.yahoo.com" TargetMode="External"/><Relationship Id="rId163" Type="http://schemas.openxmlformats.org/officeDocument/2006/relationships/hyperlink" Target="http://essentiallysports.com" TargetMode="External"/><Relationship Id="rId284" Type="http://schemas.openxmlformats.org/officeDocument/2006/relationships/hyperlink" Target="http://mail.yahoo.com" TargetMode="External"/><Relationship Id="rId162" Type="http://schemas.openxmlformats.org/officeDocument/2006/relationships/hyperlink" Target="http://essentiallysports.com" TargetMode="External"/><Relationship Id="rId283" Type="http://schemas.openxmlformats.org/officeDocument/2006/relationships/hyperlink" Target="http://mail.yahoo.com" TargetMode="External"/><Relationship Id="rId169" Type="http://schemas.openxmlformats.org/officeDocument/2006/relationships/hyperlink" Target="http://fandomwire.com" TargetMode="External"/><Relationship Id="rId168" Type="http://schemas.openxmlformats.org/officeDocument/2006/relationships/hyperlink" Target="http://fandom.com" TargetMode="External"/><Relationship Id="rId289" Type="http://schemas.openxmlformats.org/officeDocument/2006/relationships/hyperlink" Target="http://mail.yahoo.com" TargetMode="External"/><Relationship Id="rId167" Type="http://schemas.openxmlformats.org/officeDocument/2006/relationships/hyperlink" Target="http://fandom.com" TargetMode="External"/><Relationship Id="rId288" Type="http://schemas.openxmlformats.org/officeDocument/2006/relationships/hyperlink" Target="http://mail.yahoo.com" TargetMode="External"/><Relationship Id="rId166" Type="http://schemas.openxmlformats.org/officeDocument/2006/relationships/hyperlink" Target="http://fandom.com" TargetMode="External"/><Relationship Id="rId287" Type="http://schemas.openxmlformats.org/officeDocument/2006/relationships/hyperlink" Target="http://mail.yahoo.com" TargetMode="External"/><Relationship Id="rId161" Type="http://schemas.openxmlformats.org/officeDocument/2006/relationships/hyperlink" Target="http://espn.com" TargetMode="External"/><Relationship Id="rId282" Type="http://schemas.openxmlformats.org/officeDocument/2006/relationships/hyperlink" Target="http://mail.yahoo.com" TargetMode="External"/><Relationship Id="rId160" Type="http://schemas.openxmlformats.org/officeDocument/2006/relationships/hyperlink" Target="http://espn.com" TargetMode="External"/><Relationship Id="rId281" Type="http://schemas.openxmlformats.org/officeDocument/2006/relationships/hyperlink" Target="http://mail.yahoo.com" TargetMode="External"/><Relationship Id="rId280" Type="http://schemas.openxmlformats.org/officeDocument/2006/relationships/hyperlink" Target="http://mail.yahoo.com" TargetMode="External"/><Relationship Id="rId159" Type="http://schemas.openxmlformats.org/officeDocument/2006/relationships/hyperlink" Target="http://eonline.com" TargetMode="External"/><Relationship Id="rId154" Type="http://schemas.openxmlformats.org/officeDocument/2006/relationships/hyperlink" Target="http://ebay.com" TargetMode="External"/><Relationship Id="rId275" Type="http://schemas.openxmlformats.org/officeDocument/2006/relationships/hyperlink" Target="http://mail.yahoo.com" TargetMode="External"/><Relationship Id="rId396" Type="http://schemas.openxmlformats.org/officeDocument/2006/relationships/hyperlink" Target="http://people.com" TargetMode="External"/><Relationship Id="rId153" Type="http://schemas.openxmlformats.org/officeDocument/2006/relationships/hyperlink" Target="http://ebay.com" TargetMode="External"/><Relationship Id="rId274" Type="http://schemas.openxmlformats.org/officeDocument/2006/relationships/hyperlink" Target="http://mail.yahoo.com" TargetMode="External"/><Relationship Id="rId395" Type="http://schemas.openxmlformats.org/officeDocument/2006/relationships/hyperlink" Target="http://people.com" TargetMode="External"/><Relationship Id="rId152" Type="http://schemas.openxmlformats.org/officeDocument/2006/relationships/hyperlink" Target="http://ebay.com" TargetMode="External"/><Relationship Id="rId273" Type="http://schemas.openxmlformats.org/officeDocument/2006/relationships/hyperlink" Target="http://mail.yahoo.com" TargetMode="External"/><Relationship Id="rId394" Type="http://schemas.openxmlformats.org/officeDocument/2006/relationships/hyperlink" Target="http://people.com" TargetMode="External"/><Relationship Id="rId151" Type="http://schemas.openxmlformats.org/officeDocument/2006/relationships/hyperlink" Target="http://ebay.com" TargetMode="External"/><Relationship Id="rId272" Type="http://schemas.openxmlformats.org/officeDocument/2006/relationships/hyperlink" Target="http://mail.yahoo.com" TargetMode="External"/><Relationship Id="rId393" Type="http://schemas.openxmlformats.org/officeDocument/2006/relationships/hyperlink" Target="http://pandora.com" TargetMode="External"/><Relationship Id="rId158" Type="http://schemas.openxmlformats.org/officeDocument/2006/relationships/hyperlink" Target="http://eenadu.net" TargetMode="External"/><Relationship Id="rId279" Type="http://schemas.openxmlformats.org/officeDocument/2006/relationships/hyperlink" Target="http://mail.yahoo.com" TargetMode="External"/><Relationship Id="rId157" Type="http://schemas.openxmlformats.org/officeDocument/2006/relationships/hyperlink" Target="http://editorsnation.com" TargetMode="External"/><Relationship Id="rId278" Type="http://schemas.openxmlformats.org/officeDocument/2006/relationships/hyperlink" Target="http://mail.yahoo.com" TargetMode="External"/><Relationship Id="rId399" Type="http://schemas.openxmlformats.org/officeDocument/2006/relationships/hyperlink" Target="http://phys.org" TargetMode="External"/><Relationship Id="rId156" Type="http://schemas.openxmlformats.org/officeDocument/2006/relationships/hyperlink" Target="http://ebay.com" TargetMode="External"/><Relationship Id="rId277" Type="http://schemas.openxmlformats.org/officeDocument/2006/relationships/hyperlink" Target="http://mail.yahoo.com" TargetMode="External"/><Relationship Id="rId398" Type="http://schemas.openxmlformats.org/officeDocument/2006/relationships/hyperlink" Target="http://people.com" TargetMode="External"/><Relationship Id="rId155" Type="http://schemas.openxmlformats.org/officeDocument/2006/relationships/hyperlink" Target="http://ebay.com" TargetMode="External"/><Relationship Id="rId276" Type="http://schemas.openxmlformats.org/officeDocument/2006/relationships/hyperlink" Target="http://mail.yahoo.com" TargetMode="External"/><Relationship Id="rId397" Type="http://schemas.openxmlformats.org/officeDocument/2006/relationships/hyperlink" Target="http://people.com" TargetMode="External"/><Relationship Id="rId40" Type="http://schemas.openxmlformats.org/officeDocument/2006/relationships/hyperlink" Target="http://biblegateway.com" TargetMode="External"/><Relationship Id="rId42" Type="http://schemas.openxmlformats.org/officeDocument/2006/relationships/hyperlink" Target="http://biblegateway.com" TargetMode="External"/><Relationship Id="rId41" Type="http://schemas.openxmlformats.org/officeDocument/2006/relationships/hyperlink" Target="http://biblegateway.com" TargetMode="External"/><Relationship Id="rId44" Type="http://schemas.openxmlformats.org/officeDocument/2006/relationships/hyperlink" Target="http://biblegateway.com" TargetMode="External"/><Relationship Id="rId43" Type="http://schemas.openxmlformats.org/officeDocument/2006/relationships/hyperlink" Target="http://biblegateway.com" TargetMode="External"/><Relationship Id="rId46" Type="http://schemas.openxmlformats.org/officeDocument/2006/relationships/hyperlink" Target="http://biblegateway.com" TargetMode="External"/><Relationship Id="rId45" Type="http://schemas.openxmlformats.org/officeDocument/2006/relationships/hyperlink" Target="http://biblegateway.com" TargetMode="External"/><Relationship Id="rId509" Type="http://schemas.openxmlformats.org/officeDocument/2006/relationships/hyperlink" Target="http://weather.com" TargetMode="External"/><Relationship Id="rId508" Type="http://schemas.openxmlformats.org/officeDocument/2006/relationships/hyperlink" Target="http://weather.com" TargetMode="External"/><Relationship Id="rId503" Type="http://schemas.openxmlformats.org/officeDocument/2006/relationships/hyperlink" Target="http://weather.com" TargetMode="External"/><Relationship Id="rId502" Type="http://schemas.openxmlformats.org/officeDocument/2006/relationships/hyperlink" Target="http://weather.com" TargetMode="External"/><Relationship Id="rId501" Type="http://schemas.openxmlformats.org/officeDocument/2006/relationships/hyperlink" Target="http://weather.com" TargetMode="External"/><Relationship Id="rId500" Type="http://schemas.openxmlformats.org/officeDocument/2006/relationships/hyperlink" Target="http://weather.com" TargetMode="External"/><Relationship Id="rId507" Type="http://schemas.openxmlformats.org/officeDocument/2006/relationships/hyperlink" Target="http://weather.com" TargetMode="External"/><Relationship Id="rId506" Type="http://schemas.openxmlformats.org/officeDocument/2006/relationships/hyperlink" Target="http://weather.com" TargetMode="External"/><Relationship Id="rId505" Type="http://schemas.openxmlformats.org/officeDocument/2006/relationships/hyperlink" Target="http://weather.com" TargetMode="External"/><Relationship Id="rId504" Type="http://schemas.openxmlformats.org/officeDocument/2006/relationships/hyperlink" Target="http://weather.com" TargetMode="External"/><Relationship Id="rId48" Type="http://schemas.openxmlformats.org/officeDocument/2006/relationships/hyperlink" Target="http://biblegateway.com" TargetMode="External"/><Relationship Id="rId47" Type="http://schemas.openxmlformats.org/officeDocument/2006/relationships/hyperlink" Target="http://biblegateway.com" TargetMode="External"/><Relationship Id="rId49" Type="http://schemas.openxmlformats.org/officeDocument/2006/relationships/hyperlink" Target="http://biblestudytools.com" TargetMode="External"/><Relationship Id="rId31" Type="http://schemas.openxmlformats.org/officeDocument/2006/relationships/hyperlink" Target="http://a-z-animals.com" TargetMode="External"/><Relationship Id="rId30" Type="http://schemas.openxmlformats.org/officeDocument/2006/relationships/hyperlink" Target="http://autotrader.com" TargetMode="External"/><Relationship Id="rId33" Type="http://schemas.openxmlformats.org/officeDocument/2006/relationships/hyperlink" Target="http://bbc.com" TargetMode="External"/><Relationship Id="rId32" Type="http://schemas.openxmlformats.org/officeDocument/2006/relationships/hyperlink" Target="http://baseball-reference.com" TargetMode="External"/><Relationship Id="rId35" Type="http://schemas.openxmlformats.org/officeDocument/2006/relationships/hyperlink" Target="http://bbc.com" TargetMode="External"/><Relationship Id="rId34" Type="http://schemas.openxmlformats.org/officeDocument/2006/relationships/hyperlink" Target="http://bbc.com" TargetMode="External"/><Relationship Id="rId37" Type="http://schemas.openxmlformats.org/officeDocument/2006/relationships/hyperlink" Target="http://bestbuy.com" TargetMode="External"/><Relationship Id="rId36" Type="http://schemas.openxmlformats.org/officeDocument/2006/relationships/hyperlink" Target="http://behindthevoiceactors.com" TargetMode="External"/><Relationship Id="rId39" Type="http://schemas.openxmlformats.org/officeDocument/2006/relationships/hyperlink" Target="http://biblegateway.com" TargetMode="External"/><Relationship Id="rId38" Type="http://schemas.openxmlformats.org/officeDocument/2006/relationships/hyperlink" Target="http://biblegateway.com" TargetMode="External"/><Relationship Id="rId20" Type="http://schemas.openxmlformats.org/officeDocument/2006/relationships/hyperlink" Target="http://androidauthority.com" TargetMode="External"/><Relationship Id="rId22" Type="http://schemas.openxmlformats.org/officeDocument/2006/relationships/hyperlink" Target="http://aol.com" TargetMode="External"/><Relationship Id="rId21" Type="http://schemas.openxmlformats.org/officeDocument/2006/relationships/hyperlink" Target="http://aol.com" TargetMode="External"/><Relationship Id="rId24" Type="http://schemas.openxmlformats.org/officeDocument/2006/relationships/hyperlink" Target="http://apnews.com" TargetMode="External"/><Relationship Id="rId23" Type="http://schemas.openxmlformats.org/officeDocument/2006/relationships/hyperlink" Target="http://apnews.com" TargetMode="External"/><Relationship Id="rId409" Type="http://schemas.openxmlformats.org/officeDocument/2006/relationships/hyperlink" Target="http://realtor.com" TargetMode="External"/><Relationship Id="rId404" Type="http://schemas.openxmlformats.org/officeDocument/2006/relationships/hyperlink" Target="http://realtor.com" TargetMode="External"/><Relationship Id="rId525" Type="http://schemas.openxmlformats.org/officeDocument/2006/relationships/hyperlink" Target="http://weather.com" TargetMode="External"/><Relationship Id="rId403" Type="http://schemas.openxmlformats.org/officeDocument/2006/relationships/hyperlink" Target="http://ranker.com" TargetMode="External"/><Relationship Id="rId524" Type="http://schemas.openxmlformats.org/officeDocument/2006/relationships/hyperlink" Target="http://weather.com" TargetMode="External"/><Relationship Id="rId402" Type="http://schemas.openxmlformats.org/officeDocument/2006/relationships/hyperlink" Target="http://poshland.com" TargetMode="External"/><Relationship Id="rId523" Type="http://schemas.openxmlformats.org/officeDocument/2006/relationships/hyperlink" Target="http://weather.com" TargetMode="External"/><Relationship Id="rId401" Type="http://schemas.openxmlformats.org/officeDocument/2006/relationships/hyperlink" Target="http://poshland.com" TargetMode="External"/><Relationship Id="rId522" Type="http://schemas.openxmlformats.org/officeDocument/2006/relationships/hyperlink" Target="http://weather.com" TargetMode="External"/><Relationship Id="rId408" Type="http://schemas.openxmlformats.org/officeDocument/2006/relationships/hyperlink" Target="http://realtor.com" TargetMode="External"/><Relationship Id="rId529" Type="http://schemas.openxmlformats.org/officeDocument/2006/relationships/hyperlink" Target="http://weather.com" TargetMode="External"/><Relationship Id="rId407" Type="http://schemas.openxmlformats.org/officeDocument/2006/relationships/hyperlink" Target="http://realtor.com" TargetMode="External"/><Relationship Id="rId528" Type="http://schemas.openxmlformats.org/officeDocument/2006/relationships/hyperlink" Target="http://weather.com" TargetMode="External"/><Relationship Id="rId406" Type="http://schemas.openxmlformats.org/officeDocument/2006/relationships/hyperlink" Target="http://realtor.com" TargetMode="External"/><Relationship Id="rId527" Type="http://schemas.openxmlformats.org/officeDocument/2006/relationships/hyperlink" Target="http://weather.com" TargetMode="External"/><Relationship Id="rId405" Type="http://schemas.openxmlformats.org/officeDocument/2006/relationships/hyperlink" Target="http://realtor.com" TargetMode="External"/><Relationship Id="rId526" Type="http://schemas.openxmlformats.org/officeDocument/2006/relationships/hyperlink" Target="http://weather.com" TargetMode="External"/><Relationship Id="rId26" Type="http://schemas.openxmlformats.org/officeDocument/2006/relationships/hyperlink" Target="http://att.yahoo.com" TargetMode="External"/><Relationship Id="rId25" Type="http://schemas.openxmlformats.org/officeDocument/2006/relationships/hyperlink" Target="http://att.yahoo.com" TargetMode="External"/><Relationship Id="rId28" Type="http://schemas.openxmlformats.org/officeDocument/2006/relationships/hyperlink" Target="http://autotrader.com" TargetMode="External"/><Relationship Id="rId27" Type="http://schemas.openxmlformats.org/officeDocument/2006/relationships/hyperlink" Target="http://autotrader.com" TargetMode="External"/><Relationship Id="rId400" Type="http://schemas.openxmlformats.org/officeDocument/2006/relationships/hyperlink" Target="http://politico.com" TargetMode="External"/><Relationship Id="rId521" Type="http://schemas.openxmlformats.org/officeDocument/2006/relationships/hyperlink" Target="http://weather.com" TargetMode="External"/><Relationship Id="rId29" Type="http://schemas.openxmlformats.org/officeDocument/2006/relationships/hyperlink" Target="http://autotrader.com" TargetMode="External"/><Relationship Id="rId520" Type="http://schemas.openxmlformats.org/officeDocument/2006/relationships/hyperlink" Target="http://weather.com" TargetMode="External"/><Relationship Id="rId11" Type="http://schemas.openxmlformats.org/officeDocument/2006/relationships/hyperlink" Target="http://accuweather.com" TargetMode="External"/><Relationship Id="rId10" Type="http://schemas.openxmlformats.org/officeDocument/2006/relationships/hyperlink" Target="http://accuweather.com" TargetMode="External"/><Relationship Id="rId13" Type="http://schemas.openxmlformats.org/officeDocument/2006/relationships/hyperlink" Target="http://accuweather.com" TargetMode="External"/><Relationship Id="rId12" Type="http://schemas.openxmlformats.org/officeDocument/2006/relationships/hyperlink" Target="http://accuweather.com" TargetMode="External"/><Relationship Id="rId519" Type="http://schemas.openxmlformats.org/officeDocument/2006/relationships/hyperlink" Target="http://weather.com" TargetMode="External"/><Relationship Id="rId514" Type="http://schemas.openxmlformats.org/officeDocument/2006/relationships/hyperlink" Target="http://weather.com" TargetMode="External"/><Relationship Id="rId513" Type="http://schemas.openxmlformats.org/officeDocument/2006/relationships/hyperlink" Target="http://weather.com" TargetMode="External"/><Relationship Id="rId512" Type="http://schemas.openxmlformats.org/officeDocument/2006/relationships/hyperlink" Target="http://weather.com" TargetMode="External"/><Relationship Id="rId511" Type="http://schemas.openxmlformats.org/officeDocument/2006/relationships/hyperlink" Target="http://weather.com" TargetMode="External"/><Relationship Id="rId518" Type="http://schemas.openxmlformats.org/officeDocument/2006/relationships/hyperlink" Target="http://weather.com" TargetMode="External"/><Relationship Id="rId517" Type="http://schemas.openxmlformats.org/officeDocument/2006/relationships/hyperlink" Target="http://weather.com" TargetMode="External"/><Relationship Id="rId516" Type="http://schemas.openxmlformats.org/officeDocument/2006/relationships/hyperlink" Target="http://weather.com" TargetMode="External"/><Relationship Id="rId515" Type="http://schemas.openxmlformats.org/officeDocument/2006/relationships/hyperlink" Target="http://weather.com" TargetMode="External"/><Relationship Id="rId15" Type="http://schemas.openxmlformats.org/officeDocument/2006/relationships/hyperlink" Target="http://activebeat.com" TargetMode="External"/><Relationship Id="rId14" Type="http://schemas.openxmlformats.org/officeDocument/2006/relationships/hyperlink" Target="http://activebeat.com" TargetMode="External"/><Relationship Id="rId17" Type="http://schemas.openxmlformats.org/officeDocument/2006/relationships/hyperlink" Target="http://ajc.com" TargetMode="External"/><Relationship Id="rId16" Type="http://schemas.openxmlformats.org/officeDocument/2006/relationships/hyperlink" Target="http://ajc.com" TargetMode="External"/><Relationship Id="rId19" Type="http://schemas.openxmlformats.org/officeDocument/2006/relationships/hyperlink" Target="http://alotfinance.com" TargetMode="External"/><Relationship Id="rId510" Type="http://schemas.openxmlformats.org/officeDocument/2006/relationships/hyperlink" Target="http://weather.com" TargetMode="External"/><Relationship Id="rId18" Type="http://schemas.openxmlformats.org/officeDocument/2006/relationships/hyperlink" Target="http://al.com" TargetMode="External"/><Relationship Id="rId84" Type="http://schemas.openxmlformats.org/officeDocument/2006/relationships/hyperlink" Target="http://cbsnews.com" TargetMode="External"/><Relationship Id="rId83" Type="http://schemas.openxmlformats.org/officeDocument/2006/relationships/hyperlink" Target="http://cbsnews.com" TargetMode="External"/><Relationship Id="rId86" Type="http://schemas.openxmlformats.org/officeDocument/2006/relationships/hyperlink" Target="http://cbssports.com" TargetMode="External"/><Relationship Id="rId85" Type="http://schemas.openxmlformats.org/officeDocument/2006/relationships/hyperlink" Target="http://cbsnews.com" TargetMode="External"/><Relationship Id="rId88" Type="http://schemas.openxmlformats.org/officeDocument/2006/relationships/hyperlink" Target="http://cheapoair.com" TargetMode="External"/><Relationship Id="rId87" Type="http://schemas.openxmlformats.org/officeDocument/2006/relationships/hyperlink" Target="http://cbssports.com" TargetMode="External"/><Relationship Id="rId89" Type="http://schemas.openxmlformats.org/officeDocument/2006/relationships/hyperlink" Target="http://cheapoair.com" TargetMode="External"/><Relationship Id="rId80" Type="http://schemas.openxmlformats.org/officeDocument/2006/relationships/hyperlink" Target="http://cbsnews.com" TargetMode="External"/><Relationship Id="rId82" Type="http://schemas.openxmlformats.org/officeDocument/2006/relationships/hyperlink" Target="http://cbsnews.com" TargetMode="External"/><Relationship Id="rId81" Type="http://schemas.openxmlformats.org/officeDocument/2006/relationships/hyperlink" Target="http://cbsnews.com" TargetMode="External"/><Relationship Id="rId73" Type="http://schemas.openxmlformats.org/officeDocument/2006/relationships/hyperlink" Target="http://cars.com" TargetMode="External"/><Relationship Id="rId72" Type="http://schemas.openxmlformats.org/officeDocument/2006/relationships/hyperlink" Target="http://cargurus.com" TargetMode="External"/><Relationship Id="rId75" Type="http://schemas.openxmlformats.org/officeDocument/2006/relationships/hyperlink" Target="http://cars.com" TargetMode="External"/><Relationship Id="rId74" Type="http://schemas.openxmlformats.org/officeDocument/2006/relationships/hyperlink" Target="http://cars.com" TargetMode="External"/><Relationship Id="rId77" Type="http://schemas.openxmlformats.org/officeDocument/2006/relationships/hyperlink" Target="http://cbsnews.com" TargetMode="External"/><Relationship Id="rId76" Type="http://schemas.openxmlformats.org/officeDocument/2006/relationships/hyperlink" Target="http://carscoops.com" TargetMode="External"/><Relationship Id="rId79" Type="http://schemas.openxmlformats.org/officeDocument/2006/relationships/hyperlink" Target="http://cbsnews.com" TargetMode="External"/><Relationship Id="rId78" Type="http://schemas.openxmlformats.org/officeDocument/2006/relationships/hyperlink" Target="http://cbsnews.com" TargetMode="External"/><Relationship Id="rId71" Type="http://schemas.openxmlformats.org/officeDocument/2006/relationships/hyperlink" Target="http://cargurus.com" TargetMode="External"/><Relationship Id="rId70" Type="http://schemas.openxmlformats.org/officeDocument/2006/relationships/hyperlink" Target="http://cargurus.com" TargetMode="External"/><Relationship Id="rId62" Type="http://schemas.openxmlformats.org/officeDocument/2006/relationships/hyperlink" Target="http://businessinsider.com" TargetMode="External"/><Relationship Id="rId61" Type="http://schemas.openxmlformats.org/officeDocument/2006/relationships/hyperlink" Target="http://businessinsider.com" TargetMode="External"/><Relationship Id="rId64" Type="http://schemas.openxmlformats.org/officeDocument/2006/relationships/hyperlink" Target="http://calculator.net" TargetMode="External"/><Relationship Id="rId63" Type="http://schemas.openxmlformats.org/officeDocument/2006/relationships/hyperlink" Target="http://buzzfeed.com" TargetMode="External"/><Relationship Id="rId66" Type="http://schemas.openxmlformats.org/officeDocument/2006/relationships/hyperlink" Target="http://calculator.net" TargetMode="External"/><Relationship Id="rId65" Type="http://schemas.openxmlformats.org/officeDocument/2006/relationships/hyperlink" Target="http://calculator.net" TargetMode="External"/><Relationship Id="rId68" Type="http://schemas.openxmlformats.org/officeDocument/2006/relationships/hyperlink" Target="http://calculator.net" TargetMode="External"/><Relationship Id="rId67" Type="http://schemas.openxmlformats.org/officeDocument/2006/relationships/hyperlink" Target="http://calculator.net" TargetMode="External"/><Relationship Id="rId60" Type="http://schemas.openxmlformats.org/officeDocument/2006/relationships/hyperlink" Target="http://businessinsider.com" TargetMode="External"/><Relationship Id="rId69" Type="http://schemas.openxmlformats.org/officeDocument/2006/relationships/hyperlink" Target="http://cargurus.com" TargetMode="External"/><Relationship Id="rId51" Type="http://schemas.openxmlformats.org/officeDocument/2006/relationships/hyperlink" Target="http://bleacherbreaker.com" TargetMode="External"/><Relationship Id="rId50" Type="http://schemas.openxmlformats.org/officeDocument/2006/relationships/hyperlink" Target="http://billboard.com" TargetMode="External"/><Relationship Id="rId53" Type="http://schemas.openxmlformats.org/officeDocument/2006/relationships/hyperlink" Target="http://boattrader.com" TargetMode="External"/><Relationship Id="rId52" Type="http://schemas.openxmlformats.org/officeDocument/2006/relationships/hyperlink" Target="http://boattrader.com" TargetMode="External"/><Relationship Id="rId55" Type="http://schemas.openxmlformats.org/officeDocument/2006/relationships/hyperlink" Target="http://boattrader.com" TargetMode="External"/><Relationship Id="rId54" Type="http://schemas.openxmlformats.org/officeDocument/2006/relationships/hyperlink" Target="http://boattrader.com" TargetMode="External"/><Relationship Id="rId57" Type="http://schemas.openxmlformats.org/officeDocument/2006/relationships/hyperlink" Target="http://boxrox.com" TargetMode="External"/><Relationship Id="rId56" Type="http://schemas.openxmlformats.org/officeDocument/2006/relationships/hyperlink" Target="http://boattrader.com" TargetMode="External"/><Relationship Id="rId59" Type="http://schemas.openxmlformats.org/officeDocument/2006/relationships/hyperlink" Target="http://britannica.com" TargetMode="External"/><Relationship Id="rId58" Type="http://schemas.openxmlformats.org/officeDocument/2006/relationships/hyperlink" Target="http://bridesblush.com" TargetMode="External"/><Relationship Id="rId107" Type="http://schemas.openxmlformats.org/officeDocument/2006/relationships/hyperlink" Target="http://cnn.com" TargetMode="External"/><Relationship Id="rId228" Type="http://schemas.openxmlformats.org/officeDocument/2006/relationships/hyperlink" Target="http://ign.com" TargetMode="External"/><Relationship Id="rId349" Type="http://schemas.openxmlformats.org/officeDocument/2006/relationships/hyperlink" Target="http://nba.com" TargetMode="External"/><Relationship Id="rId106" Type="http://schemas.openxmlformats.org/officeDocument/2006/relationships/hyperlink" Target="http://cnn.com" TargetMode="External"/><Relationship Id="rId227" Type="http://schemas.openxmlformats.org/officeDocument/2006/relationships/hyperlink" Target="http://iflscience.com" TargetMode="External"/><Relationship Id="rId348" Type="http://schemas.openxmlformats.org/officeDocument/2006/relationships/hyperlink" Target="http://myfitnesspal.com" TargetMode="External"/><Relationship Id="rId469" Type="http://schemas.openxmlformats.org/officeDocument/2006/relationships/hyperlink" Target="http://thesaurus.com" TargetMode="External"/><Relationship Id="rId105" Type="http://schemas.openxmlformats.org/officeDocument/2006/relationships/hyperlink" Target="http://cnn.com" TargetMode="External"/><Relationship Id="rId226" Type="http://schemas.openxmlformats.org/officeDocument/2006/relationships/hyperlink" Target="http://icy-veins.com" TargetMode="External"/><Relationship Id="rId347" Type="http://schemas.openxmlformats.org/officeDocument/2006/relationships/hyperlink" Target="http://mydailymagazine.com" TargetMode="External"/><Relationship Id="rId468" Type="http://schemas.openxmlformats.org/officeDocument/2006/relationships/hyperlink" Target="http://thesaurus.com" TargetMode="External"/><Relationship Id="rId104" Type="http://schemas.openxmlformats.org/officeDocument/2006/relationships/hyperlink" Target="http://cnn.com" TargetMode="External"/><Relationship Id="rId225" Type="http://schemas.openxmlformats.org/officeDocument/2006/relationships/hyperlink" Target="http://icy-veins.com" TargetMode="External"/><Relationship Id="rId346" Type="http://schemas.openxmlformats.org/officeDocument/2006/relationships/hyperlink" Target="http://my.yahoo.com" TargetMode="External"/><Relationship Id="rId467" Type="http://schemas.openxmlformats.org/officeDocument/2006/relationships/hyperlink" Target="http://thesaurus.com" TargetMode="External"/><Relationship Id="rId109" Type="http://schemas.openxmlformats.org/officeDocument/2006/relationships/hyperlink" Target="http://commercialappeal.com" TargetMode="External"/><Relationship Id="rId108" Type="http://schemas.openxmlformats.org/officeDocument/2006/relationships/hyperlink" Target="http://cnn.com" TargetMode="External"/><Relationship Id="rId229" Type="http://schemas.openxmlformats.org/officeDocument/2006/relationships/hyperlink" Target="http://ign.com" TargetMode="External"/><Relationship Id="rId220" Type="http://schemas.openxmlformats.org/officeDocument/2006/relationships/hyperlink" Target="http://hindustantimes.com" TargetMode="External"/><Relationship Id="rId341" Type="http://schemas.openxmlformats.org/officeDocument/2006/relationships/hyperlink" Target="http://msn.com" TargetMode="External"/><Relationship Id="rId462" Type="http://schemas.openxmlformats.org/officeDocument/2006/relationships/hyperlink" Target="http://thehulltruth.com" TargetMode="External"/><Relationship Id="rId583" Type="http://schemas.openxmlformats.org/officeDocument/2006/relationships/drawing" Target="../drawings/drawing3.xml"/><Relationship Id="rId340" Type="http://schemas.openxmlformats.org/officeDocument/2006/relationships/hyperlink" Target="http://msn.com" TargetMode="External"/><Relationship Id="rId461" Type="http://schemas.openxmlformats.org/officeDocument/2006/relationships/hyperlink" Target="http://thegamer.com" TargetMode="External"/><Relationship Id="rId582" Type="http://schemas.openxmlformats.org/officeDocument/2006/relationships/hyperlink" Target="http://zone.msn.com" TargetMode="External"/><Relationship Id="rId460" Type="http://schemas.openxmlformats.org/officeDocument/2006/relationships/hyperlink" Target="http://thefinancechatter.com" TargetMode="External"/><Relationship Id="rId581" Type="http://schemas.openxmlformats.org/officeDocument/2006/relationships/hyperlink" Target="http://zillow.com" TargetMode="External"/><Relationship Id="rId580" Type="http://schemas.openxmlformats.org/officeDocument/2006/relationships/hyperlink" Target="http://zillow.com" TargetMode="External"/><Relationship Id="rId103" Type="http://schemas.openxmlformats.org/officeDocument/2006/relationships/hyperlink" Target="http://cnn.com" TargetMode="External"/><Relationship Id="rId224" Type="http://schemas.openxmlformats.org/officeDocument/2006/relationships/hyperlink" Target="http://houseplans.net" TargetMode="External"/><Relationship Id="rId345" Type="http://schemas.openxmlformats.org/officeDocument/2006/relationships/hyperlink" Target="http://my.yahoo.com" TargetMode="External"/><Relationship Id="rId466" Type="http://schemas.openxmlformats.org/officeDocument/2006/relationships/hyperlink" Target="http://thesaurus.com" TargetMode="External"/><Relationship Id="rId102" Type="http://schemas.openxmlformats.org/officeDocument/2006/relationships/hyperlink" Target="http://cnn.com" TargetMode="External"/><Relationship Id="rId223" Type="http://schemas.openxmlformats.org/officeDocument/2006/relationships/hyperlink" Target="http://historycollection.com" TargetMode="External"/><Relationship Id="rId344" Type="http://schemas.openxmlformats.org/officeDocument/2006/relationships/hyperlink" Target="http://msn.com" TargetMode="External"/><Relationship Id="rId465" Type="http://schemas.openxmlformats.org/officeDocument/2006/relationships/hyperlink" Target="http://thesaltymarshmallow.com" TargetMode="External"/><Relationship Id="rId101" Type="http://schemas.openxmlformats.org/officeDocument/2006/relationships/hyperlink" Target="http://cnn.com" TargetMode="External"/><Relationship Id="rId222" Type="http://schemas.openxmlformats.org/officeDocument/2006/relationships/hyperlink" Target="http://historyallday.com" TargetMode="External"/><Relationship Id="rId343" Type="http://schemas.openxmlformats.org/officeDocument/2006/relationships/hyperlink" Target="http://msn.com" TargetMode="External"/><Relationship Id="rId464" Type="http://schemas.openxmlformats.org/officeDocument/2006/relationships/hyperlink" Target="http://therighthairstyles.com" TargetMode="External"/><Relationship Id="rId100" Type="http://schemas.openxmlformats.org/officeDocument/2006/relationships/hyperlink" Target="http://cnet.com" TargetMode="External"/><Relationship Id="rId221" Type="http://schemas.openxmlformats.org/officeDocument/2006/relationships/hyperlink" Target="http://hindustantimes.com" TargetMode="External"/><Relationship Id="rId342" Type="http://schemas.openxmlformats.org/officeDocument/2006/relationships/hyperlink" Target="http://msn.com" TargetMode="External"/><Relationship Id="rId463" Type="http://schemas.openxmlformats.org/officeDocument/2006/relationships/hyperlink" Target="http://thekrazycouponlady.com" TargetMode="External"/><Relationship Id="rId217" Type="http://schemas.openxmlformats.org/officeDocument/2006/relationships/hyperlink" Target="http://healthline.com" TargetMode="External"/><Relationship Id="rId338" Type="http://schemas.openxmlformats.org/officeDocument/2006/relationships/hyperlink" Target="http://msn.com" TargetMode="External"/><Relationship Id="rId459" Type="http://schemas.openxmlformats.org/officeDocument/2006/relationships/hyperlink" Target="http://thebigmansworld.com" TargetMode="External"/><Relationship Id="rId216" Type="http://schemas.openxmlformats.org/officeDocument/2006/relationships/hyperlink" Target="http://health.usnews.com" TargetMode="External"/><Relationship Id="rId337" Type="http://schemas.openxmlformats.org/officeDocument/2006/relationships/hyperlink" Target="http://msn.com" TargetMode="External"/><Relationship Id="rId458" Type="http://schemas.openxmlformats.org/officeDocument/2006/relationships/hyperlink" Target="http://techradar.com" TargetMode="External"/><Relationship Id="rId579" Type="http://schemas.openxmlformats.org/officeDocument/2006/relationships/hyperlink" Target="http://zillow.com" TargetMode="External"/><Relationship Id="rId215" Type="http://schemas.openxmlformats.org/officeDocument/2006/relationships/hyperlink" Target="http://greedyfinance.com" TargetMode="External"/><Relationship Id="rId336" Type="http://schemas.openxmlformats.org/officeDocument/2006/relationships/hyperlink" Target="http://msn.com" TargetMode="External"/><Relationship Id="rId457" Type="http://schemas.openxmlformats.org/officeDocument/2006/relationships/hyperlink" Target="http://tastesbetterfromscratch.com" TargetMode="External"/><Relationship Id="rId578" Type="http://schemas.openxmlformats.org/officeDocument/2006/relationships/hyperlink" Target="http://zillow.com" TargetMode="External"/><Relationship Id="rId214" Type="http://schemas.openxmlformats.org/officeDocument/2006/relationships/hyperlink" Target="http://geeksforgeeks.org" TargetMode="External"/><Relationship Id="rId335" Type="http://schemas.openxmlformats.org/officeDocument/2006/relationships/hyperlink" Target="http://msn.com" TargetMode="External"/><Relationship Id="rId456" Type="http://schemas.openxmlformats.org/officeDocument/2006/relationships/hyperlink" Target="http://tasteofhome.com" TargetMode="External"/><Relationship Id="rId577" Type="http://schemas.openxmlformats.org/officeDocument/2006/relationships/hyperlink" Target="http://zillow.com" TargetMode="External"/><Relationship Id="rId219" Type="http://schemas.openxmlformats.org/officeDocument/2006/relationships/hyperlink" Target="http://heraldweekly.com" TargetMode="External"/><Relationship Id="rId218" Type="http://schemas.openxmlformats.org/officeDocument/2006/relationships/hyperlink" Target="http://healthyrecipesblogs.com" TargetMode="External"/><Relationship Id="rId339" Type="http://schemas.openxmlformats.org/officeDocument/2006/relationships/hyperlink" Target="http://msn.com" TargetMode="External"/><Relationship Id="rId330" Type="http://schemas.openxmlformats.org/officeDocument/2006/relationships/hyperlink" Target="http://msn.com" TargetMode="External"/><Relationship Id="rId451" Type="http://schemas.openxmlformats.org/officeDocument/2006/relationships/hyperlink" Target="http://sporcle.com" TargetMode="External"/><Relationship Id="rId572" Type="http://schemas.openxmlformats.org/officeDocument/2006/relationships/hyperlink" Target="http://yourdailysportfix.com" TargetMode="External"/><Relationship Id="rId450" Type="http://schemas.openxmlformats.org/officeDocument/2006/relationships/hyperlink" Target="http://soaps.sheknows.com" TargetMode="External"/><Relationship Id="rId571" Type="http://schemas.openxmlformats.org/officeDocument/2006/relationships/hyperlink" Target="http://yellowpages.com" TargetMode="External"/><Relationship Id="rId570" Type="http://schemas.openxmlformats.org/officeDocument/2006/relationships/hyperlink" Target="http://yellowpages.com" TargetMode="External"/><Relationship Id="rId213" Type="http://schemas.openxmlformats.org/officeDocument/2006/relationships/hyperlink" Target="http://geeksforgeeks.org" TargetMode="External"/><Relationship Id="rId334" Type="http://schemas.openxmlformats.org/officeDocument/2006/relationships/hyperlink" Target="http://msn.com" TargetMode="External"/><Relationship Id="rId455" Type="http://schemas.openxmlformats.org/officeDocument/2006/relationships/hyperlink" Target="http://taboolanews.com" TargetMode="External"/><Relationship Id="rId576" Type="http://schemas.openxmlformats.org/officeDocument/2006/relationships/hyperlink" Target="http://zillow.com" TargetMode="External"/><Relationship Id="rId212" Type="http://schemas.openxmlformats.org/officeDocument/2006/relationships/hyperlink" Target="http://geeksforgeeks.org" TargetMode="External"/><Relationship Id="rId333" Type="http://schemas.openxmlformats.org/officeDocument/2006/relationships/hyperlink" Target="http://msn.com" TargetMode="External"/><Relationship Id="rId454" Type="http://schemas.openxmlformats.org/officeDocument/2006/relationships/hyperlink" Target="http://streetinsider.com" TargetMode="External"/><Relationship Id="rId575" Type="http://schemas.openxmlformats.org/officeDocument/2006/relationships/hyperlink" Target="http://zdnet.com" TargetMode="External"/><Relationship Id="rId211" Type="http://schemas.openxmlformats.org/officeDocument/2006/relationships/hyperlink" Target="http://gamingbible.com" TargetMode="External"/><Relationship Id="rId332" Type="http://schemas.openxmlformats.org/officeDocument/2006/relationships/hyperlink" Target="http://msn.com" TargetMode="External"/><Relationship Id="rId453" Type="http://schemas.openxmlformats.org/officeDocument/2006/relationships/hyperlink" Target="http://sports.yahoo.com" TargetMode="External"/><Relationship Id="rId574" Type="http://schemas.openxmlformats.org/officeDocument/2006/relationships/hyperlink" Target="http://yourroyals.com" TargetMode="External"/><Relationship Id="rId210" Type="http://schemas.openxmlformats.org/officeDocument/2006/relationships/hyperlink" Target="http://gamespot.com" TargetMode="External"/><Relationship Id="rId331" Type="http://schemas.openxmlformats.org/officeDocument/2006/relationships/hyperlink" Target="http://msn.com" TargetMode="External"/><Relationship Id="rId452" Type="http://schemas.openxmlformats.org/officeDocument/2006/relationships/hyperlink" Target="http://sports.yahoo.com" TargetMode="External"/><Relationship Id="rId573" Type="http://schemas.openxmlformats.org/officeDocument/2006/relationships/hyperlink" Target="http://yourdailysportfix.com" TargetMode="External"/><Relationship Id="rId370" Type="http://schemas.openxmlformats.org/officeDocument/2006/relationships/hyperlink" Target="http://nypost.com" TargetMode="External"/><Relationship Id="rId491" Type="http://schemas.openxmlformats.org/officeDocument/2006/relationships/hyperlink" Target="http://usnews.com" TargetMode="External"/><Relationship Id="rId490" Type="http://schemas.openxmlformats.org/officeDocument/2006/relationships/hyperlink" Target="http://uscellular.com" TargetMode="External"/><Relationship Id="rId129" Type="http://schemas.openxmlformats.org/officeDocument/2006/relationships/hyperlink" Target="http://drugs.com" TargetMode="External"/><Relationship Id="rId128" Type="http://schemas.openxmlformats.org/officeDocument/2006/relationships/hyperlink" Target="http://dotesports.com" TargetMode="External"/><Relationship Id="rId249" Type="http://schemas.openxmlformats.org/officeDocument/2006/relationships/hyperlink" Target="http://lensvid.com" TargetMode="External"/><Relationship Id="rId127" Type="http://schemas.openxmlformats.org/officeDocument/2006/relationships/hyperlink" Target="http://doodle.com" TargetMode="External"/><Relationship Id="rId248" Type="http://schemas.openxmlformats.org/officeDocument/2006/relationships/hyperlink" Target="http://kiplinger.com" TargetMode="External"/><Relationship Id="rId369" Type="http://schemas.openxmlformats.org/officeDocument/2006/relationships/hyperlink" Target="http://nsfas-applications.co.za" TargetMode="External"/><Relationship Id="rId126" Type="http://schemas.openxmlformats.org/officeDocument/2006/relationships/hyperlink" Target="http://doctoreport.com" TargetMode="External"/><Relationship Id="rId247" Type="http://schemas.openxmlformats.org/officeDocument/2006/relationships/hyperlink" Target="http://kbb.com" TargetMode="External"/><Relationship Id="rId368" Type="http://schemas.openxmlformats.org/officeDocument/2006/relationships/hyperlink" Target="http://npr.org" TargetMode="External"/><Relationship Id="rId489" Type="http://schemas.openxmlformats.org/officeDocument/2006/relationships/hyperlink" Target="http://usatoday.com" TargetMode="External"/><Relationship Id="rId121" Type="http://schemas.openxmlformats.org/officeDocument/2006/relationships/hyperlink" Target="http://dailymail.co.uk/tvshowbiz" TargetMode="External"/><Relationship Id="rId242" Type="http://schemas.openxmlformats.org/officeDocument/2006/relationships/hyperlink" Target="http://kbb.com" TargetMode="External"/><Relationship Id="rId363" Type="http://schemas.openxmlformats.org/officeDocument/2006/relationships/hyperlink" Target="http://news.yahoo.com" TargetMode="External"/><Relationship Id="rId484" Type="http://schemas.openxmlformats.org/officeDocument/2006/relationships/hyperlink" Target="http://upworthy.com" TargetMode="External"/><Relationship Id="rId120" Type="http://schemas.openxmlformats.org/officeDocument/2006/relationships/hyperlink" Target="http://dailymail.co.uk/tvshowbiz" TargetMode="External"/><Relationship Id="rId241" Type="http://schemas.openxmlformats.org/officeDocument/2006/relationships/hyperlink" Target="http://kbb.com" TargetMode="External"/><Relationship Id="rId362" Type="http://schemas.openxmlformats.org/officeDocument/2006/relationships/hyperlink" Target="http://news.yahoo.com" TargetMode="External"/><Relationship Id="rId483" Type="http://schemas.openxmlformats.org/officeDocument/2006/relationships/hyperlink" Target="http://tripadvisor.com" TargetMode="External"/><Relationship Id="rId240" Type="http://schemas.openxmlformats.org/officeDocument/2006/relationships/hyperlink" Target="http://jdpower.com" TargetMode="External"/><Relationship Id="rId361" Type="http://schemas.openxmlformats.org/officeDocument/2006/relationships/hyperlink" Target="http://news.yahoo.com" TargetMode="External"/><Relationship Id="rId482" Type="http://schemas.openxmlformats.org/officeDocument/2006/relationships/hyperlink" Target="http://travelerdreams.com" TargetMode="External"/><Relationship Id="rId360" Type="http://schemas.openxmlformats.org/officeDocument/2006/relationships/hyperlink" Target="http://news.yahoo.com" TargetMode="External"/><Relationship Id="rId481" Type="http://schemas.openxmlformats.org/officeDocument/2006/relationships/hyperlink" Target="http://topclassactions.com" TargetMode="External"/><Relationship Id="rId125" Type="http://schemas.openxmlformats.org/officeDocument/2006/relationships/hyperlink" Target="http://dmv.org" TargetMode="External"/><Relationship Id="rId246" Type="http://schemas.openxmlformats.org/officeDocument/2006/relationships/hyperlink" Target="http://kbb.com" TargetMode="External"/><Relationship Id="rId367" Type="http://schemas.openxmlformats.org/officeDocument/2006/relationships/hyperlink" Target="http://npr.org" TargetMode="External"/><Relationship Id="rId488" Type="http://schemas.openxmlformats.org/officeDocument/2006/relationships/hyperlink" Target="http://usatoday.com" TargetMode="External"/><Relationship Id="rId124" Type="http://schemas.openxmlformats.org/officeDocument/2006/relationships/hyperlink" Target="http://dinneratthezoo.com" TargetMode="External"/><Relationship Id="rId245" Type="http://schemas.openxmlformats.org/officeDocument/2006/relationships/hyperlink" Target="http://kbb.com" TargetMode="External"/><Relationship Id="rId366" Type="http://schemas.openxmlformats.org/officeDocument/2006/relationships/hyperlink" Target="http://newsmemory.com" TargetMode="External"/><Relationship Id="rId487" Type="http://schemas.openxmlformats.org/officeDocument/2006/relationships/hyperlink" Target="http://usatoday.com" TargetMode="External"/><Relationship Id="rId123" Type="http://schemas.openxmlformats.org/officeDocument/2006/relationships/hyperlink" Target="http://dictionary.com" TargetMode="External"/><Relationship Id="rId244" Type="http://schemas.openxmlformats.org/officeDocument/2006/relationships/hyperlink" Target="http://kbb.com" TargetMode="External"/><Relationship Id="rId365" Type="http://schemas.openxmlformats.org/officeDocument/2006/relationships/hyperlink" Target="http://newsharper.com" TargetMode="External"/><Relationship Id="rId486" Type="http://schemas.openxmlformats.org/officeDocument/2006/relationships/hyperlink" Target="http://usatoday.com" TargetMode="External"/><Relationship Id="rId122" Type="http://schemas.openxmlformats.org/officeDocument/2006/relationships/hyperlink" Target="http://dexerto.com" TargetMode="External"/><Relationship Id="rId243" Type="http://schemas.openxmlformats.org/officeDocument/2006/relationships/hyperlink" Target="http://kbb.com" TargetMode="External"/><Relationship Id="rId364" Type="http://schemas.openxmlformats.org/officeDocument/2006/relationships/hyperlink" Target="http://news.yahoo.com" TargetMode="External"/><Relationship Id="rId485" Type="http://schemas.openxmlformats.org/officeDocument/2006/relationships/hyperlink" Target="http://usatoday.com" TargetMode="External"/><Relationship Id="rId95" Type="http://schemas.openxmlformats.org/officeDocument/2006/relationships/hyperlink" Target="http://classmates.com" TargetMode="External"/><Relationship Id="rId94" Type="http://schemas.openxmlformats.org/officeDocument/2006/relationships/hyperlink" Target="http://classmates.com" TargetMode="External"/><Relationship Id="rId97" Type="http://schemas.openxmlformats.org/officeDocument/2006/relationships/hyperlink" Target="http://cnbc.com" TargetMode="External"/><Relationship Id="rId96" Type="http://schemas.openxmlformats.org/officeDocument/2006/relationships/hyperlink" Target="http://clutchpoints.com" TargetMode="External"/><Relationship Id="rId99" Type="http://schemas.openxmlformats.org/officeDocument/2006/relationships/hyperlink" Target="http://cnet.com" TargetMode="External"/><Relationship Id="rId480" Type="http://schemas.openxmlformats.org/officeDocument/2006/relationships/hyperlink" Target="http://tomsguide.com" TargetMode="External"/><Relationship Id="rId98" Type="http://schemas.openxmlformats.org/officeDocument/2006/relationships/hyperlink" Target="http://cnbc.com" TargetMode="External"/><Relationship Id="rId91" Type="http://schemas.openxmlformats.org/officeDocument/2006/relationships/hyperlink" Target="http://cheezburger.com" TargetMode="External"/><Relationship Id="rId90" Type="http://schemas.openxmlformats.org/officeDocument/2006/relationships/hyperlink" Target="http://cheezburger.com" TargetMode="External"/><Relationship Id="rId93" Type="http://schemas.openxmlformats.org/officeDocument/2006/relationships/hyperlink" Target="http://chocolatecoveredkatie.com" TargetMode="External"/><Relationship Id="rId92" Type="http://schemas.openxmlformats.org/officeDocument/2006/relationships/hyperlink" Target="http://chicagotribune.com" TargetMode="External"/><Relationship Id="rId118" Type="http://schemas.openxmlformats.org/officeDocument/2006/relationships/hyperlink" Target="http://dailymail.co.uk/news" TargetMode="External"/><Relationship Id="rId239" Type="http://schemas.openxmlformats.org/officeDocument/2006/relationships/hyperlink" Target="http://jdpower.com" TargetMode="External"/><Relationship Id="rId117" Type="http://schemas.openxmlformats.org/officeDocument/2006/relationships/hyperlink" Target="http://dailymail.co.uk/news" TargetMode="External"/><Relationship Id="rId238" Type="http://schemas.openxmlformats.org/officeDocument/2006/relationships/hyperlink" Target="http://jdpower.com" TargetMode="External"/><Relationship Id="rId359" Type="http://schemas.openxmlformats.org/officeDocument/2006/relationships/hyperlink" Target="http://news.yahoo.com" TargetMode="External"/><Relationship Id="rId116" Type="http://schemas.openxmlformats.org/officeDocument/2006/relationships/hyperlink" Target="http://dailyhodl.com" TargetMode="External"/><Relationship Id="rId237" Type="http://schemas.openxmlformats.org/officeDocument/2006/relationships/hyperlink" Target="http://investopedia.com" TargetMode="External"/><Relationship Id="rId358" Type="http://schemas.openxmlformats.org/officeDocument/2006/relationships/hyperlink" Target="http://nbcsports.com" TargetMode="External"/><Relationship Id="rId479" Type="http://schemas.openxmlformats.org/officeDocument/2006/relationships/hyperlink" Target="http://tomsguide.com" TargetMode="External"/><Relationship Id="rId115" Type="http://schemas.openxmlformats.org/officeDocument/2006/relationships/hyperlink" Target="http://dailydot.com" TargetMode="External"/><Relationship Id="rId236" Type="http://schemas.openxmlformats.org/officeDocument/2006/relationships/hyperlink" Target="http://investing.com" TargetMode="External"/><Relationship Id="rId357" Type="http://schemas.openxmlformats.org/officeDocument/2006/relationships/hyperlink" Target="http://nbcnews.com" TargetMode="External"/><Relationship Id="rId478" Type="http://schemas.openxmlformats.org/officeDocument/2006/relationships/hyperlink" Target="http://todaysnyc.com" TargetMode="External"/><Relationship Id="rId119" Type="http://schemas.openxmlformats.org/officeDocument/2006/relationships/hyperlink" Target="http://dailymail.co.uk/tvshowbiz" TargetMode="External"/><Relationship Id="rId110" Type="http://schemas.openxmlformats.org/officeDocument/2006/relationships/hyperlink" Target="http://culinaryhill.com" TargetMode="External"/><Relationship Id="rId231" Type="http://schemas.openxmlformats.org/officeDocument/2006/relationships/hyperlink" Target="http://insider.com" TargetMode="External"/><Relationship Id="rId352" Type="http://schemas.openxmlformats.org/officeDocument/2006/relationships/hyperlink" Target="http://nbcmiami.com" TargetMode="External"/><Relationship Id="rId473" Type="http://schemas.openxmlformats.org/officeDocument/2006/relationships/hyperlink" Target="http://the-sun.com" TargetMode="External"/><Relationship Id="rId230" Type="http://schemas.openxmlformats.org/officeDocument/2006/relationships/hyperlink" Target="http://ign.com" TargetMode="External"/><Relationship Id="rId351" Type="http://schemas.openxmlformats.org/officeDocument/2006/relationships/hyperlink" Target="http://nbcdfw.com" TargetMode="External"/><Relationship Id="rId472" Type="http://schemas.openxmlformats.org/officeDocument/2006/relationships/hyperlink" Target="http://the-sun.com" TargetMode="External"/><Relationship Id="rId350" Type="http://schemas.openxmlformats.org/officeDocument/2006/relationships/hyperlink" Target="http://nbcchicago.com" TargetMode="External"/><Relationship Id="rId471" Type="http://schemas.openxmlformats.org/officeDocument/2006/relationships/hyperlink" Target="http://the-sun.com" TargetMode="External"/><Relationship Id="rId470" Type="http://schemas.openxmlformats.org/officeDocument/2006/relationships/hyperlink" Target="http://thesaurus.com" TargetMode="External"/><Relationship Id="rId114" Type="http://schemas.openxmlformats.org/officeDocument/2006/relationships/hyperlink" Target="http://daily-choices.com" TargetMode="External"/><Relationship Id="rId235" Type="http://schemas.openxmlformats.org/officeDocument/2006/relationships/hyperlink" Target="http://investing.com" TargetMode="External"/><Relationship Id="rId356" Type="http://schemas.openxmlformats.org/officeDocument/2006/relationships/hyperlink" Target="http://nbcnews.com" TargetMode="External"/><Relationship Id="rId477" Type="http://schemas.openxmlformats.org/officeDocument/2006/relationships/hyperlink" Target="http://timeanddate.com" TargetMode="External"/><Relationship Id="rId113" Type="http://schemas.openxmlformats.org/officeDocument/2006/relationships/hyperlink" Target="http://daily-choices.com" TargetMode="External"/><Relationship Id="rId234" Type="http://schemas.openxmlformats.org/officeDocument/2006/relationships/hyperlink" Target="http://insidethemagic.net" TargetMode="External"/><Relationship Id="rId355" Type="http://schemas.openxmlformats.org/officeDocument/2006/relationships/hyperlink" Target="http://nbcnews.com" TargetMode="External"/><Relationship Id="rId476" Type="http://schemas.openxmlformats.org/officeDocument/2006/relationships/hyperlink" Target="http://timeanddate.com" TargetMode="External"/><Relationship Id="rId112" Type="http://schemas.openxmlformats.org/officeDocument/2006/relationships/hyperlink" Target="http://dailybee.com" TargetMode="External"/><Relationship Id="rId233" Type="http://schemas.openxmlformats.org/officeDocument/2006/relationships/hyperlink" Target="http://insider.com" TargetMode="External"/><Relationship Id="rId354" Type="http://schemas.openxmlformats.org/officeDocument/2006/relationships/hyperlink" Target="http://nbcnews.com" TargetMode="External"/><Relationship Id="rId475" Type="http://schemas.openxmlformats.org/officeDocument/2006/relationships/hyperlink" Target="http://the-sun.com" TargetMode="External"/><Relationship Id="rId111" Type="http://schemas.openxmlformats.org/officeDocument/2006/relationships/hyperlink" Target="http://culturess.com" TargetMode="External"/><Relationship Id="rId232" Type="http://schemas.openxmlformats.org/officeDocument/2006/relationships/hyperlink" Target="http://insider.com" TargetMode="External"/><Relationship Id="rId353" Type="http://schemas.openxmlformats.org/officeDocument/2006/relationships/hyperlink" Target="http://nbcnews.com" TargetMode="External"/><Relationship Id="rId474" Type="http://schemas.openxmlformats.org/officeDocument/2006/relationships/hyperlink" Target="http://the-sun.com" TargetMode="External"/><Relationship Id="rId305" Type="http://schemas.openxmlformats.org/officeDocument/2006/relationships/hyperlink" Target="http://merriam-webster.com" TargetMode="External"/><Relationship Id="rId426" Type="http://schemas.openxmlformats.org/officeDocument/2006/relationships/hyperlink" Target="http://rollingstone.com" TargetMode="External"/><Relationship Id="rId547" Type="http://schemas.openxmlformats.org/officeDocument/2006/relationships/hyperlink" Target="http://wunderground.com" TargetMode="External"/><Relationship Id="rId304" Type="http://schemas.openxmlformats.org/officeDocument/2006/relationships/hyperlink" Target="http://medicalnewstoday.com" TargetMode="External"/><Relationship Id="rId425" Type="http://schemas.openxmlformats.org/officeDocument/2006/relationships/hyperlink" Target="http://rollingstone.com" TargetMode="External"/><Relationship Id="rId546" Type="http://schemas.openxmlformats.org/officeDocument/2006/relationships/hyperlink" Target="http://wunderground.com" TargetMode="External"/><Relationship Id="rId303" Type="http://schemas.openxmlformats.org/officeDocument/2006/relationships/hyperlink" Target="http://medicalnewstoday.com" TargetMode="External"/><Relationship Id="rId424" Type="http://schemas.openxmlformats.org/officeDocument/2006/relationships/hyperlink" Target="http://reuters.com" TargetMode="External"/><Relationship Id="rId545" Type="http://schemas.openxmlformats.org/officeDocument/2006/relationships/hyperlink" Target="http://wsvn.com" TargetMode="External"/><Relationship Id="rId302" Type="http://schemas.openxmlformats.org/officeDocument/2006/relationships/hyperlink" Target="http://medical-news.org" TargetMode="External"/><Relationship Id="rId423" Type="http://schemas.openxmlformats.org/officeDocument/2006/relationships/hyperlink" Target="http://reuters.com" TargetMode="External"/><Relationship Id="rId544" Type="http://schemas.openxmlformats.org/officeDocument/2006/relationships/hyperlink" Target="http://wsmv.com" TargetMode="External"/><Relationship Id="rId309" Type="http://schemas.openxmlformats.org/officeDocument/2006/relationships/hyperlink" Target="http://miamiherald.com" TargetMode="External"/><Relationship Id="rId308" Type="http://schemas.openxmlformats.org/officeDocument/2006/relationships/hyperlink" Target="http://miamiherald.com" TargetMode="External"/><Relationship Id="rId429" Type="http://schemas.openxmlformats.org/officeDocument/2006/relationships/hyperlink" Target="http://sciencesensei.com" TargetMode="External"/><Relationship Id="rId307" Type="http://schemas.openxmlformats.org/officeDocument/2006/relationships/hyperlink" Target="http://merriam-webster.com/dictionary" TargetMode="External"/><Relationship Id="rId428" Type="http://schemas.openxmlformats.org/officeDocument/2006/relationships/hyperlink" Target="http://sciencealert.com" TargetMode="External"/><Relationship Id="rId549" Type="http://schemas.openxmlformats.org/officeDocument/2006/relationships/hyperlink" Target="http://yahoo.com" TargetMode="External"/><Relationship Id="rId306" Type="http://schemas.openxmlformats.org/officeDocument/2006/relationships/hyperlink" Target="http://merriam-webster.com/dictionary" TargetMode="External"/><Relationship Id="rId427" Type="http://schemas.openxmlformats.org/officeDocument/2006/relationships/hyperlink" Target="http://rvtrader.com" TargetMode="External"/><Relationship Id="rId548" Type="http://schemas.openxmlformats.org/officeDocument/2006/relationships/hyperlink" Target="http://yachtworld.com" TargetMode="External"/><Relationship Id="rId301" Type="http://schemas.openxmlformats.org/officeDocument/2006/relationships/hyperlink" Target="http://mayoclinic.org" TargetMode="External"/><Relationship Id="rId422" Type="http://schemas.openxmlformats.org/officeDocument/2006/relationships/hyperlink" Target="http://repairlinkshop.com" TargetMode="External"/><Relationship Id="rId543" Type="http://schemas.openxmlformats.org/officeDocument/2006/relationships/hyperlink" Target="http://wordunscrambler.me" TargetMode="External"/><Relationship Id="rId300" Type="http://schemas.openxmlformats.org/officeDocument/2006/relationships/hyperlink" Target="http://maxroll.gg" TargetMode="External"/><Relationship Id="rId421" Type="http://schemas.openxmlformats.org/officeDocument/2006/relationships/hyperlink" Target="http://rent.com" TargetMode="External"/><Relationship Id="rId542" Type="http://schemas.openxmlformats.org/officeDocument/2006/relationships/hyperlink" Target="http://womenshealthmag.com" TargetMode="External"/><Relationship Id="rId420" Type="http://schemas.openxmlformats.org/officeDocument/2006/relationships/hyperlink" Target="http://redfin.com" TargetMode="External"/><Relationship Id="rId541" Type="http://schemas.openxmlformats.org/officeDocument/2006/relationships/hyperlink" Target="http://wizofawes.com" TargetMode="External"/><Relationship Id="rId540" Type="http://schemas.openxmlformats.org/officeDocument/2006/relationships/hyperlink" Target="http://wikihow.com" TargetMode="External"/><Relationship Id="rId415" Type="http://schemas.openxmlformats.org/officeDocument/2006/relationships/hyperlink" Target="http://realtor.com" TargetMode="External"/><Relationship Id="rId536" Type="http://schemas.openxmlformats.org/officeDocument/2006/relationships/hyperlink" Target="http://whatismyipaddress.com" TargetMode="External"/><Relationship Id="rId414" Type="http://schemas.openxmlformats.org/officeDocument/2006/relationships/hyperlink" Target="http://realtor.com" TargetMode="External"/><Relationship Id="rId535" Type="http://schemas.openxmlformats.org/officeDocument/2006/relationships/hyperlink" Target="http://whatismyipaddress.com" TargetMode="External"/><Relationship Id="rId413" Type="http://schemas.openxmlformats.org/officeDocument/2006/relationships/hyperlink" Target="http://realtor.com" TargetMode="External"/><Relationship Id="rId534" Type="http://schemas.openxmlformats.org/officeDocument/2006/relationships/hyperlink" Target="http://whatismyipaddress.com" TargetMode="External"/><Relationship Id="rId412" Type="http://schemas.openxmlformats.org/officeDocument/2006/relationships/hyperlink" Target="http://realtor.com" TargetMode="External"/><Relationship Id="rId533" Type="http://schemas.openxmlformats.org/officeDocument/2006/relationships/hyperlink" Target="http://whatismyipaddress.com" TargetMode="External"/><Relationship Id="rId419" Type="http://schemas.openxmlformats.org/officeDocument/2006/relationships/hyperlink" Target="http://realtor.com" TargetMode="External"/><Relationship Id="rId418" Type="http://schemas.openxmlformats.org/officeDocument/2006/relationships/hyperlink" Target="http://realtor.com" TargetMode="External"/><Relationship Id="rId539" Type="http://schemas.openxmlformats.org/officeDocument/2006/relationships/hyperlink" Target="http://wikihow.com" TargetMode="External"/><Relationship Id="rId417" Type="http://schemas.openxmlformats.org/officeDocument/2006/relationships/hyperlink" Target="http://realtor.com" TargetMode="External"/><Relationship Id="rId538" Type="http://schemas.openxmlformats.org/officeDocument/2006/relationships/hyperlink" Target="http://wikihow.com" TargetMode="External"/><Relationship Id="rId416" Type="http://schemas.openxmlformats.org/officeDocument/2006/relationships/hyperlink" Target="http://realtor.com" TargetMode="External"/><Relationship Id="rId537" Type="http://schemas.openxmlformats.org/officeDocument/2006/relationships/hyperlink" Target="http://wikihow.com" TargetMode="External"/><Relationship Id="rId411" Type="http://schemas.openxmlformats.org/officeDocument/2006/relationships/hyperlink" Target="http://realtor.com" TargetMode="External"/><Relationship Id="rId532" Type="http://schemas.openxmlformats.org/officeDocument/2006/relationships/hyperlink" Target="http://whatismyipaddress.com" TargetMode="External"/><Relationship Id="rId410" Type="http://schemas.openxmlformats.org/officeDocument/2006/relationships/hyperlink" Target="http://realtor.com" TargetMode="External"/><Relationship Id="rId531" Type="http://schemas.openxmlformats.org/officeDocument/2006/relationships/hyperlink" Target="http://whatismyipaddress.com" TargetMode="External"/><Relationship Id="rId530" Type="http://schemas.openxmlformats.org/officeDocument/2006/relationships/hyperlink" Target="http://webmd.com" TargetMode="External"/><Relationship Id="rId206" Type="http://schemas.openxmlformats.org/officeDocument/2006/relationships/hyperlink" Target="http://foxnews.com" TargetMode="External"/><Relationship Id="rId327" Type="http://schemas.openxmlformats.org/officeDocument/2006/relationships/hyperlink" Target="http://msn.com" TargetMode="External"/><Relationship Id="rId448" Type="http://schemas.openxmlformats.org/officeDocument/2006/relationships/hyperlink" Target="http://slickdeals.net" TargetMode="External"/><Relationship Id="rId569" Type="http://schemas.openxmlformats.org/officeDocument/2006/relationships/hyperlink" Target="http://yellowpages.com" TargetMode="External"/><Relationship Id="rId205" Type="http://schemas.openxmlformats.org/officeDocument/2006/relationships/hyperlink" Target="http://foxnews.com" TargetMode="External"/><Relationship Id="rId326" Type="http://schemas.openxmlformats.org/officeDocument/2006/relationships/hyperlink" Target="http://msn.com" TargetMode="External"/><Relationship Id="rId447" Type="http://schemas.openxmlformats.org/officeDocument/2006/relationships/hyperlink" Target="http://slickdeals.net" TargetMode="External"/><Relationship Id="rId568" Type="http://schemas.openxmlformats.org/officeDocument/2006/relationships/hyperlink" Target="http://yahoo.com" TargetMode="External"/><Relationship Id="rId204" Type="http://schemas.openxmlformats.org/officeDocument/2006/relationships/hyperlink" Target="http://foxnews.com" TargetMode="External"/><Relationship Id="rId325" Type="http://schemas.openxmlformats.org/officeDocument/2006/relationships/hyperlink" Target="http://msn.com" TargetMode="External"/><Relationship Id="rId446" Type="http://schemas.openxmlformats.org/officeDocument/2006/relationships/hyperlink" Target="http://slickdeals.net" TargetMode="External"/><Relationship Id="rId567" Type="http://schemas.openxmlformats.org/officeDocument/2006/relationships/hyperlink" Target="http://yahoo.com" TargetMode="External"/><Relationship Id="rId203" Type="http://schemas.openxmlformats.org/officeDocument/2006/relationships/hyperlink" Target="http://foxnews.com" TargetMode="External"/><Relationship Id="rId324" Type="http://schemas.openxmlformats.org/officeDocument/2006/relationships/hyperlink" Target="http://msn.com" TargetMode="External"/><Relationship Id="rId445" Type="http://schemas.openxmlformats.org/officeDocument/2006/relationships/hyperlink" Target="http://slickdeals.net" TargetMode="External"/><Relationship Id="rId566" Type="http://schemas.openxmlformats.org/officeDocument/2006/relationships/hyperlink" Target="http://yahoo.com" TargetMode="External"/><Relationship Id="rId209" Type="http://schemas.openxmlformats.org/officeDocument/2006/relationships/hyperlink" Target="http://gamerant.com" TargetMode="External"/><Relationship Id="rId208" Type="http://schemas.openxmlformats.org/officeDocument/2006/relationships/hyperlink" Target="http://gameofglam.com" TargetMode="External"/><Relationship Id="rId329" Type="http://schemas.openxmlformats.org/officeDocument/2006/relationships/hyperlink" Target="http://msn.com" TargetMode="External"/><Relationship Id="rId207" Type="http://schemas.openxmlformats.org/officeDocument/2006/relationships/hyperlink" Target="http://funnyand.com" TargetMode="External"/><Relationship Id="rId328" Type="http://schemas.openxmlformats.org/officeDocument/2006/relationships/hyperlink" Target="http://msn.com" TargetMode="External"/><Relationship Id="rId449" Type="http://schemas.openxmlformats.org/officeDocument/2006/relationships/hyperlink" Target="http://sneakertoast.com" TargetMode="External"/><Relationship Id="rId440" Type="http://schemas.openxmlformats.org/officeDocument/2006/relationships/hyperlink" Target="http://signupgenius.com" TargetMode="External"/><Relationship Id="rId561" Type="http://schemas.openxmlformats.org/officeDocument/2006/relationships/hyperlink" Target="http://yahoo.com" TargetMode="External"/><Relationship Id="rId560" Type="http://schemas.openxmlformats.org/officeDocument/2006/relationships/hyperlink" Target="http://yahoo.com" TargetMode="External"/><Relationship Id="rId202" Type="http://schemas.openxmlformats.org/officeDocument/2006/relationships/hyperlink" Target="http://foxnews.com" TargetMode="External"/><Relationship Id="rId323" Type="http://schemas.openxmlformats.org/officeDocument/2006/relationships/hyperlink" Target="http://msn.com" TargetMode="External"/><Relationship Id="rId444" Type="http://schemas.openxmlformats.org/officeDocument/2006/relationships/hyperlink" Target="http://slickdeals.net" TargetMode="External"/><Relationship Id="rId565" Type="http://schemas.openxmlformats.org/officeDocument/2006/relationships/hyperlink" Target="http://yahoo.com" TargetMode="External"/><Relationship Id="rId201" Type="http://schemas.openxmlformats.org/officeDocument/2006/relationships/hyperlink" Target="http://foxnews.com" TargetMode="External"/><Relationship Id="rId322" Type="http://schemas.openxmlformats.org/officeDocument/2006/relationships/hyperlink" Target="http://msn.com" TargetMode="External"/><Relationship Id="rId443" Type="http://schemas.openxmlformats.org/officeDocument/2006/relationships/hyperlink" Target="http://slickdeals.net" TargetMode="External"/><Relationship Id="rId564" Type="http://schemas.openxmlformats.org/officeDocument/2006/relationships/hyperlink" Target="http://yahoo.com" TargetMode="External"/><Relationship Id="rId200" Type="http://schemas.openxmlformats.org/officeDocument/2006/relationships/hyperlink" Target="http://foxnews.com" TargetMode="External"/><Relationship Id="rId321" Type="http://schemas.openxmlformats.org/officeDocument/2006/relationships/hyperlink" Target="http://msn.com" TargetMode="External"/><Relationship Id="rId442" Type="http://schemas.openxmlformats.org/officeDocument/2006/relationships/hyperlink" Target="http://slickdeals.net" TargetMode="External"/><Relationship Id="rId563" Type="http://schemas.openxmlformats.org/officeDocument/2006/relationships/hyperlink" Target="http://yahoo.com" TargetMode="External"/><Relationship Id="rId320" Type="http://schemas.openxmlformats.org/officeDocument/2006/relationships/hyperlink" Target="http://msn.com" TargetMode="External"/><Relationship Id="rId441" Type="http://schemas.openxmlformats.org/officeDocument/2006/relationships/hyperlink" Target="http://signupgenius.com" TargetMode="External"/><Relationship Id="rId562" Type="http://schemas.openxmlformats.org/officeDocument/2006/relationships/hyperlink" Target="http://yahoo.com" TargetMode="External"/><Relationship Id="rId316" Type="http://schemas.openxmlformats.org/officeDocument/2006/relationships/hyperlink" Target="http://mlb.com" TargetMode="External"/><Relationship Id="rId437" Type="http://schemas.openxmlformats.org/officeDocument/2006/relationships/hyperlink" Target="http://signin.ebay.com" TargetMode="External"/><Relationship Id="rId558" Type="http://schemas.openxmlformats.org/officeDocument/2006/relationships/hyperlink" Target="http://yahoo.com" TargetMode="External"/><Relationship Id="rId315" Type="http://schemas.openxmlformats.org/officeDocument/2006/relationships/hyperlink" Target="http://mlb.com" TargetMode="External"/><Relationship Id="rId436" Type="http://schemas.openxmlformats.org/officeDocument/2006/relationships/hyperlink" Target="http://si.com" TargetMode="External"/><Relationship Id="rId557" Type="http://schemas.openxmlformats.org/officeDocument/2006/relationships/hyperlink" Target="http://yahoo.com" TargetMode="External"/><Relationship Id="rId314" Type="http://schemas.openxmlformats.org/officeDocument/2006/relationships/hyperlink" Target="http://mlb.com" TargetMode="External"/><Relationship Id="rId435" Type="http://schemas.openxmlformats.org/officeDocument/2006/relationships/hyperlink" Target="http://shareably.net" TargetMode="External"/><Relationship Id="rId556" Type="http://schemas.openxmlformats.org/officeDocument/2006/relationships/hyperlink" Target="http://yahoo.com" TargetMode="External"/><Relationship Id="rId313" Type="http://schemas.openxmlformats.org/officeDocument/2006/relationships/hyperlink" Target="http://microsoftcasualgames.com" TargetMode="External"/><Relationship Id="rId434" Type="http://schemas.openxmlformats.org/officeDocument/2006/relationships/hyperlink" Target="http://seedsgames.com" TargetMode="External"/><Relationship Id="rId555" Type="http://schemas.openxmlformats.org/officeDocument/2006/relationships/hyperlink" Target="http://yahoo.com" TargetMode="External"/><Relationship Id="rId319" Type="http://schemas.openxmlformats.org/officeDocument/2006/relationships/hyperlink" Target="http://mobileposse.com" TargetMode="External"/><Relationship Id="rId318" Type="http://schemas.openxmlformats.org/officeDocument/2006/relationships/hyperlink" Target="http://mlb.com" TargetMode="External"/><Relationship Id="rId439" Type="http://schemas.openxmlformats.org/officeDocument/2006/relationships/hyperlink" Target="http://signupgenius.com" TargetMode="External"/><Relationship Id="rId317" Type="http://schemas.openxmlformats.org/officeDocument/2006/relationships/hyperlink" Target="http://mlb.com" TargetMode="External"/><Relationship Id="rId438" Type="http://schemas.openxmlformats.org/officeDocument/2006/relationships/hyperlink" Target="http://signin.ebay.com" TargetMode="External"/><Relationship Id="rId559" Type="http://schemas.openxmlformats.org/officeDocument/2006/relationships/hyperlink" Target="http://yahoo.com" TargetMode="External"/><Relationship Id="rId550" Type="http://schemas.openxmlformats.org/officeDocument/2006/relationships/hyperlink" Target="http://yahoo.com" TargetMode="External"/><Relationship Id="rId312" Type="http://schemas.openxmlformats.org/officeDocument/2006/relationships/hyperlink" Target="http://microsoftcasualgames.com" TargetMode="External"/><Relationship Id="rId433" Type="http://schemas.openxmlformats.org/officeDocument/2006/relationships/hyperlink" Target="http://screenrant.com" TargetMode="External"/><Relationship Id="rId554" Type="http://schemas.openxmlformats.org/officeDocument/2006/relationships/hyperlink" Target="http://yahoo.com" TargetMode="External"/><Relationship Id="rId311" Type="http://schemas.openxmlformats.org/officeDocument/2006/relationships/hyperlink" Target="http://microsoftcasualgames.com" TargetMode="External"/><Relationship Id="rId432" Type="http://schemas.openxmlformats.org/officeDocument/2006/relationships/hyperlink" Target="http://screenrant.com" TargetMode="External"/><Relationship Id="rId553" Type="http://schemas.openxmlformats.org/officeDocument/2006/relationships/hyperlink" Target="http://yahoo.com" TargetMode="External"/><Relationship Id="rId310" Type="http://schemas.openxmlformats.org/officeDocument/2006/relationships/hyperlink" Target="http://microsoftcasualgames.com" TargetMode="External"/><Relationship Id="rId431" Type="http://schemas.openxmlformats.org/officeDocument/2006/relationships/hyperlink" Target="http://screenrant.com" TargetMode="External"/><Relationship Id="rId552" Type="http://schemas.openxmlformats.org/officeDocument/2006/relationships/hyperlink" Target="http://yahoo.com" TargetMode="External"/><Relationship Id="rId430" Type="http://schemas.openxmlformats.org/officeDocument/2006/relationships/hyperlink" Target="http://scitechdaily.com" TargetMode="External"/><Relationship Id="rId551" Type="http://schemas.openxmlformats.org/officeDocument/2006/relationships/hyperlink" Target="http://yahoo.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abcnews.go.com" TargetMode="External"/><Relationship Id="rId2" Type="http://schemas.openxmlformats.org/officeDocument/2006/relationships/hyperlink" Target="http://accuweather.com" TargetMode="External"/><Relationship Id="rId3" Type="http://schemas.openxmlformats.org/officeDocument/2006/relationships/hyperlink" Target="http://accuweather.com" TargetMode="External"/><Relationship Id="rId4" Type="http://schemas.openxmlformats.org/officeDocument/2006/relationships/hyperlink" Target="http://activebeat.com" TargetMode="External"/><Relationship Id="rId9" Type="http://schemas.openxmlformats.org/officeDocument/2006/relationships/hyperlink" Target="http://androidpolice.com" TargetMode="External"/><Relationship Id="rId143" Type="http://schemas.openxmlformats.org/officeDocument/2006/relationships/hyperlink" Target="http://zdnet.com" TargetMode="External"/><Relationship Id="rId142" Type="http://schemas.openxmlformats.org/officeDocument/2006/relationships/hyperlink" Target="http://yahoo.com" TargetMode="External"/><Relationship Id="rId141" Type="http://schemas.openxmlformats.org/officeDocument/2006/relationships/hyperlink" Target="http://yahoo.com" TargetMode="External"/><Relationship Id="rId140" Type="http://schemas.openxmlformats.org/officeDocument/2006/relationships/hyperlink" Target="http://yahoo.com" TargetMode="External"/><Relationship Id="rId5" Type="http://schemas.openxmlformats.org/officeDocument/2006/relationships/hyperlink" Target="http://activebeat.com" TargetMode="External"/><Relationship Id="rId6" Type="http://schemas.openxmlformats.org/officeDocument/2006/relationships/hyperlink" Target="http://ajc.com" TargetMode="External"/><Relationship Id="rId146" Type="http://schemas.openxmlformats.org/officeDocument/2006/relationships/drawing" Target="../drawings/drawing4.xml"/><Relationship Id="rId7" Type="http://schemas.openxmlformats.org/officeDocument/2006/relationships/hyperlink" Target="http://ajc.com" TargetMode="External"/><Relationship Id="rId145" Type="http://schemas.openxmlformats.org/officeDocument/2006/relationships/hyperlink" Target="http://zillow.com" TargetMode="External"/><Relationship Id="rId8" Type="http://schemas.openxmlformats.org/officeDocument/2006/relationships/hyperlink" Target="http://allrecipes.com" TargetMode="External"/><Relationship Id="rId144" Type="http://schemas.openxmlformats.org/officeDocument/2006/relationships/hyperlink" Target="http://zillow.com" TargetMode="External"/><Relationship Id="rId139" Type="http://schemas.openxmlformats.org/officeDocument/2006/relationships/hyperlink" Target="http://yahoo.com" TargetMode="External"/><Relationship Id="rId138" Type="http://schemas.openxmlformats.org/officeDocument/2006/relationships/hyperlink" Target="http://yahoo.com" TargetMode="External"/><Relationship Id="rId137" Type="http://schemas.openxmlformats.org/officeDocument/2006/relationships/hyperlink" Target="http://yahoo.com" TargetMode="External"/><Relationship Id="rId132" Type="http://schemas.openxmlformats.org/officeDocument/2006/relationships/hyperlink" Target="http://webmd.com" TargetMode="External"/><Relationship Id="rId131" Type="http://schemas.openxmlformats.org/officeDocument/2006/relationships/hyperlink" Target="http://weather.com" TargetMode="External"/><Relationship Id="rId130" Type="http://schemas.openxmlformats.org/officeDocument/2006/relationships/hyperlink" Target="http://weather.com" TargetMode="External"/><Relationship Id="rId136" Type="http://schemas.openxmlformats.org/officeDocument/2006/relationships/hyperlink" Target="http://yahoo.com" TargetMode="External"/><Relationship Id="rId135" Type="http://schemas.openxmlformats.org/officeDocument/2006/relationships/hyperlink" Target="http://wsj.com" TargetMode="External"/><Relationship Id="rId134" Type="http://schemas.openxmlformats.org/officeDocument/2006/relationships/hyperlink" Target="http://wikihow.com" TargetMode="External"/><Relationship Id="rId133" Type="http://schemas.openxmlformats.org/officeDocument/2006/relationships/hyperlink" Target="http://whatismyipaddress.com" TargetMode="External"/><Relationship Id="rId40" Type="http://schemas.openxmlformats.org/officeDocument/2006/relationships/hyperlink" Target="http://ebay.com" TargetMode="External"/><Relationship Id="rId42" Type="http://schemas.openxmlformats.org/officeDocument/2006/relationships/hyperlink" Target="http://ebay.com" TargetMode="External"/><Relationship Id="rId41" Type="http://schemas.openxmlformats.org/officeDocument/2006/relationships/hyperlink" Target="http://ebay.com" TargetMode="External"/><Relationship Id="rId44" Type="http://schemas.openxmlformats.org/officeDocument/2006/relationships/hyperlink" Target="http://factinate.com" TargetMode="External"/><Relationship Id="rId43" Type="http://schemas.openxmlformats.org/officeDocument/2006/relationships/hyperlink" Target="http://evite.com" TargetMode="External"/><Relationship Id="rId46" Type="http://schemas.openxmlformats.org/officeDocument/2006/relationships/hyperlink" Target="http://fandomwire.com" TargetMode="External"/><Relationship Id="rId45" Type="http://schemas.openxmlformats.org/officeDocument/2006/relationships/hyperlink" Target="http://fandom.com" TargetMode="External"/><Relationship Id="rId48" Type="http://schemas.openxmlformats.org/officeDocument/2006/relationships/hyperlink" Target="http://finance.yahoo.com" TargetMode="External"/><Relationship Id="rId47" Type="http://schemas.openxmlformats.org/officeDocument/2006/relationships/hyperlink" Target="http://fandomwire.com" TargetMode="External"/><Relationship Id="rId49" Type="http://schemas.openxmlformats.org/officeDocument/2006/relationships/hyperlink" Target="http://finance.yahoo.com" TargetMode="External"/><Relationship Id="rId31" Type="http://schemas.openxmlformats.org/officeDocument/2006/relationships/hyperlink" Target="http://classmates.com" TargetMode="External"/><Relationship Id="rId30" Type="http://schemas.openxmlformats.org/officeDocument/2006/relationships/hyperlink" Target="http://citationmachine.net" TargetMode="External"/><Relationship Id="rId33" Type="http://schemas.openxmlformats.org/officeDocument/2006/relationships/hyperlink" Target="http://dictionary.com" TargetMode="External"/><Relationship Id="rId32" Type="http://schemas.openxmlformats.org/officeDocument/2006/relationships/hyperlink" Target="http://dafont.com" TargetMode="External"/><Relationship Id="rId35" Type="http://schemas.openxmlformats.org/officeDocument/2006/relationships/hyperlink" Target="http://ebay.com" TargetMode="External"/><Relationship Id="rId34" Type="http://schemas.openxmlformats.org/officeDocument/2006/relationships/hyperlink" Target="http://drugs.com" TargetMode="External"/><Relationship Id="rId37" Type="http://schemas.openxmlformats.org/officeDocument/2006/relationships/hyperlink" Target="http://ebay.com" TargetMode="External"/><Relationship Id="rId36" Type="http://schemas.openxmlformats.org/officeDocument/2006/relationships/hyperlink" Target="http://ebay.com" TargetMode="External"/><Relationship Id="rId39" Type="http://schemas.openxmlformats.org/officeDocument/2006/relationships/hyperlink" Target="http://ebay.com" TargetMode="External"/><Relationship Id="rId38" Type="http://schemas.openxmlformats.org/officeDocument/2006/relationships/hyperlink" Target="http://ebay.com" TargetMode="External"/><Relationship Id="rId20" Type="http://schemas.openxmlformats.org/officeDocument/2006/relationships/hyperlink" Target="http://businessinsider.com" TargetMode="External"/><Relationship Id="rId22" Type="http://schemas.openxmlformats.org/officeDocument/2006/relationships/hyperlink" Target="http://cars.com" TargetMode="External"/><Relationship Id="rId21" Type="http://schemas.openxmlformats.org/officeDocument/2006/relationships/hyperlink" Target="http://buzzfeed.com" TargetMode="External"/><Relationship Id="rId24" Type="http://schemas.openxmlformats.org/officeDocument/2006/relationships/hyperlink" Target="http://cars.com" TargetMode="External"/><Relationship Id="rId23" Type="http://schemas.openxmlformats.org/officeDocument/2006/relationships/hyperlink" Target="http://cars.com" TargetMode="External"/><Relationship Id="rId26" Type="http://schemas.openxmlformats.org/officeDocument/2006/relationships/hyperlink" Target="http://cbsnews.com" TargetMode="External"/><Relationship Id="rId25" Type="http://schemas.openxmlformats.org/officeDocument/2006/relationships/hyperlink" Target="http://cars.com" TargetMode="External"/><Relationship Id="rId28" Type="http://schemas.openxmlformats.org/officeDocument/2006/relationships/hyperlink" Target="http://cbsnews.com" TargetMode="External"/><Relationship Id="rId27" Type="http://schemas.openxmlformats.org/officeDocument/2006/relationships/hyperlink" Target="http://cbsnews.com" TargetMode="External"/><Relationship Id="rId29" Type="http://schemas.openxmlformats.org/officeDocument/2006/relationships/hyperlink" Target="http://cbssports.com" TargetMode="External"/><Relationship Id="rId11" Type="http://schemas.openxmlformats.org/officeDocument/2006/relationships/hyperlink" Target="http://baseball.fantasysports.yahoo.com" TargetMode="External"/><Relationship Id="rId10" Type="http://schemas.openxmlformats.org/officeDocument/2006/relationships/hyperlink" Target="http://aol.com" TargetMode="External"/><Relationship Id="rId13" Type="http://schemas.openxmlformats.org/officeDocument/2006/relationships/hyperlink" Target="http://bbc.com" TargetMode="External"/><Relationship Id="rId12" Type="http://schemas.openxmlformats.org/officeDocument/2006/relationships/hyperlink" Target="http://bbc.com" TargetMode="External"/><Relationship Id="rId15" Type="http://schemas.openxmlformats.org/officeDocument/2006/relationships/hyperlink" Target="http://biblegateway.com" TargetMode="External"/><Relationship Id="rId14" Type="http://schemas.openxmlformats.org/officeDocument/2006/relationships/hyperlink" Target="http://biblegateway.com" TargetMode="External"/><Relationship Id="rId17" Type="http://schemas.openxmlformats.org/officeDocument/2006/relationships/hyperlink" Target="http://biblegateway.com" TargetMode="External"/><Relationship Id="rId16" Type="http://schemas.openxmlformats.org/officeDocument/2006/relationships/hyperlink" Target="http://biblegateway.com" TargetMode="External"/><Relationship Id="rId19" Type="http://schemas.openxmlformats.org/officeDocument/2006/relationships/hyperlink" Target="http://biblegateway.com" TargetMode="External"/><Relationship Id="rId18" Type="http://schemas.openxmlformats.org/officeDocument/2006/relationships/hyperlink" Target="http://biblegateway.com" TargetMode="External"/><Relationship Id="rId84" Type="http://schemas.openxmlformats.org/officeDocument/2006/relationships/hyperlink" Target="http://my.earthlink.net" TargetMode="External"/><Relationship Id="rId83" Type="http://schemas.openxmlformats.org/officeDocument/2006/relationships/hyperlink" Target="http://msn.com" TargetMode="External"/><Relationship Id="rId86" Type="http://schemas.openxmlformats.org/officeDocument/2006/relationships/hyperlink" Target="http://newsmemory.com" TargetMode="External"/><Relationship Id="rId85" Type="http://schemas.openxmlformats.org/officeDocument/2006/relationships/hyperlink" Target="http://nbcchicago.com" TargetMode="External"/><Relationship Id="rId88" Type="http://schemas.openxmlformats.org/officeDocument/2006/relationships/hyperlink" Target="http://outlook.live.com" TargetMode="External"/><Relationship Id="rId87" Type="http://schemas.openxmlformats.org/officeDocument/2006/relationships/hyperlink" Target="http://nypost.com" TargetMode="External"/><Relationship Id="rId89" Type="http://schemas.openxmlformats.org/officeDocument/2006/relationships/hyperlink" Target="http://outlook.live.com" TargetMode="External"/><Relationship Id="rId80" Type="http://schemas.openxmlformats.org/officeDocument/2006/relationships/hyperlink" Target="http://msn.com" TargetMode="External"/><Relationship Id="rId82" Type="http://schemas.openxmlformats.org/officeDocument/2006/relationships/hyperlink" Target="http://msn.com" TargetMode="External"/><Relationship Id="rId81" Type="http://schemas.openxmlformats.org/officeDocument/2006/relationships/hyperlink" Target="http://msn.com" TargetMode="External"/><Relationship Id="rId73" Type="http://schemas.openxmlformats.org/officeDocument/2006/relationships/hyperlink" Target="http://mail.aol.com" TargetMode="External"/><Relationship Id="rId72" Type="http://schemas.openxmlformats.org/officeDocument/2006/relationships/hyperlink" Target="http://mail.aol.com" TargetMode="External"/><Relationship Id="rId75" Type="http://schemas.openxmlformats.org/officeDocument/2006/relationships/hyperlink" Target="http://medicalnewstoday.com" TargetMode="External"/><Relationship Id="rId74" Type="http://schemas.openxmlformats.org/officeDocument/2006/relationships/hyperlink" Target="http://mail.yahoo.com" TargetMode="External"/><Relationship Id="rId77" Type="http://schemas.openxmlformats.org/officeDocument/2006/relationships/hyperlink" Target="http://mlb.com" TargetMode="External"/><Relationship Id="rId76" Type="http://schemas.openxmlformats.org/officeDocument/2006/relationships/hyperlink" Target="http://milb.com" TargetMode="External"/><Relationship Id="rId79" Type="http://schemas.openxmlformats.org/officeDocument/2006/relationships/hyperlink" Target="http://motor-junkie.com" TargetMode="External"/><Relationship Id="rId78" Type="http://schemas.openxmlformats.org/officeDocument/2006/relationships/hyperlink" Target="http://moneyppl.com" TargetMode="External"/><Relationship Id="rId71" Type="http://schemas.openxmlformats.org/officeDocument/2006/relationships/hyperlink" Target="http://mail.aol.com" TargetMode="External"/><Relationship Id="rId70" Type="http://schemas.openxmlformats.org/officeDocument/2006/relationships/hyperlink" Target="http://mail.aol.com" TargetMode="External"/><Relationship Id="rId62" Type="http://schemas.openxmlformats.org/officeDocument/2006/relationships/hyperlink" Target="http://homeaddict.io" TargetMode="External"/><Relationship Id="rId61" Type="http://schemas.openxmlformats.org/officeDocument/2006/relationships/hyperlink" Target="http://greatschools.org" TargetMode="External"/><Relationship Id="rId64" Type="http://schemas.openxmlformats.org/officeDocument/2006/relationships/hyperlink" Target="http://investing.com" TargetMode="External"/><Relationship Id="rId63" Type="http://schemas.openxmlformats.org/officeDocument/2006/relationships/hyperlink" Target="http://homehacks.co" TargetMode="External"/><Relationship Id="rId66" Type="http://schemas.openxmlformats.org/officeDocument/2006/relationships/hyperlink" Target="http://investopedia.com" TargetMode="External"/><Relationship Id="rId65" Type="http://schemas.openxmlformats.org/officeDocument/2006/relationships/hyperlink" Target="http://investmentguru.com" TargetMode="External"/><Relationship Id="rId68" Type="http://schemas.openxmlformats.org/officeDocument/2006/relationships/hyperlink" Target="http://m.timesofindia.com" TargetMode="External"/><Relationship Id="rId67" Type="http://schemas.openxmlformats.org/officeDocument/2006/relationships/hyperlink" Target="http://kbb.com" TargetMode="External"/><Relationship Id="rId60" Type="http://schemas.openxmlformats.org/officeDocument/2006/relationships/hyperlink" Target="http://geeksforgeeks.org" TargetMode="External"/><Relationship Id="rId69" Type="http://schemas.openxmlformats.org/officeDocument/2006/relationships/hyperlink" Target="http://mail.aol.com" TargetMode="External"/><Relationship Id="rId51" Type="http://schemas.openxmlformats.org/officeDocument/2006/relationships/hyperlink" Target="http://findagrave.com" TargetMode="External"/><Relationship Id="rId50" Type="http://schemas.openxmlformats.org/officeDocument/2006/relationships/hyperlink" Target="http://finance.yahoo.com" TargetMode="External"/><Relationship Id="rId53" Type="http://schemas.openxmlformats.org/officeDocument/2006/relationships/hyperlink" Target="http://forbes.com" TargetMode="External"/><Relationship Id="rId52" Type="http://schemas.openxmlformats.org/officeDocument/2006/relationships/hyperlink" Target="http://forbes.com" TargetMode="External"/><Relationship Id="rId55" Type="http://schemas.openxmlformats.org/officeDocument/2006/relationships/hyperlink" Target="http://foxnews.com" TargetMode="External"/><Relationship Id="rId54" Type="http://schemas.openxmlformats.org/officeDocument/2006/relationships/hyperlink" Target="http://foxbusiness.com" TargetMode="External"/><Relationship Id="rId57" Type="http://schemas.openxmlformats.org/officeDocument/2006/relationships/hyperlink" Target="http://foxnews.com" TargetMode="External"/><Relationship Id="rId56" Type="http://schemas.openxmlformats.org/officeDocument/2006/relationships/hyperlink" Target="http://foxnews.com" TargetMode="External"/><Relationship Id="rId59" Type="http://schemas.openxmlformats.org/officeDocument/2006/relationships/hyperlink" Target="http://gamerant.com" TargetMode="External"/><Relationship Id="rId58" Type="http://schemas.openxmlformats.org/officeDocument/2006/relationships/hyperlink" Target="http://foxnews.com" TargetMode="External"/><Relationship Id="rId107" Type="http://schemas.openxmlformats.org/officeDocument/2006/relationships/hyperlink" Target="http://rent.com" TargetMode="External"/><Relationship Id="rId106" Type="http://schemas.openxmlformats.org/officeDocument/2006/relationships/hyperlink" Target="http://reference.com" TargetMode="External"/><Relationship Id="rId105" Type="http://schemas.openxmlformats.org/officeDocument/2006/relationships/hyperlink" Target="http://realtor.com" TargetMode="External"/><Relationship Id="rId104" Type="http://schemas.openxmlformats.org/officeDocument/2006/relationships/hyperlink" Target="http://realtor.com" TargetMode="External"/><Relationship Id="rId109" Type="http://schemas.openxmlformats.org/officeDocument/2006/relationships/hyperlink" Target="http://sallysbakingaddiction.com" TargetMode="External"/><Relationship Id="rId108" Type="http://schemas.openxmlformats.org/officeDocument/2006/relationships/hyperlink" Target="http://rollingstone.com" TargetMode="External"/><Relationship Id="rId103" Type="http://schemas.openxmlformats.org/officeDocument/2006/relationships/hyperlink" Target="http://realtor.com" TargetMode="External"/><Relationship Id="rId102" Type="http://schemas.openxmlformats.org/officeDocument/2006/relationships/hyperlink" Target="http://realtor.com" TargetMode="External"/><Relationship Id="rId101" Type="http://schemas.openxmlformats.org/officeDocument/2006/relationships/hyperlink" Target="http://realtor.com" TargetMode="External"/><Relationship Id="rId100" Type="http://schemas.openxmlformats.org/officeDocument/2006/relationships/hyperlink" Target="http://realtor.com" TargetMode="External"/><Relationship Id="rId129" Type="http://schemas.openxmlformats.org/officeDocument/2006/relationships/hyperlink" Target="http://weather.com" TargetMode="External"/><Relationship Id="rId128" Type="http://schemas.openxmlformats.org/officeDocument/2006/relationships/hyperlink" Target="http://weather.com" TargetMode="External"/><Relationship Id="rId127" Type="http://schemas.openxmlformats.org/officeDocument/2006/relationships/hyperlink" Target="http://w3schools.com" TargetMode="External"/><Relationship Id="rId126" Type="http://schemas.openxmlformats.org/officeDocument/2006/relationships/hyperlink" Target="http://travelerdreams.com" TargetMode="External"/><Relationship Id="rId121" Type="http://schemas.openxmlformats.org/officeDocument/2006/relationships/hyperlink" Target="http://thesaurus.com" TargetMode="External"/><Relationship Id="rId120" Type="http://schemas.openxmlformats.org/officeDocument/2006/relationships/hyperlink" Target="http://thesaurus.com" TargetMode="External"/><Relationship Id="rId125" Type="http://schemas.openxmlformats.org/officeDocument/2006/relationships/hyperlink" Target="http://topclassactions.com" TargetMode="External"/><Relationship Id="rId124" Type="http://schemas.openxmlformats.org/officeDocument/2006/relationships/hyperlink" Target="http://tomsguide.com" TargetMode="External"/><Relationship Id="rId123" Type="http://schemas.openxmlformats.org/officeDocument/2006/relationships/hyperlink" Target="http://timeanddate.com" TargetMode="External"/><Relationship Id="rId122" Type="http://schemas.openxmlformats.org/officeDocument/2006/relationships/hyperlink" Target="http://the-sun.com" TargetMode="External"/><Relationship Id="rId95" Type="http://schemas.openxmlformats.org/officeDocument/2006/relationships/hyperlink" Target="http://poshland.com" TargetMode="External"/><Relationship Id="rId94" Type="http://schemas.openxmlformats.org/officeDocument/2006/relationships/hyperlink" Target="http://politico.com" TargetMode="External"/><Relationship Id="rId97" Type="http://schemas.openxmlformats.org/officeDocument/2006/relationships/hyperlink" Target="http://ranker.com" TargetMode="External"/><Relationship Id="rId96" Type="http://schemas.openxmlformats.org/officeDocument/2006/relationships/hyperlink" Target="http://poshland.com" TargetMode="External"/><Relationship Id="rId99" Type="http://schemas.openxmlformats.org/officeDocument/2006/relationships/hyperlink" Target="http://realtor.com" TargetMode="External"/><Relationship Id="rId98" Type="http://schemas.openxmlformats.org/officeDocument/2006/relationships/hyperlink" Target="http://realtor.com" TargetMode="External"/><Relationship Id="rId91" Type="http://schemas.openxmlformats.org/officeDocument/2006/relationships/hyperlink" Target="http://outlook.live.com" TargetMode="External"/><Relationship Id="rId90" Type="http://schemas.openxmlformats.org/officeDocument/2006/relationships/hyperlink" Target="http://outlook.live.com" TargetMode="External"/><Relationship Id="rId93" Type="http://schemas.openxmlformats.org/officeDocument/2006/relationships/hyperlink" Target="http://people.com" TargetMode="External"/><Relationship Id="rId92" Type="http://schemas.openxmlformats.org/officeDocument/2006/relationships/hyperlink" Target="http://pandora.com" TargetMode="External"/><Relationship Id="rId118" Type="http://schemas.openxmlformats.org/officeDocument/2006/relationships/hyperlink" Target="http://streetinsider.com" TargetMode="External"/><Relationship Id="rId117" Type="http://schemas.openxmlformats.org/officeDocument/2006/relationships/hyperlink" Target="http://sportpirate.com" TargetMode="External"/><Relationship Id="rId116" Type="http://schemas.openxmlformats.org/officeDocument/2006/relationships/hyperlink" Target="http://slickdeals.net" TargetMode="External"/><Relationship Id="rId115" Type="http://schemas.openxmlformats.org/officeDocument/2006/relationships/hyperlink" Target="http://signupgenius.com" TargetMode="External"/><Relationship Id="rId119" Type="http://schemas.openxmlformats.org/officeDocument/2006/relationships/hyperlink" Target="http://streetinsider.com" TargetMode="External"/><Relationship Id="rId110" Type="http://schemas.openxmlformats.org/officeDocument/2006/relationships/hyperlink" Target="http://screenrant.com" TargetMode="External"/><Relationship Id="rId114" Type="http://schemas.openxmlformats.org/officeDocument/2006/relationships/hyperlink" Target="http://signupgenius.com" TargetMode="External"/><Relationship Id="rId113" Type="http://schemas.openxmlformats.org/officeDocument/2006/relationships/hyperlink" Target="http://signupgenius.com" TargetMode="External"/><Relationship Id="rId112" Type="http://schemas.openxmlformats.org/officeDocument/2006/relationships/hyperlink" Target="http://semana.com" TargetMode="External"/><Relationship Id="rId111" Type="http://schemas.openxmlformats.org/officeDocument/2006/relationships/hyperlink" Target="http://screenrant.com"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ebay.com" TargetMode="External"/><Relationship Id="rId194" Type="http://schemas.openxmlformats.org/officeDocument/2006/relationships/hyperlink" Target="http://ebay.com" TargetMode="External"/><Relationship Id="rId193" Type="http://schemas.openxmlformats.org/officeDocument/2006/relationships/hyperlink" Target="http://ebay.com" TargetMode="External"/><Relationship Id="rId192" Type="http://schemas.openxmlformats.org/officeDocument/2006/relationships/hyperlink" Target="http://ebay.com" TargetMode="External"/><Relationship Id="rId191" Type="http://schemas.openxmlformats.org/officeDocument/2006/relationships/hyperlink" Target="http://ebay.com" TargetMode="External"/><Relationship Id="rId187" Type="http://schemas.openxmlformats.org/officeDocument/2006/relationships/hyperlink" Target="http://ebay.com" TargetMode="External"/><Relationship Id="rId186" Type="http://schemas.openxmlformats.org/officeDocument/2006/relationships/hyperlink" Target="http://ebay.com" TargetMode="External"/><Relationship Id="rId185" Type="http://schemas.openxmlformats.org/officeDocument/2006/relationships/hyperlink" Target="http://ebay.com" TargetMode="External"/><Relationship Id="rId184" Type="http://schemas.openxmlformats.org/officeDocument/2006/relationships/hyperlink" Target="http://ebay.com" TargetMode="External"/><Relationship Id="rId189" Type="http://schemas.openxmlformats.org/officeDocument/2006/relationships/hyperlink" Target="http://ebay.com" TargetMode="External"/><Relationship Id="rId188" Type="http://schemas.openxmlformats.org/officeDocument/2006/relationships/hyperlink" Target="http://ebay.com" TargetMode="External"/><Relationship Id="rId183" Type="http://schemas.openxmlformats.org/officeDocument/2006/relationships/hyperlink" Target="http://ebay.com" TargetMode="External"/><Relationship Id="rId182" Type="http://schemas.openxmlformats.org/officeDocument/2006/relationships/hyperlink" Target="http://ebay.com" TargetMode="External"/><Relationship Id="rId181" Type="http://schemas.openxmlformats.org/officeDocument/2006/relationships/hyperlink" Target="http://ebay.com" TargetMode="External"/><Relationship Id="rId180" Type="http://schemas.openxmlformats.org/officeDocument/2006/relationships/hyperlink" Target="http://ebay.com" TargetMode="External"/><Relationship Id="rId176" Type="http://schemas.openxmlformats.org/officeDocument/2006/relationships/hyperlink" Target="http://ebay.com" TargetMode="External"/><Relationship Id="rId297" Type="http://schemas.openxmlformats.org/officeDocument/2006/relationships/hyperlink" Target="http://insidethemagic.net" TargetMode="External"/><Relationship Id="rId175" Type="http://schemas.openxmlformats.org/officeDocument/2006/relationships/hyperlink" Target="http://ebay.com" TargetMode="External"/><Relationship Id="rId296" Type="http://schemas.openxmlformats.org/officeDocument/2006/relationships/hyperlink" Target="http://insider.com" TargetMode="External"/><Relationship Id="rId174" Type="http://schemas.openxmlformats.org/officeDocument/2006/relationships/hyperlink" Target="http://ebay.com" TargetMode="External"/><Relationship Id="rId295" Type="http://schemas.openxmlformats.org/officeDocument/2006/relationships/hyperlink" Target="http://insider.com" TargetMode="External"/><Relationship Id="rId173" Type="http://schemas.openxmlformats.org/officeDocument/2006/relationships/hyperlink" Target="http://ebay.com" TargetMode="External"/><Relationship Id="rId294" Type="http://schemas.openxmlformats.org/officeDocument/2006/relationships/hyperlink" Target="http://insider.com" TargetMode="External"/><Relationship Id="rId179" Type="http://schemas.openxmlformats.org/officeDocument/2006/relationships/hyperlink" Target="http://ebay.com" TargetMode="External"/><Relationship Id="rId178" Type="http://schemas.openxmlformats.org/officeDocument/2006/relationships/hyperlink" Target="http://ebay.com" TargetMode="External"/><Relationship Id="rId299" Type="http://schemas.openxmlformats.org/officeDocument/2006/relationships/hyperlink" Target="http://investing.com" TargetMode="External"/><Relationship Id="rId177" Type="http://schemas.openxmlformats.org/officeDocument/2006/relationships/hyperlink" Target="http://ebay.com" TargetMode="External"/><Relationship Id="rId298" Type="http://schemas.openxmlformats.org/officeDocument/2006/relationships/hyperlink" Target="http://investing.com" TargetMode="External"/><Relationship Id="rId198" Type="http://schemas.openxmlformats.org/officeDocument/2006/relationships/hyperlink" Target="http://ebay.com" TargetMode="External"/><Relationship Id="rId197" Type="http://schemas.openxmlformats.org/officeDocument/2006/relationships/hyperlink" Target="http://ebay.com" TargetMode="External"/><Relationship Id="rId196" Type="http://schemas.openxmlformats.org/officeDocument/2006/relationships/hyperlink" Target="http://ebay.com" TargetMode="External"/><Relationship Id="rId195" Type="http://schemas.openxmlformats.org/officeDocument/2006/relationships/hyperlink" Target="http://ebay.com" TargetMode="External"/><Relationship Id="rId199" Type="http://schemas.openxmlformats.org/officeDocument/2006/relationships/hyperlink" Target="http://editorsnation.com" TargetMode="External"/><Relationship Id="rId150" Type="http://schemas.openxmlformats.org/officeDocument/2006/relationships/hyperlink" Target="http://dailymail.co.uk/news" TargetMode="External"/><Relationship Id="rId271" Type="http://schemas.openxmlformats.org/officeDocument/2006/relationships/hyperlink" Target="http://geeksforgeeks.org" TargetMode="External"/><Relationship Id="rId392" Type="http://schemas.openxmlformats.org/officeDocument/2006/relationships/hyperlink" Target="http://mlb.com" TargetMode="External"/><Relationship Id="rId270" Type="http://schemas.openxmlformats.org/officeDocument/2006/relationships/hyperlink" Target="http://gamingbible.com" TargetMode="External"/><Relationship Id="rId391" Type="http://schemas.openxmlformats.org/officeDocument/2006/relationships/hyperlink" Target="http://mlb.com" TargetMode="External"/><Relationship Id="rId390" Type="http://schemas.openxmlformats.org/officeDocument/2006/relationships/hyperlink" Target="http://mlb.com" TargetMode="External"/><Relationship Id="rId1" Type="http://schemas.openxmlformats.org/officeDocument/2006/relationships/hyperlink" Target="http://abcnews.go.com" TargetMode="External"/><Relationship Id="rId2" Type="http://schemas.openxmlformats.org/officeDocument/2006/relationships/hyperlink" Target="http://accuweather.com" TargetMode="External"/><Relationship Id="rId3" Type="http://schemas.openxmlformats.org/officeDocument/2006/relationships/hyperlink" Target="http://accuweather.com" TargetMode="External"/><Relationship Id="rId149" Type="http://schemas.openxmlformats.org/officeDocument/2006/relationships/hyperlink" Target="http://dailymail.co.uk/news" TargetMode="External"/><Relationship Id="rId4" Type="http://schemas.openxmlformats.org/officeDocument/2006/relationships/hyperlink" Target="http://accuweather.com" TargetMode="External"/><Relationship Id="rId148" Type="http://schemas.openxmlformats.org/officeDocument/2006/relationships/hyperlink" Target="http://dailyhodl.com" TargetMode="External"/><Relationship Id="rId269" Type="http://schemas.openxmlformats.org/officeDocument/2006/relationships/hyperlink" Target="http://gamespot.com" TargetMode="External"/><Relationship Id="rId9" Type="http://schemas.openxmlformats.org/officeDocument/2006/relationships/hyperlink" Target="http://accuweather.com" TargetMode="External"/><Relationship Id="rId143" Type="http://schemas.openxmlformats.org/officeDocument/2006/relationships/hyperlink" Target="http://dafont.com" TargetMode="External"/><Relationship Id="rId264" Type="http://schemas.openxmlformats.org/officeDocument/2006/relationships/hyperlink" Target="http://foxnews.com" TargetMode="External"/><Relationship Id="rId385" Type="http://schemas.openxmlformats.org/officeDocument/2006/relationships/hyperlink" Target="http://microsoftcasualgames.com" TargetMode="External"/><Relationship Id="rId142" Type="http://schemas.openxmlformats.org/officeDocument/2006/relationships/hyperlink" Target="http://culturess.com" TargetMode="External"/><Relationship Id="rId263" Type="http://schemas.openxmlformats.org/officeDocument/2006/relationships/hyperlink" Target="http://foxnews.com" TargetMode="External"/><Relationship Id="rId384" Type="http://schemas.openxmlformats.org/officeDocument/2006/relationships/hyperlink" Target="http://miamiherald.com" TargetMode="External"/><Relationship Id="rId141" Type="http://schemas.openxmlformats.org/officeDocument/2006/relationships/hyperlink" Target="http://culinaryhill.com" TargetMode="External"/><Relationship Id="rId262" Type="http://schemas.openxmlformats.org/officeDocument/2006/relationships/hyperlink" Target="http://foxnews.com" TargetMode="External"/><Relationship Id="rId383" Type="http://schemas.openxmlformats.org/officeDocument/2006/relationships/hyperlink" Target="http://miamiherald.com" TargetMode="External"/><Relationship Id="rId140" Type="http://schemas.openxmlformats.org/officeDocument/2006/relationships/hyperlink" Target="http://commercialappeal.com" TargetMode="External"/><Relationship Id="rId261" Type="http://schemas.openxmlformats.org/officeDocument/2006/relationships/hyperlink" Target="http://foxnews.com" TargetMode="External"/><Relationship Id="rId382" Type="http://schemas.openxmlformats.org/officeDocument/2006/relationships/hyperlink" Target="http://merriam-webster.com/dictionary" TargetMode="External"/><Relationship Id="rId5" Type="http://schemas.openxmlformats.org/officeDocument/2006/relationships/hyperlink" Target="http://accuweather.com" TargetMode="External"/><Relationship Id="rId147" Type="http://schemas.openxmlformats.org/officeDocument/2006/relationships/hyperlink" Target="http://dailydot.com" TargetMode="External"/><Relationship Id="rId268" Type="http://schemas.openxmlformats.org/officeDocument/2006/relationships/hyperlink" Target="http://gamerant.com" TargetMode="External"/><Relationship Id="rId389" Type="http://schemas.openxmlformats.org/officeDocument/2006/relationships/hyperlink" Target="http://milb.com" TargetMode="External"/><Relationship Id="rId6" Type="http://schemas.openxmlformats.org/officeDocument/2006/relationships/hyperlink" Target="http://accuweather.com" TargetMode="External"/><Relationship Id="rId146" Type="http://schemas.openxmlformats.org/officeDocument/2006/relationships/hyperlink" Target="http://daily-choices.com" TargetMode="External"/><Relationship Id="rId267" Type="http://schemas.openxmlformats.org/officeDocument/2006/relationships/hyperlink" Target="http://gamerant.com" TargetMode="External"/><Relationship Id="rId388" Type="http://schemas.openxmlformats.org/officeDocument/2006/relationships/hyperlink" Target="http://microsoftcasualgames.com" TargetMode="External"/><Relationship Id="rId7" Type="http://schemas.openxmlformats.org/officeDocument/2006/relationships/hyperlink" Target="http://accuweather.com" TargetMode="External"/><Relationship Id="rId145" Type="http://schemas.openxmlformats.org/officeDocument/2006/relationships/hyperlink" Target="http://daily-choices.com" TargetMode="External"/><Relationship Id="rId266" Type="http://schemas.openxmlformats.org/officeDocument/2006/relationships/hyperlink" Target="http://gameofglam.com" TargetMode="External"/><Relationship Id="rId387" Type="http://schemas.openxmlformats.org/officeDocument/2006/relationships/hyperlink" Target="http://microsoftcasualgames.com" TargetMode="External"/><Relationship Id="rId8" Type="http://schemas.openxmlformats.org/officeDocument/2006/relationships/hyperlink" Target="http://accuweather.com" TargetMode="External"/><Relationship Id="rId144" Type="http://schemas.openxmlformats.org/officeDocument/2006/relationships/hyperlink" Target="http://dailybee.com" TargetMode="External"/><Relationship Id="rId265" Type="http://schemas.openxmlformats.org/officeDocument/2006/relationships/hyperlink" Target="http://funnyand.com" TargetMode="External"/><Relationship Id="rId386" Type="http://schemas.openxmlformats.org/officeDocument/2006/relationships/hyperlink" Target="http://microsoftcasualgames.com" TargetMode="External"/><Relationship Id="rId260" Type="http://schemas.openxmlformats.org/officeDocument/2006/relationships/hyperlink" Target="http://foxnews.com" TargetMode="External"/><Relationship Id="rId381" Type="http://schemas.openxmlformats.org/officeDocument/2006/relationships/hyperlink" Target="http://merriam-webster.com/dictionary" TargetMode="External"/><Relationship Id="rId380" Type="http://schemas.openxmlformats.org/officeDocument/2006/relationships/hyperlink" Target="http://merriam-webster.com" TargetMode="External"/><Relationship Id="rId139" Type="http://schemas.openxmlformats.org/officeDocument/2006/relationships/hyperlink" Target="http://cnn.com" TargetMode="External"/><Relationship Id="rId138" Type="http://schemas.openxmlformats.org/officeDocument/2006/relationships/hyperlink" Target="http://cnn.com" TargetMode="External"/><Relationship Id="rId259" Type="http://schemas.openxmlformats.org/officeDocument/2006/relationships/hyperlink" Target="http://foxnews.com" TargetMode="External"/><Relationship Id="rId137" Type="http://schemas.openxmlformats.org/officeDocument/2006/relationships/hyperlink" Target="http://cnn.com" TargetMode="External"/><Relationship Id="rId258" Type="http://schemas.openxmlformats.org/officeDocument/2006/relationships/hyperlink" Target="http://foxnews.com" TargetMode="External"/><Relationship Id="rId379" Type="http://schemas.openxmlformats.org/officeDocument/2006/relationships/hyperlink" Target="http://medicalnewstoday.com" TargetMode="External"/><Relationship Id="rId132" Type="http://schemas.openxmlformats.org/officeDocument/2006/relationships/hyperlink" Target="http://cnn.com" TargetMode="External"/><Relationship Id="rId253" Type="http://schemas.openxmlformats.org/officeDocument/2006/relationships/hyperlink" Target="http://foxbusiness.com" TargetMode="External"/><Relationship Id="rId374" Type="http://schemas.openxmlformats.org/officeDocument/2006/relationships/hyperlink" Target="http://maxroll.gg" TargetMode="External"/><Relationship Id="rId495" Type="http://schemas.openxmlformats.org/officeDocument/2006/relationships/hyperlink" Target="http://poshland.com" TargetMode="External"/><Relationship Id="rId131" Type="http://schemas.openxmlformats.org/officeDocument/2006/relationships/hyperlink" Target="http://cnet.com" TargetMode="External"/><Relationship Id="rId252" Type="http://schemas.openxmlformats.org/officeDocument/2006/relationships/hyperlink" Target="http://fox59.com" TargetMode="External"/><Relationship Id="rId373" Type="http://schemas.openxmlformats.org/officeDocument/2006/relationships/hyperlink" Target="http://marca.com" TargetMode="External"/><Relationship Id="rId494" Type="http://schemas.openxmlformats.org/officeDocument/2006/relationships/hyperlink" Target="http://politico.com" TargetMode="External"/><Relationship Id="rId130" Type="http://schemas.openxmlformats.org/officeDocument/2006/relationships/hyperlink" Target="http://cnet.com" TargetMode="External"/><Relationship Id="rId251" Type="http://schemas.openxmlformats.org/officeDocument/2006/relationships/hyperlink" Target="http://fortune.com" TargetMode="External"/><Relationship Id="rId372" Type="http://schemas.openxmlformats.org/officeDocument/2006/relationships/hyperlink" Target="http://marca.com" TargetMode="External"/><Relationship Id="rId493" Type="http://schemas.openxmlformats.org/officeDocument/2006/relationships/hyperlink" Target="http://politico.com" TargetMode="External"/><Relationship Id="rId250" Type="http://schemas.openxmlformats.org/officeDocument/2006/relationships/hyperlink" Target="http://forbes.com" TargetMode="External"/><Relationship Id="rId371" Type="http://schemas.openxmlformats.org/officeDocument/2006/relationships/hyperlink" Target="http://mapquest.com" TargetMode="External"/><Relationship Id="rId492" Type="http://schemas.openxmlformats.org/officeDocument/2006/relationships/hyperlink" Target="http://phys.org" TargetMode="External"/><Relationship Id="rId136" Type="http://schemas.openxmlformats.org/officeDocument/2006/relationships/hyperlink" Target="http://cnn.com" TargetMode="External"/><Relationship Id="rId257" Type="http://schemas.openxmlformats.org/officeDocument/2006/relationships/hyperlink" Target="http://foxnews.com" TargetMode="External"/><Relationship Id="rId378" Type="http://schemas.openxmlformats.org/officeDocument/2006/relationships/hyperlink" Target="http://medicalnewstoday.com" TargetMode="External"/><Relationship Id="rId499" Type="http://schemas.openxmlformats.org/officeDocument/2006/relationships/hyperlink" Target="http://ranker.com" TargetMode="External"/><Relationship Id="rId135" Type="http://schemas.openxmlformats.org/officeDocument/2006/relationships/hyperlink" Target="http://cnn.com" TargetMode="External"/><Relationship Id="rId256" Type="http://schemas.openxmlformats.org/officeDocument/2006/relationships/hyperlink" Target="http://foxnews.com" TargetMode="External"/><Relationship Id="rId377" Type="http://schemas.openxmlformats.org/officeDocument/2006/relationships/hyperlink" Target="http://medicalnewstoday.com" TargetMode="External"/><Relationship Id="rId498" Type="http://schemas.openxmlformats.org/officeDocument/2006/relationships/hyperlink" Target="http://poshland.com" TargetMode="External"/><Relationship Id="rId134" Type="http://schemas.openxmlformats.org/officeDocument/2006/relationships/hyperlink" Target="http://cnn.com" TargetMode="External"/><Relationship Id="rId255" Type="http://schemas.openxmlformats.org/officeDocument/2006/relationships/hyperlink" Target="http://foxnews.com" TargetMode="External"/><Relationship Id="rId376" Type="http://schemas.openxmlformats.org/officeDocument/2006/relationships/hyperlink" Target="http://medical-news.org" TargetMode="External"/><Relationship Id="rId497" Type="http://schemas.openxmlformats.org/officeDocument/2006/relationships/hyperlink" Target="http://poshland.com" TargetMode="External"/><Relationship Id="rId133" Type="http://schemas.openxmlformats.org/officeDocument/2006/relationships/hyperlink" Target="http://cnn.com" TargetMode="External"/><Relationship Id="rId254" Type="http://schemas.openxmlformats.org/officeDocument/2006/relationships/hyperlink" Target="http://foxnews.com" TargetMode="External"/><Relationship Id="rId375" Type="http://schemas.openxmlformats.org/officeDocument/2006/relationships/hyperlink" Target="http://mayoclinic.org" TargetMode="External"/><Relationship Id="rId496" Type="http://schemas.openxmlformats.org/officeDocument/2006/relationships/hyperlink" Target="http://poshland.com" TargetMode="External"/><Relationship Id="rId172" Type="http://schemas.openxmlformats.org/officeDocument/2006/relationships/hyperlink" Target="http://ebay.com" TargetMode="External"/><Relationship Id="rId293" Type="http://schemas.openxmlformats.org/officeDocument/2006/relationships/hyperlink" Target="http://ign.com" TargetMode="External"/><Relationship Id="rId171" Type="http://schemas.openxmlformats.org/officeDocument/2006/relationships/hyperlink" Target="http://ebay.com" TargetMode="External"/><Relationship Id="rId292" Type="http://schemas.openxmlformats.org/officeDocument/2006/relationships/hyperlink" Target="http://ign.com" TargetMode="External"/><Relationship Id="rId170" Type="http://schemas.openxmlformats.org/officeDocument/2006/relationships/hyperlink" Target="http://ebay.com" TargetMode="External"/><Relationship Id="rId291" Type="http://schemas.openxmlformats.org/officeDocument/2006/relationships/hyperlink" Target="http://ign.com" TargetMode="External"/><Relationship Id="rId290" Type="http://schemas.openxmlformats.org/officeDocument/2006/relationships/hyperlink" Target="http://iflscience.com" TargetMode="External"/><Relationship Id="rId165" Type="http://schemas.openxmlformats.org/officeDocument/2006/relationships/hyperlink" Target="http://drugs.com" TargetMode="External"/><Relationship Id="rId286" Type="http://schemas.openxmlformats.org/officeDocument/2006/relationships/hyperlink" Target="http://homehacks.co" TargetMode="External"/><Relationship Id="rId164" Type="http://schemas.openxmlformats.org/officeDocument/2006/relationships/hyperlink" Target="http://drugs.com" TargetMode="External"/><Relationship Id="rId285" Type="http://schemas.openxmlformats.org/officeDocument/2006/relationships/hyperlink" Target="http://homeaddict.io" TargetMode="External"/><Relationship Id="rId163" Type="http://schemas.openxmlformats.org/officeDocument/2006/relationships/hyperlink" Target="http://drugs.com" TargetMode="External"/><Relationship Id="rId284" Type="http://schemas.openxmlformats.org/officeDocument/2006/relationships/hyperlink" Target="http://historycollection.com" TargetMode="External"/><Relationship Id="rId162" Type="http://schemas.openxmlformats.org/officeDocument/2006/relationships/hyperlink" Target="http://drugs.com" TargetMode="External"/><Relationship Id="rId283" Type="http://schemas.openxmlformats.org/officeDocument/2006/relationships/hyperlink" Target="http://historyallday.com" TargetMode="External"/><Relationship Id="rId169" Type="http://schemas.openxmlformats.org/officeDocument/2006/relationships/hyperlink" Target="http://ebay.com" TargetMode="External"/><Relationship Id="rId168" Type="http://schemas.openxmlformats.org/officeDocument/2006/relationships/hyperlink" Target="http://ebay.com" TargetMode="External"/><Relationship Id="rId289" Type="http://schemas.openxmlformats.org/officeDocument/2006/relationships/hyperlink" Target="http://icy-veins.com" TargetMode="External"/><Relationship Id="rId167" Type="http://schemas.openxmlformats.org/officeDocument/2006/relationships/hyperlink" Target="http://ebay.com" TargetMode="External"/><Relationship Id="rId288" Type="http://schemas.openxmlformats.org/officeDocument/2006/relationships/hyperlink" Target="http://icy-veins.com" TargetMode="External"/><Relationship Id="rId166" Type="http://schemas.openxmlformats.org/officeDocument/2006/relationships/hyperlink" Target="http://drugs.com" TargetMode="External"/><Relationship Id="rId287" Type="http://schemas.openxmlformats.org/officeDocument/2006/relationships/hyperlink" Target="http://houseplans.net" TargetMode="External"/><Relationship Id="rId161" Type="http://schemas.openxmlformats.org/officeDocument/2006/relationships/hyperlink" Target="http://dotesports.com" TargetMode="External"/><Relationship Id="rId282" Type="http://schemas.openxmlformats.org/officeDocument/2006/relationships/hyperlink" Target="http://hindustantimes.com" TargetMode="External"/><Relationship Id="rId160" Type="http://schemas.openxmlformats.org/officeDocument/2006/relationships/hyperlink" Target="http://doodle.com" TargetMode="External"/><Relationship Id="rId281" Type="http://schemas.openxmlformats.org/officeDocument/2006/relationships/hyperlink" Target="http://hindustantimes.com" TargetMode="External"/><Relationship Id="rId280" Type="http://schemas.openxmlformats.org/officeDocument/2006/relationships/hyperlink" Target="http://heraldweekly.com" TargetMode="External"/><Relationship Id="rId159" Type="http://schemas.openxmlformats.org/officeDocument/2006/relationships/hyperlink" Target="http://doctoreport.com" TargetMode="External"/><Relationship Id="rId154" Type="http://schemas.openxmlformats.org/officeDocument/2006/relationships/hyperlink" Target="http://dexerto.com" TargetMode="External"/><Relationship Id="rId275" Type="http://schemas.openxmlformats.org/officeDocument/2006/relationships/hyperlink" Target="http://greatschools.org" TargetMode="External"/><Relationship Id="rId396" Type="http://schemas.openxmlformats.org/officeDocument/2006/relationships/hyperlink" Target="http://mobileposse.com" TargetMode="External"/><Relationship Id="rId153" Type="http://schemas.openxmlformats.org/officeDocument/2006/relationships/hyperlink" Target="http://dailymail.co.uk/tvshowbiz" TargetMode="External"/><Relationship Id="rId274" Type="http://schemas.openxmlformats.org/officeDocument/2006/relationships/hyperlink" Target="http://geeksforgeeks.org" TargetMode="External"/><Relationship Id="rId395" Type="http://schemas.openxmlformats.org/officeDocument/2006/relationships/hyperlink" Target="http://mlb.com" TargetMode="External"/><Relationship Id="rId152" Type="http://schemas.openxmlformats.org/officeDocument/2006/relationships/hyperlink" Target="http://dailymail.co.uk/tvshowbiz" TargetMode="External"/><Relationship Id="rId273" Type="http://schemas.openxmlformats.org/officeDocument/2006/relationships/hyperlink" Target="http://geeksforgeeks.org" TargetMode="External"/><Relationship Id="rId394" Type="http://schemas.openxmlformats.org/officeDocument/2006/relationships/hyperlink" Target="http://mlb.com" TargetMode="External"/><Relationship Id="rId151" Type="http://schemas.openxmlformats.org/officeDocument/2006/relationships/hyperlink" Target="http://dailymail.co.uk/tvshowbiz" TargetMode="External"/><Relationship Id="rId272" Type="http://schemas.openxmlformats.org/officeDocument/2006/relationships/hyperlink" Target="http://geeksforgeeks.org" TargetMode="External"/><Relationship Id="rId393" Type="http://schemas.openxmlformats.org/officeDocument/2006/relationships/hyperlink" Target="http://mlb.com" TargetMode="External"/><Relationship Id="rId158" Type="http://schemas.openxmlformats.org/officeDocument/2006/relationships/hyperlink" Target="http://dmv.org" TargetMode="External"/><Relationship Id="rId279" Type="http://schemas.openxmlformats.org/officeDocument/2006/relationships/hyperlink" Target="http://healthyrecipesblogs.com" TargetMode="External"/><Relationship Id="rId157" Type="http://schemas.openxmlformats.org/officeDocument/2006/relationships/hyperlink" Target="http://dinneratthezoo.com" TargetMode="External"/><Relationship Id="rId278" Type="http://schemas.openxmlformats.org/officeDocument/2006/relationships/hyperlink" Target="http://healthline.com" TargetMode="External"/><Relationship Id="rId399" Type="http://schemas.openxmlformats.org/officeDocument/2006/relationships/hyperlink" Target="http://msn.com" TargetMode="External"/><Relationship Id="rId156" Type="http://schemas.openxmlformats.org/officeDocument/2006/relationships/hyperlink" Target="http://dictionary.com" TargetMode="External"/><Relationship Id="rId277" Type="http://schemas.openxmlformats.org/officeDocument/2006/relationships/hyperlink" Target="http://health.usnews.com" TargetMode="External"/><Relationship Id="rId398" Type="http://schemas.openxmlformats.org/officeDocument/2006/relationships/hyperlink" Target="http://motor-junkie.com" TargetMode="External"/><Relationship Id="rId155" Type="http://schemas.openxmlformats.org/officeDocument/2006/relationships/hyperlink" Target="http://dictionary.com" TargetMode="External"/><Relationship Id="rId276" Type="http://schemas.openxmlformats.org/officeDocument/2006/relationships/hyperlink" Target="http://greedyfinance.com" TargetMode="External"/><Relationship Id="rId397" Type="http://schemas.openxmlformats.org/officeDocument/2006/relationships/hyperlink" Target="http://moneyppl.com" TargetMode="External"/><Relationship Id="rId40" Type="http://schemas.openxmlformats.org/officeDocument/2006/relationships/hyperlink" Target="http://autotrader.com" TargetMode="External"/><Relationship Id="rId42" Type="http://schemas.openxmlformats.org/officeDocument/2006/relationships/hyperlink" Target="http://baseball.fantasysports.yahoo.com" TargetMode="External"/><Relationship Id="rId41" Type="http://schemas.openxmlformats.org/officeDocument/2006/relationships/hyperlink" Target="http://a-z-animals.com" TargetMode="External"/><Relationship Id="rId44" Type="http://schemas.openxmlformats.org/officeDocument/2006/relationships/hyperlink" Target="http://bbc.com" TargetMode="External"/><Relationship Id="rId43" Type="http://schemas.openxmlformats.org/officeDocument/2006/relationships/hyperlink" Target="http://baseball-reference.com" TargetMode="External"/><Relationship Id="rId46" Type="http://schemas.openxmlformats.org/officeDocument/2006/relationships/hyperlink" Target="http://bbc.com" TargetMode="External"/><Relationship Id="rId45" Type="http://schemas.openxmlformats.org/officeDocument/2006/relationships/hyperlink" Target="http://bbc.com" TargetMode="External"/><Relationship Id="rId509" Type="http://schemas.openxmlformats.org/officeDocument/2006/relationships/hyperlink" Target="http://realtor.com" TargetMode="External"/><Relationship Id="rId508" Type="http://schemas.openxmlformats.org/officeDocument/2006/relationships/hyperlink" Target="http://realtor.com" TargetMode="External"/><Relationship Id="rId629" Type="http://schemas.openxmlformats.org/officeDocument/2006/relationships/hyperlink" Target="http://weather.com" TargetMode="External"/><Relationship Id="rId503" Type="http://schemas.openxmlformats.org/officeDocument/2006/relationships/hyperlink" Target="http://realtor.com" TargetMode="External"/><Relationship Id="rId624" Type="http://schemas.openxmlformats.org/officeDocument/2006/relationships/hyperlink" Target="http://weather.com" TargetMode="External"/><Relationship Id="rId502" Type="http://schemas.openxmlformats.org/officeDocument/2006/relationships/hyperlink" Target="http://realtor.com" TargetMode="External"/><Relationship Id="rId623" Type="http://schemas.openxmlformats.org/officeDocument/2006/relationships/hyperlink" Target="http://washingtonpost.com" TargetMode="External"/><Relationship Id="rId501" Type="http://schemas.openxmlformats.org/officeDocument/2006/relationships/hyperlink" Target="http://realtor.com" TargetMode="External"/><Relationship Id="rId622" Type="http://schemas.openxmlformats.org/officeDocument/2006/relationships/hyperlink" Target="http://w3schools.com" TargetMode="External"/><Relationship Id="rId500" Type="http://schemas.openxmlformats.org/officeDocument/2006/relationships/hyperlink" Target="http://ranker.com" TargetMode="External"/><Relationship Id="rId621" Type="http://schemas.openxmlformats.org/officeDocument/2006/relationships/hyperlink" Target="http://w3schools.com" TargetMode="External"/><Relationship Id="rId507" Type="http://schemas.openxmlformats.org/officeDocument/2006/relationships/hyperlink" Target="http://realtor.com" TargetMode="External"/><Relationship Id="rId628" Type="http://schemas.openxmlformats.org/officeDocument/2006/relationships/hyperlink" Target="http://weather.com" TargetMode="External"/><Relationship Id="rId506" Type="http://schemas.openxmlformats.org/officeDocument/2006/relationships/hyperlink" Target="http://realtor.com" TargetMode="External"/><Relationship Id="rId627" Type="http://schemas.openxmlformats.org/officeDocument/2006/relationships/hyperlink" Target="http://weather.com" TargetMode="External"/><Relationship Id="rId505" Type="http://schemas.openxmlformats.org/officeDocument/2006/relationships/hyperlink" Target="http://realtor.com" TargetMode="External"/><Relationship Id="rId626" Type="http://schemas.openxmlformats.org/officeDocument/2006/relationships/hyperlink" Target="http://weather.com" TargetMode="External"/><Relationship Id="rId504" Type="http://schemas.openxmlformats.org/officeDocument/2006/relationships/hyperlink" Target="http://realtor.com" TargetMode="External"/><Relationship Id="rId625" Type="http://schemas.openxmlformats.org/officeDocument/2006/relationships/hyperlink" Target="http://weather.com" TargetMode="External"/><Relationship Id="rId48" Type="http://schemas.openxmlformats.org/officeDocument/2006/relationships/hyperlink" Target="http://bbc.com" TargetMode="External"/><Relationship Id="rId47" Type="http://schemas.openxmlformats.org/officeDocument/2006/relationships/hyperlink" Target="http://bbc.com" TargetMode="External"/><Relationship Id="rId49" Type="http://schemas.openxmlformats.org/officeDocument/2006/relationships/hyperlink" Target="http://behindthevoiceactors.com" TargetMode="External"/><Relationship Id="rId620" Type="http://schemas.openxmlformats.org/officeDocument/2006/relationships/hyperlink" Target="http://w3schools.com" TargetMode="External"/><Relationship Id="rId31" Type="http://schemas.openxmlformats.org/officeDocument/2006/relationships/hyperlink" Target="http://aol.com" TargetMode="External"/><Relationship Id="rId30" Type="http://schemas.openxmlformats.org/officeDocument/2006/relationships/hyperlink" Target="http://aol.com" TargetMode="External"/><Relationship Id="rId33" Type="http://schemas.openxmlformats.org/officeDocument/2006/relationships/hyperlink" Target="http://apnews.com" TargetMode="External"/><Relationship Id="rId32" Type="http://schemas.openxmlformats.org/officeDocument/2006/relationships/hyperlink" Target="http://aol.com" TargetMode="External"/><Relationship Id="rId35" Type="http://schemas.openxmlformats.org/officeDocument/2006/relationships/hyperlink" Target="http://att.yahoo.com" TargetMode="External"/><Relationship Id="rId34" Type="http://schemas.openxmlformats.org/officeDocument/2006/relationships/hyperlink" Target="http://apnews.com" TargetMode="External"/><Relationship Id="rId619" Type="http://schemas.openxmlformats.org/officeDocument/2006/relationships/hyperlink" Target="http://w3schools.com" TargetMode="External"/><Relationship Id="rId618" Type="http://schemas.openxmlformats.org/officeDocument/2006/relationships/hyperlink" Target="http://usssa.com" TargetMode="External"/><Relationship Id="rId613" Type="http://schemas.openxmlformats.org/officeDocument/2006/relationships/hyperlink" Target="http://usatoday.com" TargetMode="External"/><Relationship Id="rId612" Type="http://schemas.openxmlformats.org/officeDocument/2006/relationships/hyperlink" Target="http://usatoday.com" TargetMode="External"/><Relationship Id="rId611" Type="http://schemas.openxmlformats.org/officeDocument/2006/relationships/hyperlink" Target="http://usatoday.com" TargetMode="External"/><Relationship Id="rId610" Type="http://schemas.openxmlformats.org/officeDocument/2006/relationships/hyperlink" Target="http://upworthy.com" TargetMode="External"/><Relationship Id="rId617" Type="http://schemas.openxmlformats.org/officeDocument/2006/relationships/hyperlink" Target="http://usnews.com" TargetMode="External"/><Relationship Id="rId616" Type="http://schemas.openxmlformats.org/officeDocument/2006/relationships/hyperlink" Target="http://uscellular.com" TargetMode="External"/><Relationship Id="rId615" Type="http://schemas.openxmlformats.org/officeDocument/2006/relationships/hyperlink" Target="http://usatoday.com" TargetMode="External"/><Relationship Id="rId614" Type="http://schemas.openxmlformats.org/officeDocument/2006/relationships/hyperlink" Target="http://usatoday.com" TargetMode="External"/><Relationship Id="rId37" Type="http://schemas.openxmlformats.org/officeDocument/2006/relationships/hyperlink" Target="http://autotrader.com" TargetMode="External"/><Relationship Id="rId36" Type="http://schemas.openxmlformats.org/officeDocument/2006/relationships/hyperlink" Target="http://att.yahoo.com" TargetMode="External"/><Relationship Id="rId39" Type="http://schemas.openxmlformats.org/officeDocument/2006/relationships/hyperlink" Target="http://autotrader.com" TargetMode="External"/><Relationship Id="rId38" Type="http://schemas.openxmlformats.org/officeDocument/2006/relationships/hyperlink" Target="http://autotrader.com" TargetMode="External"/><Relationship Id="rId20" Type="http://schemas.openxmlformats.org/officeDocument/2006/relationships/hyperlink" Target="http://activebeat.com" TargetMode="External"/><Relationship Id="rId22" Type="http://schemas.openxmlformats.org/officeDocument/2006/relationships/hyperlink" Target="http://ajc.com" TargetMode="External"/><Relationship Id="rId21" Type="http://schemas.openxmlformats.org/officeDocument/2006/relationships/hyperlink" Target="http://ajc.com" TargetMode="External"/><Relationship Id="rId24" Type="http://schemas.openxmlformats.org/officeDocument/2006/relationships/hyperlink" Target="http://ajc.com" TargetMode="External"/><Relationship Id="rId23" Type="http://schemas.openxmlformats.org/officeDocument/2006/relationships/hyperlink" Target="http://ajc.com" TargetMode="External"/><Relationship Id="rId409" Type="http://schemas.openxmlformats.org/officeDocument/2006/relationships/hyperlink" Target="http://msn.com" TargetMode="External"/><Relationship Id="rId404" Type="http://schemas.openxmlformats.org/officeDocument/2006/relationships/hyperlink" Target="http://msn.com" TargetMode="External"/><Relationship Id="rId525" Type="http://schemas.openxmlformats.org/officeDocument/2006/relationships/hyperlink" Target="http://redfin.com" TargetMode="External"/><Relationship Id="rId646" Type="http://schemas.openxmlformats.org/officeDocument/2006/relationships/hyperlink" Target="http://weather.com" TargetMode="External"/><Relationship Id="rId403" Type="http://schemas.openxmlformats.org/officeDocument/2006/relationships/hyperlink" Target="http://msn.com" TargetMode="External"/><Relationship Id="rId524" Type="http://schemas.openxmlformats.org/officeDocument/2006/relationships/hyperlink" Target="http://realtor.com" TargetMode="External"/><Relationship Id="rId645" Type="http://schemas.openxmlformats.org/officeDocument/2006/relationships/hyperlink" Target="http://weather.com" TargetMode="External"/><Relationship Id="rId402" Type="http://schemas.openxmlformats.org/officeDocument/2006/relationships/hyperlink" Target="http://msn.com" TargetMode="External"/><Relationship Id="rId523" Type="http://schemas.openxmlformats.org/officeDocument/2006/relationships/hyperlink" Target="http://realtor.com" TargetMode="External"/><Relationship Id="rId644" Type="http://schemas.openxmlformats.org/officeDocument/2006/relationships/hyperlink" Target="http://weather.com" TargetMode="External"/><Relationship Id="rId401" Type="http://schemas.openxmlformats.org/officeDocument/2006/relationships/hyperlink" Target="http://msn.com" TargetMode="External"/><Relationship Id="rId522" Type="http://schemas.openxmlformats.org/officeDocument/2006/relationships/hyperlink" Target="http://realtor.com" TargetMode="External"/><Relationship Id="rId643" Type="http://schemas.openxmlformats.org/officeDocument/2006/relationships/hyperlink" Target="http://weather.com" TargetMode="External"/><Relationship Id="rId408" Type="http://schemas.openxmlformats.org/officeDocument/2006/relationships/hyperlink" Target="http://msn.com" TargetMode="External"/><Relationship Id="rId529" Type="http://schemas.openxmlformats.org/officeDocument/2006/relationships/hyperlink" Target="http://repairlinkshop.com" TargetMode="External"/><Relationship Id="rId407" Type="http://schemas.openxmlformats.org/officeDocument/2006/relationships/hyperlink" Target="http://msn.com" TargetMode="External"/><Relationship Id="rId528" Type="http://schemas.openxmlformats.org/officeDocument/2006/relationships/hyperlink" Target="http://rent.com" TargetMode="External"/><Relationship Id="rId649" Type="http://schemas.openxmlformats.org/officeDocument/2006/relationships/hyperlink" Target="http://weather.com" TargetMode="External"/><Relationship Id="rId406" Type="http://schemas.openxmlformats.org/officeDocument/2006/relationships/hyperlink" Target="http://msn.com" TargetMode="External"/><Relationship Id="rId527" Type="http://schemas.openxmlformats.org/officeDocument/2006/relationships/hyperlink" Target="http://rent.com" TargetMode="External"/><Relationship Id="rId648" Type="http://schemas.openxmlformats.org/officeDocument/2006/relationships/hyperlink" Target="http://weather.com" TargetMode="External"/><Relationship Id="rId405" Type="http://schemas.openxmlformats.org/officeDocument/2006/relationships/hyperlink" Target="http://msn.com" TargetMode="External"/><Relationship Id="rId526" Type="http://schemas.openxmlformats.org/officeDocument/2006/relationships/hyperlink" Target="http://reference.com" TargetMode="External"/><Relationship Id="rId647" Type="http://schemas.openxmlformats.org/officeDocument/2006/relationships/hyperlink" Target="http://weather.com" TargetMode="External"/><Relationship Id="rId26" Type="http://schemas.openxmlformats.org/officeDocument/2006/relationships/hyperlink" Target="http://allrecipes.com" TargetMode="External"/><Relationship Id="rId25" Type="http://schemas.openxmlformats.org/officeDocument/2006/relationships/hyperlink" Target="http://al.com" TargetMode="External"/><Relationship Id="rId28" Type="http://schemas.openxmlformats.org/officeDocument/2006/relationships/hyperlink" Target="http://androidauthority.com" TargetMode="External"/><Relationship Id="rId27" Type="http://schemas.openxmlformats.org/officeDocument/2006/relationships/hyperlink" Target="http://alotfinance.com" TargetMode="External"/><Relationship Id="rId400" Type="http://schemas.openxmlformats.org/officeDocument/2006/relationships/hyperlink" Target="http://msn.com" TargetMode="External"/><Relationship Id="rId521" Type="http://schemas.openxmlformats.org/officeDocument/2006/relationships/hyperlink" Target="http://realtor.com" TargetMode="External"/><Relationship Id="rId642" Type="http://schemas.openxmlformats.org/officeDocument/2006/relationships/hyperlink" Target="http://weather.com" TargetMode="External"/><Relationship Id="rId29" Type="http://schemas.openxmlformats.org/officeDocument/2006/relationships/hyperlink" Target="http://androidpolice.com" TargetMode="External"/><Relationship Id="rId520" Type="http://schemas.openxmlformats.org/officeDocument/2006/relationships/hyperlink" Target="http://realtor.com" TargetMode="External"/><Relationship Id="rId641" Type="http://schemas.openxmlformats.org/officeDocument/2006/relationships/hyperlink" Target="http://weather.com" TargetMode="External"/><Relationship Id="rId640" Type="http://schemas.openxmlformats.org/officeDocument/2006/relationships/hyperlink" Target="http://weather.com" TargetMode="External"/><Relationship Id="rId11" Type="http://schemas.openxmlformats.org/officeDocument/2006/relationships/hyperlink" Target="http://accuweather.com" TargetMode="External"/><Relationship Id="rId10" Type="http://schemas.openxmlformats.org/officeDocument/2006/relationships/hyperlink" Target="http://accuweather.com" TargetMode="External"/><Relationship Id="rId13" Type="http://schemas.openxmlformats.org/officeDocument/2006/relationships/hyperlink" Target="http://accuweather.com" TargetMode="External"/><Relationship Id="rId12" Type="http://schemas.openxmlformats.org/officeDocument/2006/relationships/hyperlink" Target="http://accuweather.com" TargetMode="External"/><Relationship Id="rId519" Type="http://schemas.openxmlformats.org/officeDocument/2006/relationships/hyperlink" Target="http://realtor.com" TargetMode="External"/><Relationship Id="rId514" Type="http://schemas.openxmlformats.org/officeDocument/2006/relationships/hyperlink" Target="http://realtor.com" TargetMode="External"/><Relationship Id="rId635" Type="http://schemas.openxmlformats.org/officeDocument/2006/relationships/hyperlink" Target="http://weather.com" TargetMode="External"/><Relationship Id="rId513" Type="http://schemas.openxmlformats.org/officeDocument/2006/relationships/hyperlink" Target="http://realtor.com" TargetMode="External"/><Relationship Id="rId634" Type="http://schemas.openxmlformats.org/officeDocument/2006/relationships/hyperlink" Target="http://weather.com" TargetMode="External"/><Relationship Id="rId512" Type="http://schemas.openxmlformats.org/officeDocument/2006/relationships/hyperlink" Target="http://realtor.com" TargetMode="External"/><Relationship Id="rId633" Type="http://schemas.openxmlformats.org/officeDocument/2006/relationships/hyperlink" Target="http://weather.com" TargetMode="External"/><Relationship Id="rId511" Type="http://schemas.openxmlformats.org/officeDocument/2006/relationships/hyperlink" Target="http://realtor.com" TargetMode="External"/><Relationship Id="rId632" Type="http://schemas.openxmlformats.org/officeDocument/2006/relationships/hyperlink" Target="http://weather.com" TargetMode="External"/><Relationship Id="rId518" Type="http://schemas.openxmlformats.org/officeDocument/2006/relationships/hyperlink" Target="http://realtor.com" TargetMode="External"/><Relationship Id="rId639" Type="http://schemas.openxmlformats.org/officeDocument/2006/relationships/hyperlink" Target="http://weather.com" TargetMode="External"/><Relationship Id="rId517" Type="http://schemas.openxmlformats.org/officeDocument/2006/relationships/hyperlink" Target="http://realtor.com" TargetMode="External"/><Relationship Id="rId638" Type="http://schemas.openxmlformats.org/officeDocument/2006/relationships/hyperlink" Target="http://weather.com" TargetMode="External"/><Relationship Id="rId516" Type="http://schemas.openxmlformats.org/officeDocument/2006/relationships/hyperlink" Target="http://realtor.com" TargetMode="External"/><Relationship Id="rId637" Type="http://schemas.openxmlformats.org/officeDocument/2006/relationships/hyperlink" Target="http://weather.com" TargetMode="External"/><Relationship Id="rId515" Type="http://schemas.openxmlformats.org/officeDocument/2006/relationships/hyperlink" Target="http://realtor.com" TargetMode="External"/><Relationship Id="rId636" Type="http://schemas.openxmlformats.org/officeDocument/2006/relationships/hyperlink" Target="http://weather.com" TargetMode="External"/><Relationship Id="rId15" Type="http://schemas.openxmlformats.org/officeDocument/2006/relationships/hyperlink" Target="http://accuweather.com" TargetMode="External"/><Relationship Id="rId14" Type="http://schemas.openxmlformats.org/officeDocument/2006/relationships/hyperlink" Target="http://accuweather.com" TargetMode="External"/><Relationship Id="rId17" Type="http://schemas.openxmlformats.org/officeDocument/2006/relationships/hyperlink" Target="http://activebeat.com" TargetMode="External"/><Relationship Id="rId16" Type="http://schemas.openxmlformats.org/officeDocument/2006/relationships/hyperlink" Target="http://accuweather.com" TargetMode="External"/><Relationship Id="rId19" Type="http://schemas.openxmlformats.org/officeDocument/2006/relationships/hyperlink" Target="http://activebeat.com" TargetMode="External"/><Relationship Id="rId510" Type="http://schemas.openxmlformats.org/officeDocument/2006/relationships/hyperlink" Target="http://realtor.com" TargetMode="External"/><Relationship Id="rId631" Type="http://schemas.openxmlformats.org/officeDocument/2006/relationships/hyperlink" Target="http://weather.com" TargetMode="External"/><Relationship Id="rId18" Type="http://schemas.openxmlformats.org/officeDocument/2006/relationships/hyperlink" Target="http://activebeat.com" TargetMode="External"/><Relationship Id="rId630" Type="http://schemas.openxmlformats.org/officeDocument/2006/relationships/hyperlink" Target="http://weather.com" TargetMode="External"/><Relationship Id="rId84" Type="http://schemas.openxmlformats.org/officeDocument/2006/relationships/hyperlink" Target="http://buzzfeed.com" TargetMode="External"/><Relationship Id="rId83" Type="http://schemas.openxmlformats.org/officeDocument/2006/relationships/hyperlink" Target="http://buzzfeed.com" TargetMode="External"/><Relationship Id="rId86" Type="http://schemas.openxmlformats.org/officeDocument/2006/relationships/hyperlink" Target="http://calculator.net" TargetMode="External"/><Relationship Id="rId85" Type="http://schemas.openxmlformats.org/officeDocument/2006/relationships/hyperlink" Target="http://calculator.net" TargetMode="External"/><Relationship Id="rId88" Type="http://schemas.openxmlformats.org/officeDocument/2006/relationships/hyperlink" Target="http://calculator.net" TargetMode="External"/><Relationship Id="rId87" Type="http://schemas.openxmlformats.org/officeDocument/2006/relationships/hyperlink" Target="http://calculator.net" TargetMode="External"/><Relationship Id="rId89" Type="http://schemas.openxmlformats.org/officeDocument/2006/relationships/hyperlink" Target="http://calculator.net" TargetMode="External"/><Relationship Id="rId709" Type="http://schemas.openxmlformats.org/officeDocument/2006/relationships/hyperlink" Target="http://yahoo.com" TargetMode="External"/><Relationship Id="rId708" Type="http://schemas.openxmlformats.org/officeDocument/2006/relationships/hyperlink" Target="http://yahoo.com" TargetMode="External"/><Relationship Id="rId707" Type="http://schemas.openxmlformats.org/officeDocument/2006/relationships/hyperlink" Target="http://yahoo.com" TargetMode="External"/><Relationship Id="rId706" Type="http://schemas.openxmlformats.org/officeDocument/2006/relationships/hyperlink" Target="http://yahoo.com" TargetMode="External"/><Relationship Id="rId80" Type="http://schemas.openxmlformats.org/officeDocument/2006/relationships/hyperlink" Target="http://businessinsider.com" TargetMode="External"/><Relationship Id="rId82" Type="http://schemas.openxmlformats.org/officeDocument/2006/relationships/hyperlink" Target="http://businessinsider.com" TargetMode="External"/><Relationship Id="rId81" Type="http://schemas.openxmlformats.org/officeDocument/2006/relationships/hyperlink" Target="http://businessinsider.com" TargetMode="External"/><Relationship Id="rId701" Type="http://schemas.openxmlformats.org/officeDocument/2006/relationships/hyperlink" Target="http://yahoo.com" TargetMode="External"/><Relationship Id="rId700" Type="http://schemas.openxmlformats.org/officeDocument/2006/relationships/hyperlink" Target="http://yahoo.com" TargetMode="External"/><Relationship Id="rId705" Type="http://schemas.openxmlformats.org/officeDocument/2006/relationships/hyperlink" Target="http://yahoo.com" TargetMode="External"/><Relationship Id="rId704" Type="http://schemas.openxmlformats.org/officeDocument/2006/relationships/hyperlink" Target="http://yahoo.com" TargetMode="External"/><Relationship Id="rId703" Type="http://schemas.openxmlformats.org/officeDocument/2006/relationships/hyperlink" Target="http://yahoo.com" TargetMode="External"/><Relationship Id="rId702" Type="http://schemas.openxmlformats.org/officeDocument/2006/relationships/hyperlink" Target="http://yahoo.com" TargetMode="External"/><Relationship Id="rId73" Type="http://schemas.openxmlformats.org/officeDocument/2006/relationships/hyperlink" Target="http://boattrader.com" TargetMode="External"/><Relationship Id="rId72" Type="http://schemas.openxmlformats.org/officeDocument/2006/relationships/hyperlink" Target="http://boattrader.com" TargetMode="External"/><Relationship Id="rId75" Type="http://schemas.openxmlformats.org/officeDocument/2006/relationships/hyperlink" Target="http://boattrader.com" TargetMode="External"/><Relationship Id="rId74" Type="http://schemas.openxmlformats.org/officeDocument/2006/relationships/hyperlink" Target="http://boattrader.com" TargetMode="External"/><Relationship Id="rId77" Type="http://schemas.openxmlformats.org/officeDocument/2006/relationships/hyperlink" Target="http://bridesblush.com" TargetMode="External"/><Relationship Id="rId76" Type="http://schemas.openxmlformats.org/officeDocument/2006/relationships/hyperlink" Target="http://boxrox.com" TargetMode="External"/><Relationship Id="rId79" Type="http://schemas.openxmlformats.org/officeDocument/2006/relationships/hyperlink" Target="http://businessinsider.com" TargetMode="External"/><Relationship Id="rId78" Type="http://schemas.openxmlformats.org/officeDocument/2006/relationships/hyperlink" Target="http://britannica.com" TargetMode="External"/><Relationship Id="rId71" Type="http://schemas.openxmlformats.org/officeDocument/2006/relationships/hyperlink" Target="http://boattrader.com" TargetMode="External"/><Relationship Id="rId70" Type="http://schemas.openxmlformats.org/officeDocument/2006/relationships/hyperlink" Target="http://bleacherbreaker.com" TargetMode="External"/><Relationship Id="rId62" Type="http://schemas.openxmlformats.org/officeDocument/2006/relationships/hyperlink" Target="http://biblegateway.com" TargetMode="External"/><Relationship Id="rId61" Type="http://schemas.openxmlformats.org/officeDocument/2006/relationships/hyperlink" Target="http://biblegateway.com" TargetMode="External"/><Relationship Id="rId64" Type="http://schemas.openxmlformats.org/officeDocument/2006/relationships/hyperlink" Target="http://biblegateway.com" TargetMode="External"/><Relationship Id="rId63" Type="http://schemas.openxmlformats.org/officeDocument/2006/relationships/hyperlink" Target="http://biblegateway.com" TargetMode="External"/><Relationship Id="rId66" Type="http://schemas.openxmlformats.org/officeDocument/2006/relationships/hyperlink" Target="http://biblegateway.com" TargetMode="External"/><Relationship Id="rId65" Type="http://schemas.openxmlformats.org/officeDocument/2006/relationships/hyperlink" Target="http://biblegateway.com" TargetMode="External"/><Relationship Id="rId68" Type="http://schemas.openxmlformats.org/officeDocument/2006/relationships/hyperlink" Target="http://biblestudytools.com" TargetMode="External"/><Relationship Id="rId67" Type="http://schemas.openxmlformats.org/officeDocument/2006/relationships/hyperlink" Target="http://biblegateway.com" TargetMode="External"/><Relationship Id="rId609" Type="http://schemas.openxmlformats.org/officeDocument/2006/relationships/hyperlink" Target="http://tripadvisor.com" TargetMode="External"/><Relationship Id="rId608" Type="http://schemas.openxmlformats.org/officeDocument/2006/relationships/hyperlink" Target="http://travelerdreams.com" TargetMode="External"/><Relationship Id="rId607" Type="http://schemas.openxmlformats.org/officeDocument/2006/relationships/hyperlink" Target="http://travelerdreams.com" TargetMode="External"/><Relationship Id="rId728" Type="http://schemas.openxmlformats.org/officeDocument/2006/relationships/drawing" Target="../drawings/drawing5.xml"/><Relationship Id="rId60" Type="http://schemas.openxmlformats.org/officeDocument/2006/relationships/hyperlink" Target="http://biblegateway.com" TargetMode="External"/><Relationship Id="rId602" Type="http://schemas.openxmlformats.org/officeDocument/2006/relationships/hyperlink" Target="http://tomsguide.com" TargetMode="External"/><Relationship Id="rId723" Type="http://schemas.openxmlformats.org/officeDocument/2006/relationships/hyperlink" Target="http://zillow.com" TargetMode="External"/><Relationship Id="rId601" Type="http://schemas.openxmlformats.org/officeDocument/2006/relationships/hyperlink" Target="http://todaysnyc.com" TargetMode="External"/><Relationship Id="rId722" Type="http://schemas.openxmlformats.org/officeDocument/2006/relationships/hyperlink" Target="http://zillow.com" TargetMode="External"/><Relationship Id="rId600" Type="http://schemas.openxmlformats.org/officeDocument/2006/relationships/hyperlink" Target="http://timeanddate.com" TargetMode="External"/><Relationship Id="rId721" Type="http://schemas.openxmlformats.org/officeDocument/2006/relationships/hyperlink" Target="http://zillow.com" TargetMode="External"/><Relationship Id="rId720" Type="http://schemas.openxmlformats.org/officeDocument/2006/relationships/hyperlink" Target="http://zillow.com" TargetMode="External"/><Relationship Id="rId606" Type="http://schemas.openxmlformats.org/officeDocument/2006/relationships/hyperlink" Target="http://topclassactions.com" TargetMode="External"/><Relationship Id="rId727" Type="http://schemas.openxmlformats.org/officeDocument/2006/relationships/hyperlink" Target="http://zone.msn.com" TargetMode="External"/><Relationship Id="rId605" Type="http://schemas.openxmlformats.org/officeDocument/2006/relationships/hyperlink" Target="http://topclassactions.com" TargetMode="External"/><Relationship Id="rId726" Type="http://schemas.openxmlformats.org/officeDocument/2006/relationships/hyperlink" Target="http://zillow.com" TargetMode="External"/><Relationship Id="rId604" Type="http://schemas.openxmlformats.org/officeDocument/2006/relationships/hyperlink" Target="http://tomsguide.com" TargetMode="External"/><Relationship Id="rId725" Type="http://schemas.openxmlformats.org/officeDocument/2006/relationships/hyperlink" Target="http://zillow.com" TargetMode="External"/><Relationship Id="rId603" Type="http://schemas.openxmlformats.org/officeDocument/2006/relationships/hyperlink" Target="http://tomsguide.com" TargetMode="External"/><Relationship Id="rId724" Type="http://schemas.openxmlformats.org/officeDocument/2006/relationships/hyperlink" Target="http://zillow.com" TargetMode="External"/><Relationship Id="rId69" Type="http://schemas.openxmlformats.org/officeDocument/2006/relationships/hyperlink" Target="http://billboard.com" TargetMode="External"/><Relationship Id="rId51" Type="http://schemas.openxmlformats.org/officeDocument/2006/relationships/hyperlink" Target="http://biblegateway.com" TargetMode="External"/><Relationship Id="rId50" Type="http://schemas.openxmlformats.org/officeDocument/2006/relationships/hyperlink" Target="http://bestbuy.com" TargetMode="External"/><Relationship Id="rId53" Type="http://schemas.openxmlformats.org/officeDocument/2006/relationships/hyperlink" Target="http://biblegateway.com" TargetMode="External"/><Relationship Id="rId52" Type="http://schemas.openxmlformats.org/officeDocument/2006/relationships/hyperlink" Target="http://biblegateway.com" TargetMode="External"/><Relationship Id="rId55" Type="http://schemas.openxmlformats.org/officeDocument/2006/relationships/hyperlink" Target="http://biblegateway.com" TargetMode="External"/><Relationship Id="rId54" Type="http://schemas.openxmlformats.org/officeDocument/2006/relationships/hyperlink" Target="http://biblegateway.com" TargetMode="External"/><Relationship Id="rId57" Type="http://schemas.openxmlformats.org/officeDocument/2006/relationships/hyperlink" Target="http://biblegateway.com" TargetMode="External"/><Relationship Id="rId56" Type="http://schemas.openxmlformats.org/officeDocument/2006/relationships/hyperlink" Target="http://biblegateway.com" TargetMode="External"/><Relationship Id="rId719" Type="http://schemas.openxmlformats.org/officeDocument/2006/relationships/hyperlink" Target="http://zillow.com" TargetMode="External"/><Relationship Id="rId718" Type="http://schemas.openxmlformats.org/officeDocument/2006/relationships/hyperlink" Target="http://zdnet.com" TargetMode="External"/><Relationship Id="rId717" Type="http://schemas.openxmlformats.org/officeDocument/2006/relationships/hyperlink" Target="http://zdnet.com" TargetMode="External"/><Relationship Id="rId712" Type="http://schemas.openxmlformats.org/officeDocument/2006/relationships/hyperlink" Target="http://yellowpages.com" TargetMode="External"/><Relationship Id="rId711" Type="http://schemas.openxmlformats.org/officeDocument/2006/relationships/hyperlink" Target="http://yellowpages.com" TargetMode="External"/><Relationship Id="rId710" Type="http://schemas.openxmlformats.org/officeDocument/2006/relationships/hyperlink" Target="http://yahoo.com" TargetMode="External"/><Relationship Id="rId716" Type="http://schemas.openxmlformats.org/officeDocument/2006/relationships/hyperlink" Target="http://yourroyals.com" TargetMode="External"/><Relationship Id="rId715" Type="http://schemas.openxmlformats.org/officeDocument/2006/relationships/hyperlink" Target="http://yourdailysportfix.com" TargetMode="External"/><Relationship Id="rId714" Type="http://schemas.openxmlformats.org/officeDocument/2006/relationships/hyperlink" Target="http://yourdailysportfix.com" TargetMode="External"/><Relationship Id="rId713" Type="http://schemas.openxmlformats.org/officeDocument/2006/relationships/hyperlink" Target="http://yellowpages.com" TargetMode="External"/><Relationship Id="rId59" Type="http://schemas.openxmlformats.org/officeDocument/2006/relationships/hyperlink" Target="http://biblegateway.com" TargetMode="External"/><Relationship Id="rId58" Type="http://schemas.openxmlformats.org/officeDocument/2006/relationships/hyperlink" Target="http://biblegateway.com" TargetMode="External"/><Relationship Id="rId590" Type="http://schemas.openxmlformats.org/officeDocument/2006/relationships/hyperlink" Target="http://thesaurus.com" TargetMode="External"/><Relationship Id="rId107" Type="http://schemas.openxmlformats.org/officeDocument/2006/relationships/hyperlink" Target="http://cbsnews.com" TargetMode="External"/><Relationship Id="rId228" Type="http://schemas.openxmlformats.org/officeDocument/2006/relationships/hyperlink" Target="http://finance.yahoo.com" TargetMode="External"/><Relationship Id="rId349" Type="http://schemas.openxmlformats.org/officeDocument/2006/relationships/hyperlink" Target="http://mail.yahoo.com" TargetMode="External"/><Relationship Id="rId106" Type="http://schemas.openxmlformats.org/officeDocument/2006/relationships/hyperlink" Target="http://cbsnews.com" TargetMode="External"/><Relationship Id="rId227" Type="http://schemas.openxmlformats.org/officeDocument/2006/relationships/hyperlink" Target="http://finance.yahoo.com" TargetMode="External"/><Relationship Id="rId348" Type="http://schemas.openxmlformats.org/officeDocument/2006/relationships/hyperlink" Target="http://mail.yahoo.com" TargetMode="External"/><Relationship Id="rId469" Type="http://schemas.openxmlformats.org/officeDocument/2006/relationships/hyperlink" Target="http://outlook.live.com" TargetMode="External"/><Relationship Id="rId105" Type="http://schemas.openxmlformats.org/officeDocument/2006/relationships/hyperlink" Target="http://cbsnews.com" TargetMode="External"/><Relationship Id="rId226" Type="http://schemas.openxmlformats.org/officeDocument/2006/relationships/hyperlink" Target="http://finance.yahoo.com" TargetMode="External"/><Relationship Id="rId347" Type="http://schemas.openxmlformats.org/officeDocument/2006/relationships/hyperlink" Target="http://mail.yahoo.com" TargetMode="External"/><Relationship Id="rId468" Type="http://schemas.openxmlformats.org/officeDocument/2006/relationships/hyperlink" Target="http://outlook.live.com" TargetMode="External"/><Relationship Id="rId589" Type="http://schemas.openxmlformats.org/officeDocument/2006/relationships/hyperlink" Target="http://thesaurus.com" TargetMode="External"/><Relationship Id="rId104" Type="http://schemas.openxmlformats.org/officeDocument/2006/relationships/hyperlink" Target="http://cbsnews.com" TargetMode="External"/><Relationship Id="rId225" Type="http://schemas.openxmlformats.org/officeDocument/2006/relationships/hyperlink" Target="http://finance.yahoo.com" TargetMode="External"/><Relationship Id="rId346" Type="http://schemas.openxmlformats.org/officeDocument/2006/relationships/hyperlink" Target="http://mail.yahoo.com" TargetMode="External"/><Relationship Id="rId467" Type="http://schemas.openxmlformats.org/officeDocument/2006/relationships/hyperlink" Target="http://outlook.live.com" TargetMode="External"/><Relationship Id="rId588" Type="http://schemas.openxmlformats.org/officeDocument/2006/relationships/hyperlink" Target="http://thesaurus.com" TargetMode="External"/><Relationship Id="rId109" Type="http://schemas.openxmlformats.org/officeDocument/2006/relationships/hyperlink" Target="http://cbsnews.com" TargetMode="External"/><Relationship Id="rId108" Type="http://schemas.openxmlformats.org/officeDocument/2006/relationships/hyperlink" Target="http://cbsnews.com" TargetMode="External"/><Relationship Id="rId229" Type="http://schemas.openxmlformats.org/officeDocument/2006/relationships/hyperlink" Target="http://finance.yahoo.com" TargetMode="External"/><Relationship Id="rId220" Type="http://schemas.openxmlformats.org/officeDocument/2006/relationships/hyperlink" Target="http://finance.yahoo.com" TargetMode="External"/><Relationship Id="rId341" Type="http://schemas.openxmlformats.org/officeDocument/2006/relationships/hyperlink" Target="http://mail.aol.com" TargetMode="External"/><Relationship Id="rId462" Type="http://schemas.openxmlformats.org/officeDocument/2006/relationships/hyperlink" Target="http://nytimes.com" TargetMode="External"/><Relationship Id="rId583" Type="http://schemas.openxmlformats.org/officeDocument/2006/relationships/hyperlink" Target="http://therighthairstyles.com" TargetMode="External"/><Relationship Id="rId340" Type="http://schemas.openxmlformats.org/officeDocument/2006/relationships/hyperlink" Target="http://mail.aol.com" TargetMode="External"/><Relationship Id="rId461" Type="http://schemas.openxmlformats.org/officeDocument/2006/relationships/hyperlink" Target="http://nypost.com" TargetMode="External"/><Relationship Id="rId582" Type="http://schemas.openxmlformats.org/officeDocument/2006/relationships/hyperlink" Target="http://thekrazycouponlady.com" TargetMode="External"/><Relationship Id="rId460" Type="http://schemas.openxmlformats.org/officeDocument/2006/relationships/hyperlink" Target="http://nypost.com" TargetMode="External"/><Relationship Id="rId581" Type="http://schemas.openxmlformats.org/officeDocument/2006/relationships/hyperlink" Target="http://thehulltruth.com" TargetMode="External"/><Relationship Id="rId580" Type="http://schemas.openxmlformats.org/officeDocument/2006/relationships/hyperlink" Target="http://thegamer.com" TargetMode="External"/><Relationship Id="rId103" Type="http://schemas.openxmlformats.org/officeDocument/2006/relationships/hyperlink" Target="http://cbsnews.com" TargetMode="External"/><Relationship Id="rId224" Type="http://schemas.openxmlformats.org/officeDocument/2006/relationships/hyperlink" Target="http://finance.yahoo.com" TargetMode="External"/><Relationship Id="rId345" Type="http://schemas.openxmlformats.org/officeDocument/2006/relationships/hyperlink" Target="http://mail.yahoo.com" TargetMode="External"/><Relationship Id="rId466" Type="http://schemas.openxmlformats.org/officeDocument/2006/relationships/hyperlink" Target="http://onechicagocenter.com" TargetMode="External"/><Relationship Id="rId587" Type="http://schemas.openxmlformats.org/officeDocument/2006/relationships/hyperlink" Target="http://thesaurus.com" TargetMode="External"/><Relationship Id="rId102" Type="http://schemas.openxmlformats.org/officeDocument/2006/relationships/hyperlink" Target="http://cbsnews.com" TargetMode="External"/><Relationship Id="rId223" Type="http://schemas.openxmlformats.org/officeDocument/2006/relationships/hyperlink" Target="http://finance.yahoo.com" TargetMode="External"/><Relationship Id="rId344" Type="http://schemas.openxmlformats.org/officeDocument/2006/relationships/hyperlink" Target="http://mail.yahoo.com" TargetMode="External"/><Relationship Id="rId465" Type="http://schemas.openxmlformats.org/officeDocument/2006/relationships/hyperlink" Target="http://omnicalculator.com" TargetMode="External"/><Relationship Id="rId586" Type="http://schemas.openxmlformats.org/officeDocument/2006/relationships/hyperlink" Target="http://thesaurus.com" TargetMode="External"/><Relationship Id="rId101" Type="http://schemas.openxmlformats.org/officeDocument/2006/relationships/hyperlink" Target="http://carscoops.com" TargetMode="External"/><Relationship Id="rId222" Type="http://schemas.openxmlformats.org/officeDocument/2006/relationships/hyperlink" Target="http://finance.yahoo.com" TargetMode="External"/><Relationship Id="rId343" Type="http://schemas.openxmlformats.org/officeDocument/2006/relationships/hyperlink" Target="http://mail.aol.com" TargetMode="External"/><Relationship Id="rId464" Type="http://schemas.openxmlformats.org/officeDocument/2006/relationships/hyperlink" Target="http://omnicalculator.com" TargetMode="External"/><Relationship Id="rId585" Type="http://schemas.openxmlformats.org/officeDocument/2006/relationships/hyperlink" Target="http://thesaurus.com" TargetMode="External"/><Relationship Id="rId100" Type="http://schemas.openxmlformats.org/officeDocument/2006/relationships/hyperlink" Target="http://cars.com" TargetMode="External"/><Relationship Id="rId221" Type="http://schemas.openxmlformats.org/officeDocument/2006/relationships/hyperlink" Target="http://finance.yahoo.com" TargetMode="External"/><Relationship Id="rId342" Type="http://schemas.openxmlformats.org/officeDocument/2006/relationships/hyperlink" Target="http://mail.aol.com" TargetMode="External"/><Relationship Id="rId463" Type="http://schemas.openxmlformats.org/officeDocument/2006/relationships/hyperlink" Target="http://nytimes.com" TargetMode="External"/><Relationship Id="rId584" Type="http://schemas.openxmlformats.org/officeDocument/2006/relationships/hyperlink" Target="http://thesaltymarshmallow.com" TargetMode="External"/><Relationship Id="rId217" Type="http://schemas.openxmlformats.org/officeDocument/2006/relationships/hyperlink" Target="http://femanin.com" TargetMode="External"/><Relationship Id="rId338" Type="http://schemas.openxmlformats.org/officeDocument/2006/relationships/hyperlink" Target="http://mail.aol.com" TargetMode="External"/><Relationship Id="rId459" Type="http://schemas.openxmlformats.org/officeDocument/2006/relationships/hyperlink" Target="http://nypost.com" TargetMode="External"/><Relationship Id="rId216" Type="http://schemas.openxmlformats.org/officeDocument/2006/relationships/hyperlink" Target="http://fandomwire.com" TargetMode="External"/><Relationship Id="rId337" Type="http://schemas.openxmlformats.org/officeDocument/2006/relationships/hyperlink" Target="http://mail.aol.com" TargetMode="External"/><Relationship Id="rId458" Type="http://schemas.openxmlformats.org/officeDocument/2006/relationships/hyperlink" Target="http://nypost.com" TargetMode="External"/><Relationship Id="rId579" Type="http://schemas.openxmlformats.org/officeDocument/2006/relationships/hyperlink" Target="http://thefinancechatter.com" TargetMode="External"/><Relationship Id="rId215" Type="http://schemas.openxmlformats.org/officeDocument/2006/relationships/hyperlink" Target="http://fandomwire.com" TargetMode="External"/><Relationship Id="rId336" Type="http://schemas.openxmlformats.org/officeDocument/2006/relationships/hyperlink" Target="http://mail.aol.com" TargetMode="External"/><Relationship Id="rId457" Type="http://schemas.openxmlformats.org/officeDocument/2006/relationships/hyperlink" Target="http://nypost.com" TargetMode="External"/><Relationship Id="rId578" Type="http://schemas.openxmlformats.org/officeDocument/2006/relationships/hyperlink" Target="http://thebigmansworld.com" TargetMode="External"/><Relationship Id="rId699" Type="http://schemas.openxmlformats.org/officeDocument/2006/relationships/hyperlink" Target="http://yahoo.com" TargetMode="External"/><Relationship Id="rId214" Type="http://schemas.openxmlformats.org/officeDocument/2006/relationships/hyperlink" Target="http://fandomwire.com" TargetMode="External"/><Relationship Id="rId335" Type="http://schemas.openxmlformats.org/officeDocument/2006/relationships/hyperlink" Target="http://mail.aol.com" TargetMode="External"/><Relationship Id="rId456" Type="http://schemas.openxmlformats.org/officeDocument/2006/relationships/hyperlink" Target="http://nypost.com" TargetMode="External"/><Relationship Id="rId577" Type="http://schemas.openxmlformats.org/officeDocument/2006/relationships/hyperlink" Target="http://techradar.com" TargetMode="External"/><Relationship Id="rId698" Type="http://schemas.openxmlformats.org/officeDocument/2006/relationships/hyperlink" Target="http://yahoo.com" TargetMode="External"/><Relationship Id="rId219" Type="http://schemas.openxmlformats.org/officeDocument/2006/relationships/hyperlink" Target="http://finance.yahoo.com" TargetMode="External"/><Relationship Id="rId218" Type="http://schemas.openxmlformats.org/officeDocument/2006/relationships/hyperlink" Target="http://femanin.com" TargetMode="External"/><Relationship Id="rId339" Type="http://schemas.openxmlformats.org/officeDocument/2006/relationships/hyperlink" Target="http://mail.aol.com" TargetMode="External"/><Relationship Id="rId330" Type="http://schemas.openxmlformats.org/officeDocument/2006/relationships/hyperlink" Target="http://mail.aol.com" TargetMode="External"/><Relationship Id="rId451" Type="http://schemas.openxmlformats.org/officeDocument/2006/relationships/hyperlink" Target="http://newsmemory.com" TargetMode="External"/><Relationship Id="rId572" Type="http://schemas.openxmlformats.org/officeDocument/2006/relationships/hyperlink" Target="http://streetinsider.com" TargetMode="External"/><Relationship Id="rId693" Type="http://schemas.openxmlformats.org/officeDocument/2006/relationships/hyperlink" Target="http://yahoo.com" TargetMode="External"/><Relationship Id="rId450" Type="http://schemas.openxmlformats.org/officeDocument/2006/relationships/hyperlink" Target="http://newsharper.com" TargetMode="External"/><Relationship Id="rId571" Type="http://schemas.openxmlformats.org/officeDocument/2006/relationships/hyperlink" Target="http://streetinsider.com" TargetMode="External"/><Relationship Id="rId692" Type="http://schemas.openxmlformats.org/officeDocument/2006/relationships/hyperlink" Target="http://yahoo.com" TargetMode="External"/><Relationship Id="rId570" Type="http://schemas.openxmlformats.org/officeDocument/2006/relationships/hyperlink" Target="http://sports.yahoo.com" TargetMode="External"/><Relationship Id="rId691" Type="http://schemas.openxmlformats.org/officeDocument/2006/relationships/hyperlink" Target="http://yahoo.com" TargetMode="External"/><Relationship Id="rId690" Type="http://schemas.openxmlformats.org/officeDocument/2006/relationships/hyperlink" Target="http://yahoo.com" TargetMode="External"/><Relationship Id="rId213" Type="http://schemas.openxmlformats.org/officeDocument/2006/relationships/hyperlink" Target="http://fandom.com" TargetMode="External"/><Relationship Id="rId334" Type="http://schemas.openxmlformats.org/officeDocument/2006/relationships/hyperlink" Target="http://mail.aol.com" TargetMode="External"/><Relationship Id="rId455" Type="http://schemas.openxmlformats.org/officeDocument/2006/relationships/hyperlink" Target="http://nsfas-applications.co.za" TargetMode="External"/><Relationship Id="rId576" Type="http://schemas.openxmlformats.org/officeDocument/2006/relationships/hyperlink" Target="http://tastesbetterfromscratch.com" TargetMode="External"/><Relationship Id="rId697" Type="http://schemas.openxmlformats.org/officeDocument/2006/relationships/hyperlink" Target="http://yahoo.com" TargetMode="External"/><Relationship Id="rId212" Type="http://schemas.openxmlformats.org/officeDocument/2006/relationships/hyperlink" Target="http://fandom.com" TargetMode="External"/><Relationship Id="rId333" Type="http://schemas.openxmlformats.org/officeDocument/2006/relationships/hyperlink" Target="http://mail.aol.com" TargetMode="External"/><Relationship Id="rId454" Type="http://schemas.openxmlformats.org/officeDocument/2006/relationships/hyperlink" Target="http://npr.org" TargetMode="External"/><Relationship Id="rId575" Type="http://schemas.openxmlformats.org/officeDocument/2006/relationships/hyperlink" Target="http://tasteofhome.com" TargetMode="External"/><Relationship Id="rId696" Type="http://schemas.openxmlformats.org/officeDocument/2006/relationships/hyperlink" Target="http://yahoo.com" TargetMode="External"/><Relationship Id="rId211" Type="http://schemas.openxmlformats.org/officeDocument/2006/relationships/hyperlink" Target="http://fandom.com" TargetMode="External"/><Relationship Id="rId332" Type="http://schemas.openxmlformats.org/officeDocument/2006/relationships/hyperlink" Target="http://mail.aol.com" TargetMode="External"/><Relationship Id="rId453" Type="http://schemas.openxmlformats.org/officeDocument/2006/relationships/hyperlink" Target="http://npr.org" TargetMode="External"/><Relationship Id="rId574" Type="http://schemas.openxmlformats.org/officeDocument/2006/relationships/hyperlink" Target="http://taboolanews.com" TargetMode="External"/><Relationship Id="rId695" Type="http://schemas.openxmlformats.org/officeDocument/2006/relationships/hyperlink" Target="http://yahoo.com" TargetMode="External"/><Relationship Id="rId210" Type="http://schemas.openxmlformats.org/officeDocument/2006/relationships/hyperlink" Target="http://fandom.com" TargetMode="External"/><Relationship Id="rId331" Type="http://schemas.openxmlformats.org/officeDocument/2006/relationships/hyperlink" Target="http://mail.aol.com" TargetMode="External"/><Relationship Id="rId452" Type="http://schemas.openxmlformats.org/officeDocument/2006/relationships/hyperlink" Target="http://newsmemory.com" TargetMode="External"/><Relationship Id="rId573" Type="http://schemas.openxmlformats.org/officeDocument/2006/relationships/hyperlink" Target="http://streetinsider.com" TargetMode="External"/><Relationship Id="rId694" Type="http://schemas.openxmlformats.org/officeDocument/2006/relationships/hyperlink" Target="http://yahoo.com" TargetMode="External"/><Relationship Id="rId370" Type="http://schemas.openxmlformats.org/officeDocument/2006/relationships/hyperlink" Target="http://mapquest.com" TargetMode="External"/><Relationship Id="rId491" Type="http://schemas.openxmlformats.org/officeDocument/2006/relationships/hyperlink" Target="http://people.com" TargetMode="External"/><Relationship Id="rId490" Type="http://schemas.openxmlformats.org/officeDocument/2006/relationships/hyperlink" Target="http://people.com" TargetMode="External"/><Relationship Id="rId129" Type="http://schemas.openxmlformats.org/officeDocument/2006/relationships/hyperlink" Target="http://cnbc.com" TargetMode="External"/><Relationship Id="rId128" Type="http://schemas.openxmlformats.org/officeDocument/2006/relationships/hyperlink" Target="http://cnbc.com" TargetMode="External"/><Relationship Id="rId249" Type="http://schemas.openxmlformats.org/officeDocument/2006/relationships/hyperlink" Target="http://forbes.com" TargetMode="External"/><Relationship Id="rId127" Type="http://schemas.openxmlformats.org/officeDocument/2006/relationships/hyperlink" Target="http://clutchpoints.com" TargetMode="External"/><Relationship Id="rId248" Type="http://schemas.openxmlformats.org/officeDocument/2006/relationships/hyperlink" Target="http://forbes.com" TargetMode="External"/><Relationship Id="rId369" Type="http://schemas.openxmlformats.org/officeDocument/2006/relationships/hyperlink" Target="http://mapquest.com" TargetMode="External"/><Relationship Id="rId126" Type="http://schemas.openxmlformats.org/officeDocument/2006/relationships/hyperlink" Target="http://classmates.com" TargetMode="External"/><Relationship Id="rId247" Type="http://schemas.openxmlformats.org/officeDocument/2006/relationships/hyperlink" Target="http://forbes.com" TargetMode="External"/><Relationship Id="rId368" Type="http://schemas.openxmlformats.org/officeDocument/2006/relationships/hyperlink" Target="http://mail.yahoo.com" TargetMode="External"/><Relationship Id="rId489" Type="http://schemas.openxmlformats.org/officeDocument/2006/relationships/hyperlink" Target="http://people.com" TargetMode="External"/><Relationship Id="rId121" Type="http://schemas.openxmlformats.org/officeDocument/2006/relationships/hyperlink" Target="http://chicagotribune.com" TargetMode="External"/><Relationship Id="rId242" Type="http://schemas.openxmlformats.org/officeDocument/2006/relationships/hyperlink" Target="http://forbes.com" TargetMode="External"/><Relationship Id="rId363" Type="http://schemas.openxmlformats.org/officeDocument/2006/relationships/hyperlink" Target="http://mail.yahoo.com" TargetMode="External"/><Relationship Id="rId484" Type="http://schemas.openxmlformats.org/officeDocument/2006/relationships/hyperlink" Target="http://pandora.com" TargetMode="External"/><Relationship Id="rId120" Type="http://schemas.openxmlformats.org/officeDocument/2006/relationships/hyperlink" Target="http://cheezburger.com" TargetMode="External"/><Relationship Id="rId241" Type="http://schemas.openxmlformats.org/officeDocument/2006/relationships/hyperlink" Target="http://forbes.com" TargetMode="External"/><Relationship Id="rId362" Type="http://schemas.openxmlformats.org/officeDocument/2006/relationships/hyperlink" Target="http://mail.yahoo.com" TargetMode="External"/><Relationship Id="rId483" Type="http://schemas.openxmlformats.org/officeDocument/2006/relationships/hyperlink" Target="http://pandora.com" TargetMode="External"/><Relationship Id="rId240" Type="http://schemas.openxmlformats.org/officeDocument/2006/relationships/hyperlink" Target="http://forbes.com" TargetMode="External"/><Relationship Id="rId361" Type="http://schemas.openxmlformats.org/officeDocument/2006/relationships/hyperlink" Target="http://mail.yahoo.com" TargetMode="External"/><Relationship Id="rId482" Type="http://schemas.openxmlformats.org/officeDocument/2006/relationships/hyperlink" Target="http://pandora.com" TargetMode="External"/><Relationship Id="rId360" Type="http://schemas.openxmlformats.org/officeDocument/2006/relationships/hyperlink" Target="http://mail.yahoo.com" TargetMode="External"/><Relationship Id="rId481" Type="http://schemas.openxmlformats.org/officeDocument/2006/relationships/hyperlink" Target="http://outlook.live.com" TargetMode="External"/><Relationship Id="rId125" Type="http://schemas.openxmlformats.org/officeDocument/2006/relationships/hyperlink" Target="http://classmates.com" TargetMode="External"/><Relationship Id="rId246" Type="http://schemas.openxmlformats.org/officeDocument/2006/relationships/hyperlink" Target="http://forbes.com" TargetMode="External"/><Relationship Id="rId367" Type="http://schemas.openxmlformats.org/officeDocument/2006/relationships/hyperlink" Target="http://mail.yahoo.com" TargetMode="External"/><Relationship Id="rId488" Type="http://schemas.openxmlformats.org/officeDocument/2006/relationships/hyperlink" Target="http://people.com" TargetMode="External"/><Relationship Id="rId124" Type="http://schemas.openxmlformats.org/officeDocument/2006/relationships/hyperlink" Target="http://classmates.com" TargetMode="External"/><Relationship Id="rId245" Type="http://schemas.openxmlformats.org/officeDocument/2006/relationships/hyperlink" Target="http://forbes.com" TargetMode="External"/><Relationship Id="rId366" Type="http://schemas.openxmlformats.org/officeDocument/2006/relationships/hyperlink" Target="http://mail.yahoo.com" TargetMode="External"/><Relationship Id="rId487" Type="http://schemas.openxmlformats.org/officeDocument/2006/relationships/hyperlink" Target="http://people.com" TargetMode="External"/><Relationship Id="rId123" Type="http://schemas.openxmlformats.org/officeDocument/2006/relationships/hyperlink" Target="http://citationmachine.net" TargetMode="External"/><Relationship Id="rId244" Type="http://schemas.openxmlformats.org/officeDocument/2006/relationships/hyperlink" Target="http://forbes.com" TargetMode="External"/><Relationship Id="rId365" Type="http://schemas.openxmlformats.org/officeDocument/2006/relationships/hyperlink" Target="http://mail.yahoo.com" TargetMode="External"/><Relationship Id="rId486" Type="http://schemas.openxmlformats.org/officeDocument/2006/relationships/hyperlink" Target="http://people.com" TargetMode="External"/><Relationship Id="rId122" Type="http://schemas.openxmlformats.org/officeDocument/2006/relationships/hyperlink" Target="http://chocolatecoveredkatie.com" TargetMode="External"/><Relationship Id="rId243" Type="http://schemas.openxmlformats.org/officeDocument/2006/relationships/hyperlink" Target="http://forbes.com" TargetMode="External"/><Relationship Id="rId364" Type="http://schemas.openxmlformats.org/officeDocument/2006/relationships/hyperlink" Target="http://mail.yahoo.com" TargetMode="External"/><Relationship Id="rId485" Type="http://schemas.openxmlformats.org/officeDocument/2006/relationships/hyperlink" Target="http://pandora.com" TargetMode="External"/><Relationship Id="rId95" Type="http://schemas.openxmlformats.org/officeDocument/2006/relationships/hyperlink" Target="http://cars.com" TargetMode="External"/><Relationship Id="rId94" Type="http://schemas.openxmlformats.org/officeDocument/2006/relationships/hyperlink" Target="http://cars.com" TargetMode="External"/><Relationship Id="rId97" Type="http://schemas.openxmlformats.org/officeDocument/2006/relationships/hyperlink" Target="http://cars.com" TargetMode="External"/><Relationship Id="rId96" Type="http://schemas.openxmlformats.org/officeDocument/2006/relationships/hyperlink" Target="http://cars.com" TargetMode="External"/><Relationship Id="rId99" Type="http://schemas.openxmlformats.org/officeDocument/2006/relationships/hyperlink" Target="http://cars.com" TargetMode="External"/><Relationship Id="rId480" Type="http://schemas.openxmlformats.org/officeDocument/2006/relationships/hyperlink" Target="http://outlook.live.com" TargetMode="External"/><Relationship Id="rId98" Type="http://schemas.openxmlformats.org/officeDocument/2006/relationships/hyperlink" Target="http://cars.com" TargetMode="External"/><Relationship Id="rId91" Type="http://schemas.openxmlformats.org/officeDocument/2006/relationships/hyperlink" Target="http://cargurus.com" TargetMode="External"/><Relationship Id="rId90" Type="http://schemas.openxmlformats.org/officeDocument/2006/relationships/hyperlink" Target="http://cargurus.com" TargetMode="External"/><Relationship Id="rId93" Type="http://schemas.openxmlformats.org/officeDocument/2006/relationships/hyperlink" Target="http://cargurus.com" TargetMode="External"/><Relationship Id="rId92" Type="http://schemas.openxmlformats.org/officeDocument/2006/relationships/hyperlink" Target="http://cargurus.com" TargetMode="External"/><Relationship Id="rId118" Type="http://schemas.openxmlformats.org/officeDocument/2006/relationships/hyperlink" Target="http://cheapoair.com" TargetMode="External"/><Relationship Id="rId239" Type="http://schemas.openxmlformats.org/officeDocument/2006/relationships/hyperlink" Target="http://forbes.com" TargetMode="External"/><Relationship Id="rId117" Type="http://schemas.openxmlformats.org/officeDocument/2006/relationships/hyperlink" Target="http://cheapoair.com" TargetMode="External"/><Relationship Id="rId238" Type="http://schemas.openxmlformats.org/officeDocument/2006/relationships/hyperlink" Target="http://flightaware.com" TargetMode="External"/><Relationship Id="rId359" Type="http://schemas.openxmlformats.org/officeDocument/2006/relationships/hyperlink" Target="http://mail.yahoo.com" TargetMode="External"/><Relationship Id="rId116" Type="http://schemas.openxmlformats.org/officeDocument/2006/relationships/hyperlink" Target="http://cbssports.com" TargetMode="External"/><Relationship Id="rId237" Type="http://schemas.openxmlformats.org/officeDocument/2006/relationships/hyperlink" Target="http://flightaware.com" TargetMode="External"/><Relationship Id="rId358" Type="http://schemas.openxmlformats.org/officeDocument/2006/relationships/hyperlink" Target="http://mail.yahoo.com" TargetMode="External"/><Relationship Id="rId479" Type="http://schemas.openxmlformats.org/officeDocument/2006/relationships/hyperlink" Target="http://outlook.live.com" TargetMode="External"/><Relationship Id="rId115" Type="http://schemas.openxmlformats.org/officeDocument/2006/relationships/hyperlink" Target="http://cbssports.com" TargetMode="External"/><Relationship Id="rId236" Type="http://schemas.openxmlformats.org/officeDocument/2006/relationships/hyperlink" Target="http://flightaware.com" TargetMode="External"/><Relationship Id="rId357" Type="http://schemas.openxmlformats.org/officeDocument/2006/relationships/hyperlink" Target="http://mail.yahoo.com" TargetMode="External"/><Relationship Id="rId478" Type="http://schemas.openxmlformats.org/officeDocument/2006/relationships/hyperlink" Target="http://outlook.live.com" TargetMode="External"/><Relationship Id="rId599" Type="http://schemas.openxmlformats.org/officeDocument/2006/relationships/hyperlink" Target="http://timeanddate.com" TargetMode="External"/><Relationship Id="rId119" Type="http://schemas.openxmlformats.org/officeDocument/2006/relationships/hyperlink" Target="http://cheezburger.com" TargetMode="External"/><Relationship Id="rId110" Type="http://schemas.openxmlformats.org/officeDocument/2006/relationships/hyperlink" Target="http://cbsnews.com" TargetMode="External"/><Relationship Id="rId231" Type="http://schemas.openxmlformats.org/officeDocument/2006/relationships/hyperlink" Target="http://findagrave.com" TargetMode="External"/><Relationship Id="rId352" Type="http://schemas.openxmlformats.org/officeDocument/2006/relationships/hyperlink" Target="http://mail.yahoo.com" TargetMode="External"/><Relationship Id="rId473" Type="http://schemas.openxmlformats.org/officeDocument/2006/relationships/hyperlink" Target="http://outlook.live.com" TargetMode="External"/><Relationship Id="rId594" Type="http://schemas.openxmlformats.org/officeDocument/2006/relationships/hyperlink" Target="http://the-sun.com" TargetMode="External"/><Relationship Id="rId230" Type="http://schemas.openxmlformats.org/officeDocument/2006/relationships/hyperlink" Target="http://finance.yahoo.com" TargetMode="External"/><Relationship Id="rId351" Type="http://schemas.openxmlformats.org/officeDocument/2006/relationships/hyperlink" Target="http://mail.yahoo.com" TargetMode="External"/><Relationship Id="rId472" Type="http://schemas.openxmlformats.org/officeDocument/2006/relationships/hyperlink" Target="http://outlook.live.com" TargetMode="External"/><Relationship Id="rId593" Type="http://schemas.openxmlformats.org/officeDocument/2006/relationships/hyperlink" Target="http://the-sun.com" TargetMode="External"/><Relationship Id="rId350" Type="http://schemas.openxmlformats.org/officeDocument/2006/relationships/hyperlink" Target="http://mail.yahoo.com" TargetMode="External"/><Relationship Id="rId471" Type="http://schemas.openxmlformats.org/officeDocument/2006/relationships/hyperlink" Target="http://outlook.live.com" TargetMode="External"/><Relationship Id="rId592" Type="http://schemas.openxmlformats.org/officeDocument/2006/relationships/hyperlink" Target="http://the-sun.com" TargetMode="External"/><Relationship Id="rId470" Type="http://schemas.openxmlformats.org/officeDocument/2006/relationships/hyperlink" Target="http://outlook.live.com" TargetMode="External"/><Relationship Id="rId591" Type="http://schemas.openxmlformats.org/officeDocument/2006/relationships/hyperlink" Target="http://thesaurus.com" TargetMode="External"/><Relationship Id="rId114" Type="http://schemas.openxmlformats.org/officeDocument/2006/relationships/hyperlink" Target="http://cbssports.com" TargetMode="External"/><Relationship Id="rId235" Type="http://schemas.openxmlformats.org/officeDocument/2006/relationships/hyperlink" Target="http://firstcoastnews.com" TargetMode="External"/><Relationship Id="rId356" Type="http://schemas.openxmlformats.org/officeDocument/2006/relationships/hyperlink" Target="http://mail.yahoo.com" TargetMode="External"/><Relationship Id="rId477" Type="http://schemas.openxmlformats.org/officeDocument/2006/relationships/hyperlink" Target="http://outlook.live.com" TargetMode="External"/><Relationship Id="rId598" Type="http://schemas.openxmlformats.org/officeDocument/2006/relationships/hyperlink" Target="http://timeanddate.com" TargetMode="External"/><Relationship Id="rId113" Type="http://schemas.openxmlformats.org/officeDocument/2006/relationships/hyperlink" Target="http://cbsnews.com" TargetMode="External"/><Relationship Id="rId234" Type="http://schemas.openxmlformats.org/officeDocument/2006/relationships/hyperlink" Target="http://finviz.com" TargetMode="External"/><Relationship Id="rId355" Type="http://schemas.openxmlformats.org/officeDocument/2006/relationships/hyperlink" Target="http://mail.yahoo.com" TargetMode="External"/><Relationship Id="rId476" Type="http://schemas.openxmlformats.org/officeDocument/2006/relationships/hyperlink" Target="http://outlook.live.com" TargetMode="External"/><Relationship Id="rId597" Type="http://schemas.openxmlformats.org/officeDocument/2006/relationships/hyperlink" Target="http://the-sun.com" TargetMode="External"/><Relationship Id="rId112" Type="http://schemas.openxmlformats.org/officeDocument/2006/relationships/hyperlink" Target="http://cbsnews.com" TargetMode="External"/><Relationship Id="rId233" Type="http://schemas.openxmlformats.org/officeDocument/2006/relationships/hyperlink" Target="http://findagrave.com" TargetMode="External"/><Relationship Id="rId354" Type="http://schemas.openxmlformats.org/officeDocument/2006/relationships/hyperlink" Target="http://mail.yahoo.com" TargetMode="External"/><Relationship Id="rId475" Type="http://schemas.openxmlformats.org/officeDocument/2006/relationships/hyperlink" Target="http://outlook.live.com" TargetMode="External"/><Relationship Id="rId596" Type="http://schemas.openxmlformats.org/officeDocument/2006/relationships/hyperlink" Target="http://the-sun.com" TargetMode="External"/><Relationship Id="rId111" Type="http://schemas.openxmlformats.org/officeDocument/2006/relationships/hyperlink" Target="http://cbsnews.com" TargetMode="External"/><Relationship Id="rId232" Type="http://schemas.openxmlformats.org/officeDocument/2006/relationships/hyperlink" Target="http://findagrave.com" TargetMode="External"/><Relationship Id="rId353" Type="http://schemas.openxmlformats.org/officeDocument/2006/relationships/hyperlink" Target="http://mail.yahoo.com" TargetMode="External"/><Relationship Id="rId474" Type="http://schemas.openxmlformats.org/officeDocument/2006/relationships/hyperlink" Target="http://outlook.live.com" TargetMode="External"/><Relationship Id="rId595" Type="http://schemas.openxmlformats.org/officeDocument/2006/relationships/hyperlink" Target="http://the-sun.com" TargetMode="External"/><Relationship Id="rId305" Type="http://schemas.openxmlformats.org/officeDocument/2006/relationships/hyperlink" Target="http://jdpower.com" TargetMode="External"/><Relationship Id="rId426" Type="http://schemas.openxmlformats.org/officeDocument/2006/relationships/hyperlink" Target="http://msn.com" TargetMode="External"/><Relationship Id="rId547" Type="http://schemas.openxmlformats.org/officeDocument/2006/relationships/hyperlink" Target="http://shareably.net" TargetMode="External"/><Relationship Id="rId668" Type="http://schemas.openxmlformats.org/officeDocument/2006/relationships/hyperlink" Target="http://whatismyipaddress.com" TargetMode="External"/><Relationship Id="rId304" Type="http://schemas.openxmlformats.org/officeDocument/2006/relationships/hyperlink" Target="http://jdpower.com" TargetMode="External"/><Relationship Id="rId425" Type="http://schemas.openxmlformats.org/officeDocument/2006/relationships/hyperlink" Target="http://msn.com" TargetMode="External"/><Relationship Id="rId546" Type="http://schemas.openxmlformats.org/officeDocument/2006/relationships/hyperlink" Target="http://semana.com" TargetMode="External"/><Relationship Id="rId667" Type="http://schemas.openxmlformats.org/officeDocument/2006/relationships/hyperlink" Target="http://whatismyipaddress.com" TargetMode="External"/><Relationship Id="rId303" Type="http://schemas.openxmlformats.org/officeDocument/2006/relationships/hyperlink" Target="http://investopedia.com" TargetMode="External"/><Relationship Id="rId424" Type="http://schemas.openxmlformats.org/officeDocument/2006/relationships/hyperlink" Target="http://msn.com" TargetMode="External"/><Relationship Id="rId545" Type="http://schemas.openxmlformats.org/officeDocument/2006/relationships/hyperlink" Target="http://seedsgames.com" TargetMode="External"/><Relationship Id="rId666" Type="http://schemas.openxmlformats.org/officeDocument/2006/relationships/hyperlink" Target="http://whatismyipaddress.com" TargetMode="External"/><Relationship Id="rId302" Type="http://schemas.openxmlformats.org/officeDocument/2006/relationships/hyperlink" Target="http://investopedia.com" TargetMode="External"/><Relationship Id="rId423" Type="http://schemas.openxmlformats.org/officeDocument/2006/relationships/hyperlink" Target="http://msn.com" TargetMode="External"/><Relationship Id="rId544" Type="http://schemas.openxmlformats.org/officeDocument/2006/relationships/hyperlink" Target="http://screenrant.com" TargetMode="External"/><Relationship Id="rId665" Type="http://schemas.openxmlformats.org/officeDocument/2006/relationships/hyperlink" Target="http://whatismyipaddress.com" TargetMode="External"/><Relationship Id="rId309" Type="http://schemas.openxmlformats.org/officeDocument/2006/relationships/hyperlink" Target="http://kbb.com" TargetMode="External"/><Relationship Id="rId308" Type="http://schemas.openxmlformats.org/officeDocument/2006/relationships/hyperlink" Target="http://kbb.com" TargetMode="External"/><Relationship Id="rId429" Type="http://schemas.openxmlformats.org/officeDocument/2006/relationships/hyperlink" Target="http://my.yahoo.com" TargetMode="External"/><Relationship Id="rId307" Type="http://schemas.openxmlformats.org/officeDocument/2006/relationships/hyperlink" Target="http://kbb.com" TargetMode="External"/><Relationship Id="rId428" Type="http://schemas.openxmlformats.org/officeDocument/2006/relationships/hyperlink" Target="http://my.earthlink.net" TargetMode="External"/><Relationship Id="rId549" Type="http://schemas.openxmlformats.org/officeDocument/2006/relationships/hyperlink" Target="http://signin.ebay.com" TargetMode="External"/><Relationship Id="rId306" Type="http://schemas.openxmlformats.org/officeDocument/2006/relationships/hyperlink" Target="http://jdpower.com" TargetMode="External"/><Relationship Id="rId427" Type="http://schemas.openxmlformats.org/officeDocument/2006/relationships/hyperlink" Target="http://msn.com" TargetMode="External"/><Relationship Id="rId548" Type="http://schemas.openxmlformats.org/officeDocument/2006/relationships/hyperlink" Target="http://si.com" TargetMode="External"/><Relationship Id="rId669" Type="http://schemas.openxmlformats.org/officeDocument/2006/relationships/hyperlink" Target="http://whatismyipaddress.com" TargetMode="External"/><Relationship Id="rId660" Type="http://schemas.openxmlformats.org/officeDocument/2006/relationships/hyperlink" Target="http://weather.com" TargetMode="External"/><Relationship Id="rId301" Type="http://schemas.openxmlformats.org/officeDocument/2006/relationships/hyperlink" Target="http://investmentguru.com" TargetMode="External"/><Relationship Id="rId422" Type="http://schemas.openxmlformats.org/officeDocument/2006/relationships/hyperlink" Target="http://msn.com" TargetMode="External"/><Relationship Id="rId543" Type="http://schemas.openxmlformats.org/officeDocument/2006/relationships/hyperlink" Target="http://screenrant.com" TargetMode="External"/><Relationship Id="rId664" Type="http://schemas.openxmlformats.org/officeDocument/2006/relationships/hyperlink" Target="http://whatismyipaddress.com" TargetMode="External"/><Relationship Id="rId300" Type="http://schemas.openxmlformats.org/officeDocument/2006/relationships/hyperlink" Target="http://investing.com" TargetMode="External"/><Relationship Id="rId421" Type="http://schemas.openxmlformats.org/officeDocument/2006/relationships/hyperlink" Target="http://msn.com" TargetMode="External"/><Relationship Id="rId542" Type="http://schemas.openxmlformats.org/officeDocument/2006/relationships/hyperlink" Target="http://screenrant.com" TargetMode="External"/><Relationship Id="rId663" Type="http://schemas.openxmlformats.org/officeDocument/2006/relationships/hyperlink" Target="http://whatismyipaddress.com" TargetMode="External"/><Relationship Id="rId420" Type="http://schemas.openxmlformats.org/officeDocument/2006/relationships/hyperlink" Target="http://msn.com" TargetMode="External"/><Relationship Id="rId541" Type="http://schemas.openxmlformats.org/officeDocument/2006/relationships/hyperlink" Target="http://screenrant.com" TargetMode="External"/><Relationship Id="rId662" Type="http://schemas.openxmlformats.org/officeDocument/2006/relationships/hyperlink" Target="http://webmd.com" TargetMode="External"/><Relationship Id="rId540" Type="http://schemas.openxmlformats.org/officeDocument/2006/relationships/hyperlink" Target="http://screenrant.com" TargetMode="External"/><Relationship Id="rId661" Type="http://schemas.openxmlformats.org/officeDocument/2006/relationships/hyperlink" Target="http://webmd.com" TargetMode="External"/><Relationship Id="rId415" Type="http://schemas.openxmlformats.org/officeDocument/2006/relationships/hyperlink" Target="http://msn.com" TargetMode="External"/><Relationship Id="rId536" Type="http://schemas.openxmlformats.org/officeDocument/2006/relationships/hyperlink" Target="http://sallysbakingaddiction.com" TargetMode="External"/><Relationship Id="rId657" Type="http://schemas.openxmlformats.org/officeDocument/2006/relationships/hyperlink" Target="http://weather.com" TargetMode="External"/><Relationship Id="rId414" Type="http://schemas.openxmlformats.org/officeDocument/2006/relationships/hyperlink" Target="http://msn.com" TargetMode="External"/><Relationship Id="rId535" Type="http://schemas.openxmlformats.org/officeDocument/2006/relationships/hyperlink" Target="http://rvtrader.com" TargetMode="External"/><Relationship Id="rId656" Type="http://schemas.openxmlformats.org/officeDocument/2006/relationships/hyperlink" Target="http://weather.com" TargetMode="External"/><Relationship Id="rId413" Type="http://schemas.openxmlformats.org/officeDocument/2006/relationships/hyperlink" Target="http://msn.com" TargetMode="External"/><Relationship Id="rId534" Type="http://schemas.openxmlformats.org/officeDocument/2006/relationships/hyperlink" Target="http://rollingstone.com" TargetMode="External"/><Relationship Id="rId655" Type="http://schemas.openxmlformats.org/officeDocument/2006/relationships/hyperlink" Target="http://weather.com" TargetMode="External"/><Relationship Id="rId412" Type="http://schemas.openxmlformats.org/officeDocument/2006/relationships/hyperlink" Target="http://msn.com" TargetMode="External"/><Relationship Id="rId533" Type="http://schemas.openxmlformats.org/officeDocument/2006/relationships/hyperlink" Target="http://rollingstone.com" TargetMode="External"/><Relationship Id="rId654" Type="http://schemas.openxmlformats.org/officeDocument/2006/relationships/hyperlink" Target="http://weather.com" TargetMode="External"/><Relationship Id="rId419" Type="http://schemas.openxmlformats.org/officeDocument/2006/relationships/hyperlink" Target="http://msn.com" TargetMode="External"/><Relationship Id="rId418" Type="http://schemas.openxmlformats.org/officeDocument/2006/relationships/hyperlink" Target="http://msn.com" TargetMode="External"/><Relationship Id="rId539" Type="http://schemas.openxmlformats.org/officeDocument/2006/relationships/hyperlink" Target="http://scitechdaily.com" TargetMode="External"/><Relationship Id="rId417" Type="http://schemas.openxmlformats.org/officeDocument/2006/relationships/hyperlink" Target="http://msn.com" TargetMode="External"/><Relationship Id="rId538" Type="http://schemas.openxmlformats.org/officeDocument/2006/relationships/hyperlink" Target="http://sciencesensei.com" TargetMode="External"/><Relationship Id="rId659" Type="http://schemas.openxmlformats.org/officeDocument/2006/relationships/hyperlink" Target="http://weather.com" TargetMode="External"/><Relationship Id="rId416" Type="http://schemas.openxmlformats.org/officeDocument/2006/relationships/hyperlink" Target="http://msn.com" TargetMode="External"/><Relationship Id="rId537" Type="http://schemas.openxmlformats.org/officeDocument/2006/relationships/hyperlink" Target="http://sciencealert.com" TargetMode="External"/><Relationship Id="rId658" Type="http://schemas.openxmlformats.org/officeDocument/2006/relationships/hyperlink" Target="http://weather.com" TargetMode="External"/><Relationship Id="rId411" Type="http://schemas.openxmlformats.org/officeDocument/2006/relationships/hyperlink" Target="http://msn.com" TargetMode="External"/><Relationship Id="rId532" Type="http://schemas.openxmlformats.org/officeDocument/2006/relationships/hyperlink" Target="http://rollingstone.com" TargetMode="External"/><Relationship Id="rId653" Type="http://schemas.openxmlformats.org/officeDocument/2006/relationships/hyperlink" Target="http://weather.com" TargetMode="External"/><Relationship Id="rId410" Type="http://schemas.openxmlformats.org/officeDocument/2006/relationships/hyperlink" Target="http://msn.com" TargetMode="External"/><Relationship Id="rId531" Type="http://schemas.openxmlformats.org/officeDocument/2006/relationships/hyperlink" Target="http://reuters.com" TargetMode="External"/><Relationship Id="rId652" Type="http://schemas.openxmlformats.org/officeDocument/2006/relationships/hyperlink" Target="http://weather.com" TargetMode="External"/><Relationship Id="rId530" Type="http://schemas.openxmlformats.org/officeDocument/2006/relationships/hyperlink" Target="http://reuters.com" TargetMode="External"/><Relationship Id="rId651" Type="http://schemas.openxmlformats.org/officeDocument/2006/relationships/hyperlink" Target="http://weather.com" TargetMode="External"/><Relationship Id="rId650" Type="http://schemas.openxmlformats.org/officeDocument/2006/relationships/hyperlink" Target="http://weather.com" TargetMode="External"/><Relationship Id="rId206" Type="http://schemas.openxmlformats.org/officeDocument/2006/relationships/hyperlink" Target="http://evite.com" TargetMode="External"/><Relationship Id="rId327" Type="http://schemas.openxmlformats.org/officeDocument/2006/relationships/hyperlink" Target="http://mail.aol.com" TargetMode="External"/><Relationship Id="rId448" Type="http://schemas.openxmlformats.org/officeDocument/2006/relationships/hyperlink" Target="http://news.yahoo.com" TargetMode="External"/><Relationship Id="rId569" Type="http://schemas.openxmlformats.org/officeDocument/2006/relationships/hyperlink" Target="http://sports.yahoo.com" TargetMode="External"/><Relationship Id="rId205" Type="http://schemas.openxmlformats.org/officeDocument/2006/relationships/hyperlink" Target="http://essentiallysports.com" TargetMode="External"/><Relationship Id="rId326" Type="http://schemas.openxmlformats.org/officeDocument/2006/relationships/hyperlink" Target="http://mail.aol.com" TargetMode="External"/><Relationship Id="rId447" Type="http://schemas.openxmlformats.org/officeDocument/2006/relationships/hyperlink" Target="http://news.yahoo.com" TargetMode="External"/><Relationship Id="rId568" Type="http://schemas.openxmlformats.org/officeDocument/2006/relationships/hyperlink" Target="http://sportpirate.com" TargetMode="External"/><Relationship Id="rId689" Type="http://schemas.openxmlformats.org/officeDocument/2006/relationships/hyperlink" Target="http://yahoo.com" TargetMode="External"/><Relationship Id="rId204" Type="http://schemas.openxmlformats.org/officeDocument/2006/relationships/hyperlink" Target="http://essentiallysports.com" TargetMode="External"/><Relationship Id="rId325" Type="http://schemas.openxmlformats.org/officeDocument/2006/relationships/hyperlink" Target="http://mail.aol.com" TargetMode="External"/><Relationship Id="rId446" Type="http://schemas.openxmlformats.org/officeDocument/2006/relationships/hyperlink" Target="http://news.yahoo.com" TargetMode="External"/><Relationship Id="rId567" Type="http://schemas.openxmlformats.org/officeDocument/2006/relationships/hyperlink" Target="http://sporcle.com" TargetMode="External"/><Relationship Id="rId688" Type="http://schemas.openxmlformats.org/officeDocument/2006/relationships/hyperlink" Target="http://yahoo.com" TargetMode="External"/><Relationship Id="rId203" Type="http://schemas.openxmlformats.org/officeDocument/2006/relationships/hyperlink" Target="http://espn.com" TargetMode="External"/><Relationship Id="rId324" Type="http://schemas.openxmlformats.org/officeDocument/2006/relationships/hyperlink" Target="http://macrumors.com" TargetMode="External"/><Relationship Id="rId445" Type="http://schemas.openxmlformats.org/officeDocument/2006/relationships/hyperlink" Target="http://news.yahoo.com" TargetMode="External"/><Relationship Id="rId566" Type="http://schemas.openxmlformats.org/officeDocument/2006/relationships/hyperlink" Target="http://soaps.sheknows.com" TargetMode="External"/><Relationship Id="rId687" Type="http://schemas.openxmlformats.org/officeDocument/2006/relationships/hyperlink" Target="http://yahoo.com" TargetMode="External"/><Relationship Id="rId209" Type="http://schemas.openxmlformats.org/officeDocument/2006/relationships/hyperlink" Target="http://factinate.com" TargetMode="External"/><Relationship Id="rId208" Type="http://schemas.openxmlformats.org/officeDocument/2006/relationships/hyperlink" Target="http://factable.com" TargetMode="External"/><Relationship Id="rId329" Type="http://schemas.openxmlformats.org/officeDocument/2006/relationships/hyperlink" Target="http://mail.aol.com" TargetMode="External"/><Relationship Id="rId207" Type="http://schemas.openxmlformats.org/officeDocument/2006/relationships/hyperlink" Target="http://ew.com" TargetMode="External"/><Relationship Id="rId328" Type="http://schemas.openxmlformats.org/officeDocument/2006/relationships/hyperlink" Target="http://mail.aol.com" TargetMode="External"/><Relationship Id="rId449" Type="http://schemas.openxmlformats.org/officeDocument/2006/relationships/hyperlink" Target="http://news.yahoo.com" TargetMode="External"/><Relationship Id="rId440" Type="http://schemas.openxmlformats.org/officeDocument/2006/relationships/hyperlink" Target="http://nbcnews.com" TargetMode="External"/><Relationship Id="rId561" Type="http://schemas.openxmlformats.org/officeDocument/2006/relationships/hyperlink" Target="http://slickdeals.net" TargetMode="External"/><Relationship Id="rId682" Type="http://schemas.openxmlformats.org/officeDocument/2006/relationships/hyperlink" Target="http://wunderground.com" TargetMode="External"/><Relationship Id="rId560" Type="http://schemas.openxmlformats.org/officeDocument/2006/relationships/hyperlink" Target="http://slickdeals.net" TargetMode="External"/><Relationship Id="rId681" Type="http://schemas.openxmlformats.org/officeDocument/2006/relationships/hyperlink" Target="http://wunderground.com" TargetMode="External"/><Relationship Id="rId680" Type="http://schemas.openxmlformats.org/officeDocument/2006/relationships/hyperlink" Target="http://wsvn.com" TargetMode="External"/><Relationship Id="rId202" Type="http://schemas.openxmlformats.org/officeDocument/2006/relationships/hyperlink" Target="http://espn.com" TargetMode="External"/><Relationship Id="rId323" Type="http://schemas.openxmlformats.org/officeDocument/2006/relationships/hyperlink" Target="http://macrumors.com" TargetMode="External"/><Relationship Id="rId444" Type="http://schemas.openxmlformats.org/officeDocument/2006/relationships/hyperlink" Target="http://news.yahoo.com" TargetMode="External"/><Relationship Id="rId565" Type="http://schemas.openxmlformats.org/officeDocument/2006/relationships/hyperlink" Target="http://sneakertoast.com" TargetMode="External"/><Relationship Id="rId686" Type="http://schemas.openxmlformats.org/officeDocument/2006/relationships/hyperlink" Target="http://yahoo.com" TargetMode="External"/><Relationship Id="rId201" Type="http://schemas.openxmlformats.org/officeDocument/2006/relationships/hyperlink" Target="http://eonline.com" TargetMode="External"/><Relationship Id="rId322" Type="http://schemas.openxmlformats.org/officeDocument/2006/relationships/hyperlink" Target="http://m.timesofindia.com" TargetMode="External"/><Relationship Id="rId443" Type="http://schemas.openxmlformats.org/officeDocument/2006/relationships/hyperlink" Target="http://nbcsports.com" TargetMode="External"/><Relationship Id="rId564" Type="http://schemas.openxmlformats.org/officeDocument/2006/relationships/hyperlink" Target="http://slickdeals.net" TargetMode="External"/><Relationship Id="rId685" Type="http://schemas.openxmlformats.org/officeDocument/2006/relationships/hyperlink" Target="http://yahoo.com" TargetMode="External"/><Relationship Id="rId200" Type="http://schemas.openxmlformats.org/officeDocument/2006/relationships/hyperlink" Target="http://eenadu.net" TargetMode="External"/><Relationship Id="rId321" Type="http://schemas.openxmlformats.org/officeDocument/2006/relationships/hyperlink" Target="http://m.timesofindia.com" TargetMode="External"/><Relationship Id="rId442" Type="http://schemas.openxmlformats.org/officeDocument/2006/relationships/hyperlink" Target="http://nbcnews.com" TargetMode="External"/><Relationship Id="rId563" Type="http://schemas.openxmlformats.org/officeDocument/2006/relationships/hyperlink" Target="http://slickdeals.net" TargetMode="External"/><Relationship Id="rId684" Type="http://schemas.openxmlformats.org/officeDocument/2006/relationships/hyperlink" Target="http://yahoo.com" TargetMode="External"/><Relationship Id="rId320" Type="http://schemas.openxmlformats.org/officeDocument/2006/relationships/hyperlink" Target="http://m.timesofindia.com" TargetMode="External"/><Relationship Id="rId441" Type="http://schemas.openxmlformats.org/officeDocument/2006/relationships/hyperlink" Target="http://nbcnews.com" TargetMode="External"/><Relationship Id="rId562" Type="http://schemas.openxmlformats.org/officeDocument/2006/relationships/hyperlink" Target="http://slickdeals.net" TargetMode="External"/><Relationship Id="rId683" Type="http://schemas.openxmlformats.org/officeDocument/2006/relationships/hyperlink" Target="http://yachtworld.com" TargetMode="External"/><Relationship Id="rId316" Type="http://schemas.openxmlformats.org/officeDocument/2006/relationships/hyperlink" Target="http://lensvid.com" TargetMode="External"/><Relationship Id="rId437" Type="http://schemas.openxmlformats.org/officeDocument/2006/relationships/hyperlink" Target="http://nbcmiami.com" TargetMode="External"/><Relationship Id="rId558" Type="http://schemas.openxmlformats.org/officeDocument/2006/relationships/hyperlink" Target="http://slickdeals.net" TargetMode="External"/><Relationship Id="rId679" Type="http://schemas.openxmlformats.org/officeDocument/2006/relationships/hyperlink" Target="http://wsmv.com" TargetMode="External"/><Relationship Id="rId315" Type="http://schemas.openxmlformats.org/officeDocument/2006/relationships/hyperlink" Target="http://kiplinger.com" TargetMode="External"/><Relationship Id="rId436" Type="http://schemas.openxmlformats.org/officeDocument/2006/relationships/hyperlink" Target="http://nbcdfw.com" TargetMode="External"/><Relationship Id="rId557" Type="http://schemas.openxmlformats.org/officeDocument/2006/relationships/hyperlink" Target="http://slickdeals.net" TargetMode="External"/><Relationship Id="rId678" Type="http://schemas.openxmlformats.org/officeDocument/2006/relationships/hyperlink" Target="http://wsj.com" TargetMode="External"/><Relationship Id="rId314" Type="http://schemas.openxmlformats.org/officeDocument/2006/relationships/hyperlink" Target="http://kbb.com" TargetMode="External"/><Relationship Id="rId435" Type="http://schemas.openxmlformats.org/officeDocument/2006/relationships/hyperlink" Target="http://nbcchicago.com" TargetMode="External"/><Relationship Id="rId556" Type="http://schemas.openxmlformats.org/officeDocument/2006/relationships/hyperlink" Target="http://signupgenius.com" TargetMode="External"/><Relationship Id="rId677" Type="http://schemas.openxmlformats.org/officeDocument/2006/relationships/hyperlink" Target="http://wordunscrambler.me" TargetMode="External"/><Relationship Id="rId313" Type="http://schemas.openxmlformats.org/officeDocument/2006/relationships/hyperlink" Target="http://kbb.com" TargetMode="External"/><Relationship Id="rId434" Type="http://schemas.openxmlformats.org/officeDocument/2006/relationships/hyperlink" Target="http://nbcchicago.com" TargetMode="External"/><Relationship Id="rId555" Type="http://schemas.openxmlformats.org/officeDocument/2006/relationships/hyperlink" Target="http://signupgenius.com" TargetMode="External"/><Relationship Id="rId676" Type="http://schemas.openxmlformats.org/officeDocument/2006/relationships/hyperlink" Target="http://womenshealthmag.com" TargetMode="External"/><Relationship Id="rId319" Type="http://schemas.openxmlformats.org/officeDocument/2006/relationships/hyperlink" Target="http://lotterypost.com" TargetMode="External"/><Relationship Id="rId318" Type="http://schemas.openxmlformats.org/officeDocument/2006/relationships/hyperlink" Target="http://lotterypost.com" TargetMode="External"/><Relationship Id="rId439" Type="http://schemas.openxmlformats.org/officeDocument/2006/relationships/hyperlink" Target="http://nbcnews.com" TargetMode="External"/><Relationship Id="rId317" Type="http://schemas.openxmlformats.org/officeDocument/2006/relationships/hyperlink" Target="http://livescience.com" TargetMode="External"/><Relationship Id="rId438" Type="http://schemas.openxmlformats.org/officeDocument/2006/relationships/hyperlink" Target="http://nbcnews.com" TargetMode="External"/><Relationship Id="rId559" Type="http://schemas.openxmlformats.org/officeDocument/2006/relationships/hyperlink" Target="http://slickdeals.net" TargetMode="External"/><Relationship Id="rId550" Type="http://schemas.openxmlformats.org/officeDocument/2006/relationships/hyperlink" Target="http://signin.ebay.com" TargetMode="External"/><Relationship Id="rId671" Type="http://schemas.openxmlformats.org/officeDocument/2006/relationships/hyperlink" Target="http://wikihow.com" TargetMode="External"/><Relationship Id="rId670" Type="http://schemas.openxmlformats.org/officeDocument/2006/relationships/hyperlink" Target="http://wikihow.com" TargetMode="External"/><Relationship Id="rId312" Type="http://schemas.openxmlformats.org/officeDocument/2006/relationships/hyperlink" Target="http://kbb.com" TargetMode="External"/><Relationship Id="rId433" Type="http://schemas.openxmlformats.org/officeDocument/2006/relationships/hyperlink" Target="http://nba.com" TargetMode="External"/><Relationship Id="rId554" Type="http://schemas.openxmlformats.org/officeDocument/2006/relationships/hyperlink" Target="http://signupgenius.com" TargetMode="External"/><Relationship Id="rId675" Type="http://schemas.openxmlformats.org/officeDocument/2006/relationships/hyperlink" Target="http://wizofawes.com" TargetMode="External"/><Relationship Id="rId311" Type="http://schemas.openxmlformats.org/officeDocument/2006/relationships/hyperlink" Target="http://kbb.com" TargetMode="External"/><Relationship Id="rId432" Type="http://schemas.openxmlformats.org/officeDocument/2006/relationships/hyperlink" Target="http://myfitnesspal.com" TargetMode="External"/><Relationship Id="rId553" Type="http://schemas.openxmlformats.org/officeDocument/2006/relationships/hyperlink" Target="http://signupgenius.com" TargetMode="External"/><Relationship Id="rId674" Type="http://schemas.openxmlformats.org/officeDocument/2006/relationships/hyperlink" Target="http://wikihow.com" TargetMode="External"/><Relationship Id="rId310" Type="http://schemas.openxmlformats.org/officeDocument/2006/relationships/hyperlink" Target="http://kbb.com" TargetMode="External"/><Relationship Id="rId431" Type="http://schemas.openxmlformats.org/officeDocument/2006/relationships/hyperlink" Target="http://mydailymagazine.com" TargetMode="External"/><Relationship Id="rId552" Type="http://schemas.openxmlformats.org/officeDocument/2006/relationships/hyperlink" Target="http://signupgenius.com" TargetMode="External"/><Relationship Id="rId673" Type="http://schemas.openxmlformats.org/officeDocument/2006/relationships/hyperlink" Target="http://wikihow.com" TargetMode="External"/><Relationship Id="rId430" Type="http://schemas.openxmlformats.org/officeDocument/2006/relationships/hyperlink" Target="http://my.yahoo.com" TargetMode="External"/><Relationship Id="rId551" Type="http://schemas.openxmlformats.org/officeDocument/2006/relationships/hyperlink" Target="http://signupgenius.com" TargetMode="External"/><Relationship Id="rId672" Type="http://schemas.openxmlformats.org/officeDocument/2006/relationships/hyperlink" Target="http://wikihow.com"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ebay.com" TargetMode="External"/><Relationship Id="rId194" Type="http://schemas.openxmlformats.org/officeDocument/2006/relationships/hyperlink" Target="http://ebay.com" TargetMode="External"/><Relationship Id="rId193" Type="http://schemas.openxmlformats.org/officeDocument/2006/relationships/hyperlink" Target="http://ebay.com" TargetMode="External"/><Relationship Id="rId192" Type="http://schemas.openxmlformats.org/officeDocument/2006/relationships/hyperlink" Target="http://ebay.com" TargetMode="External"/><Relationship Id="rId191" Type="http://schemas.openxmlformats.org/officeDocument/2006/relationships/hyperlink" Target="http://ebay.com" TargetMode="External"/><Relationship Id="rId187" Type="http://schemas.openxmlformats.org/officeDocument/2006/relationships/hyperlink" Target="http://ebay.com" TargetMode="External"/><Relationship Id="rId186" Type="http://schemas.openxmlformats.org/officeDocument/2006/relationships/hyperlink" Target="http://ebay.com" TargetMode="External"/><Relationship Id="rId185" Type="http://schemas.openxmlformats.org/officeDocument/2006/relationships/hyperlink" Target="http://ebay.com" TargetMode="External"/><Relationship Id="rId184" Type="http://schemas.openxmlformats.org/officeDocument/2006/relationships/hyperlink" Target="http://ebay.com" TargetMode="External"/><Relationship Id="rId189" Type="http://schemas.openxmlformats.org/officeDocument/2006/relationships/hyperlink" Target="http://ebay.com" TargetMode="External"/><Relationship Id="rId188" Type="http://schemas.openxmlformats.org/officeDocument/2006/relationships/hyperlink" Target="http://ebay.com" TargetMode="External"/><Relationship Id="rId183" Type="http://schemas.openxmlformats.org/officeDocument/2006/relationships/hyperlink" Target="http://ebay.com" TargetMode="External"/><Relationship Id="rId182" Type="http://schemas.openxmlformats.org/officeDocument/2006/relationships/hyperlink" Target="http://ebay.com" TargetMode="External"/><Relationship Id="rId181" Type="http://schemas.openxmlformats.org/officeDocument/2006/relationships/hyperlink" Target="http://ebay.com" TargetMode="External"/><Relationship Id="rId180" Type="http://schemas.openxmlformats.org/officeDocument/2006/relationships/hyperlink" Target="http://ebay.com" TargetMode="External"/><Relationship Id="rId176" Type="http://schemas.openxmlformats.org/officeDocument/2006/relationships/hyperlink" Target="http://ebay.com" TargetMode="External"/><Relationship Id="rId297" Type="http://schemas.openxmlformats.org/officeDocument/2006/relationships/hyperlink" Target="http://investmentguru.com" TargetMode="External"/><Relationship Id="rId175" Type="http://schemas.openxmlformats.org/officeDocument/2006/relationships/hyperlink" Target="http://ebay.com" TargetMode="External"/><Relationship Id="rId296" Type="http://schemas.openxmlformats.org/officeDocument/2006/relationships/hyperlink" Target="http://investing.com" TargetMode="External"/><Relationship Id="rId174" Type="http://schemas.openxmlformats.org/officeDocument/2006/relationships/hyperlink" Target="http://ebay.com" TargetMode="External"/><Relationship Id="rId295" Type="http://schemas.openxmlformats.org/officeDocument/2006/relationships/hyperlink" Target="http://investing.com" TargetMode="External"/><Relationship Id="rId173" Type="http://schemas.openxmlformats.org/officeDocument/2006/relationships/hyperlink" Target="http://ebay.com" TargetMode="External"/><Relationship Id="rId294" Type="http://schemas.openxmlformats.org/officeDocument/2006/relationships/hyperlink" Target="http://investing.com" TargetMode="External"/><Relationship Id="rId179" Type="http://schemas.openxmlformats.org/officeDocument/2006/relationships/hyperlink" Target="http://ebay.com" TargetMode="External"/><Relationship Id="rId178" Type="http://schemas.openxmlformats.org/officeDocument/2006/relationships/hyperlink" Target="http://ebay.com" TargetMode="External"/><Relationship Id="rId299" Type="http://schemas.openxmlformats.org/officeDocument/2006/relationships/hyperlink" Target="http://investopedia.com" TargetMode="External"/><Relationship Id="rId177" Type="http://schemas.openxmlformats.org/officeDocument/2006/relationships/hyperlink" Target="http://ebay.com" TargetMode="External"/><Relationship Id="rId298" Type="http://schemas.openxmlformats.org/officeDocument/2006/relationships/hyperlink" Target="http://investopedia.com" TargetMode="External"/><Relationship Id="rId198" Type="http://schemas.openxmlformats.org/officeDocument/2006/relationships/hyperlink" Target="http://espn.com" TargetMode="External"/><Relationship Id="rId197" Type="http://schemas.openxmlformats.org/officeDocument/2006/relationships/hyperlink" Target="http://eonline.com" TargetMode="External"/><Relationship Id="rId196" Type="http://schemas.openxmlformats.org/officeDocument/2006/relationships/hyperlink" Target="http://eenadu.net" TargetMode="External"/><Relationship Id="rId195" Type="http://schemas.openxmlformats.org/officeDocument/2006/relationships/hyperlink" Target="http://editorsnation.com" TargetMode="External"/><Relationship Id="rId199" Type="http://schemas.openxmlformats.org/officeDocument/2006/relationships/hyperlink" Target="http://espn.com" TargetMode="External"/><Relationship Id="rId150" Type="http://schemas.openxmlformats.org/officeDocument/2006/relationships/hyperlink" Target="http://dailymail.co.uk/tvshowbiz" TargetMode="External"/><Relationship Id="rId271" Type="http://schemas.openxmlformats.org/officeDocument/2006/relationships/hyperlink" Target="http://greatschools.org" TargetMode="External"/><Relationship Id="rId392" Type="http://schemas.openxmlformats.org/officeDocument/2006/relationships/hyperlink" Target="http://mobileposse.com" TargetMode="External"/><Relationship Id="rId270" Type="http://schemas.openxmlformats.org/officeDocument/2006/relationships/hyperlink" Target="http://geeksforgeeks.org" TargetMode="External"/><Relationship Id="rId391" Type="http://schemas.openxmlformats.org/officeDocument/2006/relationships/hyperlink" Target="http://mlb.com" TargetMode="External"/><Relationship Id="rId390" Type="http://schemas.openxmlformats.org/officeDocument/2006/relationships/hyperlink" Target="http://mlb.com" TargetMode="External"/><Relationship Id="rId1" Type="http://schemas.openxmlformats.org/officeDocument/2006/relationships/hyperlink" Target="http://abcnews.go.com" TargetMode="External"/><Relationship Id="rId2" Type="http://schemas.openxmlformats.org/officeDocument/2006/relationships/hyperlink" Target="http://accuweather.com" TargetMode="External"/><Relationship Id="rId3" Type="http://schemas.openxmlformats.org/officeDocument/2006/relationships/hyperlink" Target="http://accuweather.com" TargetMode="External"/><Relationship Id="rId149" Type="http://schemas.openxmlformats.org/officeDocument/2006/relationships/hyperlink" Target="http://dailymail.co.uk/tvshowbiz" TargetMode="External"/><Relationship Id="rId4" Type="http://schemas.openxmlformats.org/officeDocument/2006/relationships/hyperlink" Target="http://accuweather.com" TargetMode="External"/><Relationship Id="rId148" Type="http://schemas.openxmlformats.org/officeDocument/2006/relationships/hyperlink" Target="http://dailymail.co.uk/news" TargetMode="External"/><Relationship Id="rId269" Type="http://schemas.openxmlformats.org/officeDocument/2006/relationships/hyperlink" Target="http://geeksforgeeks.org" TargetMode="External"/><Relationship Id="rId9" Type="http://schemas.openxmlformats.org/officeDocument/2006/relationships/hyperlink" Target="http://accuweather.com" TargetMode="External"/><Relationship Id="rId143" Type="http://schemas.openxmlformats.org/officeDocument/2006/relationships/hyperlink" Target="http://daily-choices.com" TargetMode="External"/><Relationship Id="rId264" Type="http://schemas.openxmlformats.org/officeDocument/2006/relationships/hyperlink" Target="http://gamerant.com" TargetMode="External"/><Relationship Id="rId385" Type="http://schemas.openxmlformats.org/officeDocument/2006/relationships/hyperlink" Target="http://milb.com" TargetMode="External"/><Relationship Id="rId142" Type="http://schemas.openxmlformats.org/officeDocument/2006/relationships/hyperlink" Target="http://culturess.com" TargetMode="External"/><Relationship Id="rId263" Type="http://schemas.openxmlformats.org/officeDocument/2006/relationships/hyperlink" Target="http://gamerant.com" TargetMode="External"/><Relationship Id="rId384" Type="http://schemas.openxmlformats.org/officeDocument/2006/relationships/hyperlink" Target="http://microsoftcasualgames.com" TargetMode="External"/><Relationship Id="rId141" Type="http://schemas.openxmlformats.org/officeDocument/2006/relationships/hyperlink" Target="http://culinaryhill.com" TargetMode="External"/><Relationship Id="rId262" Type="http://schemas.openxmlformats.org/officeDocument/2006/relationships/hyperlink" Target="http://gameofglam.com" TargetMode="External"/><Relationship Id="rId383" Type="http://schemas.openxmlformats.org/officeDocument/2006/relationships/hyperlink" Target="http://microsoftcasualgames.com" TargetMode="External"/><Relationship Id="rId140" Type="http://schemas.openxmlformats.org/officeDocument/2006/relationships/hyperlink" Target="http://commercialappeal.com" TargetMode="External"/><Relationship Id="rId261" Type="http://schemas.openxmlformats.org/officeDocument/2006/relationships/hyperlink" Target="http://funnyand.com" TargetMode="External"/><Relationship Id="rId382" Type="http://schemas.openxmlformats.org/officeDocument/2006/relationships/hyperlink" Target="http://microsoftcasualgames.com" TargetMode="External"/><Relationship Id="rId5" Type="http://schemas.openxmlformats.org/officeDocument/2006/relationships/hyperlink" Target="http://accuweather.com" TargetMode="External"/><Relationship Id="rId147" Type="http://schemas.openxmlformats.org/officeDocument/2006/relationships/hyperlink" Target="http://dailymail.co.uk/news" TargetMode="External"/><Relationship Id="rId268" Type="http://schemas.openxmlformats.org/officeDocument/2006/relationships/hyperlink" Target="http://geeksforgeeks.org" TargetMode="External"/><Relationship Id="rId389" Type="http://schemas.openxmlformats.org/officeDocument/2006/relationships/hyperlink" Target="http://mlb.com" TargetMode="External"/><Relationship Id="rId6" Type="http://schemas.openxmlformats.org/officeDocument/2006/relationships/hyperlink" Target="http://accuweather.com" TargetMode="External"/><Relationship Id="rId146" Type="http://schemas.openxmlformats.org/officeDocument/2006/relationships/hyperlink" Target="http://dailyhodl.com" TargetMode="External"/><Relationship Id="rId267" Type="http://schemas.openxmlformats.org/officeDocument/2006/relationships/hyperlink" Target="http://geeksforgeeks.org" TargetMode="External"/><Relationship Id="rId388" Type="http://schemas.openxmlformats.org/officeDocument/2006/relationships/hyperlink" Target="http://mlb.com" TargetMode="External"/><Relationship Id="rId7" Type="http://schemas.openxmlformats.org/officeDocument/2006/relationships/hyperlink" Target="http://accuweather.com" TargetMode="External"/><Relationship Id="rId145" Type="http://schemas.openxmlformats.org/officeDocument/2006/relationships/hyperlink" Target="http://dailydot.com" TargetMode="External"/><Relationship Id="rId266" Type="http://schemas.openxmlformats.org/officeDocument/2006/relationships/hyperlink" Target="http://gamingbible.com" TargetMode="External"/><Relationship Id="rId387" Type="http://schemas.openxmlformats.org/officeDocument/2006/relationships/hyperlink" Target="http://mlb.com" TargetMode="External"/><Relationship Id="rId8" Type="http://schemas.openxmlformats.org/officeDocument/2006/relationships/hyperlink" Target="http://accuweather.com" TargetMode="External"/><Relationship Id="rId144" Type="http://schemas.openxmlformats.org/officeDocument/2006/relationships/hyperlink" Target="http://daily-choices.com" TargetMode="External"/><Relationship Id="rId265" Type="http://schemas.openxmlformats.org/officeDocument/2006/relationships/hyperlink" Target="http://gamespot.com" TargetMode="External"/><Relationship Id="rId386" Type="http://schemas.openxmlformats.org/officeDocument/2006/relationships/hyperlink" Target="http://mlb.com" TargetMode="External"/><Relationship Id="rId260" Type="http://schemas.openxmlformats.org/officeDocument/2006/relationships/hyperlink" Target="http://foxnews.com" TargetMode="External"/><Relationship Id="rId381" Type="http://schemas.openxmlformats.org/officeDocument/2006/relationships/hyperlink" Target="http://microsoftcasualgames.com" TargetMode="External"/><Relationship Id="rId380" Type="http://schemas.openxmlformats.org/officeDocument/2006/relationships/hyperlink" Target="http://miamiherald.com" TargetMode="External"/><Relationship Id="rId139" Type="http://schemas.openxmlformats.org/officeDocument/2006/relationships/hyperlink" Target="http://cnn.com" TargetMode="External"/><Relationship Id="rId138" Type="http://schemas.openxmlformats.org/officeDocument/2006/relationships/hyperlink" Target="http://cnn.com" TargetMode="External"/><Relationship Id="rId259" Type="http://schemas.openxmlformats.org/officeDocument/2006/relationships/hyperlink" Target="http://foxnews.com" TargetMode="External"/><Relationship Id="rId137" Type="http://schemas.openxmlformats.org/officeDocument/2006/relationships/hyperlink" Target="http://cnn.com" TargetMode="External"/><Relationship Id="rId258" Type="http://schemas.openxmlformats.org/officeDocument/2006/relationships/hyperlink" Target="http://foxnews.com" TargetMode="External"/><Relationship Id="rId379" Type="http://schemas.openxmlformats.org/officeDocument/2006/relationships/hyperlink" Target="http://miamiherald.com" TargetMode="External"/><Relationship Id="rId132" Type="http://schemas.openxmlformats.org/officeDocument/2006/relationships/hyperlink" Target="http://cnn.com" TargetMode="External"/><Relationship Id="rId253" Type="http://schemas.openxmlformats.org/officeDocument/2006/relationships/hyperlink" Target="http://foxnews.com" TargetMode="External"/><Relationship Id="rId374" Type="http://schemas.openxmlformats.org/officeDocument/2006/relationships/hyperlink" Target="http://medicalnewstoday.com" TargetMode="External"/><Relationship Id="rId495" Type="http://schemas.openxmlformats.org/officeDocument/2006/relationships/hyperlink" Target="http://ranker.com" TargetMode="External"/><Relationship Id="rId131" Type="http://schemas.openxmlformats.org/officeDocument/2006/relationships/hyperlink" Target="http://cnet.com" TargetMode="External"/><Relationship Id="rId252" Type="http://schemas.openxmlformats.org/officeDocument/2006/relationships/hyperlink" Target="http://foxnews.com" TargetMode="External"/><Relationship Id="rId373" Type="http://schemas.openxmlformats.org/officeDocument/2006/relationships/hyperlink" Target="http://medicalnewstoday.com" TargetMode="External"/><Relationship Id="rId494" Type="http://schemas.openxmlformats.org/officeDocument/2006/relationships/hyperlink" Target="http://ranker.com" TargetMode="External"/><Relationship Id="rId130" Type="http://schemas.openxmlformats.org/officeDocument/2006/relationships/hyperlink" Target="http://cnet.com" TargetMode="External"/><Relationship Id="rId251" Type="http://schemas.openxmlformats.org/officeDocument/2006/relationships/hyperlink" Target="http://foxnews.com" TargetMode="External"/><Relationship Id="rId372" Type="http://schemas.openxmlformats.org/officeDocument/2006/relationships/hyperlink" Target="http://medical-news.org" TargetMode="External"/><Relationship Id="rId493" Type="http://schemas.openxmlformats.org/officeDocument/2006/relationships/hyperlink" Target="http://poshland.com" TargetMode="External"/><Relationship Id="rId250" Type="http://schemas.openxmlformats.org/officeDocument/2006/relationships/hyperlink" Target="http://foxnews.com" TargetMode="External"/><Relationship Id="rId371" Type="http://schemas.openxmlformats.org/officeDocument/2006/relationships/hyperlink" Target="http://mayoclinic.org" TargetMode="External"/><Relationship Id="rId492" Type="http://schemas.openxmlformats.org/officeDocument/2006/relationships/hyperlink" Target="http://poshland.com" TargetMode="External"/><Relationship Id="rId136" Type="http://schemas.openxmlformats.org/officeDocument/2006/relationships/hyperlink" Target="http://cnn.com" TargetMode="External"/><Relationship Id="rId257" Type="http://schemas.openxmlformats.org/officeDocument/2006/relationships/hyperlink" Target="http://foxnews.com" TargetMode="External"/><Relationship Id="rId378" Type="http://schemas.openxmlformats.org/officeDocument/2006/relationships/hyperlink" Target="http://merriam-webster.com/dictionary" TargetMode="External"/><Relationship Id="rId499" Type="http://schemas.openxmlformats.org/officeDocument/2006/relationships/hyperlink" Target="http://realtor.com" TargetMode="External"/><Relationship Id="rId135" Type="http://schemas.openxmlformats.org/officeDocument/2006/relationships/hyperlink" Target="http://cnn.com" TargetMode="External"/><Relationship Id="rId256" Type="http://schemas.openxmlformats.org/officeDocument/2006/relationships/hyperlink" Target="http://foxnews.com" TargetMode="External"/><Relationship Id="rId377" Type="http://schemas.openxmlformats.org/officeDocument/2006/relationships/hyperlink" Target="http://merriam-webster.com/dictionary" TargetMode="External"/><Relationship Id="rId498" Type="http://schemas.openxmlformats.org/officeDocument/2006/relationships/hyperlink" Target="http://realtor.com" TargetMode="External"/><Relationship Id="rId134" Type="http://schemas.openxmlformats.org/officeDocument/2006/relationships/hyperlink" Target="http://cnn.com" TargetMode="External"/><Relationship Id="rId255" Type="http://schemas.openxmlformats.org/officeDocument/2006/relationships/hyperlink" Target="http://foxnews.com" TargetMode="External"/><Relationship Id="rId376" Type="http://schemas.openxmlformats.org/officeDocument/2006/relationships/hyperlink" Target="http://merriam-webster.com" TargetMode="External"/><Relationship Id="rId497" Type="http://schemas.openxmlformats.org/officeDocument/2006/relationships/hyperlink" Target="http://realtor.com" TargetMode="External"/><Relationship Id="rId133" Type="http://schemas.openxmlformats.org/officeDocument/2006/relationships/hyperlink" Target="http://cnn.com" TargetMode="External"/><Relationship Id="rId254" Type="http://schemas.openxmlformats.org/officeDocument/2006/relationships/hyperlink" Target="http://foxnews.com" TargetMode="External"/><Relationship Id="rId375" Type="http://schemas.openxmlformats.org/officeDocument/2006/relationships/hyperlink" Target="http://medicalnewstoday.com" TargetMode="External"/><Relationship Id="rId496" Type="http://schemas.openxmlformats.org/officeDocument/2006/relationships/hyperlink" Target="http://realtor.com" TargetMode="External"/><Relationship Id="rId172" Type="http://schemas.openxmlformats.org/officeDocument/2006/relationships/hyperlink" Target="http://ebay.com" TargetMode="External"/><Relationship Id="rId293" Type="http://schemas.openxmlformats.org/officeDocument/2006/relationships/hyperlink" Target="http://insidethemagic.net" TargetMode="External"/><Relationship Id="rId171" Type="http://schemas.openxmlformats.org/officeDocument/2006/relationships/hyperlink" Target="http://ebay.com" TargetMode="External"/><Relationship Id="rId292" Type="http://schemas.openxmlformats.org/officeDocument/2006/relationships/hyperlink" Target="http://insider.com" TargetMode="External"/><Relationship Id="rId170" Type="http://schemas.openxmlformats.org/officeDocument/2006/relationships/hyperlink" Target="http://ebay.com" TargetMode="External"/><Relationship Id="rId291" Type="http://schemas.openxmlformats.org/officeDocument/2006/relationships/hyperlink" Target="http://insider.com" TargetMode="External"/><Relationship Id="rId290" Type="http://schemas.openxmlformats.org/officeDocument/2006/relationships/hyperlink" Target="http://insider.com" TargetMode="External"/><Relationship Id="rId165" Type="http://schemas.openxmlformats.org/officeDocument/2006/relationships/hyperlink" Target="http://ebay.com" TargetMode="External"/><Relationship Id="rId286" Type="http://schemas.openxmlformats.org/officeDocument/2006/relationships/hyperlink" Target="http://iflscience.com" TargetMode="External"/><Relationship Id="rId164" Type="http://schemas.openxmlformats.org/officeDocument/2006/relationships/hyperlink" Target="http://ebay.com" TargetMode="External"/><Relationship Id="rId285" Type="http://schemas.openxmlformats.org/officeDocument/2006/relationships/hyperlink" Target="http://icy-veins.com" TargetMode="External"/><Relationship Id="rId163" Type="http://schemas.openxmlformats.org/officeDocument/2006/relationships/hyperlink" Target="http://drugs.com" TargetMode="External"/><Relationship Id="rId284" Type="http://schemas.openxmlformats.org/officeDocument/2006/relationships/hyperlink" Target="http://icy-veins.com" TargetMode="External"/><Relationship Id="rId162" Type="http://schemas.openxmlformats.org/officeDocument/2006/relationships/hyperlink" Target="http://drugs.com" TargetMode="External"/><Relationship Id="rId283" Type="http://schemas.openxmlformats.org/officeDocument/2006/relationships/hyperlink" Target="http://houseplans.net" TargetMode="External"/><Relationship Id="rId169" Type="http://schemas.openxmlformats.org/officeDocument/2006/relationships/hyperlink" Target="http://ebay.com" TargetMode="External"/><Relationship Id="rId168" Type="http://schemas.openxmlformats.org/officeDocument/2006/relationships/hyperlink" Target="http://ebay.com" TargetMode="External"/><Relationship Id="rId289" Type="http://schemas.openxmlformats.org/officeDocument/2006/relationships/hyperlink" Target="http://ign.com" TargetMode="External"/><Relationship Id="rId167" Type="http://schemas.openxmlformats.org/officeDocument/2006/relationships/hyperlink" Target="http://ebay.com" TargetMode="External"/><Relationship Id="rId288" Type="http://schemas.openxmlformats.org/officeDocument/2006/relationships/hyperlink" Target="http://ign.com" TargetMode="External"/><Relationship Id="rId166" Type="http://schemas.openxmlformats.org/officeDocument/2006/relationships/hyperlink" Target="http://ebay.com" TargetMode="External"/><Relationship Id="rId287" Type="http://schemas.openxmlformats.org/officeDocument/2006/relationships/hyperlink" Target="http://ign.com" TargetMode="External"/><Relationship Id="rId161" Type="http://schemas.openxmlformats.org/officeDocument/2006/relationships/hyperlink" Target="http://drugs.com" TargetMode="External"/><Relationship Id="rId282" Type="http://schemas.openxmlformats.org/officeDocument/2006/relationships/hyperlink" Target="http://homehacks.co" TargetMode="External"/><Relationship Id="rId160" Type="http://schemas.openxmlformats.org/officeDocument/2006/relationships/hyperlink" Target="http://drugs.com" TargetMode="External"/><Relationship Id="rId281" Type="http://schemas.openxmlformats.org/officeDocument/2006/relationships/hyperlink" Target="http://homeaddict.io" TargetMode="External"/><Relationship Id="rId280" Type="http://schemas.openxmlformats.org/officeDocument/2006/relationships/hyperlink" Target="http://historycollection.com" TargetMode="External"/><Relationship Id="rId159" Type="http://schemas.openxmlformats.org/officeDocument/2006/relationships/hyperlink" Target="http://drugs.com" TargetMode="External"/><Relationship Id="rId154" Type="http://schemas.openxmlformats.org/officeDocument/2006/relationships/hyperlink" Target="http://dinneratthezoo.com" TargetMode="External"/><Relationship Id="rId275" Type="http://schemas.openxmlformats.org/officeDocument/2006/relationships/hyperlink" Target="http://healthyrecipesblogs.com" TargetMode="External"/><Relationship Id="rId396" Type="http://schemas.openxmlformats.org/officeDocument/2006/relationships/hyperlink" Target="http://msn.com" TargetMode="External"/><Relationship Id="rId153" Type="http://schemas.openxmlformats.org/officeDocument/2006/relationships/hyperlink" Target="http://dictionary.com" TargetMode="External"/><Relationship Id="rId274" Type="http://schemas.openxmlformats.org/officeDocument/2006/relationships/hyperlink" Target="http://healthline.com" TargetMode="External"/><Relationship Id="rId395" Type="http://schemas.openxmlformats.org/officeDocument/2006/relationships/hyperlink" Target="http://msn.com" TargetMode="External"/><Relationship Id="rId152" Type="http://schemas.openxmlformats.org/officeDocument/2006/relationships/hyperlink" Target="http://dictionary.com" TargetMode="External"/><Relationship Id="rId273" Type="http://schemas.openxmlformats.org/officeDocument/2006/relationships/hyperlink" Target="http://health.usnews.com" TargetMode="External"/><Relationship Id="rId394" Type="http://schemas.openxmlformats.org/officeDocument/2006/relationships/hyperlink" Target="http://motor-junkie.com" TargetMode="External"/><Relationship Id="rId151" Type="http://schemas.openxmlformats.org/officeDocument/2006/relationships/hyperlink" Target="http://dexerto.com" TargetMode="External"/><Relationship Id="rId272" Type="http://schemas.openxmlformats.org/officeDocument/2006/relationships/hyperlink" Target="http://greedyfinance.com" TargetMode="External"/><Relationship Id="rId393" Type="http://schemas.openxmlformats.org/officeDocument/2006/relationships/hyperlink" Target="http://moneyppl.com" TargetMode="External"/><Relationship Id="rId158" Type="http://schemas.openxmlformats.org/officeDocument/2006/relationships/hyperlink" Target="http://dotesports.com" TargetMode="External"/><Relationship Id="rId279" Type="http://schemas.openxmlformats.org/officeDocument/2006/relationships/hyperlink" Target="http://historyallday.com" TargetMode="External"/><Relationship Id="rId157" Type="http://schemas.openxmlformats.org/officeDocument/2006/relationships/hyperlink" Target="http://doodle.com" TargetMode="External"/><Relationship Id="rId278" Type="http://schemas.openxmlformats.org/officeDocument/2006/relationships/hyperlink" Target="http://hindustantimes.com" TargetMode="External"/><Relationship Id="rId399" Type="http://schemas.openxmlformats.org/officeDocument/2006/relationships/hyperlink" Target="http://msn.com" TargetMode="External"/><Relationship Id="rId156" Type="http://schemas.openxmlformats.org/officeDocument/2006/relationships/hyperlink" Target="http://doctoreport.com" TargetMode="External"/><Relationship Id="rId277" Type="http://schemas.openxmlformats.org/officeDocument/2006/relationships/hyperlink" Target="http://hindustantimes.com" TargetMode="External"/><Relationship Id="rId398" Type="http://schemas.openxmlformats.org/officeDocument/2006/relationships/hyperlink" Target="http://msn.com" TargetMode="External"/><Relationship Id="rId155" Type="http://schemas.openxmlformats.org/officeDocument/2006/relationships/hyperlink" Target="http://dmv.org" TargetMode="External"/><Relationship Id="rId276" Type="http://schemas.openxmlformats.org/officeDocument/2006/relationships/hyperlink" Target="http://heraldweekly.com" TargetMode="External"/><Relationship Id="rId397" Type="http://schemas.openxmlformats.org/officeDocument/2006/relationships/hyperlink" Target="http://msn.com" TargetMode="External"/><Relationship Id="rId40" Type="http://schemas.openxmlformats.org/officeDocument/2006/relationships/hyperlink" Target="http://autotrader.com" TargetMode="External"/><Relationship Id="rId42" Type="http://schemas.openxmlformats.org/officeDocument/2006/relationships/hyperlink" Target="http://baseball.fantasysports.yahoo.com" TargetMode="External"/><Relationship Id="rId41" Type="http://schemas.openxmlformats.org/officeDocument/2006/relationships/hyperlink" Target="http://a-z-animals.com" TargetMode="External"/><Relationship Id="rId44" Type="http://schemas.openxmlformats.org/officeDocument/2006/relationships/hyperlink" Target="http://bbc.com" TargetMode="External"/><Relationship Id="rId43" Type="http://schemas.openxmlformats.org/officeDocument/2006/relationships/hyperlink" Target="http://baseball-reference.com" TargetMode="External"/><Relationship Id="rId46" Type="http://schemas.openxmlformats.org/officeDocument/2006/relationships/hyperlink" Target="http://bbc.com" TargetMode="External"/><Relationship Id="rId45" Type="http://schemas.openxmlformats.org/officeDocument/2006/relationships/hyperlink" Target="http://bbc.com" TargetMode="External"/><Relationship Id="rId509" Type="http://schemas.openxmlformats.org/officeDocument/2006/relationships/hyperlink" Target="http://realtor.com" TargetMode="External"/><Relationship Id="rId508" Type="http://schemas.openxmlformats.org/officeDocument/2006/relationships/hyperlink" Target="http://realtor.com" TargetMode="External"/><Relationship Id="rId629" Type="http://schemas.openxmlformats.org/officeDocument/2006/relationships/hyperlink" Target="http://weather.com" TargetMode="External"/><Relationship Id="rId503" Type="http://schemas.openxmlformats.org/officeDocument/2006/relationships/hyperlink" Target="http://realtor.com" TargetMode="External"/><Relationship Id="rId624" Type="http://schemas.openxmlformats.org/officeDocument/2006/relationships/hyperlink" Target="http://weather.com" TargetMode="External"/><Relationship Id="rId502" Type="http://schemas.openxmlformats.org/officeDocument/2006/relationships/hyperlink" Target="http://realtor.com" TargetMode="External"/><Relationship Id="rId623" Type="http://schemas.openxmlformats.org/officeDocument/2006/relationships/hyperlink" Target="http://weather.com" TargetMode="External"/><Relationship Id="rId501" Type="http://schemas.openxmlformats.org/officeDocument/2006/relationships/hyperlink" Target="http://realtor.com" TargetMode="External"/><Relationship Id="rId622" Type="http://schemas.openxmlformats.org/officeDocument/2006/relationships/hyperlink" Target="http://weather.com" TargetMode="External"/><Relationship Id="rId500" Type="http://schemas.openxmlformats.org/officeDocument/2006/relationships/hyperlink" Target="http://realtor.com" TargetMode="External"/><Relationship Id="rId621" Type="http://schemas.openxmlformats.org/officeDocument/2006/relationships/hyperlink" Target="http://weather.com" TargetMode="External"/><Relationship Id="rId507" Type="http://schemas.openxmlformats.org/officeDocument/2006/relationships/hyperlink" Target="http://realtor.com" TargetMode="External"/><Relationship Id="rId628" Type="http://schemas.openxmlformats.org/officeDocument/2006/relationships/hyperlink" Target="http://weather.com" TargetMode="External"/><Relationship Id="rId506" Type="http://schemas.openxmlformats.org/officeDocument/2006/relationships/hyperlink" Target="http://realtor.com" TargetMode="External"/><Relationship Id="rId627" Type="http://schemas.openxmlformats.org/officeDocument/2006/relationships/hyperlink" Target="http://weather.com" TargetMode="External"/><Relationship Id="rId505" Type="http://schemas.openxmlformats.org/officeDocument/2006/relationships/hyperlink" Target="http://realtor.com" TargetMode="External"/><Relationship Id="rId626" Type="http://schemas.openxmlformats.org/officeDocument/2006/relationships/hyperlink" Target="http://weather.com" TargetMode="External"/><Relationship Id="rId504" Type="http://schemas.openxmlformats.org/officeDocument/2006/relationships/hyperlink" Target="http://realtor.com" TargetMode="External"/><Relationship Id="rId625" Type="http://schemas.openxmlformats.org/officeDocument/2006/relationships/hyperlink" Target="http://weather.com" TargetMode="External"/><Relationship Id="rId48" Type="http://schemas.openxmlformats.org/officeDocument/2006/relationships/hyperlink" Target="http://bbc.com" TargetMode="External"/><Relationship Id="rId47" Type="http://schemas.openxmlformats.org/officeDocument/2006/relationships/hyperlink" Target="http://bbc.com" TargetMode="External"/><Relationship Id="rId49" Type="http://schemas.openxmlformats.org/officeDocument/2006/relationships/hyperlink" Target="http://behindthevoiceactors.com" TargetMode="External"/><Relationship Id="rId620" Type="http://schemas.openxmlformats.org/officeDocument/2006/relationships/hyperlink" Target="http://weather.com" TargetMode="External"/><Relationship Id="rId31" Type="http://schemas.openxmlformats.org/officeDocument/2006/relationships/hyperlink" Target="http://aol.com" TargetMode="External"/><Relationship Id="rId30" Type="http://schemas.openxmlformats.org/officeDocument/2006/relationships/hyperlink" Target="http://aol.com" TargetMode="External"/><Relationship Id="rId33" Type="http://schemas.openxmlformats.org/officeDocument/2006/relationships/hyperlink" Target="http://apnews.com" TargetMode="External"/><Relationship Id="rId32" Type="http://schemas.openxmlformats.org/officeDocument/2006/relationships/hyperlink" Target="http://aol.com" TargetMode="External"/><Relationship Id="rId35" Type="http://schemas.openxmlformats.org/officeDocument/2006/relationships/hyperlink" Target="http://att.yahoo.com" TargetMode="External"/><Relationship Id="rId34" Type="http://schemas.openxmlformats.org/officeDocument/2006/relationships/hyperlink" Target="http://apnews.com" TargetMode="External"/><Relationship Id="rId619" Type="http://schemas.openxmlformats.org/officeDocument/2006/relationships/hyperlink" Target="http://weather.com" TargetMode="External"/><Relationship Id="rId618" Type="http://schemas.openxmlformats.org/officeDocument/2006/relationships/hyperlink" Target="http://weather.com" TargetMode="External"/><Relationship Id="rId613" Type="http://schemas.openxmlformats.org/officeDocument/2006/relationships/hyperlink" Target="http://w3schools.com" TargetMode="External"/><Relationship Id="rId612" Type="http://schemas.openxmlformats.org/officeDocument/2006/relationships/hyperlink" Target="http://usssa.com" TargetMode="External"/><Relationship Id="rId611" Type="http://schemas.openxmlformats.org/officeDocument/2006/relationships/hyperlink" Target="http://usnews.com" TargetMode="External"/><Relationship Id="rId610" Type="http://schemas.openxmlformats.org/officeDocument/2006/relationships/hyperlink" Target="http://uscellular.com" TargetMode="External"/><Relationship Id="rId617" Type="http://schemas.openxmlformats.org/officeDocument/2006/relationships/hyperlink" Target="http://washingtonpost.com" TargetMode="External"/><Relationship Id="rId616" Type="http://schemas.openxmlformats.org/officeDocument/2006/relationships/hyperlink" Target="http://w3schools.com" TargetMode="External"/><Relationship Id="rId615" Type="http://schemas.openxmlformats.org/officeDocument/2006/relationships/hyperlink" Target="http://w3schools.com" TargetMode="External"/><Relationship Id="rId614" Type="http://schemas.openxmlformats.org/officeDocument/2006/relationships/hyperlink" Target="http://w3schools.com" TargetMode="External"/><Relationship Id="rId37" Type="http://schemas.openxmlformats.org/officeDocument/2006/relationships/hyperlink" Target="http://autotrader.com" TargetMode="External"/><Relationship Id="rId36" Type="http://schemas.openxmlformats.org/officeDocument/2006/relationships/hyperlink" Target="http://att.yahoo.com" TargetMode="External"/><Relationship Id="rId39" Type="http://schemas.openxmlformats.org/officeDocument/2006/relationships/hyperlink" Target="http://autotrader.com" TargetMode="External"/><Relationship Id="rId38" Type="http://schemas.openxmlformats.org/officeDocument/2006/relationships/hyperlink" Target="http://autotrader.com" TargetMode="External"/><Relationship Id="rId20" Type="http://schemas.openxmlformats.org/officeDocument/2006/relationships/hyperlink" Target="http://activebeat.com" TargetMode="External"/><Relationship Id="rId22" Type="http://schemas.openxmlformats.org/officeDocument/2006/relationships/hyperlink" Target="http://ajc.com" TargetMode="External"/><Relationship Id="rId21" Type="http://schemas.openxmlformats.org/officeDocument/2006/relationships/hyperlink" Target="http://ajc.com" TargetMode="External"/><Relationship Id="rId24" Type="http://schemas.openxmlformats.org/officeDocument/2006/relationships/hyperlink" Target="http://ajc.com" TargetMode="External"/><Relationship Id="rId23" Type="http://schemas.openxmlformats.org/officeDocument/2006/relationships/hyperlink" Target="http://ajc.com" TargetMode="External"/><Relationship Id="rId409" Type="http://schemas.openxmlformats.org/officeDocument/2006/relationships/hyperlink" Target="http://msn.com" TargetMode="External"/><Relationship Id="rId404" Type="http://schemas.openxmlformats.org/officeDocument/2006/relationships/hyperlink" Target="http://msn.com" TargetMode="External"/><Relationship Id="rId525" Type="http://schemas.openxmlformats.org/officeDocument/2006/relationships/hyperlink" Target="http://reuters.com" TargetMode="External"/><Relationship Id="rId646" Type="http://schemas.openxmlformats.org/officeDocument/2006/relationships/hyperlink" Target="http://weather.com" TargetMode="External"/><Relationship Id="rId403" Type="http://schemas.openxmlformats.org/officeDocument/2006/relationships/hyperlink" Target="http://msn.com" TargetMode="External"/><Relationship Id="rId524" Type="http://schemas.openxmlformats.org/officeDocument/2006/relationships/hyperlink" Target="http://repairlinkshop.com" TargetMode="External"/><Relationship Id="rId645" Type="http://schemas.openxmlformats.org/officeDocument/2006/relationships/hyperlink" Target="http://weather.com" TargetMode="External"/><Relationship Id="rId402" Type="http://schemas.openxmlformats.org/officeDocument/2006/relationships/hyperlink" Target="http://msn.com" TargetMode="External"/><Relationship Id="rId523" Type="http://schemas.openxmlformats.org/officeDocument/2006/relationships/hyperlink" Target="http://rent.com" TargetMode="External"/><Relationship Id="rId644" Type="http://schemas.openxmlformats.org/officeDocument/2006/relationships/hyperlink" Target="http://weather.com" TargetMode="External"/><Relationship Id="rId401" Type="http://schemas.openxmlformats.org/officeDocument/2006/relationships/hyperlink" Target="http://msn.com" TargetMode="External"/><Relationship Id="rId522" Type="http://schemas.openxmlformats.org/officeDocument/2006/relationships/hyperlink" Target="http://rent.com" TargetMode="External"/><Relationship Id="rId643" Type="http://schemas.openxmlformats.org/officeDocument/2006/relationships/hyperlink" Target="http://weather.com" TargetMode="External"/><Relationship Id="rId408" Type="http://schemas.openxmlformats.org/officeDocument/2006/relationships/hyperlink" Target="http://msn.com" TargetMode="External"/><Relationship Id="rId529" Type="http://schemas.openxmlformats.org/officeDocument/2006/relationships/hyperlink" Target="http://rollingstone.com" TargetMode="External"/><Relationship Id="rId407" Type="http://schemas.openxmlformats.org/officeDocument/2006/relationships/hyperlink" Target="http://msn.com" TargetMode="External"/><Relationship Id="rId528" Type="http://schemas.openxmlformats.org/officeDocument/2006/relationships/hyperlink" Target="http://rollingstone.com" TargetMode="External"/><Relationship Id="rId649" Type="http://schemas.openxmlformats.org/officeDocument/2006/relationships/hyperlink" Target="http://weather.com" TargetMode="External"/><Relationship Id="rId406" Type="http://schemas.openxmlformats.org/officeDocument/2006/relationships/hyperlink" Target="http://msn.com" TargetMode="External"/><Relationship Id="rId527" Type="http://schemas.openxmlformats.org/officeDocument/2006/relationships/hyperlink" Target="http://rollingstone.com" TargetMode="External"/><Relationship Id="rId648" Type="http://schemas.openxmlformats.org/officeDocument/2006/relationships/hyperlink" Target="http://weather.com" TargetMode="External"/><Relationship Id="rId405" Type="http://schemas.openxmlformats.org/officeDocument/2006/relationships/hyperlink" Target="http://msn.com" TargetMode="External"/><Relationship Id="rId526" Type="http://schemas.openxmlformats.org/officeDocument/2006/relationships/hyperlink" Target="http://reuters.com" TargetMode="External"/><Relationship Id="rId647" Type="http://schemas.openxmlformats.org/officeDocument/2006/relationships/hyperlink" Target="http://weather.com" TargetMode="External"/><Relationship Id="rId26" Type="http://schemas.openxmlformats.org/officeDocument/2006/relationships/hyperlink" Target="http://allrecipes.com" TargetMode="External"/><Relationship Id="rId25" Type="http://schemas.openxmlformats.org/officeDocument/2006/relationships/hyperlink" Target="http://al.com" TargetMode="External"/><Relationship Id="rId28" Type="http://schemas.openxmlformats.org/officeDocument/2006/relationships/hyperlink" Target="http://androidauthority.com" TargetMode="External"/><Relationship Id="rId27" Type="http://schemas.openxmlformats.org/officeDocument/2006/relationships/hyperlink" Target="http://alotfinance.com" TargetMode="External"/><Relationship Id="rId400" Type="http://schemas.openxmlformats.org/officeDocument/2006/relationships/hyperlink" Target="http://msn.com" TargetMode="External"/><Relationship Id="rId521" Type="http://schemas.openxmlformats.org/officeDocument/2006/relationships/hyperlink" Target="http://reference.com" TargetMode="External"/><Relationship Id="rId642" Type="http://schemas.openxmlformats.org/officeDocument/2006/relationships/hyperlink" Target="http://weather.com" TargetMode="External"/><Relationship Id="rId29" Type="http://schemas.openxmlformats.org/officeDocument/2006/relationships/hyperlink" Target="http://androidpolice.com" TargetMode="External"/><Relationship Id="rId520" Type="http://schemas.openxmlformats.org/officeDocument/2006/relationships/hyperlink" Target="http://redfin.com" TargetMode="External"/><Relationship Id="rId641" Type="http://schemas.openxmlformats.org/officeDocument/2006/relationships/hyperlink" Target="http://weather.com" TargetMode="External"/><Relationship Id="rId640" Type="http://schemas.openxmlformats.org/officeDocument/2006/relationships/hyperlink" Target="http://weather.com" TargetMode="External"/><Relationship Id="rId11" Type="http://schemas.openxmlformats.org/officeDocument/2006/relationships/hyperlink" Target="http://accuweather.com" TargetMode="External"/><Relationship Id="rId10" Type="http://schemas.openxmlformats.org/officeDocument/2006/relationships/hyperlink" Target="http://accuweather.com" TargetMode="External"/><Relationship Id="rId13" Type="http://schemas.openxmlformats.org/officeDocument/2006/relationships/hyperlink" Target="http://accuweather.com" TargetMode="External"/><Relationship Id="rId12" Type="http://schemas.openxmlformats.org/officeDocument/2006/relationships/hyperlink" Target="http://accuweather.com" TargetMode="External"/><Relationship Id="rId519" Type="http://schemas.openxmlformats.org/officeDocument/2006/relationships/hyperlink" Target="http://realtor.com" TargetMode="External"/><Relationship Id="rId514" Type="http://schemas.openxmlformats.org/officeDocument/2006/relationships/hyperlink" Target="http://realtor.com" TargetMode="External"/><Relationship Id="rId635" Type="http://schemas.openxmlformats.org/officeDocument/2006/relationships/hyperlink" Target="http://weather.com" TargetMode="External"/><Relationship Id="rId513" Type="http://schemas.openxmlformats.org/officeDocument/2006/relationships/hyperlink" Target="http://realtor.com" TargetMode="External"/><Relationship Id="rId634" Type="http://schemas.openxmlformats.org/officeDocument/2006/relationships/hyperlink" Target="http://weather.com" TargetMode="External"/><Relationship Id="rId512" Type="http://schemas.openxmlformats.org/officeDocument/2006/relationships/hyperlink" Target="http://realtor.com" TargetMode="External"/><Relationship Id="rId633" Type="http://schemas.openxmlformats.org/officeDocument/2006/relationships/hyperlink" Target="http://weather.com" TargetMode="External"/><Relationship Id="rId511" Type="http://schemas.openxmlformats.org/officeDocument/2006/relationships/hyperlink" Target="http://realtor.com" TargetMode="External"/><Relationship Id="rId632" Type="http://schemas.openxmlformats.org/officeDocument/2006/relationships/hyperlink" Target="http://weather.com" TargetMode="External"/><Relationship Id="rId518" Type="http://schemas.openxmlformats.org/officeDocument/2006/relationships/hyperlink" Target="http://realtor.com" TargetMode="External"/><Relationship Id="rId639" Type="http://schemas.openxmlformats.org/officeDocument/2006/relationships/hyperlink" Target="http://weather.com" TargetMode="External"/><Relationship Id="rId517" Type="http://schemas.openxmlformats.org/officeDocument/2006/relationships/hyperlink" Target="http://realtor.com" TargetMode="External"/><Relationship Id="rId638" Type="http://schemas.openxmlformats.org/officeDocument/2006/relationships/hyperlink" Target="http://weather.com" TargetMode="External"/><Relationship Id="rId516" Type="http://schemas.openxmlformats.org/officeDocument/2006/relationships/hyperlink" Target="http://realtor.com" TargetMode="External"/><Relationship Id="rId637" Type="http://schemas.openxmlformats.org/officeDocument/2006/relationships/hyperlink" Target="http://weather.com" TargetMode="External"/><Relationship Id="rId515" Type="http://schemas.openxmlformats.org/officeDocument/2006/relationships/hyperlink" Target="http://realtor.com" TargetMode="External"/><Relationship Id="rId636" Type="http://schemas.openxmlformats.org/officeDocument/2006/relationships/hyperlink" Target="http://weather.com" TargetMode="External"/><Relationship Id="rId15" Type="http://schemas.openxmlformats.org/officeDocument/2006/relationships/hyperlink" Target="http://accuweather.com" TargetMode="External"/><Relationship Id="rId14" Type="http://schemas.openxmlformats.org/officeDocument/2006/relationships/hyperlink" Target="http://accuweather.com" TargetMode="External"/><Relationship Id="rId17" Type="http://schemas.openxmlformats.org/officeDocument/2006/relationships/hyperlink" Target="http://activebeat.com" TargetMode="External"/><Relationship Id="rId16" Type="http://schemas.openxmlformats.org/officeDocument/2006/relationships/hyperlink" Target="http://accuweather.com" TargetMode="External"/><Relationship Id="rId19" Type="http://schemas.openxmlformats.org/officeDocument/2006/relationships/hyperlink" Target="http://activebeat.com" TargetMode="External"/><Relationship Id="rId510" Type="http://schemas.openxmlformats.org/officeDocument/2006/relationships/hyperlink" Target="http://realtor.com" TargetMode="External"/><Relationship Id="rId631" Type="http://schemas.openxmlformats.org/officeDocument/2006/relationships/hyperlink" Target="http://weather.com" TargetMode="External"/><Relationship Id="rId18" Type="http://schemas.openxmlformats.org/officeDocument/2006/relationships/hyperlink" Target="http://activebeat.com" TargetMode="External"/><Relationship Id="rId630" Type="http://schemas.openxmlformats.org/officeDocument/2006/relationships/hyperlink" Target="http://weather.com" TargetMode="External"/><Relationship Id="rId84" Type="http://schemas.openxmlformats.org/officeDocument/2006/relationships/hyperlink" Target="http://buzzfeed.com" TargetMode="External"/><Relationship Id="rId83" Type="http://schemas.openxmlformats.org/officeDocument/2006/relationships/hyperlink" Target="http://buzzfeed.com" TargetMode="External"/><Relationship Id="rId86" Type="http://schemas.openxmlformats.org/officeDocument/2006/relationships/hyperlink" Target="http://calculator.net" TargetMode="External"/><Relationship Id="rId85" Type="http://schemas.openxmlformats.org/officeDocument/2006/relationships/hyperlink" Target="http://calculator.net" TargetMode="External"/><Relationship Id="rId88" Type="http://schemas.openxmlformats.org/officeDocument/2006/relationships/hyperlink" Target="http://calculator.net" TargetMode="External"/><Relationship Id="rId87" Type="http://schemas.openxmlformats.org/officeDocument/2006/relationships/hyperlink" Target="http://calculator.net" TargetMode="External"/><Relationship Id="rId89" Type="http://schemas.openxmlformats.org/officeDocument/2006/relationships/hyperlink" Target="http://calculator.net" TargetMode="External"/><Relationship Id="rId709" Type="http://schemas.openxmlformats.org/officeDocument/2006/relationships/hyperlink" Target="http://yourdailysportfix.com" TargetMode="External"/><Relationship Id="rId708" Type="http://schemas.openxmlformats.org/officeDocument/2006/relationships/hyperlink" Target="http://yourdailysportfix.com" TargetMode="External"/><Relationship Id="rId707" Type="http://schemas.openxmlformats.org/officeDocument/2006/relationships/hyperlink" Target="http://yellowpages.com" TargetMode="External"/><Relationship Id="rId706" Type="http://schemas.openxmlformats.org/officeDocument/2006/relationships/hyperlink" Target="http://yellowpages.com" TargetMode="External"/><Relationship Id="rId80" Type="http://schemas.openxmlformats.org/officeDocument/2006/relationships/hyperlink" Target="http://businessinsider.com" TargetMode="External"/><Relationship Id="rId82" Type="http://schemas.openxmlformats.org/officeDocument/2006/relationships/hyperlink" Target="http://businessinsider.com" TargetMode="External"/><Relationship Id="rId81" Type="http://schemas.openxmlformats.org/officeDocument/2006/relationships/hyperlink" Target="http://businessinsider.com" TargetMode="External"/><Relationship Id="rId701" Type="http://schemas.openxmlformats.org/officeDocument/2006/relationships/hyperlink" Target="http://yahoo.com" TargetMode="External"/><Relationship Id="rId700" Type="http://schemas.openxmlformats.org/officeDocument/2006/relationships/hyperlink" Target="http://yahoo.com" TargetMode="External"/><Relationship Id="rId705" Type="http://schemas.openxmlformats.org/officeDocument/2006/relationships/hyperlink" Target="http://yellowpages.com" TargetMode="External"/><Relationship Id="rId704" Type="http://schemas.openxmlformats.org/officeDocument/2006/relationships/hyperlink" Target="http://yahoo.com" TargetMode="External"/><Relationship Id="rId703" Type="http://schemas.openxmlformats.org/officeDocument/2006/relationships/hyperlink" Target="http://yahoo.com" TargetMode="External"/><Relationship Id="rId702" Type="http://schemas.openxmlformats.org/officeDocument/2006/relationships/hyperlink" Target="http://yahoo.com" TargetMode="External"/><Relationship Id="rId73" Type="http://schemas.openxmlformats.org/officeDocument/2006/relationships/hyperlink" Target="http://boattrader.com" TargetMode="External"/><Relationship Id="rId72" Type="http://schemas.openxmlformats.org/officeDocument/2006/relationships/hyperlink" Target="http://boattrader.com" TargetMode="External"/><Relationship Id="rId75" Type="http://schemas.openxmlformats.org/officeDocument/2006/relationships/hyperlink" Target="http://boattrader.com" TargetMode="External"/><Relationship Id="rId74" Type="http://schemas.openxmlformats.org/officeDocument/2006/relationships/hyperlink" Target="http://boattrader.com" TargetMode="External"/><Relationship Id="rId77" Type="http://schemas.openxmlformats.org/officeDocument/2006/relationships/hyperlink" Target="http://bridesblush.com" TargetMode="External"/><Relationship Id="rId76" Type="http://schemas.openxmlformats.org/officeDocument/2006/relationships/hyperlink" Target="http://boxrox.com" TargetMode="External"/><Relationship Id="rId79" Type="http://schemas.openxmlformats.org/officeDocument/2006/relationships/hyperlink" Target="http://businessinsider.com" TargetMode="External"/><Relationship Id="rId78" Type="http://schemas.openxmlformats.org/officeDocument/2006/relationships/hyperlink" Target="http://britannica.com" TargetMode="External"/><Relationship Id="rId71" Type="http://schemas.openxmlformats.org/officeDocument/2006/relationships/hyperlink" Target="http://boattrader.com" TargetMode="External"/><Relationship Id="rId70" Type="http://schemas.openxmlformats.org/officeDocument/2006/relationships/hyperlink" Target="http://bleacherbreaker.com" TargetMode="External"/><Relationship Id="rId62" Type="http://schemas.openxmlformats.org/officeDocument/2006/relationships/hyperlink" Target="http://biblegateway.com" TargetMode="External"/><Relationship Id="rId61" Type="http://schemas.openxmlformats.org/officeDocument/2006/relationships/hyperlink" Target="http://biblegateway.com" TargetMode="External"/><Relationship Id="rId64" Type="http://schemas.openxmlformats.org/officeDocument/2006/relationships/hyperlink" Target="http://biblegateway.com" TargetMode="External"/><Relationship Id="rId63" Type="http://schemas.openxmlformats.org/officeDocument/2006/relationships/hyperlink" Target="http://biblegateway.com" TargetMode="External"/><Relationship Id="rId66" Type="http://schemas.openxmlformats.org/officeDocument/2006/relationships/hyperlink" Target="http://biblegateway.com" TargetMode="External"/><Relationship Id="rId65" Type="http://schemas.openxmlformats.org/officeDocument/2006/relationships/hyperlink" Target="http://biblegateway.com" TargetMode="External"/><Relationship Id="rId68" Type="http://schemas.openxmlformats.org/officeDocument/2006/relationships/hyperlink" Target="http://biblestudytools.com" TargetMode="External"/><Relationship Id="rId67" Type="http://schemas.openxmlformats.org/officeDocument/2006/relationships/hyperlink" Target="http://biblegateway.com" TargetMode="External"/><Relationship Id="rId609" Type="http://schemas.openxmlformats.org/officeDocument/2006/relationships/hyperlink" Target="http://usatoday.com" TargetMode="External"/><Relationship Id="rId608" Type="http://schemas.openxmlformats.org/officeDocument/2006/relationships/hyperlink" Target="http://usatoday.com" TargetMode="External"/><Relationship Id="rId607" Type="http://schemas.openxmlformats.org/officeDocument/2006/relationships/hyperlink" Target="http://usatoday.com" TargetMode="External"/><Relationship Id="rId60" Type="http://schemas.openxmlformats.org/officeDocument/2006/relationships/hyperlink" Target="http://biblegateway.com" TargetMode="External"/><Relationship Id="rId602" Type="http://schemas.openxmlformats.org/officeDocument/2006/relationships/hyperlink" Target="http://travelerdreams.com" TargetMode="External"/><Relationship Id="rId601" Type="http://schemas.openxmlformats.org/officeDocument/2006/relationships/hyperlink" Target="http://travelerdreams.com" TargetMode="External"/><Relationship Id="rId722" Type="http://schemas.openxmlformats.org/officeDocument/2006/relationships/drawing" Target="../drawings/drawing6.xml"/><Relationship Id="rId600" Type="http://schemas.openxmlformats.org/officeDocument/2006/relationships/hyperlink" Target="http://topclassactions.com" TargetMode="External"/><Relationship Id="rId721" Type="http://schemas.openxmlformats.org/officeDocument/2006/relationships/hyperlink" Target="http://zone.msn.com" TargetMode="External"/><Relationship Id="rId720" Type="http://schemas.openxmlformats.org/officeDocument/2006/relationships/hyperlink" Target="http://zillow.com" TargetMode="External"/><Relationship Id="rId606" Type="http://schemas.openxmlformats.org/officeDocument/2006/relationships/hyperlink" Target="http://usatoday.com" TargetMode="External"/><Relationship Id="rId605" Type="http://schemas.openxmlformats.org/officeDocument/2006/relationships/hyperlink" Target="http://usatoday.com" TargetMode="External"/><Relationship Id="rId604" Type="http://schemas.openxmlformats.org/officeDocument/2006/relationships/hyperlink" Target="http://upworthy.com" TargetMode="External"/><Relationship Id="rId603" Type="http://schemas.openxmlformats.org/officeDocument/2006/relationships/hyperlink" Target="http://tripadvisor.com" TargetMode="External"/><Relationship Id="rId69" Type="http://schemas.openxmlformats.org/officeDocument/2006/relationships/hyperlink" Target="http://billboard.com" TargetMode="External"/><Relationship Id="rId51" Type="http://schemas.openxmlformats.org/officeDocument/2006/relationships/hyperlink" Target="http://biblegateway.com" TargetMode="External"/><Relationship Id="rId50" Type="http://schemas.openxmlformats.org/officeDocument/2006/relationships/hyperlink" Target="http://bestbuy.com" TargetMode="External"/><Relationship Id="rId53" Type="http://schemas.openxmlformats.org/officeDocument/2006/relationships/hyperlink" Target="http://biblegateway.com" TargetMode="External"/><Relationship Id="rId52" Type="http://schemas.openxmlformats.org/officeDocument/2006/relationships/hyperlink" Target="http://biblegateway.com" TargetMode="External"/><Relationship Id="rId55" Type="http://schemas.openxmlformats.org/officeDocument/2006/relationships/hyperlink" Target="http://biblegateway.com" TargetMode="External"/><Relationship Id="rId54" Type="http://schemas.openxmlformats.org/officeDocument/2006/relationships/hyperlink" Target="http://biblegateway.com" TargetMode="External"/><Relationship Id="rId57" Type="http://schemas.openxmlformats.org/officeDocument/2006/relationships/hyperlink" Target="http://biblegateway.com" TargetMode="External"/><Relationship Id="rId56" Type="http://schemas.openxmlformats.org/officeDocument/2006/relationships/hyperlink" Target="http://biblegateway.com" TargetMode="External"/><Relationship Id="rId719" Type="http://schemas.openxmlformats.org/officeDocument/2006/relationships/hyperlink" Target="http://zillow.com" TargetMode="External"/><Relationship Id="rId718" Type="http://schemas.openxmlformats.org/officeDocument/2006/relationships/hyperlink" Target="http://zillow.com" TargetMode="External"/><Relationship Id="rId717" Type="http://schemas.openxmlformats.org/officeDocument/2006/relationships/hyperlink" Target="http://zillow.com" TargetMode="External"/><Relationship Id="rId712" Type="http://schemas.openxmlformats.org/officeDocument/2006/relationships/hyperlink" Target="http://zdnet.com" TargetMode="External"/><Relationship Id="rId711" Type="http://schemas.openxmlformats.org/officeDocument/2006/relationships/hyperlink" Target="http://zdnet.com" TargetMode="External"/><Relationship Id="rId710" Type="http://schemas.openxmlformats.org/officeDocument/2006/relationships/hyperlink" Target="http://yourroyals.com" TargetMode="External"/><Relationship Id="rId716" Type="http://schemas.openxmlformats.org/officeDocument/2006/relationships/hyperlink" Target="http://zillow.com" TargetMode="External"/><Relationship Id="rId715" Type="http://schemas.openxmlformats.org/officeDocument/2006/relationships/hyperlink" Target="http://zillow.com" TargetMode="External"/><Relationship Id="rId714" Type="http://schemas.openxmlformats.org/officeDocument/2006/relationships/hyperlink" Target="http://zillow.com" TargetMode="External"/><Relationship Id="rId713" Type="http://schemas.openxmlformats.org/officeDocument/2006/relationships/hyperlink" Target="http://zillow.com" TargetMode="External"/><Relationship Id="rId59" Type="http://schemas.openxmlformats.org/officeDocument/2006/relationships/hyperlink" Target="http://biblegateway.com" TargetMode="External"/><Relationship Id="rId58" Type="http://schemas.openxmlformats.org/officeDocument/2006/relationships/hyperlink" Target="http://biblegateway.com" TargetMode="External"/><Relationship Id="rId590" Type="http://schemas.openxmlformats.org/officeDocument/2006/relationships/hyperlink" Target="http://the-sun.com" TargetMode="External"/><Relationship Id="rId107" Type="http://schemas.openxmlformats.org/officeDocument/2006/relationships/hyperlink" Target="http://cbsnews.com" TargetMode="External"/><Relationship Id="rId228" Type="http://schemas.openxmlformats.org/officeDocument/2006/relationships/hyperlink" Target="http://findagrave.com" TargetMode="External"/><Relationship Id="rId349" Type="http://schemas.openxmlformats.org/officeDocument/2006/relationships/hyperlink" Target="http://mail.yahoo.com" TargetMode="External"/><Relationship Id="rId106" Type="http://schemas.openxmlformats.org/officeDocument/2006/relationships/hyperlink" Target="http://cbsnews.com" TargetMode="External"/><Relationship Id="rId227" Type="http://schemas.openxmlformats.org/officeDocument/2006/relationships/hyperlink" Target="http://findagrave.com" TargetMode="External"/><Relationship Id="rId348" Type="http://schemas.openxmlformats.org/officeDocument/2006/relationships/hyperlink" Target="http://mail.yahoo.com" TargetMode="External"/><Relationship Id="rId469" Type="http://schemas.openxmlformats.org/officeDocument/2006/relationships/hyperlink" Target="http://outlook.live.com" TargetMode="External"/><Relationship Id="rId105" Type="http://schemas.openxmlformats.org/officeDocument/2006/relationships/hyperlink" Target="http://cbsnews.com" TargetMode="External"/><Relationship Id="rId226" Type="http://schemas.openxmlformats.org/officeDocument/2006/relationships/hyperlink" Target="http://finance.yahoo.com" TargetMode="External"/><Relationship Id="rId347" Type="http://schemas.openxmlformats.org/officeDocument/2006/relationships/hyperlink" Target="http://mail.yahoo.com" TargetMode="External"/><Relationship Id="rId468" Type="http://schemas.openxmlformats.org/officeDocument/2006/relationships/hyperlink" Target="http://outlook.live.com" TargetMode="External"/><Relationship Id="rId589" Type="http://schemas.openxmlformats.org/officeDocument/2006/relationships/hyperlink" Target="http://the-sun.com" TargetMode="External"/><Relationship Id="rId104" Type="http://schemas.openxmlformats.org/officeDocument/2006/relationships/hyperlink" Target="http://cbsnews.com" TargetMode="External"/><Relationship Id="rId225" Type="http://schemas.openxmlformats.org/officeDocument/2006/relationships/hyperlink" Target="http://finance.yahoo.com" TargetMode="External"/><Relationship Id="rId346" Type="http://schemas.openxmlformats.org/officeDocument/2006/relationships/hyperlink" Target="http://mail.yahoo.com" TargetMode="External"/><Relationship Id="rId467" Type="http://schemas.openxmlformats.org/officeDocument/2006/relationships/hyperlink" Target="http://outlook.live.com" TargetMode="External"/><Relationship Id="rId588" Type="http://schemas.openxmlformats.org/officeDocument/2006/relationships/hyperlink" Target="http://the-sun.com" TargetMode="External"/><Relationship Id="rId109" Type="http://schemas.openxmlformats.org/officeDocument/2006/relationships/hyperlink" Target="http://cbsnews.com" TargetMode="External"/><Relationship Id="rId108" Type="http://schemas.openxmlformats.org/officeDocument/2006/relationships/hyperlink" Target="http://cbsnews.com" TargetMode="External"/><Relationship Id="rId229" Type="http://schemas.openxmlformats.org/officeDocument/2006/relationships/hyperlink" Target="http://findagrave.com" TargetMode="External"/><Relationship Id="rId220" Type="http://schemas.openxmlformats.org/officeDocument/2006/relationships/hyperlink" Target="http://finance.yahoo.com" TargetMode="External"/><Relationship Id="rId341" Type="http://schemas.openxmlformats.org/officeDocument/2006/relationships/hyperlink" Target="http://mail.yahoo.com" TargetMode="External"/><Relationship Id="rId462" Type="http://schemas.openxmlformats.org/officeDocument/2006/relationships/hyperlink" Target="http://outlook.live.com" TargetMode="External"/><Relationship Id="rId583" Type="http://schemas.openxmlformats.org/officeDocument/2006/relationships/hyperlink" Target="http://thesaurus.com" TargetMode="External"/><Relationship Id="rId340" Type="http://schemas.openxmlformats.org/officeDocument/2006/relationships/hyperlink" Target="http://mail.yahoo.com" TargetMode="External"/><Relationship Id="rId461" Type="http://schemas.openxmlformats.org/officeDocument/2006/relationships/hyperlink" Target="http://onechicagocenter.com" TargetMode="External"/><Relationship Id="rId582" Type="http://schemas.openxmlformats.org/officeDocument/2006/relationships/hyperlink" Target="http://thesaurus.com" TargetMode="External"/><Relationship Id="rId460" Type="http://schemas.openxmlformats.org/officeDocument/2006/relationships/hyperlink" Target="http://omnicalculator.com" TargetMode="External"/><Relationship Id="rId581" Type="http://schemas.openxmlformats.org/officeDocument/2006/relationships/hyperlink" Target="http://thesaurus.com" TargetMode="External"/><Relationship Id="rId580" Type="http://schemas.openxmlformats.org/officeDocument/2006/relationships/hyperlink" Target="http://thesaurus.com" TargetMode="External"/><Relationship Id="rId103" Type="http://schemas.openxmlformats.org/officeDocument/2006/relationships/hyperlink" Target="http://cbsnews.com" TargetMode="External"/><Relationship Id="rId224" Type="http://schemas.openxmlformats.org/officeDocument/2006/relationships/hyperlink" Target="http://finance.yahoo.com" TargetMode="External"/><Relationship Id="rId345" Type="http://schemas.openxmlformats.org/officeDocument/2006/relationships/hyperlink" Target="http://mail.yahoo.com" TargetMode="External"/><Relationship Id="rId466" Type="http://schemas.openxmlformats.org/officeDocument/2006/relationships/hyperlink" Target="http://outlook.live.com" TargetMode="External"/><Relationship Id="rId587" Type="http://schemas.openxmlformats.org/officeDocument/2006/relationships/hyperlink" Target="http://the-sun.com" TargetMode="External"/><Relationship Id="rId102" Type="http://schemas.openxmlformats.org/officeDocument/2006/relationships/hyperlink" Target="http://cbsnews.com" TargetMode="External"/><Relationship Id="rId223" Type="http://schemas.openxmlformats.org/officeDocument/2006/relationships/hyperlink" Target="http://finance.yahoo.com" TargetMode="External"/><Relationship Id="rId344" Type="http://schemas.openxmlformats.org/officeDocument/2006/relationships/hyperlink" Target="http://mail.yahoo.com" TargetMode="External"/><Relationship Id="rId465" Type="http://schemas.openxmlformats.org/officeDocument/2006/relationships/hyperlink" Target="http://outlook.live.com" TargetMode="External"/><Relationship Id="rId586" Type="http://schemas.openxmlformats.org/officeDocument/2006/relationships/hyperlink" Target="http://the-sun.com" TargetMode="External"/><Relationship Id="rId101" Type="http://schemas.openxmlformats.org/officeDocument/2006/relationships/hyperlink" Target="http://carscoops.com" TargetMode="External"/><Relationship Id="rId222" Type="http://schemas.openxmlformats.org/officeDocument/2006/relationships/hyperlink" Target="http://finance.yahoo.com" TargetMode="External"/><Relationship Id="rId343" Type="http://schemas.openxmlformats.org/officeDocument/2006/relationships/hyperlink" Target="http://mail.yahoo.com" TargetMode="External"/><Relationship Id="rId464" Type="http://schemas.openxmlformats.org/officeDocument/2006/relationships/hyperlink" Target="http://outlook.live.com" TargetMode="External"/><Relationship Id="rId585" Type="http://schemas.openxmlformats.org/officeDocument/2006/relationships/hyperlink" Target="http://thesaurus.com" TargetMode="External"/><Relationship Id="rId100" Type="http://schemas.openxmlformats.org/officeDocument/2006/relationships/hyperlink" Target="http://cars.com" TargetMode="External"/><Relationship Id="rId221" Type="http://schemas.openxmlformats.org/officeDocument/2006/relationships/hyperlink" Target="http://finance.yahoo.com" TargetMode="External"/><Relationship Id="rId342" Type="http://schemas.openxmlformats.org/officeDocument/2006/relationships/hyperlink" Target="http://mail.yahoo.com" TargetMode="External"/><Relationship Id="rId463" Type="http://schemas.openxmlformats.org/officeDocument/2006/relationships/hyperlink" Target="http://outlook.live.com" TargetMode="External"/><Relationship Id="rId584" Type="http://schemas.openxmlformats.org/officeDocument/2006/relationships/hyperlink" Target="http://thesaurus.com" TargetMode="External"/><Relationship Id="rId217" Type="http://schemas.openxmlformats.org/officeDocument/2006/relationships/hyperlink" Target="http://finance.yahoo.com" TargetMode="External"/><Relationship Id="rId338" Type="http://schemas.openxmlformats.org/officeDocument/2006/relationships/hyperlink" Target="http://mail.aol.com" TargetMode="External"/><Relationship Id="rId459" Type="http://schemas.openxmlformats.org/officeDocument/2006/relationships/hyperlink" Target="http://omnicalculator.com" TargetMode="External"/><Relationship Id="rId216" Type="http://schemas.openxmlformats.org/officeDocument/2006/relationships/hyperlink" Target="http://finance.yahoo.com" TargetMode="External"/><Relationship Id="rId337" Type="http://schemas.openxmlformats.org/officeDocument/2006/relationships/hyperlink" Target="http://mail.aol.com" TargetMode="External"/><Relationship Id="rId458" Type="http://schemas.openxmlformats.org/officeDocument/2006/relationships/hyperlink" Target="http://nytimes.com" TargetMode="External"/><Relationship Id="rId579" Type="http://schemas.openxmlformats.org/officeDocument/2006/relationships/hyperlink" Target="http://thesaurus.com" TargetMode="External"/><Relationship Id="rId215" Type="http://schemas.openxmlformats.org/officeDocument/2006/relationships/hyperlink" Target="http://finance.yahoo.com" TargetMode="External"/><Relationship Id="rId336" Type="http://schemas.openxmlformats.org/officeDocument/2006/relationships/hyperlink" Target="http://mail.aol.com" TargetMode="External"/><Relationship Id="rId457" Type="http://schemas.openxmlformats.org/officeDocument/2006/relationships/hyperlink" Target="http://nytimes.com" TargetMode="External"/><Relationship Id="rId578" Type="http://schemas.openxmlformats.org/officeDocument/2006/relationships/hyperlink" Target="http://thesaltymarshmallow.com" TargetMode="External"/><Relationship Id="rId699" Type="http://schemas.openxmlformats.org/officeDocument/2006/relationships/hyperlink" Target="http://yahoo.com" TargetMode="External"/><Relationship Id="rId214" Type="http://schemas.openxmlformats.org/officeDocument/2006/relationships/hyperlink" Target="http://femanin.com" TargetMode="External"/><Relationship Id="rId335" Type="http://schemas.openxmlformats.org/officeDocument/2006/relationships/hyperlink" Target="http://mail.aol.com" TargetMode="External"/><Relationship Id="rId456" Type="http://schemas.openxmlformats.org/officeDocument/2006/relationships/hyperlink" Target="http://nypost.com" TargetMode="External"/><Relationship Id="rId577" Type="http://schemas.openxmlformats.org/officeDocument/2006/relationships/hyperlink" Target="http://therighthairstyles.com" TargetMode="External"/><Relationship Id="rId698" Type="http://schemas.openxmlformats.org/officeDocument/2006/relationships/hyperlink" Target="http://yahoo.com" TargetMode="External"/><Relationship Id="rId219" Type="http://schemas.openxmlformats.org/officeDocument/2006/relationships/hyperlink" Target="http://finance.yahoo.com" TargetMode="External"/><Relationship Id="rId218" Type="http://schemas.openxmlformats.org/officeDocument/2006/relationships/hyperlink" Target="http://finance.yahoo.com" TargetMode="External"/><Relationship Id="rId339" Type="http://schemas.openxmlformats.org/officeDocument/2006/relationships/hyperlink" Target="http://mail.aol.com" TargetMode="External"/><Relationship Id="rId330" Type="http://schemas.openxmlformats.org/officeDocument/2006/relationships/hyperlink" Target="http://mail.aol.com" TargetMode="External"/><Relationship Id="rId451" Type="http://schemas.openxmlformats.org/officeDocument/2006/relationships/hyperlink" Target="http://nypost.com" TargetMode="External"/><Relationship Id="rId572" Type="http://schemas.openxmlformats.org/officeDocument/2006/relationships/hyperlink" Target="http://techradar.com" TargetMode="External"/><Relationship Id="rId693" Type="http://schemas.openxmlformats.org/officeDocument/2006/relationships/hyperlink" Target="http://yahoo.com" TargetMode="External"/><Relationship Id="rId450" Type="http://schemas.openxmlformats.org/officeDocument/2006/relationships/hyperlink" Target="http://nsfas-applications.co.za" TargetMode="External"/><Relationship Id="rId571" Type="http://schemas.openxmlformats.org/officeDocument/2006/relationships/hyperlink" Target="http://tastesbetterfromscratch.com" TargetMode="External"/><Relationship Id="rId692" Type="http://schemas.openxmlformats.org/officeDocument/2006/relationships/hyperlink" Target="http://yahoo.com" TargetMode="External"/><Relationship Id="rId570" Type="http://schemas.openxmlformats.org/officeDocument/2006/relationships/hyperlink" Target="http://tasteofhome.com" TargetMode="External"/><Relationship Id="rId691" Type="http://schemas.openxmlformats.org/officeDocument/2006/relationships/hyperlink" Target="http://yahoo.com" TargetMode="External"/><Relationship Id="rId690" Type="http://schemas.openxmlformats.org/officeDocument/2006/relationships/hyperlink" Target="http://yahoo.com" TargetMode="External"/><Relationship Id="rId213" Type="http://schemas.openxmlformats.org/officeDocument/2006/relationships/hyperlink" Target="http://femanin.com" TargetMode="External"/><Relationship Id="rId334" Type="http://schemas.openxmlformats.org/officeDocument/2006/relationships/hyperlink" Target="http://mail.aol.com" TargetMode="External"/><Relationship Id="rId455" Type="http://schemas.openxmlformats.org/officeDocument/2006/relationships/hyperlink" Target="http://nypost.com" TargetMode="External"/><Relationship Id="rId576" Type="http://schemas.openxmlformats.org/officeDocument/2006/relationships/hyperlink" Target="http://thekrazycouponlady.com" TargetMode="External"/><Relationship Id="rId697" Type="http://schemas.openxmlformats.org/officeDocument/2006/relationships/hyperlink" Target="http://yahoo.com" TargetMode="External"/><Relationship Id="rId212" Type="http://schemas.openxmlformats.org/officeDocument/2006/relationships/hyperlink" Target="http://fandomwire.com" TargetMode="External"/><Relationship Id="rId333" Type="http://schemas.openxmlformats.org/officeDocument/2006/relationships/hyperlink" Target="http://mail.aol.com" TargetMode="External"/><Relationship Id="rId454" Type="http://schemas.openxmlformats.org/officeDocument/2006/relationships/hyperlink" Target="http://nypost.com" TargetMode="External"/><Relationship Id="rId575" Type="http://schemas.openxmlformats.org/officeDocument/2006/relationships/hyperlink" Target="http://thehulltruth.com" TargetMode="External"/><Relationship Id="rId696" Type="http://schemas.openxmlformats.org/officeDocument/2006/relationships/hyperlink" Target="http://yahoo.com" TargetMode="External"/><Relationship Id="rId211" Type="http://schemas.openxmlformats.org/officeDocument/2006/relationships/hyperlink" Target="http://fandomwire.com" TargetMode="External"/><Relationship Id="rId332" Type="http://schemas.openxmlformats.org/officeDocument/2006/relationships/hyperlink" Target="http://mail.aol.com" TargetMode="External"/><Relationship Id="rId453" Type="http://schemas.openxmlformats.org/officeDocument/2006/relationships/hyperlink" Target="http://nypost.com" TargetMode="External"/><Relationship Id="rId574" Type="http://schemas.openxmlformats.org/officeDocument/2006/relationships/hyperlink" Target="http://thegamer.com" TargetMode="External"/><Relationship Id="rId695" Type="http://schemas.openxmlformats.org/officeDocument/2006/relationships/hyperlink" Target="http://yahoo.com" TargetMode="External"/><Relationship Id="rId210" Type="http://schemas.openxmlformats.org/officeDocument/2006/relationships/hyperlink" Target="http://fandomwire.com" TargetMode="External"/><Relationship Id="rId331" Type="http://schemas.openxmlformats.org/officeDocument/2006/relationships/hyperlink" Target="http://mail.aol.com" TargetMode="External"/><Relationship Id="rId452" Type="http://schemas.openxmlformats.org/officeDocument/2006/relationships/hyperlink" Target="http://nypost.com" TargetMode="External"/><Relationship Id="rId573" Type="http://schemas.openxmlformats.org/officeDocument/2006/relationships/hyperlink" Target="http://thebigmansworld.com" TargetMode="External"/><Relationship Id="rId694" Type="http://schemas.openxmlformats.org/officeDocument/2006/relationships/hyperlink" Target="http://yahoo.com" TargetMode="External"/><Relationship Id="rId370" Type="http://schemas.openxmlformats.org/officeDocument/2006/relationships/hyperlink" Target="http://maxroll.gg" TargetMode="External"/><Relationship Id="rId491" Type="http://schemas.openxmlformats.org/officeDocument/2006/relationships/hyperlink" Target="http://poshland.com" TargetMode="External"/><Relationship Id="rId490" Type="http://schemas.openxmlformats.org/officeDocument/2006/relationships/hyperlink" Target="http://poshland.com" TargetMode="External"/><Relationship Id="rId129" Type="http://schemas.openxmlformats.org/officeDocument/2006/relationships/hyperlink" Target="http://cnbc.com" TargetMode="External"/><Relationship Id="rId128" Type="http://schemas.openxmlformats.org/officeDocument/2006/relationships/hyperlink" Target="http://cnbc.com" TargetMode="External"/><Relationship Id="rId249" Type="http://schemas.openxmlformats.org/officeDocument/2006/relationships/hyperlink" Target="http://foxbusiness.com" TargetMode="External"/><Relationship Id="rId127" Type="http://schemas.openxmlformats.org/officeDocument/2006/relationships/hyperlink" Target="http://clutchpoints.com" TargetMode="External"/><Relationship Id="rId248" Type="http://schemas.openxmlformats.org/officeDocument/2006/relationships/hyperlink" Target="http://fox59.com" TargetMode="External"/><Relationship Id="rId369" Type="http://schemas.openxmlformats.org/officeDocument/2006/relationships/hyperlink" Target="http://marca.com" TargetMode="External"/><Relationship Id="rId126" Type="http://schemas.openxmlformats.org/officeDocument/2006/relationships/hyperlink" Target="http://classmates.com" TargetMode="External"/><Relationship Id="rId247" Type="http://schemas.openxmlformats.org/officeDocument/2006/relationships/hyperlink" Target="http://fortune.com" TargetMode="External"/><Relationship Id="rId368" Type="http://schemas.openxmlformats.org/officeDocument/2006/relationships/hyperlink" Target="http://marca.com" TargetMode="External"/><Relationship Id="rId489" Type="http://schemas.openxmlformats.org/officeDocument/2006/relationships/hyperlink" Target="http://politico.com" TargetMode="External"/><Relationship Id="rId121" Type="http://schemas.openxmlformats.org/officeDocument/2006/relationships/hyperlink" Target="http://chicagotribune.com" TargetMode="External"/><Relationship Id="rId242" Type="http://schemas.openxmlformats.org/officeDocument/2006/relationships/hyperlink" Target="http://forbes.com" TargetMode="External"/><Relationship Id="rId363" Type="http://schemas.openxmlformats.org/officeDocument/2006/relationships/hyperlink" Target="http://mail.yahoo.com" TargetMode="External"/><Relationship Id="rId484" Type="http://schemas.openxmlformats.org/officeDocument/2006/relationships/hyperlink" Target="http://people.com" TargetMode="External"/><Relationship Id="rId120" Type="http://schemas.openxmlformats.org/officeDocument/2006/relationships/hyperlink" Target="http://cheezburger.com" TargetMode="External"/><Relationship Id="rId241" Type="http://schemas.openxmlformats.org/officeDocument/2006/relationships/hyperlink" Target="http://forbes.com" TargetMode="External"/><Relationship Id="rId362" Type="http://schemas.openxmlformats.org/officeDocument/2006/relationships/hyperlink" Target="http://mail.yahoo.com" TargetMode="External"/><Relationship Id="rId483" Type="http://schemas.openxmlformats.org/officeDocument/2006/relationships/hyperlink" Target="http://people.com" TargetMode="External"/><Relationship Id="rId240" Type="http://schemas.openxmlformats.org/officeDocument/2006/relationships/hyperlink" Target="http://forbes.com" TargetMode="External"/><Relationship Id="rId361" Type="http://schemas.openxmlformats.org/officeDocument/2006/relationships/hyperlink" Target="http://mail.yahoo.com" TargetMode="External"/><Relationship Id="rId482" Type="http://schemas.openxmlformats.org/officeDocument/2006/relationships/hyperlink" Target="http://people.com" TargetMode="External"/><Relationship Id="rId360" Type="http://schemas.openxmlformats.org/officeDocument/2006/relationships/hyperlink" Target="http://mail.yahoo.com" TargetMode="External"/><Relationship Id="rId481" Type="http://schemas.openxmlformats.org/officeDocument/2006/relationships/hyperlink" Target="http://people.com" TargetMode="External"/><Relationship Id="rId125" Type="http://schemas.openxmlformats.org/officeDocument/2006/relationships/hyperlink" Target="http://classmates.com" TargetMode="External"/><Relationship Id="rId246" Type="http://schemas.openxmlformats.org/officeDocument/2006/relationships/hyperlink" Target="http://forbes.com" TargetMode="External"/><Relationship Id="rId367" Type="http://schemas.openxmlformats.org/officeDocument/2006/relationships/hyperlink" Target="http://mapquest.com" TargetMode="External"/><Relationship Id="rId488" Type="http://schemas.openxmlformats.org/officeDocument/2006/relationships/hyperlink" Target="http://politico.com" TargetMode="External"/><Relationship Id="rId124" Type="http://schemas.openxmlformats.org/officeDocument/2006/relationships/hyperlink" Target="http://classmates.com" TargetMode="External"/><Relationship Id="rId245" Type="http://schemas.openxmlformats.org/officeDocument/2006/relationships/hyperlink" Target="http://forbes.com" TargetMode="External"/><Relationship Id="rId366" Type="http://schemas.openxmlformats.org/officeDocument/2006/relationships/hyperlink" Target="http://mapquest.com" TargetMode="External"/><Relationship Id="rId487" Type="http://schemas.openxmlformats.org/officeDocument/2006/relationships/hyperlink" Target="http://phys.org" TargetMode="External"/><Relationship Id="rId123" Type="http://schemas.openxmlformats.org/officeDocument/2006/relationships/hyperlink" Target="http://citationmachine.net" TargetMode="External"/><Relationship Id="rId244" Type="http://schemas.openxmlformats.org/officeDocument/2006/relationships/hyperlink" Target="http://forbes.com" TargetMode="External"/><Relationship Id="rId365" Type="http://schemas.openxmlformats.org/officeDocument/2006/relationships/hyperlink" Target="http://mapquest.com" TargetMode="External"/><Relationship Id="rId486" Type="http://schemas.openxmlformats.org/officeDocument/2006/relationships/hyperlink" Target="http://people.com" TargetMode="External"/><Relationship Id="rId122" Type="http://schemas.openxmlformats.org/officeDocument/2006/relationships/hyperlink" Target="http://chocolatecoveredkatie.com" TargetMode="External"/><Relationship Id="rId243" Type="http://schemas.openxmlformats.org/officeDocument/2006/relationships/hyperlink" Target="http://forbes.com" TargetMode="External"/><Relationship Id="rId364" Type="http://schemas.openxmlformats.org/officeDocument/2006/relationships/hyperlink" Target="http://mail.yahoo.com" TargetMode="External"/><Relationship Id="rId485" Type="http://schemas.openxmlformats.org/officeDocument/2006/relationships/hyperlink" Target="http://people.com" TargetMode="External"/><Relationship Id="rId95" Type="http://schemas.openxmlformats.org/officeDocument/2006/relationships/hyperlink" Target="http://cars.com" TargetMode="External"/><Relationship Id="rId94" Type="http://schemas.openxmlformats.org/officeDocument/2006/relationships/hyperlink" Target="http://cars.com" TargetMode="External"/><Relationship Id="rId97" Type="http://schemas.openxmlformats.org/officeDocument/2006/relationships/hyperlink" Target="http://cars.com" TargetMode="External"/><Relationship Id="rId96" Type="http://schemas.openxmlformats.org/officeDocument/2006/relationships/hyperlink" Target="http://cars.com" TargetMode="External"/><Relationship Id="rId99" Type="http://schemas.openxmlformats.org/officeDocument/2006/relationships/hyperlink" Target="http://cars.com" TargetMode="External"/><Relationship Id="rId480" Type="http://schemas.openxmlformats.org/officeDocument/2006/relationships/hyperlink" Target="http://pandora.com" TargetMode="External"/><Relationship Id="rId98" Type="http://schemas.openxmlformats.org/officeDocument/2006/relationships/hyperlink" Target="http://cars.com" TargetMode="External"/><Relationship Id="rId91" Type="http://schemas.openxmlformats.org/officeDocument/2006/relationships/hyperlink" Target="http://cargurus.com" TargetMode="External"/><Relationship Id="rId90" Type="http://schemas.openxmlformats.org/officeDocument/2006/relationships/hyperlink" Target="http://cargurus.com" TargetMode="External"/><Relationship Id="rId93" Type="http://schemas.openxmlformats.org/officeDocument/2006/relationships/hyperlink" Target="http://cargurus.com" TargetMode="External"/><Relationship Id="rId92" Type="http://schemas.openxmlformats.org/officeDocument/2006/relationships/hyperlink" Target="http://cargurus.com" TargetMode="External"/><Relationship Id="rId118" Type="http://schemas.openxmlformats.org/officeDocument/2006/relationships/hyperlink" Target="http://cheapoair.com" TargetMode="External"/><Relationship Id="rId239" Type="http://schemas.openxmlformats.org/officeDocument/2006/relationships/hyperlink" Target="http://forbes.com" TargetMode="External"/><Relationship Id="rId117" Type="http://schemas.openxmlformats.org/officeDocument/2006/relationships/hyperlink" Target="http://cheapoair.com" TargetMode="External"/><Relationship Id="rId238" Type="http://schemas.openxmlformats.org/officeDocument/2006/relationships/hyperlink" Target="http://forbes.com" TargetMode="External"/><Relationship Id="rId359" Type="http://schemas.openxmlformats.org/officeDocument/2006/relationships/hyperlink" Target="http://mail.yahoo.com" TargetMode="External"/><Relationship Id="rId116" Type="http://schemas.openxmlformats.org/officeDocument/2006/relationships/hyperlink" Target="http://cbssports.com" TargetMode="External"/><Relationship Id="rId237" Type="http://schemas.openxmlformats.org/officeDocument/2006/relationships/hyperlink" Target="http://forbes.com" TargetMode="External"/><Relationship Id="rId358" Type="http://schemas.openxmlformats.org/officeDocument/2006/relationships/hyperlink" Target="http://mail.yahoo.com" TargetMode="External"/><Relationship Id="rId479" Type="http://schemas.openxmlformats.org/officeDocument/2006/relationships/hyperlink" Target="http://pandora.com" TargetMode="External"/><Relationship Id="rId115" Type="http://schemas.openxmlformats.org/officeDocument/2006/relationships/hyperlink" Target="http://cbssports.com" TargetMode="External"/><Relationship Id="rId236" Type="http://schemas.openxmlformats.org/officeDocument/2006/relationships/hyperlink" Target="http://forbes.com" TargetMode="External"/><Relationship Id="rId357" Type="http://schemas.openxmlformats.org/officeDocument/2006/relationships/hyperlink" Target="http://mail.yahoo.com" TargetMode="External"/><Relationship Id="rId478" Type="http://schemas.openxmlformats.org/officeDocument/2006/relationships/hyperlink" Target="http://pandora.com" TargetMode="External"/><Relationship Id="rId599" Type="http://schemas.openxmlformats.org/officeDocument/2006/relationships/hyperlink" Target="http://topclassactions.com" TargetMode="External"/><Relationship Id="rId119" Type="http://schemas.openxmlformats.org/officeDocument/2006/relationships/hyperlink" Target="http://cheezburger.com" TargetMode="External"/><Relationship Id="rId110" Type="http://schemas.openxmlformats.org/officeDocument/2006/relationships/hyperlink" Target="http://cbsnews.com" TargetMode="External"/><Relationship Id="rId231" Type="http://schemas.openxmlformats.org/officeDocument/2006/relationships/hyperlink" Target="http://firstcoastnews.com" TargetMode="External"/><Relationship Id="rId352" Type="http://schemas.openxmlformats.org/officeDocument/2006/relationships/hyperlink" Target="http://mail.yahoo.com" TargetMode="External"/><Relationship Id="rId473" Type="http://schemas.openxmlformats.org/officeDocument/2006/relationships/hyperlink" Target="http://outlook.live.com" TargetMode="External"/><Relationship Id="rId594" Type="http://schemas.openxmlformats.org/officeDocument/2006/relationships/hyperlink" Target="http://timeanddate.com" TargetMode="External"/><Relationship Id="rId230" Type="http://schemas.openxmlformats.org/officeDocument/2006/relationships/hyperlink" Target="http://finviz.com" TargetMode="External"/><Relationship Id="rId351" Type="http://schemas.openxmlformats.org/officeDocument/2006/relationships/hyperlink" Target="http://mail.yahoo.com" TargetMode="External"/><Relationship Id="rId472" Type="http://schemas.openxmlformats.org/officeDocument/2006/relationships/hyperlink" Target="http://outlook.live.com" TargetMode="External"/><Relationship Id="rId593" Type="http://schemas.openxmlformats.org/officeDocument/2006/relationships/hyperlink" Target="http://timeanddate.com" TargetMode="External"/><Relationship Id="rId350" Type="http://schemas.openxmlformats.org/officeDocument/2006/relationships/hyperlink" Target="http://mail.yahoo.com" TargetMode="External"/><Relationship Id="rId471" Type="http://schemas.openxmlformats.org/officeDocument/2006/relationships/hyperlink" Target="http://outlook.live.com" TargetMode="External"/><Relationship Id="rId592" Type="http://schemas.openxmlformats.org/officeDocument/2006/relationships/hyperlink" Target="http://timeanddate.com" TargetMode="External"/><Relationship Id="rId470" Type="http://schemas.openxmlformats.org/officeDocument/2006/relationships/hyperlink" Target="http://outlook.live.com" TargetMode="External"/><Relationship Id="rId591" Type="http://schemas.openxmlformats.org/officeDocument/2006/relationships/hyperlink" Target="http://the-sun.com" TargetMode="External"/><Relationship Id="rId114" Type="http://schemas.openxmlformats.org/officeDocument/2006/relationships/hyperlink" Target="http://cbssports.com" TargetMode="External"/><Relationship Id="rId235" Type="http://schemas.openxmlformats.org/officeDocument/2006/relationships/hyperlink" Target="http://forbes.com" TargetMode="External"/><Relationship Id="rId356" Type="http://schemas.openxmlformats.org/officeDocument/2006/relationships/hyperlink" Target="http://mail.yahoo.com" TargetMode="External"/><Relationship Id="rId477" Type="http://schemas.openxmlformats.org/officeDocument/2006/relationships/hyperlink" Target="http://pandora.com" TargetMode="External"/><Relationship Id="rId598" Type="http://schemas.openxmlformats.org/officeDocument/2006/relationships/hyperlink" Target="http://tomsguide.com" TargetMode="External"/><Relationship Id="rId113" Type="http://schemas.openxmlformats.org/officeDocument/2006/relationships/hyperlink" Target="http://cbsnews.com" TargetMode="External"/><Relationship Id="rId234" Type="http://schemas.openxmlformats.org/officeDocument/2006/relationships/hyperlink" Target="http://flightaware.com" TargetMode="External"/><Relationship Id="rId355" Type="http://schemas.openxmlformats.org/officeDocument/2006/relationships/hyperlink" Target="http://mail.yahoo.com" TargetMode="External"/><Relationship Id="rId476" Type="http://schemas.openxmlformats.org/officeDocument/2006/relationships/hyperlink" Target="http://outlook.live.com" TargetMode="External"/><Relationship Id="rId597" Type="http://schemas.openxmlformats.org/officeDocument/2006/relationships/hyperlink" Target="http://tomsguide.com" TargetMode="External"/><Relationship Id="rId112" Type="http://schemas.openxmlformats.org/officeDocument/2006/relationships/hyperlink" Target="http://cbsnews.com" TargetMode="External"/><Relationship Id="rId233" Type="http://schemas.openxmlformats.org/officeDocument/2006/relationships/hyperlink" Target="http://flightaware.com" TargetMode="External"/><Relationship Id="rId354" Type="http://schemas.openxmlformats.org/officeDocument/2006/relationships/hyperlink" Target="http://mail.yahoo.com" TargetMode="External"/><Relationship Id="rId475" Type="http://schemas.openxmlformats.org/officeDocument/2006/relationships/hyperlink" Target="http://outlook.live.com" TargetMode="External"/><Relationship Id="rId596" Type="http://schemas.openxmlformats.org/officeDocument/2006/relationships/hyperlink" Target="http://tomsguide.com" TargetMode="External"/><Relationship Id="rId111" Type="http://schemas.openxmlformats.org/officeDocument/2006/relationships/hyperlink" Target="http://cbsnews.com" TargetMode="External"/><Relationship Id="rId232" Type="http://schemas.openxmlformats.org/officeDocument/2006/relationships/hyperlink" Target="http://flightaware.com" TargetMode="External"/><Relationship Id="rId353" Type="http://schemas.openxmlformats.org/officeDocument/2006/relationships/hyperlink" Target="http://mail.yahoo.com" TargetMode="External"/><Relationship Id="rId474" Type="http://schemas.openxmlformats.org/officeDocument/2006/relationships/hyperlink" Target="http://outlook.live.com" TargetMode="External"/><Relationship Id="rId595" Type="http://schemas.openxmlformats.org/officeDocument/2006/relationships/hyperlink" Target="http://todaysnyc.com" TargetMode="External"/><Relationship Id="rId305" Type="http://schemas.openxmlformats.org/officeDocument/2006/relationships/hyperlink" Target="http://kbb.com" TargetMode="External"/><Relationship Id="rId426" Type="http://schemas.openxmlformats.org/officeDocument/2006/relationships/hyperlink" Target="http://mydailymagazine.com" TargetMode="External"/><Relationship Id="rId547" Type="http://schemas.openxmlformats.org/officeDocument/2006/relationships/hyperlink" Target="http://signupgenius.com" TargetMode="External"/><Relationship Id="rId668" Type="http://schemas.openxmlformats.org/officeDocument/2006/relationships/hyperlink" Target="http://wikihow.com" TargetMode="External"/><Relationship Id="rId304" Type="http://schemas.openxmlformats.org/officeDocument/2006/relationships/hyperlink" Target="http://kbb.com" TargetMode="External"/><Relationship Id="rId425" Type="http://schemas.openxmlformats.org/officeDocument/2006/relationships/hyperlink" Target="http://my.yahoo.com" TargetMode="External"/><Relationship Id="rId546" Type="http://schemas.openxmlformats.org/officeDocument/2006/relationships/hyperlink" Target="http://signupgenius.com" TargetMode="External"/><Relationship Id="rId667" Type="http://schemas.openxmlformats.org/officeDocument/2006/relationships/hyperlink" Target="http://wikihow.com" TargetMode="External"/><Relationship Id="rId303" Type="http://schemas.openxmlformats.org/officeDocument/2006/relationships/hyperlink" Target="http://kbb.com" TargetMode="External"/><Relationship Id="rId424" Type="http://schemas.openxmlformats.org/officeDocument/2006/relationships/hyperlink" Target="http://my.yahoo.com" TargetMode="External"/><Relationship Id="rId545" Type="http://schemas.openxmlformats.org/officeDocument/2006/relationships/hyperlink" Target="http://signin.ebay.com" TargetMode="External"/><Relationship Id="rId666" Type="http://schemas.openxmlformats.org/officeDocument/2006/relationships/hyperlink" Target="http://wikihow.com" TargetMode="External"/><Relationship Id="rId302" Type="http://schemas.openxmlformats.org/officeDocument/2006/relationships/hyperlink" Target="http://jdpower.com" TargetMode="External"/><Relationship Id="rId423" Type="http://schemas.openxmlformats.org/officeDocument/2006/relationships/hyperlink" Target="http://msn.com" TargetMode="External"/><Relationship Id="rId544" Type="http://schemas.openxmlformats.org/officeDocument/2006/relationships/hyperlink" Target="http://signin.ebay.com" TargetMode="External"/><Relationship Id="rId665" Type="http://schemas.openxmlformats.org/officeDocument/2006/relationships/hyperlink" Target="http://wikihow.com" TargetMode="External"/><Relationship Id="rId309" Type="http://schemas.openxmlformats.org/officeDocument/2006/relationships/hyperlink" Target="http://kbb.com" TargetMode="External"/><Relationship Id="rId308" Type="http://schemas.openxmlformats.org/officeDocument/2006/relationships/hyperlink" Target="http://kbb.com" TargetMode="External"/><Relationship Id="rId429" Type="http://schemas.openxmlformats.org/officeDocument/2006/relationships/hyperlink" Target="http://nbcchicago.com" TargetMode="External"/><Relationship Id="rId307" Type="http://schemas.openxmlformats.org/officeDocument/2006/relationships/hyperlink" Target="http://kbb.com" TargetMode="External"/><Relationship Id="rId428" Type="http://schemas.openxmlformats.org/officeDocument/2006/relationships/hyperlink" Target="http://nba.com" TargetMode="External"/><Relationship Id="rId549" Type="http://schemas.openxmlformats.org/officeDocument/2006/relationships/hyperlink" Target="http://signupgenius.com" TargetMode="External"/><Relationship Id="rId306" Type="http://schemas.openxmlformats.org/officeDocument/2006/relationships/hyperlink" Target="http://kbb.com" TargetMode="External"/><Relationship Id="rId427" Type="http://schemas.openxmlformats.org/officeDocument/2006/relationships/hyperlink" Target="http://myfitnesspal.com" TargetMode="External"/><Relationship Id="rId548" Type="http://schemas.openxmlformats.org/officeDocument/2006/relationships/hyperlink" Target="http://signupgenius.com" TargetMode="External"/><Relationship Id="rId669" Type="http://schemas.openxmlformats.org/officeDocument/2006/relationships/hyperlink" Target="http://wizofawes.com" TargetMode="External"/><Relationship Id="rId660" Type="http://schemas.openxmlformats.org/officeDocument/2006/relationships/hyperlink" Target="http://whatismyipaddress.com" TargetMode="External"/><Relationship Id="rId301" Type="http://schemas.openxmlformats.org/officeDocument/2006/relationships/hyperlink" Target="http://jdpower.com" TargetMode="External"/><Relationship Id="rId422" Type="http://schemas.openxmlformats.org/officeDocument/2006/relationships/hyperlink" Target="http://msn.com" TargetMode="External"/><Relationship Id="rId543" Type="http://schemas.openxmlformats.org/officeDocument/2006/relationships/hyperlink" Target="http://si.com" TargetMode="External"/><Relationship Id="rId664" Type="http://schemas.openxmlformats.org/officeDocument/2006/relationships/hyperlink" Target="http://wikihow.com" TargetMode="External"/><Relationship Id="rId300" Type="http://schemas.openxmlformats.org/officeDocument/2006/relationships/hyperlink" Target="http://jdpower.com" TargetMode="External"/><Relationship Id="rId421" Type="http://schemas.openxmlformats.org/officeDocument/2006/relationships/hyperlink" Target="http://msn.com" TargetMode="External"/><Relationship Id="rId542" Type="http://schemas.openxmlformats.org/officeDocument/2006/relationships/hyperlink" Target="http://shareably.net" TargetMode="External"/><Relationship Id="rId663" Type="http://schemas.openxmlformats.org/officeDocument/2006/relationships/hyperlink" Target="http://whatismyipaddress.com" TargetMode="External"/><Relationship Id="rId420" Type="http://schemas.openxmlformats.org/officeDocument/2006/relationships/hyperlink" Target="http://msn.com" TargetMode="External"/><Relationship Id="rId541" Type="http://schemas.openxmlformats.org/officeDocument/2006/relationships/hyperlink" Target="http://semana.com" TargetMode="External"/><Relationship Id="rId662" Type="http://schemas.openxmlformats.org/officeDocument/2006/relationships/hyperlink" Target="http://whatismyipaddress.com" TargetMode="External"/><Relationship Id="rId540" Type="http://schemas.openxmlformats.org/officeDocument/2006/relationships/hyperlink" Target="http://seedsgames.com" TargetMode="External"/><Relationship Id="rId661" Type="http://schemas.openxmlformats.org/officeDocument/2006/relationships/hyperlink" Target="http://whatismyipaddress.com" TargetMode="External"/><Relationship Id="rId415" Type="http://schemas.openxmlformats.org/officeDocument/2006/relationships/hyperlink" Target="http://msn.com" TargetMode="External"/><Relationship Id="rId536" Type="http://schemas.openxmlformats.org/officeDocument/2006/relationships/hyperlink" Target="http://screenrant.com" TargetMode="External"/><Relationship Id="rId657" Type="http://schemas.openxmlformats.org/officeDocument/2006/relationships/hyperlink" Target="http://whatismyipaddress.com" TargetMode="External"/><Relationship Id="rId414" Type="http://schemas.openxmlformats.org/officeDocument/2006/relationships/hyperlink" Target="http://msn.com" TargetMode="External"/><Relationship Id="rId535" Type="http://schemas.openxmlformats.org/officeDocument/2006/relationships/hyperlink" Target="http://screenrant.com" TargetMode="External"/><Relationship Id="rId656" Type="http://schemas.openxmlformats.org/officeDocument/2006/relationships/hyperlink" Target="http://webmd.com" TargetMode="External"/><Relationship Id="rId413" Type="http://schemas.openxmlformats.org/officeDocument/2006/relationships/hyperlink" Target="http://msn.com" TargetMode="External"/><Relationship Id="rId534" Type="http://schemas.openxmlformats.org/officeDocument/2006/relationships/hyperlink" Target="http://scitechdaily.com" TargetMode="External"/><Relationship Id="rId655" Type="http://schemas.openxmlformats.org/officeDocument/2006/relationships/hyperlink" Target="http://webmd.com" TargetMode="External"/><Relationship Id="rId412" Type="http://schemas.openxmlformats.org/officeDocument/2006/relationships/hyperlink" Target="http://msn.com" TargetMode="External"/><Relationship Id="rId533" Type="http://schemas.openxmlformats.org/officeDocument/2006/relationships/hyperlink" Target="http://sciencesensei.com" TargetMode="External"/><Relationship Id="rId654" Type="http://schemas.openxmlformats.org/officeDocument/2006/relationships/hyperlink" Target="http://weather.com" TargetMode="External"/><Relationship Id="rId419" Type="http://schemas.openxmlformats.org/officeDocument/2006/relationships/hyperlink" Target="http://msn.com" TargetMode="External"/><Relationship Id="rId418" Type="http://schemas.openxmlformats.org/officeDocument/2006/relationships/hyperlink" Target="http://msn.com" TargetMode="External"/><Relationship Id="rId539" Type="http://schemas.openxmlformats.org/officeDocument/2006/relationships/hyperlink" Target="http://screenrant.com" TargetMode="External"/><Relationship Id="rId417" Type="http://schemas.openxmlformats.org/officeDocument/2006/relationships/hyperlink" Target="http://msn.com" TargetMode="External"/><Relationship Id="rId538" Type="http://schemas.openxmlformats.org/officeDocument/2006/relationships/hyperlink" Target="http://screenrant.com" TargetMode="External"/><Relationship Id="rId659" Type="http://schemas.openxmlformats.org/officeDocument/2006/relationships/hyperlink" Target="http://whatismyipaddress.com" TargetMode="External"/><Relationship Id="rId416" Type="http://schemas.openxmlformats.org/officeDocument/2006/relationships/hyperlink" Target="http://msn.com" TargetMode="External"/><Relationship Id="rId537" Type="http://schemas.openxmlformats.org/officeDocument/2006/relationships/hyperlink" Target="http://screenrant.com" TargetMode="External"/><Relationship Id="rId658" Type="http://schemas.openxmlformats.org/officeDocument/2006/relationships/hyperlink" Target="http://whatismyipaddress.com" TargetMode="External"/><Relationship Id="rId411" Type="http://schemas.openxmlformats.org/officeDocument/2006/relationships/hyperlink" Target="http://msn.com" TargetMode="External"/><Relationship Id="rId532" Type="http://schemas.openxmlformats.org/officeDocument/2006/relationships/hyperlink" Target="http://sciencealert.com" TargetMode="External"/><Relationship Id="rId653" Type="http://schemas.openxmlformats.org/officeDocument/2006/relationships/hyperlink" Target="http://weather.com" TargetMode="External"/><Relationship Id="rId410" Type="http://schemas.openxmlformats.org/officeDocument/2006/relationships/hyperlink" Target="http://msn.com" TargetMode="External"/><Relationship Id="rId531" Type="http://schemas.openxmlformats.org/officeDocument/2006/relationships/hyperlink" Target="http://sallysbakingaddiction.com" TargetMode="External"/><Relationship Id="rId652" Type="http://schemas.openxmlformats.org/officeDocument/2006/relationships/hyperlink" Target="http://weather.com" TargetMode="External"/><Relationship Id="rId530" Type="http://schemas.openxmlformats.org/officeDocument/2006/relationships/hyperlink" Target="http://rvtrader.com" TargetMode="External"/><Relationship Id="rId651" Type="http://schemas.openxmlformats.org/officeDocument/2006/relationships/hyperlink" Target="http://weather.com" TargetMode="External"/><Relationship Id="rId650" Type="http://schemas.openxmlformats.org/officeDocument/2006/relationships/hyperlink" Target="http://weather.com" TargetMode="External"/><Relationship Id="rId206" Type="http://schemas.openxmlformats.org/officeDocument/2006/relationships/hyperlink" Target="http://fandom.com" TargetMode="External"/><Relationship Id="rId327" Type="http://schemas.openxmlformats.org/officeDocument/2006/relationships/hyperlink" Target="http://mail.aol.com" TargetMode="External"/><Relationship Id="rId448" Type="http://schemas.openxmlformats.org/officeDocument/2006/relationships/hyperlink" Target="http://npr.org" TargetMode="External"/><Relationship Id="rId569" Type="http://schemas.openxmlformats.org/officeDocument/2006/relationships/hyperlink" Target="http://taboolanews.com" TargetMode="External"/><Relationship Id="rId205" Type="http://schemas.openxmlformats.org/officeDocument/2006/relationships/hyperlink" Target="http://factinate.com" TargetMode="External"/><Relationship Id="rId326" Type="http://schemas.openxmlformats.org/officeDocument/2006/relationships/hyperlink" Target="http://mail.aol.com" TargetMode="External"/><Relationship Id="rId447" Type="http://schemas.openxmlformats.org/officeDocument/2006/relationships/hyperlink" Target="http://newsmemory.com" TargetMode="External"/><Relationship Id="rId568" Type="http://schemas.openxmlformats.org/officeDocument/2006/relationships/hyperlink" Target="http://streetinsider.com" TargetMode="External"/><Relationship Id="rId689" Type="http://schemas.openxmlformats.org/officeDocument/2006/relationships/hyperlink" Target="http://yahoo.com" TargetMode="External"/><Relationship Id="rId204" Type="http://schemas.openxmlformats.org/officeDocument/2006/relationships/hyperlink" Target="http://factable.com" TargetMode="External"/><Relationship Id="rId325" Type="http://schemas.openxmlformats.org/officeDocument/2006/relationships/hyperlink" Target="http://mail.aol.com" TargetMode="External"/><Relationship Id="rId446" Type="http://schemas.openxmlformats.org/officeDocument/2006/relationships/hyperlink" Target="http://newsmemory.com" TargetMode="External"/><Relationship Id="rId567" Type="http://schemas.openxmlformats.org/officeDocument/2006/relationships/hyperlink" Target="http://streetinsider.com" TargetMode="External"/><Relationship Id="rId688" Type="http://schemas.openxmlformats.org/officeDocument/2006/relationships/hyperlink" Target="http://yahoo.com" TargetMode="External"/><Relationship Id="rId203" Type="http://schemas.openxmlformats.org/officeDocument/2006/relationships/hyperlink" Target="http://ew.com" TargetMode="External"/><Relationship Id="rId324" Type="http://schemas.openxmlformats.org/officeDocument/2006/relationships/hyperlink" Target="http://mail.aol.com" TargetMode="External"/><Relationship Id="rId445" Type="http://schemas.openxmlformats.org/officeDocument/2006/relationships/hyperlink" Target="http://newsharper.com" TargetMode="External"/><Relationship Id="rId566" Type="http://schemas.openxmlformats.org/officeDocument/2006/relationships/hyperlink" Target="http://streetinsider.com" TargetMode="External"/><Relationship Id="rId687" Type="http://schemas.openxmlformats.org/officeDocument/2006/relationships/hyperlink" Target="http://yahoo.com" TargetMode="External"/><Relationship Id="rId209" Type="http://schemas.openxmlformats.org/officeDocument/2006/relationships/hyperlink" Target="http://fandom.com" TargetMode="External"/><Relationship Id="rId208" Type="http://schemas.openxmlformats.org/officeDocument/2006/relationships/hyperlink" Target="http://fandom.com" TargetMode="External"/><Relationship Id="rId329" Type="http://schemas.openxmlformats.org/officeDocument/2006/relationships/hyperlink" Target="http://mail.aol.com" TargetMode="External"/><Relationship Id="rId207" Type="http://schemas.openxmlformats.org/officeDocument/2006/relationships/hyperlink" Target="http://fandom.com" TargetMode="External"/><Relationship Id="rId328" Type="http://schemas.openxmlformats.org/officeDocument/2006/relationships/hyperlink" Target="http://mail.aol.com" TargetMode="External"/><Relationship Id="rId449" Type="http://schemas.openxmlformats.org/officeDocument/2006/relationships/hyperlink" Target="http://npr.org" TargetMode="External"/><Relationship Id="rId440" Type="http://schemas.openxmlformats.org/officeDocument/2006/relationships/hyperlink" Target="http://news.yahoo.com" TargetMode="External"/><Relationship Id="rId561" Type="http://schemas.openxmlformats.org/officeDocument/2006/relationships/hyperlink" Target="http://soaps.sheknows.com" TargetMode="External"/><Relationship Id="rId682" Type="http://schemas.openxmlformats.org/officeDocument/2006/relationships/hyperlink" Target="http://yahoo.com" TargetMode="External"/><Relationship Id="rId560" Type="http://schemas.openxmlformats.org/officeDocument/2006/relationships/hyperlink" Target="http://sneakertoast.com" TargetMode="External"/><Relationship Id="rId681" Type="http://schemas.openxmlformats.org/officeDocument/2006/relationships/hyperlink" Target="http://yahoo.com" TargetMode="External"/><Relationship Id="rId680" Type="http://schemas.openxmlformats.org/officeDocument/2006/relationships/hyperlink" Target="http://yahoo.com" TargetMode="External"/><Relationship Id="rId202" Type="http://schemas.openxmlformats.org/officeDocument/2006/relationships/hyperlink" Target="http://evite.com" TargetMode="External"/><Relationship Id="rId323" Type="http://schemas.openxmlformats.org/officeDocument/2006/relationships/hyperlink" Target="http://mail.aol.com" TargetMode="External"/><Relationship Id="rId444" Type="http://schemas.openxmlformats.org/officeDocument/2006/relationships/hyperlink" Target="http://news.yahoo.com" TargetMode="External"/><Relationship Id="rId565" Type="http://schemas.openxmlformats.org/officeDocument/2006/relationships/hyperlink" Target="http://sports.yahoo.com" TargetMode="External"/><Relationship Id="rId686" Type="http://schemas.openxmlformats.org/officeDocument/2006/relationships/hyperlink" Target="http://yahoo.com" TargetMode="External"/><Relationship Id="rId201" Type="http://schemas.openxmlformats.org/officeDocument/2006/relationships/hyperlink" Target="http://essentiallysports.com" TargetMode="External"/><Relationship Id="rId322" Type="http://schemas.openxmlformats.org/officeDocument/2006/relationships/hyperlink" Target="http://mail.aol.com" TargetMode="External"/><Relationship Id="rId443" Type="http://schemas.openxmlformats.org/officeDocument/2006/relationships/hyperlink" Target="http://news.yahoo.com" TargetMode="External"/><Relationship Id="rId564" Type="http://schemas.openxmlformats.org/officeDocument/2006/relationships/hyperlink" Target="http://sports.yahoo.com" TargetMode="External"/><Relationship Id="rId685" Type="http://schemas.openxmlformats.org/officeDocument/2006/relationships/hyperlink" Target="http://yahoo.com" TargetMode="External"/><Relationship Id="rId200" Type="http://schemas.openxmlformats.org/officeDocument/2006/relationships/hyperlink" Target="http://essentiallysports.com" TargetMode="External"/><Relationship Id="rId321" Type="http://schemas.openxmlformats.org/officeDocument/2006/relationships/hyperlink" Target="http://mail.aol.com" TargetMode="External"/><Relationship Id="rId442" Type="http://schemas.openxmlformats.org/officeDocument/2006/relationships/hyperlink" Target="http://news.yahoo.com" TargetMode="External"/><Relationship Id="rId563" Type="http://schemas.openxmlformats.org/officeDocument/2006/relationships/hyperlink" Target="http://sportpirate.com" TargetMode="External"/><Relationship Id="rId684" Type="http://schemas.openxmlformats.org/officeDocument/2006/relationships/hyperlink" Target="http://yahoo.com" TargetMode="External"/><Relationship Id="rId320" Type="http://schemas.openxmlformats.org/officeDocument/2006/relationships/hyperlink" Target="http://macrumors.com" TargetMode="External"/><Relationship Id="rId441" Type="http://schemas.openxmlformats.org/officeDocument/2006/relationships/hyperlink" Target="http://news.yahoo.com" TargetMode="External"/><Relationship Id="rId562" Type="http://schemas.openxmlformats.org/officeDocument/2006/relationships/hyperlink" Target="http://sporcle.com" TargetMode="External"/><Relationship Id="rId683" Type="http://schemas.openxmlformats.org/officeDocument/2006/relationships/hyperlink" Target="http://yahoo.com" TargetMode="External"/><Relationship Id="rId316" Type="http://schemas.openxmlformats.org/officeDocument/2006/relationships/hyperlink" Target="http://m.timesofindia.com" TargetMode="External"/><Relationship Id="rId437" Type="http://schemas.openxmlformats.org/officeDocument/2006/relationships/hyperlink" Target="http://nbcnews.com" TargetMode="External"/><Relationship Id="rId558" Type="http://schemas.openxmlformats.org/officeDocument/2006/relationships/hyperlink" Target="http://slickdeals.net" TargetMode="External"/><Relationship Id="rId679" Type="http://schemas.openxmlformats.org/officeDocument/2006/relationships/hyperlink" Target="http://yahoo.com" TargetMode="External"/><Relationship Id="rId315" Type="http://schemas.openxmlformats.org/officeDocument/2006/relationships/hyperlink" Target="http://lotterypost.com" TargetMode="External"/><Relationship Id="rId436" Type="http://schemas.openxmlformats.org/officeDocument/2006/relationships/hyperlink" Target="http://nbcnews.com" TargetMode="External"/><Relationship Id="rId557" Type="http://schemas.openxmlformats.org/officeDocument/2006/relationships/hyperlink" Target="http://slickdeals.net" TargetMode="External"/><Relationship Id="rId678" Type="http://schemas.openxmlformats.org/officeDocument/2006/relationships/hyperlink" Target="http://yahoo.com" TargetMode="External"/><Relationship Id="rId314" Type="http://schemas.openxmlformats.org/officeDocument/2006/relationships/hyperlink" Target="http://lotterypost.com" TargetMode="External"/><Relationship Id="rId435" Type="http://schemas.openxmlformats.org/officeDocument/2006/relationships/hyperlink" Target="http://nbcnews.com" TargetMode="External"/><Relationship Id="rId556" Type="http://schemas.openxmlformats.org/officeDocument/2006/relationships/hyperlink" Target="http://slickdeals.net" TargetMode="External"/><Relationship Id="rId677" Type="http://schemas.openxmlformats.org/officeDocument/2006/relationships/hyperlink" Target="http://yachtworld.com" TargetMode="External"/><Relationship Id="rId313" Type="http://schemas.openxmlformats.org/officeDocument/2006/relationships/hyperlink" Target="http://livescience.com" TargetMode="External"/><Relationship Id="rId434" Type="http://schemas.openxmlformats.org/officeDocument/2006/relationships/hyperlink" Target="http://nbcnews.com" TargetMode="External"/><Relationship Id="rId555" Type="http://schemas.openxmlformats.org/officeDocument/2006/relationships/hyperlink" Target="http://slickdeals.net" TargetMode="External"/><Relationship Id="rId676" Type="http://schemas.openxmlformats.org/officeDocument/2006/relationships/hyperlink" Target="http://wunderground.com" TargetMode="External"/><Relationship Id="rId319" Type="http://schemas.openxmlformats.org/officeDocument/2006/relationships/hyperlink" Target="http://macrumors.com" TargetMode="External"/><Relationship Id="rId318" Type="http://schemas.openxmlformats.org/officeDocument/2006/relationships/hyperlink" Target="http://m.timesofindia.com" TargetMode="External"/><Relationship Id="rId439" Type="http://schemas.openxmlformats.org/officeDocument/2006/relationships/hyperlink" Target="http://news.yahoo.com" TargetMode="External"/><Relationship Id="rId317" Type="http://schemas.openxmlformats.org/officeDocument/2006/relationships/hyperlink" Target="http://m.timesofindia.com" TargetMode="External"/><Relationship Id="rId438" Type="http://schemas.openxmlformats.org/officeDocument/2006/relationships/hyperlink" Target="http://nbcsports.com" TargetMode="External"/><Relationship Id="rId559" Type="http://schemas.openxmlformats.org/officeDocument/2006/relationships/hyperlink" Target="http://slickdeals.net" TargetMode="External"/><Relationship Id="rId550" Type="http://schemas.openxmlformats.org/officeDocument/2006/relationships/hyperlink" Target="http://signupgenius.com" TargetMode="External"/><Relationship Id="rId671" Type="http://schemas.openxmlformats.org/officeDocument/2006/relationships/hyperlink" Target="http://wordunscrambler.me" TargetMode="External"/><Relationship Id="rId670" Type="http://schemas.openxmlformats.org/officeDocument/2006/relationships/hyperlink" Target="http://womenshealthmag.com" TargetMode="External"/><Relationship Id="rId312" Type="http://schemas.openxmlformats.org/officeDocument/2006/relationships/hyperlink" Target="http://lensvid.com" TargetMode="External"/><Relationship Id="rId433" Type="http://schemas.openxmlformats.org/officeDocument/2006/relationships/hyperlink" Target="http://nbcnews.com" TargetMode="External"/><Relationship Id="rId554" Type="http://schemas.openxmlformats.org/officeDocument/2006/relationships/hyperlink" Target="http://slickdeals.net" TargetMode="External"/><Relationship Id="rId675" Type="http://schemas.openxmlformats.org/officeDocument/2006/relationships/hyperlink" Target="http://wunderground.com" TargetMode="External"/><Relationship Id="rId311" Type="http://schemas.openxmlformats.org/officeDocument/2006/relationships/hyperlink" Target="http://kiplinger.com" TargetMode="External"/><Relationship Id="rId432" Type="http://schemas.openxmlformats.org/officeDocument/2006/relationships/hyperlink" Target="http://nbcmiami.com" TargetMode="External"/><Relationship Id="rId553" Type="http://schemas.openxmlformats.org/officeDocument/2006/relationships/hyperlink" Target="http://slickdeals.net" TargetMode="External"/><Relationship Id="rId674" Type="http://schemas.openxmlformats.org/officeDocument/2006/relationships/hyperlink" Target="http://wsvn.com" TargetMode="External"/><Relationship Id="rId310" Type="http://schemas.openxmlformats.org/officeDocument/2006/relationships/hyperlink" Target="http://kbb.com" TargetMode="External"/><Relationship Id="rId431" Type="http://schemas.openxmlformats.org/officeDocument/2006/relationships/hyperlink" Target="http://nbcdfw.com" TargetMode="External"/><Relationship Id="rId552" Type="http://schemas.openxmlformats.org/officeDocument/2006/relationships/hyperlink" Target="http://slickdeals.net" TargetMode="External"/><Relationship Id="rId673" Type="http://schemas.openxmlformats.org/officeDocument/2006/relationships/hyperlink" Target="http://wsmv.com" TargetMode="External"/><Relationship Id="rId430" Type="http://schemas.openxmlformats.org/officeDocument/2006/relationships/hyperlink" Target="http://nbcchicago.com" TargetMode="External"/><Relationship Id="rId551" Type="http://schemas.openxmlformats.org/officeDocument/2006/relationships/hyperlink" Target="http://signupgenius.com" TargetMode="External"/><Relationship Id="rId672" Type="http://schemas.openxmlformats.org/officeDocument/2006/relationships/hyperlink" Target="http://wsj.com"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90" Type="http://schemas.openxmlformats.org/officeDocument/2006/relationships/hyperlink" Target="http://ebay.com" TargetMode="External"/><Relationship Id="rId194" Type="http://schemas.openxmlformats.org/officeDocument/2006/relationships/hyperlink" Target="http://ebay.com" TargetMode="External"/><Relationship Id="rId193" Type="http://schemas.openxmlformats.org/officeDocument/2006/relationships/hyperlink" Target="http://ebay.com" TargetMode="External"/><Relationship Id="rId192" Type="http://schemas.openxmlformats.org/officeDocument/2006/relationships/hyperlink" Target="http://ebay.com" TargetMode="External"/><Relationship Id="rId191" Type="http://schemas.openxmlformats.org/officeDocument/2006/relationships/hyperlink" Target="http://ebay.com" TargetMode="External"/><Relationship Id="rId187" Type="http://schemas.openxmlformats.org/officeDocument/2006/relationships/hyperlink" Target="http://ebay.com" TargetMode="External"/><Relationship Id="rId186" Type="http://schemas.openxmlformats.org/officeDocument/2006/relationships/hyperlink" Target="http://ebay.com" TargetMode="External"/><Relationship Id="rId185" Type="http://schemas.openxmlformats.org/officeDocument/2006/relationships/hyperlink" Target="http://ebay.com" TargetMode="External"/><Relationship Id="rId184" Type="http://schemas.openxmlformats.org/officeDocument/2006/relationships/hyperlink" Target="http://ebay.com" TargetMode="External"/><Relationship Id="rId189" Type="http://schemas.openxmlformats.org/officeDocument/2006/relationships/hyperlink" Target="http://ebay.com" TargetMode="External"/><Relationship Id="rId188" Type="http://schemas.openxmlformats.org/officeDocument/2006/relationships/hyperlink" Target="http://ebay.com" TargetMode="External"/><Relationship Id="rId183" Type="http://schemas.openxmlformats.org/officeDocument/2006/relationships/hyperlink" Target="http://ebay.com" TargetMode="External"/><Relationship Id="rId182" Type="http://schemas.openxmlformats.org/officeDocument/2006/relationships/hyperlink" Target="http://ebay.com" TargetMode="External"/><Relationship Id="rId181" Type="http://schemas.openxmlformats.org/officeDocument/2006/relationships/hyperlink" Target="http://ebay.com" TargetMode="External"/><Relationship Id="rId180" Type="http://schemas.openxmlformats.org/officeDocument/2006/relationships/hyperlink" Target="http://ebay.com" TargetMode="External"/><Relationship Id="rId176" Type="http://schemas.openxmlformats.org/officeDocument/2006/relationships/hyperlink" Target="http://ebay.com" TargetMode="External"/><Relationship Id="rId297" Type="http://schemas.openxmlformats.org/officeDocument/2006/relationships/hyperlink" Target="http://insidethemagic.net" TargetMode="External"/><Relationship Id="rId175" Type="http://schemas.openxmlformats.org/officeDocument/2006/relationships/hyperlink" Target="http://ebay.com" TargetMode="External"/><Relationship Id="rId296" Type="http://schemas.openxmlformats.org/officeDocument/2006/relationships/hyperlink" Target="http://insider.com" TargetMode="External"/><Relationship Id="rId174" Type="http://schemas.openxmlformats.org/officeDocument/2006/relationships/hyperlink" Target="http://ebay.com" TargetMode="External"/><Relationship Id="rId295" Type="http://schemas.openxmlformats.org/officeDocument/2006/relationships/hyperlink" Target="http://insider.com" TargetMode="External"/><Relationship Id="rId173" Type="http://schemas.openxmlformats.org/officeDocument/2006/relationships/hyperlink" Target="http://ebay.com" TargetMode="External"/><Relationship Id="rId294" Type="http://schemas.openxmlformats.org/officeDocument/2006/relationships/hyperlink" Target="http://insider.com" TargetMode="External"/><Relationship Id="rId179" Type="http://schemas.openxmlformats.org/officeDocument/2006/relationships/hyperlink" Target="http://ebay.com" TargetMode="External"/><Relationship Id="rId178" Type="http://schemas.openxmlformats.org/officeDocument/2006/relationships/hyperlink" Target="http://ebay.com" TargetMode="External"/><Relationship Id="rId299" Type="http://schemas.openxmlformats.org/officeDocument/2006/relationships/hyperlink" Target="http://investing.com" TargetMode="External"/><Relationship Id="rId177" Type="http://schemas.openxmlformats.org/officeDocument/2006/relationships/hyperlink" Target="http://ebay.com" TargetMode="External"/><Relationship Id="rId298" Type="http://schemas.openxmlformats.org/officeDocument/2006/relationships/hyperlink" Target="http://investing.com" TargetMode="External"/><Relationship Id="rId198" Type="http://schemas.openxmlformats.org/officeDocument/2006/relationships/hyperlink" Target="http://ebay.com" TargetMode="External"/><Relationship Id="rId197" Type="http://schemas.openxmlformats.org/officeDocument/2006/relationships/hyperlink" Target="http://ebay.com" TargetMode="External"/><Relationship Id="rId196" Type="http://schemas.openxmlformats.org/officeDocument/2006/relationships/hyperlink" Target="http://ebay.com" TargetMode="External"/><Relationship Id="rId195" Type="http://schemas.openxmlformats.org/officeDocument/2006/relationships/hyperlink" Target="http://ebay.com" TargetMode="External"/><Relationship Id="rId199" Type="http://schemas.openxmlformats.org/officeDocument/2006/relationships/hyperlink" Target="http://editorsnation.com" TargetMode="External"/><Relationship Id="rId150" Type="http://schemas.openxmlformats.org/officeDocument/2006/relationships/hyperlink" Target="http://dailymail.co.uk/news" TargetMode="External"/><Relationship Id="rId271" Type="http://schemas.openxmlformats.org/officeDocument/2006/relationships/hyperlink" Target="http://geeksforgeeks.org" TargetMode="External"/><Relationship Id="rId392" Type="http://schemas.openxmlformats.org/officeDocument/2006/relationships/hyperlink" Target="http://mlb.com" TargetMode="External"/><Relationship Id="rId270" Type="http://schemas.openxmlformats.org/officeDocument/2006/relationships/hyperlink" Target="http://gamingbible.com" TargetMode="External"/><Relationship Id="rId391" Type="http://schemas.openxmlformats.org/officeDocument/2006/relationships/hyperlink" Target="http://mlb.com" TargetMode="External"/><Relationship Id="rId390" Type="http://schemas.openxmlformats.org/officeDocument/2006/relationships/hyperlink" Target="http://mlb.com" TargetMode="External"/><Relationship Id="rId1" Type="http://schemas.openxmlformats.org/officeDocument/2006/relationships/hyperlink" Target="http://abcnews.go.com" TargetMode="External"/><Relationship Id="rId2" Type="http://schemas.openxmlformats.org/officeDocument/2006/relationships/hyperlink" Target="http://accuweather.com" TargetMode="External"/><Relationship Id="rId3" Type="http://schemas.openxmlformats.org/officeDocument/2006/relationships/hyperlink" Target="http://accuweather.com" TargetMode="External"/><Relationship Id="rId149" Type="http://schemas.openxmlformats.org/officeDocument/2006/relationships/hyperlink" Target="http://dailymail.co.uk/news" TargetMode="External"/><Relationship Id="rId4" Type="http://schemas.openxmlformats.org/officeDocument/2006/relationships/hyperlink" Target="http://accuweather.com" TargetMode="External"/><Relationship Id="rId148" Type="http://schemas.openxmlformats.org/officeDocument/2006/relationships/hyperlink" Target="http://dailyhodl.com" TargetMode="External"/><Relationship Id="rId269" Type="http://schemas.openxmlformats.org/officeDocument/2006/relationships/hyperlink" Target="http://gamespot.com" TargetMode="External"/><Relationship Id="rId9" Type="http://schemas.openxmlformats.org/officeDocument/2006/relationships/hyperlink" Target="http://accuweather.com" TargetMode="External"/><Relationship Id="rId143" Type="http://schemas.openxmlformats.org/officeDocument/2006/relationships/hyperlink" Target="http://dafont.com" TargetMode="External"/><Relationship Id="rId264" Type="http://schemas.openxmlformats.org/officeDocument/2006/relationships/hyperlink" Target="http://foxnews.com" TargetMode="External"/><Relationship Id="rId385" Type="http://schemas.openxmlformats.org/officeDocument/2006/relationships/hyperlink" Target="http://microsoftcasualgames.com" TargetMode="External"/><Relationship Id="rId142" Type="http://schemas.openxmlformats.org/officeDocument/2006/relationships/hyperlink" Target="http://culturess.com" TargetMode="External"/><Relationship Id="rId263" Type="http://schemas.openxmlformats.org/officeDocument/2006/relationships/hyperlink" Target="http://foxnews.com" TargetMode="External"/><Relationship Id="rId384" Type="http://schemas.openxmlformats.org/officeDocument/2006/relationships/hyperlink" Target="http://miamiherald.com" TargetMode="External"/><Relationship Id="rId141" Type="http://schemas.openxmlformats.org/officeDocument/2006/relationships/hyperlink" Target="http://culinaryhill.com" TargetMode="External"/><Relationship Id="rId262" Type="http://schemas.openxmlformats.org/officeDocument/2006/relationships/hyperlink" Target="http://foxnews.com" TargetMode="External"/><Relationship Id="rId383" Type="http://schemas.openxmlformats.org/officeDocument/2006/relationships/hyperlink" Target="http://miamiherald.com" TargetMode="External"/><Relationship Id="rId140" Type="http://schemas.openxmlformats.org/officeDocument/2006/relationships/hyperlink" Target="http://commercialappeal.com" TargetMode="External"/><Relationship Id="rId261" Type="http://schemas.openxmlformats.org/officeDocument/2006/relationships/hyperlink" Target="http://foxnews.com" TargetMode="External"/><Relationship Id="rId382" Type="http://schemas.openxmlformats.org/officeDocument/2006/relationships/hyperlink" Target="http://merriam-webster.com/dictionary" TargetMode="External"/><Relationship Id="rId5" Type="http://schemas.openxmlformats.org/officeDocument/2006/relationships/hyperlink" Target="http://accuweather.com" TargetMode="External"/><Relationship Id="rId147" Type="http://schemas.openxmlformats.org/officeDocument/2006/relationships/hyperlink" Target="http://dailydot.com" TargetMode="External"/><Relationship Id="rId268" Type="http://schemas.openxmlformats.org/officeDocument/2006/relationships/hyperlink" Target="http://gamerant.com" TargetMode="External"/><Relationship Id="rId389" Type="http://schemas.openxmlformats.org/officeDocument/2006/relationships/hyperlink" Target="http://milb.com" TargetMode="External"/><Relationship Id="rId6" Type="http://schemas.openxmlformats.org/officeDocument/2006/relationships/hyperlink" Target="http://accuweather.com" TargetMode="External"/><Relationship Id="rId146" Type="http://schemas.openxmlformats.org/officeDocument/2006/relationships/hyperlink" Target="http://daily-choices.com" TargetMode="External"/><Relationship Id="rId267" Type="http://schemas.openxmlformats.org/officeDocument/2006/relationships/hyperlink" Target="http://gamerant.com" TargetMode="External"/><Relationship Id="rId388" Type="http://schemas.openxmlformats.org/officeDocument/2006/relationships/hyperlink" Target="http://microsoftcasualgames.com" TargetMode="External"/><Relationship Id="rId7" Type="http://schemas.openxmlformats.org/officeDocument/2006/relationships/hyperlink" Target="http://accuweather.com" TargetMode="External"/><Relationship Id="rId145" Type="http://schemas.openxmlformats.org/officeDocument/2006/relationships/hyperlink" Target="http://daily-choices.com" TargetMode="External"/><Relationship Id="rId266" Type="http://schemas.openxmlformats.org/officeDocument/2006/relationships/hyperlink" Target="http://gameofglam.com" TargetMode="External"/><Relationship Id="rId387" Type="http://schemas.openxmlformats.org/officeDocument/2006/relationships/hyperlink" Target="http://microsoftcasualgames.com" TargetMode="External"/><Relationship Id="rId8" Type="http://schemas.openxmlformats.org/officeDocument/2006/relationships/hyperlink" Target="http://accuweather.com" TargetMode="External"/><Relationship Id="rId144" Type="http://schemas.openxmlformats.org/officeDocument/2006/relationships/hyperlink" Target="http://dailybee.com" TargetMode="External"/><Relationship Id="rId265" Type="http://schemas.openxmlformats.org/officeDocument/2006/relationships/hyperlink" Target="http://funnyand.com" TargetMode="External"/><Relationship Id="rId386" Type="http://schemas.openxmlformats.org/officeDocument/2006/relationships/hyperlink" Target="http://microsoftcasualgames.com" TargetMode="External"/><Relationship Id="rId260" Type="http://schemas.openxmlformats.org/officeDocument/2006/relationships/hyperlink" Target="http://foxnews.com" TargetMode="External"/><Relationship Id="rId381" Type="http://schemas.openxmlformats.org/officeDocument/2006/relationships/hyperlink" Target="http://merriam-webster.com/dictionary" TargetMode="External"/><Relationship Id="rId380" Type="http://schemas.openxmlformats.org/officeDocument/2006/relationships/hyperlink" Target="http://merriam-webster.com" TargetMode="External"/><Relationship Id="rId139" Type="http://schemas.openxmlformats.org/officeDocument/2006/relationships/hyperlink" Target="http://cnn.com" TargetMode="External"/><Relationship Id="rId138" Type="http://schemas.openxmlformats.org/officeDocument/2006/relationships/hyperlink" Target="http://cnn.com" TargetMode="External"/><Relationship Id="rId259" Type="http://schemas.openxmlformats.org/officeDocument/2006/relationships/hyperlink" Target="http://foxnews.com" TargetMode="External"/><Relationship Id="rId137" Type="http://schemas.openxmlformats.org/officeDocument/2006/relationships/hyperlink" Target="http://cnn.com" TargetMode="External"/><Relationship Id="rId258" Type="http://schemas.openxmlformats.org/officeDocument/2006/relationships/hyperlink" Target="http://foxnews.com" TargetMode="External"/><Relationship Id="rId379" Type="http://schemas.openxmlformats.org/officeDocument/2006/relationships/hyperlink" Target="http://medicalnewstoday.com" TargetMode="External"/><Relationship Id="rId132" Type="http://schemas.openxmlformats.org/officeDocument/2006/relationships/hyperlink" Target="http://cnn.com" TargetMode="External"/><Relationship Id="rId253" Type="http://schemas.openxmlformats.org/officeDocument/2006/relationships/hyperlink" Target="http://foxbusiness.com" TargetMode="External"/><Relationship Id="rId374" Type="http://schemas.openxmlformats.org/officeDocument/2006/relationships/hyperlink" Target="http://maxroll.gg" TargetMode="External"/><Relationship Id="rId495" Type="http://schemas.openxmlformats.org/officeDocument/2006/relationships/hyperlink" Target="http://poshland.com" TargetMode="External"/><Relationship Id="rId131" Type="http://schemas.openxmlformats.org/officeDocument/2006/relationships/hyperlink" Target="http://cnet.com" TargetMode="External"/><Relationship Id="rId252" Type="http://schemas.openxmlformats.org/officeDocument/2006/relationships/hyperlink" Target="http://fox59.com" TargetMode="External"/><Relationship Id="rId373" Type="http://schemas.openxmlformats.org/officeDocument/2006/relationships/hyperlink" Target="http://marca.com" TargetMode="External"/><Relationship Id="rId494" Type="http://schemas.openxmlformats.org/officeDocument/2006/relationships/hyperlink" Target="http://politico.com" TargetMode="External"/><Relationship Id="rId130" Type="http://schemas.openxmlformats.org/officeDocument/2006/relationships/hyperlink" Target="http://cnet.com" TargetMode="External"/><Relationship Id="rId251" Type="http://schemas.openxmlformats.org/officeDocument/2006/relationships/hyperlink" Target="http://fortune.com" TargetMode="External"/><Relationship Id="rId372" Type="http://schemas.openxmlformats.org/officeDocument/2006/relationships/hyperlink" Target="http://marca.com" TargetMode="External"/><Relationship Id="rId493" Type="http://schemas.openxmlformats.org/officeDocument/2006/relationships/hyperlink" Target="http://politico.com" TargetMode="External"/><Relationship Id="rId250" Type="http://schemas.openxmlformats.org/officeDocument/2006/relationships/hyperlink" Target="http://forbes.com" TargetMode="External"/><Relationship Id="rId371" Type="http://schemas.openxmlformats.org/officeDocument/2006/relationships/hyperlink" Target="http://mapquest.com" TargetMode="External"/><Relationship Id="rId492" Type="http://schemas.openxmlformats.org/officeDocument/2006/relationships/hyperlink" Target="http://phys.org" TargetMode="External"/><Relationship Id="rId136" Type="http://schemas.openxmlformats.org/officeDocument/2006/relationships/hyperlink" Target="http://cnn.com" TargetMode="External"/><Relationship Id="rId257" Type="http://schemas.openxmlformats.org/officeDocument/2006/relationships/hyperlink" Target="http://foxnews.com" TargetMode="External"/><Relationship Id="rId378" Type="http://schemas.openxmlformats.org/officeDocument/2006/relationships/hyperlink" Target="http://medicalnewstoday.com" TargetMode="External"/><Relationship Id="rId499" Type="http://schemas.openxmlformats.org/officeDocument/2006/relationships/hyperlink" Target="http://ranker.com" TargetMode="External"/><Relationship Id="rId135" Type="http://schemas.openxmlformats.org/officeDocument/2006/relationships/hyperlink" Target="http://cnn.com" TargetMode="External"/><Relationship Id="rId256" Type="http://schemas.openxmlformats.org/officeDocument/2006/relationships/hyperlink" Target="http://foxnews.com" TargetMode="External"/><Relationship Id="rId377" Type="http://schemas.openxmlformats.org/officeDocument/2006/relationships/hyperlink" Target="http://medicalnewstoday.com" TargetMode="External"/><Relationship Id="rId498" Type="http://schemas.openxmlformats.org/officeDocument/2006/relationships/hyperlink" Target="http://poshland.com" TargetMode="External"/><Relationship Id="rId134" Type="http://schemas.openxmlformats.org/officeDocument/2006/relationships/hyperlink" Target="http://cnn.com" TargetMode="External"/><Relationship Id="rId255" Type="http://schemas.openxmlformats.org/officeDocument/2006/relationships/hyperlink" Target="http://foxnews.com" TargetMode="External"/><Relationship Id="rId376" Type="http://schemas.openxmlformats.org/officeDocument/2006/relationships/hyperlink" Target="http://medical-news.org" TargetMode="External"/><Relationship Id="rId497" Type="http://schemas.openxmlformats.org/officeDocument/2006/relationships/hyperlink" Target="http://poshland.com" TargetMode="External"/><Relationship Id="rId133" Type="http://schemas.openxmlformats.org/officeDocument/2006/relationships/hyperlink" Target="http://cnn.com" TargetMode="External"/><Relationship Id="rId254" Type="http://schemas.openxmlformats.org/officeDocument/2006/relationships/hyperlink" Target="http://foxnews.com" TargetMode="External"/><Relationship Id="rId375" Type="http://schemas.openxmlformats.org/officeDocument/2006/relationships/hyperlink" Target="http://mayoclinic.org" TargetMode="External"/><Relationship Id="rId496" Type="http://schemas.openxmlformats.org/officeDocument/2006/relationships/hyperlink" Target="http://poshland.com" TargetMode="External"/><Relationship Id="rId172" Type="http://schemas.openxmlformats.org/officeDocument/2006/relationships/hyperlink" Target="http://ebay.com" TargetMode="External"/><Relationship Id="rId293" Type="http://schemas.openxmlformats.org/officeDocument/2006/relationships/hyperlink" Target="http://ign.com" TargetMode="External"/><Relationship Id="rId171" Type="http://schemas.openxmlformats.org/officeDocument/2006/relationships/hyperlink" Target="http://ebay.com" TargetMode="External"/><Relationship Id="rId292" Type="http://schemas.openxmlformats.org/officeDocument/2006/relationships/hyperlink" Target="http://ign.com" TargetMode="External"/><Relationship Id="rId170" Type="http://schemas.openxmlformats.org/officeDocument/2006/relationships/hyperlink" Target="http://ebay.com" TargetMode="External"/><Relationship Id="rId291" Type="http://schemas.openxmlformats.org/officeDocument/2006/relationships/hyperlink" Target="http://ign.com" TargetMode="External"/><Relationship Id="rId290" Type="http://schemas.openxmlformats.org/officeDocument/2006/relationships/hyperlink" Target="http://iflscience.com" TargetMode="External"/><Relationship Id="rId165" Type="http://schemas.openxmlformats.org/officeDocument/2006/relationships/hyperlink" Target="http://drugs.com" TargetMode="External"/><Relationship Id="rId286" Type="http://schemas.openxmlformats.org/officeDocument/2006/relationships/hyperlink" Target="http://homehacks.co" TargetMode="External"/><Relationship Id="rId164" Type="http://schemas.openxmlformats.org/officeDocument/2006/relationships/hyperlink" Target="http://drugs.com" TargetMode="External"/><Relationship Id="rId285" Type="http://schemas.openxmlformats.org/officeDocument/2006/relationships/hyperlink" Target="http://homeaddict.io" TargetMode="External"/><Relationship Id="rId163" Type="http://schemas.openxmlformats.org/officeDocument/2006/relationships/hyperlink" Target="http://drugs.com" TargetMode="External"/><Relationship Id="rId284" Type="http://schemas.openxmlformats.org/officeDocument/2006/relationships/hyperlink" Target="http://historycollection.com" TargetMode="External"/><Relationship Id="rId162" Type="http://schemas.openxmlformats.org/officeDocument/2006/relationships/hyperlink" Target="http://drugs.com" TargetMode="External"/><Relationship Id="rId283" Type="http://schemas.openxmlformats.org/officeDocument/2006/relationships/hyperlink" Target="http://historyallday.com" TargetMode="External"/><Relationship Id="rId169" Type="http://schemas.openxmlformats.org/officeDocument/2006/relationships/hyperlink" Target="http://ebay.com" TargetMode="External"/><Relationship Id="rId168" Type="http://schemas.openxmlformats.org/officeDocument/2006/relationships/hyperlink" Target="http://ebay.com" TargetMode="External"/><Relationship Id="rId289" Type="http://schemas.openxmlformats.org/officeDocument/2006/relationships/hyperlink" Target="http://icy-veins.com" TargetMode="External"/><Relationship Id="rId167" Type="http://schemas.openxmlformats.org/officeDocument/2006/relationships/hyperlink" Target="http://ebay.com" TargetMode="External"/><Relationship Id="rId288" Type="http://schemas.openxmlformats.org/officeDocument/2006/relationships/hyperlink" Target="http://icy-veins.com" TargetMode="External"/><Relationship Id="rId166" Type="http://schemas.openxmlformats.org/officeDocument/2006/relationships/hyperlink" Target="http://drugs.com" TargetMode="External"/><Relationship Id="rId287" Type="http://schemas.openxmlformats.org/officeDocument/2006/relationships/hyperlink" Target="http://houseplans.net" TargetMode="External"/><Relationship Id="rId161" Type="http://schemas.openxmlformats.org/officeDocument/2006/relationships/hyperlink" Target="http://dotesports.com" TargetMode="External"/><Relationship Id="rId282" Type="http://schemas.openxmlformats.org/officeDocument/2006/relationships/hyperlink" Target="http://hindustantimes.com" TargetMode="External"/><Relationship Id="rId160" Type="http://schemas.openxmlformats.org/officeDocument/2006/relationships/hyperlink" Target="http://doodle.com" TargetMode="External"/><Relationship Id="rId281" Type="http://schemas.openxmlformats.org/officeDocument/2006/relationships/hyperlink" Target="http://hindustantimes.com" TargetMode="External"/><Relationship Id="rId280" Type="http://schemas.openxmlformats.org/officeDocument/2006/relationships/hyperlink" Target="http://heraldweekly.com" TargetMode="External"/><Relationship Id="rId159" Type="http://schemas.openxmlformats.org/officeDocument/2006/relationships/hyperlink" Target="http://doctoreport.com" TargetMode="External"/><Relationship Id="rId154" Type="http://schemas.openxmlformats.org/officeDocument/2006/relationships/hyperlink" Target="http://dexerto.com" TargetMode="External"/><Relationship Id="rId275" Type="http://schemas.openxmlformats.org/officeDocument/2006/relationships/hyperlink" Target="http://greatschools.org" TargetMode="External"/><Relationship Id="rId396" Type="http://schemas.openxmlformats.org/officeDocument/2006/relationships/hyperlink" Target="http://mobileposse.com" TargetMode="External"/><Relationship Id="rId153" Type="http://schemas.openxmlformats.org/officeDocument/2006/relationships/hyperlink" Target="http://dailymail.co.uk/tvshowbiz" TargetMode="External"/><Relationship Id="rId274" Type="http://schemas.openxmlformats.org/officeDocument/2006/relationships/hyperlink" Target="http://geeksforgeeks.org" TargetMode="External"/><Relationship Id="rId395" Type="http://schemas.openxmlformats.org/officeDocument/2006/relationships/hyperlink" Target="http://mlb.com" TargetMode="External"/><Relationship Id="rId152" Type="http://schemas.openxmlformats.org/officeDocument/2006/relationships/hyperlink" Target="http://dailymail.co.uk/tvshowbiz" TargetMode="External"/><Relationship Id="rId273" Type="http://schemas.openxmlformats.org/officeDocument/2006/relationships/hyperlink" Target="http://geeksforgeeks.org" TargetMode="External"/><Relationship Id="rId394" Type="http://schemas.openxmlformats.org/officeDocument/2006/relationships/hyperlink" Target="http://mlb.com" TargetMode="External"/><Relationship Id="rId151" Type="http://schemas.openxmlformats.org/officeDocument/2006/relationships/hyperlink" Target="http://dailymail.co.uk/tvshowbiz" TargetMode="External"/><Relationship Id="rId272" Type="http://schemas.openxmlformats.org/officeDocument/2006/relationships/hyperlink" Target="http://geeksforgeeks.org" TargetMode="External"/><Relationship Id="rId393" Type="http://schemas.openxmlformats.org/officeDocument/2006/relationships/hyperlink" Target="http://mlb.com" TargetMode="External"/><Relationship Id="rId158" Type="http://schemas.openxmlformats.org/officeDocument/2006/relationships/hyperlink" Target="http://dmv.org" TargetMode="External"/><Relationship Id="rId279" Type="http://schemas.openxmlformats.org/officeDocument/2006/relationships/hyperlink" Target="http://healthyrecipesblogs.com" TargetMode="External"/><Relationship Id="rId157" Type="http://schemas.openxmlformats.org/officeDocument/2006/relationships/hyperlink" Target="http://dinneratthezoo.com" TargetMode="External"/><Relationship Id="rId278" Type="http://schemas.openxmlformats.org/officeDocument/2006/relationships/hyperlink" Target="http://healthline.com" TargetMode="External"/><Relationship Id="rId399" Type="http://schemas.openxmlformats.org/officeDocument/2006/relationships/hyperlink" Target="http://msn.com" TargetMode="External"/><Relationship Id="rId156" Type="http://schemas.openxmlformats.org/officeDocument/2006/relationships/hyperlink" Target="http://dictionary.com" TargetMode="External"/><Relationship Id="rId277" Type="http://schemas.openxmlformats.org/officeDocument/2006/relationships/hyperlink" Target="http://health.usnews.com" TargetMode="External"/><Relationship Id="rId398" Type="http://schemas.openxmlformats.org/officeDocument/2006/relationships/hyperlink" Target="http://motor-junkie.com" TargetMode="External"/><Relationship Id="rId155" Type="http://schemas.openxmlformats.org/officeDocument/2006/relationships/hyperlink" Target="http://dictionary.com" TargetMode="External"/><Relationship Id="rId276" Type="http://schemas.openxmlformats.org/officeDocument/2006/relationships/hyperlink" Target="http://greedyfinance.com" TargetMode="External"/><Relationship Id="rId397" Type="http://schemas.openxmlformats.org/officeDocument/2006/relationships/hyperlink" Target="http://moneyppl.com" TargetMode="External"/><Relationship Id="rId40" Type="http://schemas.openxmlformats.org/officeDocument/2006/relationships/hyperlink" Target="http://autotrader.com" TargetMode="External"/><Relationship Id="rId42" Type="http://schemas.openxmlformats.org/officeDocument/2006/relationships/hyperlink" Target="http://baseball.fantasysports.yahoo.com" TargetMode="External"/><Relationship Id="rId41" Type="http://schemas.openxmlformats.org/officeDocument/2006/relationships/hyperlink" Target="http://a-z-animals.com" TargetMode="External"/><Relationship Id="rId44" Type="http://schemas.openxmlformats.org/officeDocument/2006/relationships/hyperlink" Target="http://bbc.com" TargetMode="External"/><Relationship Id="rId43" Type="http://schemas.openxmlformats.org/officeDocument/2006/relationships/hyperlink" Target="http://baseball-reference.com" TargetMode="External"/><Relationship Id="rId46" Type="http://schemas.openxmlformats.org/officeDocument/2006/relationships/hyperlink" Target="http://bbc.com" TargetMode="External"/><Relationship Id="rId45" Type="http://schemas.openxmlformats.org/officeDocument/2006/relationships/hyperlink" Target="http://bbc.com" TargetMode="External"/><Relationship Id="rId509" Type="http://schemas.openxmlformats.org/officeDocument/2006/relationships/hyperlink" Target="http://realtor.com" TargetMode="External"/><Relationship Id="rId508" Type="http://schemas.openxmlformats.org/officeDocument/2006/relationships/hyperlink" Target="http://realtor.com" TargetMode="External"/><Relationship Id="rId629" Type="http://schemas.openxmlformats.org/officeDocument/2006/relationships/hyperlink" Target="http://weather.com" TargetMode="External"/><Relationship Id="rId503" Type="http://schemas.openxmlformats.org/officeDocument/2006/relationships/hyperlink" Target="http://realtor.com" TargetMode="External"/><Relationship Id="rId624" Type="http://schemas.openxmlformats.org/officeDocument/2006/relationships/hyperlink" Target="http://weather.com" TargetMode="External"/><Relationship Id="rId502" Type="http://schemas.openxmlformats.org/officeDocument/2006/relationships/hyperlink" Target="http://realtor.com" TargetMode="External"/><Relationship Id="rId623" Type="http://schemas.openxmlformats.org/officeDocument/2006/relationships/hyperlink" Target="http://washingtonpost.com" TargetMode="External"/><Relationship Id="rId501" Type="http://schemas.openxmlformats.org/officeDocument/2006/relationships/hyperlink" Target="http://realtor.com" TargetMode="External"/><Relationship Id="rId622" Type="http://schemas.openxmlformats.org/officeDocument/2006/relationships/hyperlink" Target="http://w3schools.com" TargetMode="External"/><Relationship Id="rId500" Type="http://schemas.openxmlformats.org/officeDocument/2006/relationships/hyperlink" Target="http://ranker.com" TargetMode="External"/><Relationship Id="rId621" Type="http://schemas.openxmlformats.org/officeDocument/2006/relationships/hyperlink" Target="http://w3schools.com" TargetMode="External"/><Relationship Id="rId507" Type="http://schemas.openxmlformats.org/officeDocument/2006/relationships/hyperlink" Target="http://realtor.com" TargetMode="External"/><Relationship Id="rId628" Type="http://schemas.openxmlformats.org/officeDocument/2006/relationships/hyperlink" Target="http://weather.com" TargetMode="External"/><Relationship Id="rId506" Type="http://schemas.openxmlformats.org/officeDocument/2006/relationships/hyperlink" Target="http://realtor.com" TargetMode="External"/><Relationship Id="rId627" Type="http://schemas.openxmlformats.org/officeDocument/2006/relationships/hyperlink" Target="http://weather.com" TargetMode="External"/><Relationship Id="rId505" Type="http://schemas.openxmlformats.org/officeDocument/2006/relationships/hyperlink" Target="http://realtor.com" TargetMode="External"/><Relationship Id="rId626" Type="http://schemas.openxmlformats.org/officeDocument/2006/relationships/hyperlink" Target="http://weather.com" TargetMode="External"/><Relationship Id="rId504" Type="http://schemas.openxmlformats.org/officeDocument/2006/relationships/hyperlink" Target="http://realtor.com" TargetMode="External"/><Relationship Id="rId625" Type="http://schemas.openxmlformats.org/officeDocument/2006/relationships/hyperlink" Target="http://weather.com" TargetMode="External"/><Relationship Id="rId48" Type="http://schemas.openxmlformats.org/officeDocument/2006/relationships/hyperlink" Target="http://bbc.com" TargetMode="External"/><Relationship Id="rId47" Type="http://schemas.openxmlformats.org/officeDocument/2006/relationships/hyperlink" Target="http://bbc.com" TargetMode="External"/><Relationship Id="rId49" Type="http://schemas.openxmlformats.org/officeDocument/2006/relationships/hyperlink" Target="http://behindthevoiceactors.com" TargetMode="External"/><Relationship Id="rId620" Type="http://schemas.openxmlformats.org/officeDocument/2006/relationships/hyperlink" Target="http://w3schools.com" TargetMode="External"/><Relationship Id="rId31" Type="http://schemas.openxmlformats.org/officeDocument/2006/relationships/hyperlink" Target="http://aol.com" TargetMode="External"/><Relationship Id="rId30" Type="http://schemas.openxmlformats.org/officeDocument/2006/relationships/hyperlink" Target="http://aol.com" TargetMode="External"/><Relationship Id="rId33" Type="http://schemas.openxmlformats.org/officeDocument/2006/relationships/hyperlink" Target="http://apnews.com" TargetMode="External"/><Relationship Id="rId32" Type="http://schemas.openxmlformats.org/officeDocument/2006/relationships/hyperlink" Target="http://aol.com" TargetMode="External"/><Relationship Id="rId35" Type="http://schemas.openxmlformats.org/officeDocument/2006/relationships/hyperlink" Target="http://att.yahoo.com" TargetMode="External"/><Relationship Id="rId34" Type="http://schemas.openxmlformats.org/officeDocument/2006/relationships/hyperlink" Target="http://apnews.com" TargetMode="External"/><Relationship Id="rId619" Type="http://schemas.openxmlformats.org/officeDocument/2006/relationships/hyperlink" Target="http://w3schools.com" TargetMode="External"/><Relationship Id="rId618" Type="http://schemas.openxmlformats.org/officeDocument/2006/relationships/hyperlink" Target="http://usssa.com" TargetMode="External"/><Relationship Id="rId613" Type="http://schemas.openxmlformats.org/officeDocument/2006/relationships/hyperlink" Target="http://usatoday.com" TargetMode="External"/><Relationship Id="rId612" Type="http://schemas.openxmlformats.org/officeDocument/2006/relationships/hyperlink" Target="http://usatoday.com" TargetMode="External"/><Relationship Id="rId611" Type="http://schemas.openxmlformats.org/officeDocument/2006/relationships/hyperlink" Target="http://usatoday.com" TargetMode="External"/><Relationship Id="rId610" Type="http://schemas.openxmlformats.org/officeDocument/2006/relationships/hyperlink" Target="http://upworthy.com" TargetMode="External"/><Relationship Id="rId617" Type="http://schemas.openxmlformats.org/officeDocument/2006/relationships/hyperlink" Target="http://usnews.com" TargetMode="External"/><Relationship Id="rId616" Type="http://schemas.openxmlformats.org/officeDocument/2006/relationships/hyperlink" Target="http://uscellular.com" TargetMode="External"/><Relationship Id="rId615" Type="http://schemas.openxmlformats.org/officeDocument/2006/relationships/hyperlink" Target="http://usatoday.com" TargetMode="External"/><Relationship Id="rId614" Type="http://schemas.openxmlformats.org/officeDocument/2006/relationships/hyperlink" Target="http://usatoday.com" TargetMode="External"/><Relationship Id="rId37" Type="http://schemas.openxmlformats.org/officeDocument/2006/relationships/hyperlink" Target="http://autotrader.com" TargetMode="External"/><Relationship Id="rId36" Type="http://schemas.openxmlformats.org/officeDocument/2006/relationships/hyperlink" Target="http://att.yahoo.com" TargetMode="External"/><Relationship Id="rId39" Type="http://schemas.openxmlformats.org/officeDocument/2006/relationships/hyperlink" Target="http://autotrader.com" TargetMode="External"/><Relationship Id="rId38" Type="http://schemas.openxmlformats.org/officeDocument/2006/relationships/hyperlink" Target="http://autotrader.com" TargetMode="External"/><Relationship Id="rId20" Type="http://schemas.openxmlformats.org/officeDocument/2006/relationships/hyperlink" Target="http://activebeat.com" TargetMode="External"/><Relationship Id="rId22" Type="http://schemas.openxmlformats.org/officeDocument/2006/relationships/hyperlink" Target="http://ajc.com" TargetMode="External"/><Relationship Id="rId21" Type="http://schemas.openxmlformats.org/officeDocument/2006/relationships/hyperlink" Target="http://ajc.com" TargetMode="External"/><Relationship Id="rId24" Type="http://schemas.openxmlformats.org/officeDocument/2006/relationships/hyperlink" Target="http://ajc.com" TargetMode="External"/><Relationship Id="rId23" Type="http://schemas.openxmlformats.org/officeDocument/2006/relationships/hyperlink" Target="http://ajc.com" TargetMode="External"/><Relationship Id="rId409" Type="http://schemas.openxmlformats.org/officeDocument/2006/relationships/hyperlink" Target="http://msn.com" TargetMode="External"/><Relationship Id="rId404" Type="http://schemas.openxmlformats.org/officeDocument/2006/relationships/hyperlink" Target="http://msn.com" TargetMode="External"/><Relationship Id="rId525" Type="http://schemas.openxmlformats.org/officeDocument/2006/relationships/hyperlink" Target="http://redfin.com" TargetMode="External"/><Relationship Id="rId646" Type="http://schemas.openxmlformats.org/officeDocument/2006/relationships/hyperlink" Target="http://weather.com" TargetMode="External"/><Relationship Id="rId403" Type="http://schemas.openxmlformats.org/officeDocument/2006/relationships/hyperlink" Target="http://msn.com" TargetMode="External"/><Relationship Id="rId524" Type="http://schemas.openxmlformats.org/officeDocument/2006/relationships/hyperlink" Target="http://realtor.com" TargetMode="External"/><Relationship Id="rId645" Type="http://schemas.openxmlformats.org/officeDocument/2006/relationships/hyperlink" Target="http://weather.com" TargetMode="External"/><Relationship Id="rId402" Type="http://schemas.openxmlformats.org/officeDocument/2006/relationships/hyperlink" Target="http://msn.com" TargetMode="External"/><Relationship Id="rId523" Type="http://schemas.openxmlformats.org/officeDocument/2006/relationships/hyperlink" Target="http://realtor.com" TargetMode="External"/><Relationship Id="rId644" Type="http://schemas.openxmlformats.org/officeDocument/2006/relationships/hyperlink" Target="http://weather.com" TargetMode="External"/><Relationship Id="rId401" Type="http://schemas.openxmlformats.org/officeDocument/2006/relationships/hyperlink" Target="http://msn.com" TargetMode="External"/><Relationship Id="rId522" Type="http://schemas.openxmlformats.org/officeDocument/2006/relationships/hyperlink" Target="http://realtor.com" TargetMode="External"/><Relationship Id="rId643" Type="http://schemas.openxmlformats.org/officeDocument/2006/relationships/hyperlink" Target="http://weather.com" TargetMode="External"/><Relationship Id="rId408" Type="http://schemas.openxmlformats.org/officeDocument/2006/relationships/hyperlink" Target="http://msn.com" TargetMode="External"/><Relationship Id="rId529" Type="http://schemas.openxmlformats.org/officeDocument/2006/relationships/hyperlink" Target="http://repairlinkshop.com" TargetMode="External"/><Relationship Id="rId407" Type="http://schemas.openxmlformats.org/officeDocument/2006/relationships/hyperlink" Target="http://msn.com" TargetMode="External"/><Relationship Id="rId528" Type="http://schemas.openxmlformats.org/officeDocument/2006/relationships/hyperlink" Target="http://rent.com" TargetMode="External"/><Relationship Id="rId649" Type="http://schemas.openxmlformats.org/officeDocument/2006/relationships/hyperlink" Target="http://weather.com" TargetMode="External"/><Relationship Id="rId406" Type="http://schemas.openxmlformats.org/officeDocument/2006/relationships/hyperlink" Target="http://msn.com" TargetMode="External"/><Relationship Id="rId527" Type="http://schemas.openxmlformats.org/officeDocument/2006/relationships/hyperlink" Target="http://rent.com" TargetMode="External"/><Relationship Id="rId648" Type="http://schemas.openxmlformats.org/officeDocument/2006/relationships/hyperlink" Target="http://weather.com" TargetMode="External"/><Relationship Id="rId405" Type="http://schemas.openxmlformats.org/officeDocument/2006/relationships/hyperlink" Target="http://msn.com" TargetMode="External"/><Relationship Id="rId526" Type="http://schemas.openxmlformats.org/officeDocument/2006/relationships/hyperlink" Target="http://reference.com" TargetMode="External"/><Relationship Id="rId647" Type="http://schemas.openxmlformats.org/officeDocument/2006/relationships/hyperlink" Target="http://weather.com" TargetMode="External"/><Relationship Id="rId26" Type="http://schemas.openxmlformats.org/officeDocument/2006/relationships/hyperlink" Target="http://allrecipes.com" TargetMode="External"/><Relationship Id="rId25" Type="http://schemas.openxmlformats.org/officeDocument/2006/relationships/hyperlink" Target="http://al.com" TargetMode="External"/><Relationship Id="rId28" Type="http://schemas.openxmlformats.org/officeDocument/2006/relationships/hyperlink" Target="http://androidauthority.com" TargetMode="External"/><Relationship Id="rId27" Type="http://schemas.openxmlformats.org/officeDocument/2006/relationships/hyperlink" Target="http://alotfinance.com" TargetMode="External"/><Relationship Id="rId400" Type="http://schemas.openxmlformats.org/officeDocument/2006/relationships/hyperlink" Target="http://msn.com" TargetMode="External"/><Relationship Id="rId521" Type="http://schemas.openxmlformats.org/officeDocument/2006/relationships/hyperlink" Target="http://realtor.com" TargetMode="External"/><Relationship Id="rId642" Type="http://schemas.openxmlformats.org/officeDocument/2006/relationships/hyperlink" Target="http://weather.com" TargetMode="External"/><Relationship Id="rId29" Type="http://schemas.openxmlformats.org/officeDocument/2006/relationships/hyperlink" Target="http://androidpolice.com" TargetMode="External"/><Relationship Id="rId520" Type="http://schemas.openxmlformats.org/officeDocument/2006/relationships/hyperlink" Target="http://realtor.com" TargetMode="External"/><Relationship Id="rId641" Type="http://schemas.openxmlformats.org/officeDocument/2006/relationships/hyperlink" Target="http://weather.com" TargetMode="External"/><Relationship Id="rId640" Type="http://schemas.openxmlformats.org/officeDocument/2006/relationships/hyperlink" Target="http://weather.com" TargetMode="External"/><Relationship Id="rId11" Type="http://schemas.openxmlformats.org/officeDocument/2006/relationships/hyperlink" Target="http://accuweather.com" TargetMode="External"/><Relationship Id="rId10" Type="http://schemas.openxmlformats.org/officeDocument/2006/relationships/hyperlink" Target="http://accuweather.com" TargetMode="External"/><Relationship Id="rId13" Type="http://schemas.openxmlformats.org/officeDocument/2006/relationships/hyperlink" Target="http://accuweather.com" TargetMode="External"/><Relationship Id="rId12" Type="http://schemas.openxmlformats.org/officeDocument/2006/relationships/hyperlink" Target="http://accuweather.com" TargetMode="External"/><Relationship Id="rId519" Type="http://schemas.openxmlformats.org/officeDocument/2006/relationships/hyperlink" Target="http://realtor.com" TargetMode="External"/><Relationship Id="rId514" Type="http://schemas.openxmlformats.org/officeDocument/2006/relationships/hyperlink" Target="http://realtor.com" TargetMode="External"/><Relationship Id="rId635" Type="http://schemas.openxmlformats.org/officeDocument/2006/relationships/hyperlink" Target="http://weather.com" TargetMode="External"/><Relationship Id="rId513" Type="http://schemas.openxmlformats.org/officeDocument/2006/relationships/hyperlink" Target="http://realtor.com" TargetMode="External"/><Relationship Id="rId634" Type="http://schemas.openxmlformats.org/officeDocument/2006/relationships/hyperlink" Target="http://weather.com" TargetMode="External"/><Relationship Id="rId512" Type="http://schemas.openxmlformats.org/officeDocument/2006/relationships/hyperlink" Target="http://realtor.com" TargetMode="External"/><Relationship Id="rId633" Type="http://schemas.openxmlformats.org/officeDocument/2006/relationships/hyperlink" Target="http://weather.com" TargetMode="External"/><Relationship Id="rId511" Type="http://schemas.openxmlformats.org/officeDocument/2006/relationships/hyperlink" Target="http://realtor.com" TargetMode="External"/><Relationship Id="rId632" Type="http://schemas.openxmlformats.org/officeDocument/2006/relationships/hyperlink" Target="http://weather.com" TargetMode="External"/><Relationship Id="rId518" Type="http://schemas.openxmlformats.org/officeDocument/2006/relationships/hyperlink" Target="http://realtor.com" TargetMode="External"/><Relationship Id="rId639" Type="http://schemas.openxmlformats.org/officeDocument/2006/relationships/hyperlink" Target="http://weather.com" TargetMode="External"/><Relationship Id="rId517" Type="http://schemas.openxmlformats.org/officeDocument/2006/relationships/hyperlink" Target="http://realtor.com" TargetMode="External"/><Relationship Id="rId638" Type="http://schemas.openxmlformats.org/officeDocument/2006/relationships/hyperlink" Target="http://weather.com" TargetMode="External"/><Relationship Id="rId516" Type="http://schemas.openxmlformats.org/officeDocument/2006/relationships/hyperlink" Target="http://realtor.com" TargetMode="External"/><Relationship Id="rId637" Type="http://schemas.openxmlformats.org/officeDocument/2006/relationships/hyperlink" Target="http://weather.com" TargetMode="External"/><Relationship Id="rId515" Type="http://schemas.openxmlformats.org/officeDocument/2006/relationships/hyperlink" Target="http://realtor.com" TargetMode="External"/><Relationship Id="rId636" Type="http://schemas.openxmlformats.org/officeDocument/2006/relationships/hyperlink" Target="http://weather.com" TargetMode="External"/><Relationship Id="rId15" Type="http://schemas.openxmlformats.org/officeDocument/2006/relationships/hyperlink" Target="http://accuweather.com" TargetMode="External"/><Relationship Id="rId14" Type="http://schemas.openxmlformats.org/officeDocument/2006/relationships/hyperlink" Target="http://accuweather.com" TargetMode="External"/><Relationship Id="rId17" Type="http://schemas.openxmlformats.org/officeDocument/2006/relationships/hyperlink" Target="http://activebeat.com" TargetMode="External"/><Relationship Id="rId16" Type="http://schemas.openxmlformats.org/officeDocument/2006/relationships/hyperlink" Target="http://accuweather.com" TargetMode="External"/><Relationship Id="rId19" Type="http://schemas.openxmlformats.org/officeDocument/2006/relationships/hyperlink" Target="http://activebeat.com" TargetMode="External"/><Relationship Id="rId510" Type="http://schemas.openxmlformats.org/officeDocument/2006/relationships/hyperlink" Target="http://realtor.com" TargetMode="External"/><Relationship Id="rId631" Type="http://schemas.openxmlformats.org/officeDocument/2006/relationships/hyperlink" Target="http://weather.com" TargetMode="External"/><Relationship Id="rId18" Type="http://schemas.openxmlformats.org/officeDocument/2006/relationships/hyperlink" Target="http://activebeat.com" TargetMode="External"/><Relationship Id="rId630" Type="http://schemas.openxmlformats.org/officeDocument/2006/relationships/hyperlink" Target="http://weather.com" TargetMode="External"/><Relationship Id="rId84" Type="http://schemas.openxmlformats.org/officeDocument/2006/relationships/hyperlink" Target="http://buzzfeed.com" TargetMode="External"/><Relationship Id="rId83" Type="http://schemas.openxmlformats.org/officeDocument/2006/relationships/hyperlink" Target="http://buzzfeed.com" TargetMode="External"/><Relationship Id="rId86" Type="http://schemas.openxmlformats.org/officeDocument/2006/relationships/hyperlink" Target="http://calculator.net" TargetMode="External"/><Relationship Id="rId85" Type="http://schemas.openxmlformats.org/officeDocument/2006/relationships/hyperlink" Target="http://calculator.net" TargetMode="External"/><Relationship Id="rId88" Type="http://schemas.openxmlformats.org/officeDocument/2006/relationships/hyperlink" Target="http://calculator.net" TargetMode="External"/><Relationship Id="rId87" Type="http://schemas.openxmlformats.org/officeDocument/2006/relationships/hyperlink" Target="http://calculator.net" TargetMode="External"/><Relationship Id="rId89" Type="http://schemas.openxmlformats.org/officeDocument/2006/relationships/hyperlink" Target="http://calculator.net" TargetMode="External"/><Relationship Id="rId709" Type="http://schemas.openxmlformats.org/officeDocument/2006/relationships/hyperlink" Target="http://yahoo.com" TargetMode="External"/><Relationship Id="rId708" Type="http://schemas.openxmlformats.org/officeDocument/2006/relationships/hyperlink" Target="http://yahoo.com" TargetMode="External"/><Relationship Id="rId707" Type="http://schemas.openxmlformats.org/officeDocument/2006/relationships/hyperlink" Target="http://yahoo.com" TargetMode="External"/><Relationship Id="rId706" Type="http://schemas.openxmlformats.org/officeDocument/2006/relationships/hyperlink" Target="http://yahoo.com" TargetMode="External"/><Relationship Id="rId80" Type="http://schemas.openxmlformats.org/officeDocument/2006/relationships/hyperlink" Target="http://businessinsider.com" TargetMode="External"/><Relationship Id="rId82" Type="http://schemas.openxmlformats.org/officeDocument/2006/relationships/hyperlink" Target="http://businessinsider.com" TargetMode="External"/><Relationship Id="rId81" Type="http://schemas.openxmlformats.org/officeDocument/2006/relationships/hyperlink" Target="http://businessinsider.com" TargetMode="External"/><Relationship Id="rId701" Type="http://schemas.openxmlformats.org/officeDocument/2006/relationships/hyperlink" Target="http://yahoo.com" TargetMode="External"/><Relationship Id="rId700" Type="http://schemas.openxmlformats.org/officeDocument/2006/relationships/hyperlink" Target="http://yahoo.com" TargetMode="External"/><Relationship Id="rId705" Type="http://schemas.openxmlformats.org/officeDocument/2006/relationships/hyperlink" Target="http://yahoo.com" TargetMode="External"/><Relationship Id="rId704" Type="http://schemas.openxmlformats.org/officeDocument/2006/relationships/hyperlink" Target="http://yahoo.com" TargetMode="External"/><Relationship Id="rId703" Type="http://schemas.openxmlformats.org/officeDocument/2006/relationships/hyperlink" Target="http://yahoo.com" TargetMode="External"/><Relationship Id="rId702" Type="http://schemas.openxmlformats.org/officeDocument/2006/relationships/hyperlink" Target="http://yahoo.com" TargetMode="External"/><Relationship Id="rId73" Type="http://schemas.openxmlformats.org/officeDocument/2006/relationships/hyperlink" Target="http://boattrader.com" TargetMode="External"/><Relationship Id="rId72" Type="http://schemas.openxmlformats.org/officeDocument/2006/relationships/hyperlink" Target="http://boattrader.com" TargetMode="External"/><Relationship Id="rId75" Type="http://schemas.openxmlformats.org/officeDocument/2006/relationships/hyperlink" Target="http://boattrader.com" TargetMode="External"/><Relationship Id="rId74" Type="http://schemas.openxmlformats.org/officeDocument/2006/relationships/hyperlink" Target="http://boattrader.com" TargetMode="External"/><Relationship Id="rId77" Type="http://schemas.openxmlformats.org/officeDocument/2006/relationships/hyperlink" Target="http://bridesblush.com" TargetMode="External"/><Relationship Id="rId76" Type="http://schemas.openxmlformats.org/officeDocument/2006/relationships/hyperlink" Target="http://boxrox.com" TargetMode="External"/><Relationship Id="rId79" Type="http://schemas.openxmlformats.org/officeDocument/2006/relationships/hyperlink" Target="http://businessinsider.com" TargetMode="External"/><Relationship Id="rId78" Type="http://schemas.openxmlformats.org/officeDocument/2006/relationships/hyperlink" Target="http://britannica.com" TargetMode="External"/><Relationship Id="rId71" Type="http://schemas.openxmlformats.org/officeDocument/2006/relationships/hyperlink" Target="http://boattrader.com" TargetMode="External"/><Relationship Id="rId70" Type="http://schemas.openxmlformats.org/officeDocument/2006/relationships/hyperlink" Target="http://bleacherbreaker.com" TargetMode="External"/><Relationship Id="rId62" Type="http://schemas.openxmlformats.org/officeDocument/2006/relationships/hyperlink" Target="http://biblegateway.com" TargetMode="External"/><Relationship Id="rId61" Type="http://schemas.openxmlformats.org/officeDocument/2006/relationships/hyperlink" Target="http://biblegateway.com" TargetMode="External"/><Relationship Id="rId64" Type="http://schemas.openxmlformats.org/officeDocument/2006/relationships/hyperlink" Target="http://biblegateway.com" TargetMode="External"/><Relationship Id="rId63" Type="http://schemas.openxmlformats.org/officeDocument/2006/relationships/hyperlink" Target="http://biblegateway.com" TargetMode="External"/><Relationship Id="rId66" Type="http://schemas.openxmlformats.org/officeDocument/2006/relationships/hyperlink" Target="http://biblegateway.com" TargetMode="External"/><Relationship Id="rId65" Type="http://schemas.openxmlformats.org/officeDocument/2006/relationships/hyperlink" Target="http://biblegateway.com" TargetMode="External"/><Relationship Id="rId68" Type="http://schemas.openxmlformats.org/officeDocument/2006/relationships/hyperlink" Target="http://biblestudytools.com" TargetMode="External"/><Relationship Id="rId67" Type="http://schemas.openxmlformats.org/officeDocument/2006/relationships/hyperlink" Target="http://biblegateway.com" TargetMode="External"/><Relationship Id="rId609" Type="http://schemas.openxmlformats.org/officeDocument/2006/relationships/hyperlink" Target="http://tripadvisor.com" TargetMode="External"/><Relationship Id="rId608" Type="http://schemas.openxmlformats.org/officeDocument/2006/relationships/hyperlink" Target="http://travelerdreams.com" TargetMode="External"/><Relationship Id="rId607" Type="http://schemas.openxmlformats.org/officeDocument/2006/relationships/hyperlink" Target="http://travelerdreams.com" TargetMode="External"/><Relationship Id="rId728" Type="http://schemas.openxmlformats.org/officeDocument/2006/relationships/drawing" Target="../drawings/drawing15.xml"/><Relationship Id="rId60" Type="http://schemas.openxmlformats.org/officeDocument/2006/relationships/hyperlink" Target="http://biblegateway.com" TargetMode="External"/><Relationship Id="rId602" Type="http://schemas.openxmlformats.org/officeDocument/2006/relationships/hyperlink" Target="http://tomsguide.com" TargetMode="External"/><Relationship Id="rId723" Type="http://schemas.openxmlformats.org/officeDocument/2006/relationships/hyperlink" Target="http://zillow.com" TargetMode="External"/><Relationship Id="rId601" Type="http://schemas.openxmlformats.org/officeDocument/2006/relationships/hyperlink" Target="http://todaysnyc.com" TargetMode="External"/><Relationship Id="rId722" Type="http://schemas.openxmlformats.org/officeDocument/2006/relationships/hyperlink" Target="http://zillow.com" TargetMode="External"/><Relationship Id="rId600" Type="http://schemas.openxmlformats.org/officeDocument/2006/relationships/hyperlink" Target="http://timeanddate.com" TargetMode="External"/><Relationship Id="rId721" Type="http://schemas.openxmlformats.org/officeDocument/2006/relationships/hyperlink" Target="http://zillow.com" TargetMode="External"/><Relationship Id="rId720" Type="http://schemas.openxmlformats.org/officeDocument/2006/relationships/hyperlink" Target="http://zillow.com" TargetMode="External"/><Relationship Id="rId606" Type="http://schemas.openxmlformats.org/officeDocument/2006/relationships/hyperlink" Target="http://topclassactions.com" TargetMode="External"/><Relationship Id="rId727" Type="http://schemas.openxmlformats.org/officeDocument/2006/relationships/hyperlink" Target="http://zone.msn.com" TargetMode="External"/><Relationship Id="rId605" Type="http://schemas.openxmlformats.org/officeDocument/2006/relationships/hyperlink" Target="http://topclassactions.com" TargetMode="External"/><Relationship Id="rId726" Type="http://schemas.openxmlformats.org/officeDocument/2006/relationships/hyperlink" Target="http://zillow.com" TargetMode="External"/><Relationship Id="rId604" Type="http://schemas.openxmlformats.org/officeDocument/2006/relationships/hyperlink" Target="http://tomsguide.com" TargetMode="External"/><Relationship Id="rId725" Type="http://schemas.openxmlformats.org/officeDocument/2006/relationships/hyperlink" Target="http://zillow.com" TargetMode="External"/><Relationship Id="rId603" Type="http://schemas.openxmlformats.org/officeDocument/2006/relationships/hyperlink" Target="http://tomsguide.com" TargetMode="External"/><Relationship Id="rId724" Type="http://schemas.openxmlformats.org/officeDocument/2006/relationships/hyperlink" Target="http://zillow.com" TargetMode="External"/><Relationship Id="rId69" Type="http://schemas.openxmlformats.org/officeDocument/2006/relationships/hyperlink" Target="http://billboard.com" TargetMode="External"/><Relationship Id="rId51" Type="http://schemas.openxmlformats.org/officeDocument/2006/relationships/hyperlink" Target="http://biblegateway.com" TargetMode="External"/><Relationship Id="rId50" Type="http://schemas.openxmlformats.org/officeDocument/2006/relationships/hyperlink" Target="http://bestbuy.com" TargetMode="External"/><Relationship Id="rId53" Type="http://schemas.openxmlformats.org/officeDocument/2006/relationships/hyperlink" Target="http://biblegateway.com" TargetMode="External"/><Relationship Id="rId52" Type="http://schemas.openxmlformats.org/officeDocument/2006/relationships/hyperlink" Target="http://biblegateway.com" TargetMode="External"/><Relationship Id="rId55" Type="http://schemas.openxmlformats.org/officeDocument/2006/relationships/hyperlink" Target="http://biblegateway.com" TargetMode="External"/><Relationship Id="rId54" Type="http://schemas.openxmlformats.org/officeDocument/2006/relationships/hyperlink" Target="http://biblegateway.com" TargetMode="External"/><Relationship Id="rId57" Type="http://schemas.openxmlformats.org/officeDocument/2006/relationships/hyperlink" Target="http://biblegateway.com" TargetMode="External"/><Relationship Id="rId56" Type="http://schemas.openxmlformats.org/officeDocument/2006/relationships/hyperlink" Target="http://biblegateway.com" TargetMode="External"/><Relationship Id="rId719" Type="http://schemas.openxmlformats.org/officeDocument/2006/relationships/hyperlink" Target="http://zillow.com" TargetMode="External"/><Relationship Id="rId718" Type="http://schemas.openxmlformats.org/officeDocument/2006/relationships/hyperlink" Target="http://zdnet.com" TargetMode="External"/><Relationship Id="rId717" Type="http://schemas.openxmlformats.org/officeDocument/2006/relationships/hyperlink" Target="http://zdnet.com" TargetMode="External"/><Relationship Id="rId712" Type="http://schemas.openxmlformats.org/officeDocument/2006/relationships/hyperlink" Target="http://yellowpages.com" TargetMode="External"/><Relationship Id="rId711" Type="http://schemas.openxmlformats.org/officeDocument/2006/relationships/hyperlink" Target="http://yellowpages.com" TargetMode="External"/><Relationship Id="rId710" Type="http://schemas.openxmlformats.org/officeDocument/2006/relationships/hyperlink" Target="http://yahoo.com" TargetMode="External"/><Relationship Id="rId716" Type="http://schemas.openxmlformats.org/officeDocument/2006/relationships/hyperlink" Target="http://yourroyals.com" TargetMode="External"/><Relationship Id="rId715" Type="http://schemas.openxmlformats.org/officeDocument/2006/relationships/hyperlink" Target="http://yourdailysportfix.com" TargetMode="External"/><Relationship Id="rId714" Type="http://schemas.openxmlformats.org/officeDocument/2006/relationships/hyperlink" Target="http://yourdailysportfix.com" TargetMode="External"/><Relationship Id="rId713" Type="http://schemas.openxmlformats.org/officeDocument/2006/relationships/hyperlink" Target="http://yellowpages.com" TargetMode="External"/><Relationship Id="rId59" Type="http://schemas.openxmlformats.org/officeDocument/2006/relationships/hyperlink" Target="http://biblegateway.com" TargetMode="External"/><Relationship Id="rId58" Type="http://schemas.openxmlformats.org/officeDocument/2006/relationships/hyperlink" Target="http://biblegateway.com" TargetMode="External"/><Relationship Id="rId590" Type="http://schemas.openxmlformats.org/officeDocument/2006/relationships/hyperlink" Target="http://thesaurus.com" TargetMode="External"/><Relationship Id="rId107" Type="http://schemas.openxmlformats.org/officeDocument/2006/relationships/hyperlink" Target="http://cbsnews.com" TargetMode="External"/><Relationship Id="rId228" Type="http://schemas.openxmlformats.org/officeDocument/2006/relationships/hyperlink" Target="http://finance.yahoo.com" TargetMode="External"/><Relationship Id="rId349" Type="http://schemas.openxmlformats.org/officeDocument/2006/relationships/hyperlink" Target="http://mail.yahoo.com" TargetMode="External"/><Relationship Id="rId106" Type="http://schemas.openxmlformats.org/officeDocument/2006/relationships/hyperlink" Target="http://cbsnews.com" TargetMode="External"/><Relationship Id="rId227" Type="http://schemas.openxmlformats.org/officeDocument/2006/relationships/hyperlink" Target="http://finance.yahoo.com" TargetMode="External"/><Relationship Id="rId348" Type="http://schemas.openxmlformats.org/officeDocument/2006/relationships/hyperlink" Target="http://mail.yahoo.com" TargetMode="External"/><Relationship Id="rId469" Type="http://schemas.openxmlformats.org/officeDocument/2006/relationships/hyperlink" Target="http://outlook.live.com" TargetMode="External"/><Relationship Id="rId105" Type="http://schemas.openxmlformats.org/officeDocument/2006/relationships/hyperlink" Target="http://cbsnews.com" TargetMode="External"/><Relationship Id="rId226" Type="http://schemas.openxmlformats.org/officeDocument/2006/relationships/hyperlink" Target="http://finance.yahoo.com" TargetMode="External"/><Relationship Id="rId347" Type="http://schemas.openxmlformats.org/officeDocument/2006/relationships/hyperlink" Target="http://mail.yahoo.com" TargetMode="External"/><Relationship Id="rId468" Type="http://schemas.openxmlformats.org/officeDocument/2006/relationships/hyperlink" Target="http://outlook.live.com" TargetMode="External"/><Relationship Id="rId589" Type="http://schemas.openxmlformats.org/officeDocument/2006/relationships/hyperlink" Target="http://thesaurus.com" TargetMode="External"/><Relationship Id="rId104" Type="http://schemas.openxmlformats.org/officeDocument/2006/relationships/hyperlink" Target="http://cbsnews.com" TargetMode="External"/><Relationship Id="rId225" Type="http://schemas.openxmlformats.org/officeDocument/2006/relationships/hyperlink" Target="http://finance.yahoo.com" TargetMode="External"/><Relationship Id="rId346" Type="http://schemas.openxmlformats.org/officeDocument/2006/relationships/hyperlink" Target="http://mail.yahoo.com" TargetMode="External"/><Relationship Id="rId467" Type="http://schemas.openxmlformats.org/officeDocument/2006/relationships/hyperlink" Target="http://outlook.live.com" TargetMode="External"/><Relationship Id="rId588" Type="http://schemas.openxmlformats.org/officeDocument/2006/relationships/hyperlink" Target="http://thesaurus.com" TargetMode="External"/><Relationship Id="rId109" Type="http://schemas.openxmlformats.org/officeDocument/2006/relationships/hyperlink" Target="http://cbsnews.com" TargetMode="External"/><Relationship Id="rId108" Type="http://schemas.openxmlformats.org/officeDocument/2006/relationships/hyperlink" Target="http://cbsnews.com" TargetMode="External"/><Relationship Id="rId229" Type="http://schemas.openxmlformats.org/officeDocument/2006/relationships/hyperlink" Target="http://finance.yahoo.com" TargetMode="External"/><Relationship Id="rId220" Type="http://schemas.openxmlformats.org/officeDocument/2006/relationships/hyperlink" Target="http://finance.yahoo.com" TargetMode="External"/><Relationship Id="rId341" Type="http://schemas.openxmlformats.org/officeDocument/2006/relationships/hyperlink" Target="http://mail.aol.com" TargetMode="External"/><Relationship Id="rId462" Type="http://schemas.openxmlformats.org/officeDocument/2006/relationships/hyperlink" Target="http://nytimes.com" TargetMode="External"/><Relationship Id="rId583" Type="http://schemas.openxmlformats.org/officeDocument/2006/relationships/hyperlink" Target="http://therighthairstyles.com" TargetMode="External"/><Relationship Id="rId340" Type="http://schemas.openxmlformats.org/officeDocument/2006/relationships/hyperlink" Target="http://mail.aol.com" TargetMode="External"/><Relationship Id="rId461" Type="http://schemas.openxmlformats.org/officeDocument/2006/relationships/hyperlink" Target="http://nypost.com" TargetMode="External"/><Relationship Id="rId582" Type="http://schemas.openxmlformats.org/officeDocument/2006/relationships/hyperlink" Target="http://thekrazycouponlady.com" TargetMode="External"/><Relationship Id="rId460" Type="http://schemas.openxmlformats.org/officeDocument/2006/relationships/hyperlink" Target="http://nypost.com" TargetMode="External"/><Relationship Id="rId581" Type="http://schemas.openxmlformats.org/officeDocument/2006/relationships/hyperlink" Target="http://thehulltruth.com" TargetMode="External"/><Relationship Id="rId580" Type="http://schemas.openxmlformats.org/officeDocument/2006/relationships/hyperlink" Target="http://thegamer.com" TargetMode="External"/><Relationship Id="rId103" Type="http://schemas.openxmlformats.org/officeDocument/2006/relationships/hyperlink" Target="http://cbsnews.com" TargetMode="External"/><Relationship Id="rId224" Type="http://schemas.openxmlformats.org/officeDocument/2006/relationships/hyperlink" Target="http://finance.yahoo.com" TargetMode="External"/><Relationship Id="rId345" Type="http://schemas.openxmlformats.org/officeDocument/2006/relationships/hyperlink" Target="http://mail.yahoo.com" TargetMode="External"/><Relationship Id="rId466" Type="http://schemas.openxmlformats.org/officeDocument/2006/relationships/hyperlink" Target="http://onechicagocenter.com" TargetMode="External"/><Relationship Id="rId587" Type="http://schemas.openxmlformats.org/officeDocument/2006/relationships/hyperlink" Target="http://thesaurus.com" TargetMode="External"/><Relationship Id="rId102" Type="http://schemas.openxmlformats.org/officeDocument/2006/relationships/hyperlink" Target="http://cbsnews.com" TargetMode="External"/><Relationship Id="rId223" Type="http://schemas.openxmlformats.org/officeDocument/2006/relationships/hyperlink" Target="http://finance.yahoo.com" TargetMode="External"/><Relationship Id="rId344" Type="http://schemas.openxmlformats.org/officeDocument/2006/relationships/hyperlink" Target="http://mail.yahoo.com" TargetMode="External"/><Relationship Id="rId465" Type="http://schemas.openxmlformats.org/officeDocument/2006/relationships/hyperlink" Target="http://omnicalculator.com" TargetMode="External"/><Relationship Id="rId586" Type="http://schemas.openxmlformats.org/officeDocument/2006/relationships/hyperlink" Target="http://thesaurus.com" TargetMode="External"/><Relationship Id="rId101" Type="http://schemas.openxmlformats.org/officeDocument/2006/relationships/hyperlink" Target="http://carscoops.com" TargetMode="External"/><Relationship Id="rId222" Type="http://schemas.openxmlformats.org/officeDocument/2006/relationships/hyperlink" Target="http://finance.yahoo.com" TargetMode="External"/><Relationship Id="rId343" Type="http://schemas.openxmlformats.org/officeDocument/2006/relationships/hyperlink" Target="http://mail.aol.com" TargetMode="External"/><Relationship Id="rId464" Type="http://schemas.openxmlformats.org/officeDocument/2006/relationships/hyperlink" Target="http://omnicalculator.com" TargetMode="External"/><Relationship Id="rId585" Type="http://schemas.openxmlformats.org/officeDocument/2006/relationships/hyperlink" Target="http://thesaurus.com" TargetMode="External"/><Relationship Id="rId100" Type="http://schemas.openxmlformats.org/officeDocument/2006/relationships/hyperlink" Target="http://cars.com" TargetMode="External"/><Relationship Id="rId221" Type="http://schemas.openxmlformats.org/officeDocument/2006/relationships/hyperlink" Target="http://finance.yahoo.com" TargetMode="External"/><Relationship Id="rId342" Type="http://schemas.openxmlformats.org/officeDocument/2006/relationships/hyperlink" Target="http://mail.aol.com" TargetMode="External"/><Relationship Id="rId463" Type="http://schemas.openxmlformats.org/officeDocument/2006/relationships/hyperlink" Target="http://nytimes.com" TargetMode="External"/><Relationship Id="rId584" Type="http://schemas.openxmlformats.org/officeDocument/2006/relationships/hyperlink" Target="http://thesaltymarshmallow.com" TargetMode="External"/><Relationship Id="rId217" Type="http://schemas.openxmlformats.org/officeDocument/2006/relationships/hyperlink" Target="http://femanin.com" TargetMode="External"/><Relationship Id="rId338" Type="http://schemas.openxmlformats.org/officeDocument/2006/relationships/hyperlink" Target="http://mail.aol.com" TargetMode="External"/><Relationship Id="rId459" Type="http://schemas.openxmlformats.org/officeDocument/2006/relationships/hyperlink" Target="http://nypost.com" TargetMode="External"/><Relationship Id="rId216" Type="http://schemas.openxmlformats.org/officeDocument/2006/relationships/hyperlink" Target="http://fandomwire.com" TargetMode="External"/><Relationship Id="rId337" Type="http://schemas.openxmlformats.org/officeDocument/2006/relationships/hyperlink" Target="http://mail.aol.com" TargetMode="External"/><Relationship Id="rId458" Type="http://schemas.openxmlformats.org/officeDocument/2006/relationships/hyperlink" Target="http://nypost.com" TargetMode="External"/><Relationship Id="rId579" Type="http://schemas.openxmlformats.org/officeDocument/2006/relationships/hyperlink" Target="http://thefinancechatter.com" TargetMode="External"/><Relationship Id="rId215" Type="http://schemas.openxmlformats.org/officeDocument/2006/relationships/hyperlink" Target="http://fandomwire.com" TargetMode="External"/><Relationship Id="rId336" Type="http://schemas.openxmlformats.org/officeDocument/2006/relationships/hyperlink" Target="http://mail.aol.com" TargetMode="External"/><Relationship Id="rId457" Type="http://schemas.openxmlformats.org/officeDocument/2006/relationships/hyperlink" Target="http://nypost.com" TargetMode="External"/><Relationship Id="rId578" Type="http://schemas.openxmlformats.org/officeDocument/2006/relationships/hyperlink" Target="http://thebigmansworld.com" TargetMode="External"/><Relationship Id="rId699" Type="http://schemas.openxmlformats.org/officeDocument/2006/relationships/hyperlink" Target="http://yahoo.com" TargetMode="External"/><Relationship Id="rId214" Type="http://schemas.openxmlformats.org/officeDocument/2006/relationships/hyperlink" Target="http://fandomwire.com" TargetMode="External"/><Relationship Id="rId335" Type="http://schemas.openxmlformats.org/officeDocument/2006/relationships/hyperlink" Target="http://mail.aol.com" TargetMode="External"/><Relationship Id="rId456" Type="http://schemas.openxmlformats.org/officeDocument/2006/relationships/hyperlink" Target="http://nypost.com" TargetMode="External"/><Relationship Id="rId577" Type="http://schemas.openxmlformats.org/officeDocument/2006/relationships/hyperlink" Target="http://techradar.com" TargetMode="External"/><Relationship Id="rId698" Type="http://schemas.openxmlformats.org/officeDocument/2006/relationships/hyperlink" Target="http://yahoo.com" TargetMode="External"/><Relationship Id="rId219" Type="http://schemas.openxmlformats.org/officeDocument/2006/relationships/hyperlink" Target="http://finance.yahoo.com" TargetMode="External"/><Relationship Id="rId218" Type="http://schemas.openxmlformats.org/officeDocument/2006/relationships/hyperlink" Target="http://femanin.com" TargetMode="External"/><Relationship Id="rId339" Type="http://schemas.openxmlformats.org/officeDocument/2006/relationships/hyperlink" Target="http://mail.aol.com" TargetMode="External"/><Relationship Id="rId330" Type="http://schemas.openxmlformats.org/officeDocument/2006/relationships/hyperlink" Target="http://mail.aol.com" TargetMode="External"/><Relationship Id="rId451" Type="http://schemas.openxmlformats.org/officeDocument/2006/relationships/hyperlink" Target="http://newsmemory.com" TargetMode="External"/><Relationship Id="rId572" Type="http://schemas.openxmlformats.org/officeDocument/2006/relationships/hyperlink" Target="http://streetinsider.com" TargetMode="External"/><Relationship Id="rId693" Type="http://schemas.openxmlformats.org/officeDocument/2006/relationships/hyperlink" Target="http://yahoo.com" TargetMode="External"/><Relationship Id="rId450" Type="http://schemas.openxmlformats.org/officeDocument/2006/relationships/hyperlink" Target="http://newsharper.com" TargetMode="External"/><Relationship Id="rId571" Type="http://schemas.openxmlformats.org/officeDocument/2006/relationships/hyperlink" Target="http://streetinsider.com" TargetMode="External"/><Relationship Id="rId692" Type="http://schemas.openxmlformats.org/officeDocument/2006/relationships/hyperlink" Target="http://yahoo.com" TargetMode="External"/><Relationship Id="rId570" Type="http://schemas.openxmlformats.org/officeDocument/2006/relationships/hyperlink" Target="http://sports.yahoo.com" TargetMode="External"/><Relationship Id="rId691" Type="http://schemas.openxmlformats.org/officeDocument/2006/relationships/hyperlink" Target="http://yahoo.com" TargetMode="External"/><Relationship Id="rId690" Type="http://schemas.openxmlformats.org/officeDocument/2006/relationships/hyperlink" Target="http://yahoo.com" TargetMode="External"/><Relationship Id="rId213" Type="http://schemas.openxmlformats.org/officeDocument/2006/relationships/hyperlink" Target="http://fandom.com" TargetMode="External"/><Relationship Id="rId334" Type="http://schemas.openxmlformats.org/officeDocument/2006/relationships/hyperlink" Target="http://mail.aol.com" TargetMode="External"/><Relationship Id="rId455" Type="http://schemas.openxmlformats.org/officeDocument/2006/relationships/hyperlink" Target="http://nsfas-applications.co.za" TargetMode="External"/><Relationship Id="rId576" Type="http://schemas.openxmlformats.org/officeDocument/2006/relationships/hyperlink" Target="http://tastesbetterfromscratch.com" TargetMode="External"/><Relationship Id="rId697" Type="http://schemas.openxmlformats.org/officeDocument/2006/relationships/hyperlink" Target="http://yahoo.com" TargetMode="External"/><Relationship Id="rId212" Type="http://schemas.openxmlformats.org/officeDocument/2006/relationships/hyperlink" Target="http://fandom.com" TargetMode="External"/><Relationship Id="rId333" Type="http://schemas.openxmlformats.org/officeDocument/2006/relationships/hyperlink" Target="http://mail.aol.com" TargetMode="External"/><Relationship Id="rId454" Type="http://schemas.openxmlformats.org/officeDocument/2006/relationships/hyperlink" Target="http://npr.org" TargetMode="External"/><Relationship Id="rId575" Type="http://schemas.openxmlformats.org/officeDocument/2006/relationships/hyperlink" Target="http://tasteofhome.com" TargetMode="External"/><Relationship Id="rId696" Type="http://schemas.openxmlformats.org/officeDocument/2006/relationships/hyperlink" Target="http://yahoo.com" TargetMode="External"/><Relationship Id="rId211" Type="http://schemas.openxmlformats.org/officeDocument/2006/relationships/hyperlink" Target="http://fandom.com" TargetMode="External"/><Relationship Id="rId332" Type="http://schemas.openxmlformats.org/officeDocument/2006/relationships/hyperlink" Target="http://mail.aol.com" TargetMode="External"/><Relationship Id="rId453" Type="http://schemas.openxmlformats.org/officeDocument/2006/relationships/hyperlink" Target="http://npr.org" TargetMode="External"/><Relationship Id="rId574" Type="http://schemas.openxmlformats.org/officeDocument/2006/relationships/hyperlink" Target="http://taboolanews.com" TargetMode="External"/><Relationship Id="rId695" Type="http://schemas.openxmlformats.org/officeDocument/2006/relationships/hyperlink" Target="http://yahoo.com" TargetMode="External"/><Relationship Id="rId210" Type="http://schemas.openxmlformats.org/officeDocument/2006/relationships/hyperlink" Target="http://fandom.com" TargetMode="External"/><Relationship Id="rId331" Type="http://schemas.openxmlformats.org/officeDocument/2006/relationships/hyperlink" Target="http://mail.aol.com" TargetMode="External"/><Relationship Id="rId452" Type="http://schemas.openxmlformats.org/officeDocument/2006/relationships/hyperlink" Target="http://newsmemory.com" TargetMode="External"/><Relationship Id="rId573" Type="http://schemas.openxmlformats.org/officeDocument/2006/relationships/hyperlink" Target="http://streetinsider.com" TargetMode="External"/><Relationship Id="rId694" Type="http://schemas.openxmlformats.org/officeDocument/2006/relationships/hyperlink" Target="http://yahoo.com" TargetMode="External"/><Relationship Id="rId370" Type="http://schemas.openxmlformats.org/officeDocument/2006/relationships/hyperlink" Target="http://mapquest.com" TargetMode="External"/><Relationship Id="rId491" Type="http://schemas.openxmlformats.org/officeDocument/2006/relationships/hyperlink" Target="http://people.com" TargetMode="External"/><Relationship Id="rId490" Type="http://schemas.openxmlformats.org/officeDocument/2006/relationships/hyperlink" Target="http://people.com" TargetMode="External"/><Relationship Id="rId129" Type="http://schemas.openxmlformats.org/officeDocument/2006/relationships/hyperlink" Target="http://cnbc.com" TargetMode="External"/><Relationship Id="rId128" Type="http://schemas.openxmlformats.org/officeDocument/2006/relationships/hyperlink" Target="http://cnbc.com" TargetMode="External"/><Relationship Id="rId249" Type="http://schemas.openxmlformats.org/officeDocument/2006/relationships/hyperlink" Target="http://forbes.com" TargetMode="External"/><Relationship Id="rId127" Type="http://schemas.openxmlformats.org/officeDocument/2006/relationships/hyperlink" Target="http://clutchpoints.com" TargetMode="External"/><Relationship Id="rId248" Type="http://schemas.openxmlformats.org/officeDocument/2006/relationships/hyperlink" Target="http://forbes.com" TargetMode="External"/><Relationship Id="rId369" Type="http://schemas.openxmlformats.org/officeDocument/2006/relationships/hyperlink" Target="http://mapquest.com" TargetMode="External"/><Relationship Id="rId126" Type="http://schemas.openxmlformats.org/officeDocument/2006/relationships/hyperlink" Target="http://classmates.com" TargetMode="External"/><Relationship Id="rId247" Type="http://schemas.openxmlformats.org/officeDocument/2006/relationships/hyperlink" Target="http://forbes.com" TargetMode="External"/><Relationship Id="rId368" Type="http://schemas.openxmlformats.org/officeDocument/2006/relationships/hyperlink" Target="http://mail.yahoo.com" TargetMode="External"/><Relationship Id="rId489" Type="http://schemas.openxmlformats.org/officeDocument/2006/relationships/hyperlink" Target="http://people.com" TargetMode="External"/><Relationship Id="rId121" Type="http://schemas.openxmlformats.org/officeDocument/2006/relationships/hyperlink" Target="http://chicagotribune.com" TargetMode="External"/><Relationship Id="rId242" Type="http://schemas.openxmlformats.org/officeDocument/2006/relationships/hyperlink" Target="http://forbes.com" TargetMode="External"/><Relationship Id="rId363" Type="http://schemas.openxmlformats.org/officeDocument/2006/relationships/hyperlink" Target="http://mail.yahoo.com" TargetMode="External"/><Relationship Id="rId484" Type="http://schemas.openxmlformats.org/officeDocument/2006/relationships/hyperlink" Target="http://pandora.com" TargetMode="External"/><Relationship Id="rId120" Type="http://schemas.openxmlformats.org/officeDocument/2006/relationships/hyperlink" Target="http://cheezburger.com" TargetMode="External"/><Relationship Id="rId241" Type="http://schemas.openxmlformats.org/officeDocument/2006/relationships/hyperlink" Target="http://forbes.com" TargetMode="External"/><Relationship Id="rId362" Type="http://schemas.openxmlformats.org/officeDocument/2006/relationships/hyperlink" Target="http://mail.yahoo.com" TargetMode="External"/><Relationship Id="rId483" Type="http://schemas.openxmlformats.org/officeDocument/2006/relationships/hyperlink" Target="http://pandora.com" TargetMode="External"/><Relationship Id="rId240" Type="http://schemas.openxmlformats.org/officeDocument/2006/relationships/hyperlink" Target="http://forbes.com" TargetMode="External"/><Relationship Id="rId361" Type="http://schemas.openxmlformats.org/officeDocument/2006/relationships/hyperlink" Target="http://mail.yahoo.com" TargetMode="External"/><Relationship Id="rId482" Type="http://schemas.openxmlformats.org/officeDocument/2006/relationships/hyperlink" Target="http://pandora.com" TargetMode="External"/><Relationship Id="rId360" Type="http://schemas.openxmlformats.org/officeDocument/2006/relationships/hyperlink" Target="http://mail.yahoo.com" TargetMode="External"/><Relationship Id="rId481" Type="http://schemas.openxmlformats.org/officeDocument/2006/relationships/hyperlink" Target="http://outlook.live.com" TargetMode="External"/><Relationship Id="rId125" Type="http://schemas.openxmlformats.org/officeDocument/2006/relationships/hyperlink" Target="http://classmates.com" TargetMode="External"/><Relationship Id="rId246" Type="http://schemas.openxmlformats.org/officeDocument/2006/relationships/hyperlink" Target="http://forbes.com" TargetMode="External"/><Relationship Id="rId367" Type="http://schemas.openxmlformats.org/officeDocument/2006/relationships/hyperlink" Target="http://mail.yahoo.com" TargetMode="External"/><Relationship Id="rId488" Type="http://schemas.openxmlformats.org/officeDocument/2006/relationships/hyperlink" Target="http://people.com" TargetMode="External"/><Relationship Id="rId124" Type="http://schemas.openxmlformats.org/officeDocument/2006/relationships/hyperlink" Target="http://classmates.com" TargetMode="External"/><Relationship Id="rId245" Type="http://schemas.openxmlformats.org/officeDocument/2006/relationships/hyperlink" Target="http://forbes.com" TargetMode="External"/><Relationship Id="rId366" Type="http://schemas.openxmlformats.org/officeDocument/2006/relationships/hyperlink" Target="http://mail.yahoo.com" TargetMode="External"/><Relationship Id="rId487" Type="http://schemas.openxmlformats.org/officeDocument/2006/relationships/hyperlink" Target="http://people.com" TargetMode="External"/><Relationship Id="rId123" Type="http://schemas.openxmlformats.org/officeDocument/2006/relationships/hyperlink" Target="http://citationmachine.net" TargetMode="External"/><Relationship Id="rId244" Type="http://schemas.openxmlformats.org/officeDocument/2006/relationships/hyperlink" Target="http://forbes.com" TargetMode="External"/><Relationship Id="rId365" Type="http://schemas.openxmlformats.org/officeDocument/2006/relationships/hyperlink" Target="http://mail.yahoo.com" TargetMode="External"/><Relationship Id="rId486" Type="http://schemas.openxmlformats.org/officeDocument/2006/relationships/hyperlink" Target="http://people.com" TargetMode="External"/><Relationship Id="rId122" Type="http://schemas.openxmlformats.org/officeDocument/2006/relationships/hyperlink" Target="http://chocolatecoveredkatie.com" TargetMode="External"/><Relationship Id="rId243" Type="http://schemas.openxmlformats.org/officeDocument/2006/relationships/hyperlink" Target="http://forbes.com" TargetMode="External"/><Relationship Id="rId364" Type="http://schemas.openxmlformats.org/officeDocument/2006/relationships/hyperlink" Target="http://mail.yahoo.com" TargetMode="External"/><Relationship Id="rId485" Type="http://schemas.openxmlformats.org/officeDocument/2006/relationships/hyperlink" Target="http://pandora.com" TargetMode="External"/><Relationship Id="rId95" Type="http://schemas.openxmlformats.org/officeDocument/2006/relationships/hyperlink" Target="http://cars.com" TargetMode="External"/><Relationship Id="rId94" Type="http://schemas.openxmlformats.org/officeDocument/2006/relationships/hyperlink" Target="http://cars.com" TargetMode="External"/><Relationship Id="rId97" Type="http://schemas.openxmlformats.org/officeDocument/2006/relationships/hyperlink" Target="http://cars.com" TargetMode="External"/><Relationship Id="rId96" Type="http://schemas.openxmlformats.org/officeDocument/2006/relationships/hyperlink" Target="http://cars.com" TargetMode="External"/><Relationship Id="rId99" Type="http://schemas.openxmlformats.org/officeDocument/2006/relationships/hyperlink" Target="http://cars.com" TargetMode="External"/><Relationship Id="rId480" Type="http://schemas.openxmlformats.org/officeDocument/2006/relationships/hyperlink" Target="http://outlook.live.com" TargetMode="External"/><Relationship Id="rId98" Type="http://schemas.openxmlformats.org/officeDocument/2006/relationships/hyperlink" Target="http://cars.com" TargetMode="External"/><Relationship Id="rId91" Type="http://schemas.openxmlformats.org/officeDocument/2006/relationships/hyperlink" Target="http://cargurus.com" TargetMode="External"/><Relationship Id="rId90" Type="http://schemas.openxmlformats.org/officeDocument/2006/relationships/hyperlink" Target="http://cargurus.com" TargetMode="External"/><Relationship Id="rId93" Type="http://schemas.openxmlformats.org/officeDocument/2006/relationships/hyperlink" Target="http://cargurus.com" TargetMode="External"/><Relationship Id="rId92" Type="http://schemas.openxmlformats.org/officeDocument/2006/relationships/hyperlink" Target="http://cargurus.com" TargetMode="External"/><Relationship Id="rId118" Type="http://schemas.openxmlformats.org/officeDocument/2006/relationships/hyperlink" Target="http://cheapoair.com" TargetMode="External"/><Relationship Id="rId239" Type="http://schemas.openxmlformats.org/officeDocument/2006/relationships/hyperlink" Target="http://forbes.com" TargetMode="External"/><Relationship Id="rId117" Type="http://schemas.openxmlformats.org/officeDocument/2006/relationships/hyperlink" Target="http://cheapoair.com" TargetMode="External"/><Relationship Id="rId238" Type="http://schemas.openxmlformats.org/officeDocument/2006/relationships/hyperlink" Target="http://flightaware.com" TargetMode="External"/><Relationship Id="rId359" Type="http://schemas.openxmlformats.org/officeDocument/2006/relationships/hyperlink" Target="http://mail.yahoo.com" TargetMode="External"/><Relationship Id="rId116" Type="http://schemas.openxmlformats.org/officeDocument/2006/relationships/hyperlink" Target="http://cbssports.com" TargetMode="External"/><Relationship Id="rId237" Type="http://schemas.openxmlformats.org/officeDocument/2006/relationships/hyperlink" Target="http://flightaware.com" TargetMode="External"/><Relationship Id="rId358" Type="http://schemas.openxmlformats.org/officeDocument/2006/relationships/hyperlink" Target="http://mail.yahoo.com" TargetMode="External"/><Relationship Id="rId479" Type="http://schemas.openxmlformats.org/officeDocument/2006/relationships/hyperlink" Target="http://outlook.live.com" TargetMode="External"/><Relationship Id="rId115" Type="http://schemas.openxmlformats.org/officeDocument/2006/relationships/hyperlink" Target="http://cbssports.com" TargetMode="External"/><Relationship Id="rId236" Type="http://schemas.openxmlformats.org/officeDocument/2006/relationships/hyperlink" Target="http://flightaware.com" TargetMode="External"/><Relationship Id="rId357" Type="http://schemas.openxmlformats.org/officeDocument/2006/relationships/hyperlink" Target="http://mail.yahoo.com" TargetMode="External"/><Relationship Id="rId478" Type="http://schemas.openxmlformats.org/officeDocument/2006/relationships/hyperlink" Target="http://outlook.live.com" TargetMode="External"/><Relationship Id="rId599" Type="http://schemas.openxmlformats.org/officeDocument/2006/relationships/hyperlink" Target="http://timeanddate.com" TargetMode="External"/><Relationship Id="rId119" Type="http://schemas.openxmlformats.org/officeDocument/2006/relationships/hyperlink" Target="http://cheezburger.com" TargetMode="External"/><Relationship Id="rId110" Type="http://schemas.openxmlformats.org/officeDocument/2006/relationships/hyperlink" Target="http://cbsnews.com" TargetMode="External"/><Relationship Id="rId231" Type="http://schemas.openxmlformats.org/officeDocument/2006/relationships/hyperlink" Target="http://findagrave.com" TargetMode="External"/><Relationship Id="rId352" Type="http://schemas.openxmlformats.org/officeDocument/2006/relationships/hyperlink" Target="http://mail.yahoo.com" TargetMode="External"/><Relationship Id="rId473" Type="http://schemas.openxmlformats.org/officeDocument/2006/relationships/hyperlink" Target="http://outlook.live.com" TargetMode="External"/><Relationship Id="rId594" Type="http://schemas.openxmlformats.org/officeDocument/2006/relationships/hyperlink" Target="http://the-sun.com" TargetMode="External"/><Relationship Id="rId230" Type="http://schemas.openxmlformats.org/officeDocument/2006/relationships/hyperlink" Target="http://finance.yahoo.com" TargetMode="External"/><Relationship Id="rId351" Type="http://schemas.openxmlformats.org/officeDocument/2006/relationships/hyperlink" Target="http://mail.yahoo.com" TargetMode="External"/><Relationship Id="rId472" Type="http://schemas.openxmlformats.org/officeDocument/2006/relationships/hyperlink" Target="http://outlook.live.com" TargetMode="External"/><Relationship Id="rId593" Type="http://schemas.openxmlformats.org/officeDocument/2006/relationships/hyperlink" Target="http://the-sun.com" TargetMode="External"/><Relationship Id="rId350" Type="http://schemas.openxmlformats.org/officeDocument/2006/relationships/hyperlink" Target="http://mail.yahoo.com" TargetMode="External"/><Relationship Id="rId471" Type="http://schemas.openxmlformats.org/officeDocument/2006/relationships/hyperlink" Target="http://outlook.live.com" TargetMode="External"/><Relationship Id="rId592" Type="http://schemas.openxmlformats.org/officeDocument/2006/relationships/hyperlink" Target="http://the-sun.com" TargetMode="External"/><Relationship Id="rId470" Type="http://schemas.openxmlformats.org/officeDocument/2006/relationships/hyperlink" Target="http://outlook.live.com" TargetMode="External"/><Relationship Id="rId591" Type="http://schemas.openxmlformats.org/officeDocument/2006/relationships/hyperlink" Target="http://thesaurus.com" TargetMode="External"/><Relationship Id="rId114" Type="http://schemas.openxmlformats.org/officeDocument/2006/relationships/hyperlink" Target="http://cbssports.com" TargetMode="External"/><Relationship Id="rId235" Type="http://schemas.openxmlformats.org/officeDocument/2006/relationships/hyperlink" Target="http://firstcoastnews.com" TargetMode="External"/><Relationship Id="rId356" Type="http://schemas.openxmlformats.org/officeDocument/2006/relationships/hyperlink" Target="http://mail.yahoo.com" TargetMode="External"/><Relationship Id="rId477" Type="http://schemas.openxmlformats.org/officeDocument/2006/relationships/hyperlink" Target="http://outlook.live.com" TargetMode="External"/><Relationship Id="rId598" Type="http://schemas.openxmlformats.org/officeDocument/2006/relationships/hyperlink" Target="http://timeanddate.com" TargetMode="External"/><Relationship Id="rId113" Type="http://schemas.openxmlformats.org/officeDocument/2006/relationships/hyperlink" Target="http://cbsnews.com" TargetMode="External"/><Relationship Id="rId234" Type="http://schemas.openxmlformats.org/officeDocument/2006/relationships/hyperlink" Target="http://finviz.com" TargetMode="External"/><Relationship Id="rId355" Type="http://schemas.openxmlformats.org/officeDocument/2006/relationships/hyperlink" Target="http://mail.yahoo.com" TargetMode="External"/><Relationship Id="rId476" Type="http://schemas.openxmlformats.org/officeDocument/2006/relationships/hyperlink" Target="http://outlook.live.com" TargetMode="External"/><Relationship Id="rId597" Type="http://schemas.openxmlformats.org/officeDocument/2006/relationships/hyperlink" Target="http://the-sun.com" TargetMode="External"/><Relationship Id="rId112" Type="http://schemas.openxmlformats.org/officeDocument/2006/relationships/hyperlink" Target="http://cbsnews.com" TargetMode="External"/><Relationship Id="rId233" Type="http://schemas.openxmlformats.org/officeDocument/2006/relationships/hyperlink" Target="http://findagrave.com" TargetMode="External"/><Relationship Id="rId354" Type="http://schemas.openxmlformats.org/officeDocument/2006/relationships/hyperlink" Target="http://mail.yahoo.com" TargetMode="External"/><Relationship Id="rId475" Type="http://schemas.openxmlformats.org/officeDocument/2006/relationships/hyperlink" Target="http://outlook.live.com" TargetMode="External"/><Relationship Id="rId596" Type="http://schemas.openxmlformats.org/officeDocument/2006/relationships/hyperlink" Target="http://the-sun.com" TargetMode="External"/><Relationship Id="rId111" Type="http://schemas.openxmlformats.org/officeDocument/2006/relationships/hyperlink" Target="http://cbsnews.com" TargetMode="External"/><Relationship Id="rId232" Type="http://schemas.openxmlformats.org/officeDocument/2006/relationships/hyperlink" Target="http://findagrave.com" TargetMode="External"/><Relationship Id="rId353" Type="http://schemas.openxmlformats.org/officeDocument/2006/relationships/hyperlink" Target="http://mail.yahoo.com" TargetMode="External"/><Relationship Id="rId474" Type="http://schemas.openxmlformats.org/officeDocument/2006/relationships/hyperlink" Target="http://outlook.live.com" TargetMode="External"/><Relationship Id="rId595" Type="http://schemas.openxmlformats.org/officeDocument/2006/relationships/hyperlink" Target="http://the-sun.com" TargetMode="External"/><Relationship Id="rId305" Type="http://schemas.openxmlformats.org/officeDocument/2006/relationships/hyperlink" Target="http://jdpower.com" TargetMode="External"/><Relationship Id="rId426" Type="http://schemas.openxmlformats.org/officeDocument/2006/relationships/hyperlink" Target="http://msn.com" TargetMode="External"/><Relationship Id="rId547" Type="http://schemas.openxmlformats.org/officeDocument/2006/relationships/hyperlink" Target="http://shareably.net" TargetMode="External"/><Relationship Id="rId668" Type="http://schemas.openxmlformats.org/officeDocument/2006/relationships/hyperlink" Target="http://whatismyipaddress.com" TargetMode="External"/><Relationship Id="rId304" Type="http://schemas.openxmlformats.org/officeDocument/2006/relationships/hyperlink" Target="http://jdpower.com" TargetMode="External"/><Relationship Id="rId425" Type="http://schemas.openxmlformats.org/officeDocument/2006/relationships/hyperlink" Target="http://msn.com" TargetMode="External"/><Relationship Id="rId546" Type="http://schemas.openxmlformats.org/officeDocument/2006/relationships/hyperlink" Target="http://semana.com" TargetMode="External"/><Relationship Id="rId667" Type="http://schemas.openxmlformats.org/officeDocument/2006/relationships/hyperlink" Target="http://whatismyipaddress.com" TargetMode="External"/><Relationship Id="rId303" Type="http://schemas.openxmlformats.org/officeDocument/2006/relationships/hyperlink" Target="http://investopedia.com" TargetMode="External"/><Relationship Id="rId424" Type="http://schemas.openxmlformats.org/officeDocument/2006/relationships/hyperlink" Target="http://msn.com" TargetMode="External"/><Relationship Id="rId545" Type="http://schemas.openxmlformats.org/officeDocument/2006/relationships/hyperlink" Target="http://seedsgames.com" TargetMode="External"/><Relationship Id="rId666" Type="http://schemas.openxmlformats.org/officeDocument/2006/relationships/hyperlink" Target="http://whatismyipaddress.com" TargetMode="External"/><Relationship Id="rId302" Type="http://schemas.openxmlformats.org/officeDocument/2006/relationships/hyperlink" Target="http://investopedia.com" TargetMode="External"/><Relationship Id="rId423" Type="http://schemas.openxmlformats.org/officeDocument/2006/relationships/hyperlink" Target="http://msn.com" TargetMode="External"/><Relationship Id="rId544" Type="http://schemas.openxmlformats.org/officeDocument/2006/relationships/hyperlink" Target="http://screenrant.com" TargetMode="External"/><Relationship Id="rId665" Type="http://schemas.openxmlformats.org/officeDocument/2006/relationships/hyperlink" Target="http://whatismyipaddress.com" TargetMode="External"/><Relationship Id="rId309" Type="http://schemas.openxmlformats.org/officeDocument/2006/relationships/hyperlink" Target="http://kbb.com" TargetMode="External"/><Relationship Id="rId308" Type="http://schemas.openxmlformats.org/officeDocument/2006/relationships/hyperlink" Target="http://kbb.com" TargetMode="External"/><Relationship Id="rId429" Type="http://schemas.openxmlformats.org/officeDocument/2006/relationships/hyperlink" Target="http://my.yahoo.com" TargetMode="External"/><Relationship Id="rId307" Type="http://schemas.openxmlformats.org/officeDocument/2006/relationships/hyperlink" Target="http://kbb.com" TargetMode="External"/><Relationship Id="rId428" Type="http://schemas.openxmlformats.org/officeDocument/2006/relationships/hyperlink" Target="http://my.earthlink.net" TargetMode="External"/><Relationship Id="rId549" Type="http://schemas.openxmlformats.org/officeDocument/2006/relationships/hyperlink" Target="http://signin.ebay.com" TargetMode="External"/><Relationship Id="rId306" Type="http://schemas.openxmlformats.org/officeDocument/2006/relationships/hyperlink" Target="http://jdpower.com" TargetMode="External"/><Relationship Id="rId427" Type="http://schemas.openxmlformats.org/officeDocument/2006/relationships/hyperlink" Target="http://msn.com" TargetMode="External"/><Relationship Id="rId548" Type="http://schemas.openxmlformats.org/officeDocument/2006/relationships/hyperlink" Target="http://si.com" TargetMode="External"/><Relationship Id="rId669" Type="http://schemas.openxmlformats.org/officeDocument/2006/relationships/hyperlink" Target="http://whatismyipaddress.com" TargetMode="External"/><Relationship Id="rId660" Type="http://schemas.openxmlformats.org/officeDocument/2006/relationships/hyperlink" Target="http://weather.com" TargetMode="External"/><Relationship Id="rId301" Type="http://schemas.openxmlformats.org/officeDocument/2006/relationships/hyperlink" Target="http://investmentguru.com" TargetMode="External"/><Relationship Id="rId422" Type="http://schemas.openxmlformats.org/officeDocument/2006/relationships/hyperlink" Target="http://msn.com" TargetMode="External"/><Relationship Id="rId543" Type="http://schemas.openxmlformats.org/officeDocument/2006/relationships/hyperlink" Target="http://screenrant.com" TargetMode="External"/><Relationship Id="rId664" Type="http://schemas.openxmlformats.org/officeDocument/2006/relationships/hyperlink" Target="http://whatismyipaddress.com" TargetMode="External"/><Relationship Id="rId300" Type="http://schemas.openxmlformats.org/officeDocument/2006/relationships/hyperlink" Target="http://investing.com" TargetMode="External"/><Relationship Id="rId421" Type="http://schemas.openxmlformats.org/officeDocument/2006/relationships/hyperlink" Target="http://msn.com" TargetMode="External"/><Relationship Id="rId542" Type="http://schemas.openxmlformats.org/officeDocument/2006/relationships/hyperlink" Target="http://screenrant.com" TargetMode="External"/><Relationship Id="rId663" Type="http://schemas.openxmlformats.org/officeDocument/2006/relationships/hyperlink" Target="http://whatismyipaddress.com" TargetMode="External"/><Relationship Id="rId420" Type="http://schemas.openxmlformats.org/officeDocument/2006/relationships/hyperlink" Target="http://msn.com" TargetMode="External"/><Relationship Id="rId541" Type="http://schemas.openxmlformats.org/officeDocument/2006/relationships/hyperlink" Target="http://screenrant.com" TargetMode="External"/><Relationship Id="rId662" Type="http://schemas.openxmlformats.org/officeDocument/2006/relationships/hyperlink" Target="http://webmd.com" TargetMode="External"/><Relationship Id="rId540" Type="http://schemas.openxmlformats.org/officeDocument/2006/relationships/hyperlink" Target="http://screenrant.com" TargetMode="External"/><Relationship Id="rId661" Type="http://schemas.openxmlformats.org/officeDocument/2006/relationships/hyperlink" Target="http://webmd.com" TargetMode="External"/><Relationship Id="rId415" Type="http://schemas.openxmlformats.org/officeDocument/2006/relationships/hyperlink" Target="http://msn.com" TargetMode="External"/><Relationship Id="rId536" Type="http://schemas.openxmlformats.org/officeDocument/2006/relationships/hyperlink" Target="http://sallysbakingaddiction.com" TargetMode="External"/><Relationship Id="rId657" Type="http://schemas.openxmlformats.org/officeDocument/2006/relationships/hyperlink" Target="http://weather.com" TargetMode="External"/><Relationship Id="rId414" Type="http://schemas.openxmlformats.org/officeDocument/2006/relationships/hyperlink" Target="http://msn.com" TargetMode="External"/><Relationship Id="rId535" Type="http://schemas.openxmlformats.org/officeDocument/2006/relationships/hyperlink" Target="http://rvtrader.com" TargetMode="External"/><Relationship Id="rId656" Type="http://schemas.openxmlformats.org/officeDocument/2006/relationships/hyperlink" Target="http://weather.com" TargetMode="External"/><Relationship Id="rId413" Type="http://schemas.openxmlformats.org/officeDocument/2006/relationships/hyperlink" Target="http://msn.com" TargetMode="External"/><Relationship Id="rId534" Type="http://schemas.openxmlformats.org/officeDocument/2006/relationships/hyperlink" Target="http://rollingstone.com" TargetMode="External"/><Relationship Id="rId655" Type="http://schemas.openxmlformats.org/officeDocument/2006/relationships/hyperlink" Target="http://weather.com" TargetMode="External"/><Relationship Id="rId412" Type="http://schemas.openxmlformats.org/officeDocument/2006/relationships/hyperlink" Target="http://msn.com" TargetMode="External"/><Relationship Id="rId533" Type="http://schemas.openxmlformats.org/officeDocument/2006/relationships/hyperlink" Target="http://rollingstone.com" TargetMode="External"/><Relationship Id="rId654" Type="http://schemas.openxmlformats.org/officeDocument/2006/relationships/hyperlink" Target="http://weather.com" TargetMode="External"/><Relationship Id="rId419" Type="http://schemas.openxmlformats.org/officeDocument/2006/relationships/hyperlink" Target="http://msn.com" TargetMode="External"/><Relationship Id="rId418" Type="http://schemas.openxmlformats.org/officeDocument/2006/relationships/hyperlink" Target="http://msn.com" TargetMode="External"/><Relationship Id="rId539" Type="http://schemas.openxmlformats.org/officeDocument/2006/relationships/hyperlink" Target="http://scitechdaily.com" TargetMode="External"/><Relationship Id="rId417" Type="http://schemas.openxmlformats.org/officeDocument/2006/relationships/hyperlink" Target="http://msn.com" TargetMode="External"/><Relationship Id="rId538" Type="http://schemas.openxmlformats.org/officeDocument/2006/relationships/hyperlink" Target="http://sciencesensei.com" TargetMode="External"/><Relationship Id="rId659" Type="http://schemas.openxmlformats.org/officeDocument/2006/relationships/hyperlink" Target="http://weather.com" TargetMode="External"/><Relationship Id="rId416" Type="http://schemas.openxmlformats.org/officeDocument/2006/relationships/hyperlink" Target="http://msn.com" TargetMode="External"/><Relationship Id="rId537" Type="http://schemas.openxmlformats.org/officeDocument/2006/relationships/hyperlink" Target="http://sciencealert.com" TargetMode="External"/><Relationship Id="rId658" Type="http://schemas.openxmlformats.org/officeDocument/2006/relationships/hyperlink" Target="http://weather.com" TargetMode="External"/><Relationship Id="rId411" Type="http://schemas.openxmlformats.org/officeDocument/2006/relationships/hyperlink" Target="http://msn.com" TargetMode="External"/><Relationship Id="rId532" Type="http://schemas.openxmlformats.org/officeDocument/2006/relationships/hyperlink" Target="http://rollingstone.com" TargetMode="External"/><Relationship Id="rId653" Type="http://schemas.openxmlformats.org/officeDocument/2006/relationships/hyperlink" Target="http://weather.com" TargetMode="External"/><Relationship Id="rId410" Type="http://schemas.openxmlformats.org/officeDocument/2006/relationships/hyperlink" Target="http://msn.com" TargetMode="External"/><Relationship Id="rId531" Type="http://schemas.openxmlformats.org/officeDocument/2006/relationships/hyperlink" Target="http://reuters.com" TargetMode="External"/><Relationship Id="rId652" Type="http://schemas.openxmlformats.org/officeDocument/2006/relationships/hyperlink" Target="http://weather.com" TargetMode="External"/><Relationship Id="rId530" Type="http://schemas.openxmlformats.org/officeDocument/2006/relationships/hyperlink" Target="http://reuters.com" TargetMode="External"/><Relationship Id="rId651" Type="http://schemas.openxmlformats.org/officeDocument/2006/relationships/hyperlink" Target="http://weather.com" TargetMode="External"/><Relationship Id="rId650" Type="http://schemas.openxmlformats.org/officeDocument/2006/relationships/hyperlink" Target="http://weather.com" TargetMode="External"/><Relationship Id="rId206" Type="http://schemas.openxmlformats.org/officeDocument/2006/relationships/hyperlink" Target="http://evite.com" TargetMode="External"/><Relationship Id="rId327" Type="http://schemas.openxmlformats.org/officeDocument/2006/relationships/hyperlink" Target="http://mail.aol.com" TargetMode="External"/><Relationship Id="rId448" Type="http://schemas.openxmlformats.org/officeDocument/2006/relationships/hyperlink" Target="http://news.yahoo.com" TargetMode="External"/><Relationship Id="rId569" Type="http://schemas.openxmlformats.org/officeDocument/2006/relationships/hyperlink" Target="http://sports.yahoo.com" TargetMode="External"/><Relationship Id="rId205" Type="http://schemas.openxmlformats.org/officeDocument/2006/relationships/hyperlink" Target="http://essentiallysports.com" TargetMode="External"/><Relationship Id="rId326" Type="http://schemas.openxmlformats.org/officeDocument/2006/relationships/hyperlink" Target="http://mail.aol.com" TargetMode="External"/><Relationship Id="rId447" Type="http://schemas.openxmlformats.org/officeDocument/2006/relationships/hyperlink" Target="http://news.yahoo.com" TargetMode="External"/><Relationship Id="rId568" Type="http://schemas.openxmlformats.org/officeDocument/2006/relationships/hyperlink" Target="http://sportpirate.com" TargetMode="External"/><Relationship Id="rId689" Type="http://schemas.openxmlformats.org/officeDocument/2006/relationships/hyperlink" Target="http://yahoo.com" TargetMode="External"/><Relationship Id="rId204" Type="http://schemas.openxmlformats.org/officeDocument/2006/relationships/hyperlink" Target="http://essentiallysports.com" TargetMode="External"/><Relationship Id="rId325" Type="http://schemas.openxmlformats.org/officeDocument/2006/relationships/hyperlink" Target="http://mail.aol.com" TargetMode="External"/><Relationship Id="rId446" Type="http://schemas.openxmlformats.org/officeDocument/2006/relationships/hyperlink" Target="http://news.yahoo.com" TargetMode="External"/><Relationship Id="rId567" Type="http://schemas.openxmlformats.org/officeDocument/2006/relationships/hyperlink" Target="http://sporcle.com" TargetMode="External"/><Relationship Id="rId688" Type="http://schemas.openxmlformats.org/officeDocument/2006/relationships/hyperlink" Target="http://yahoo.com" TargetMode="External"/><Relationship Id="rId203" Type="http://schemas.openxmlformats.org/officeDocument/2006/relationships/hyperlink" Target="http://espn.com" TargetMode="External"/><Relationship Id="rId324" Type="http://schemas.openxmlformats.org/officeDocument/2006/relationships/hyperlink" Target="http://macrumors.com" TargetMode="External"/><Relationship Id="rId445" Type="http://schemas.openxmlformats.org/officeDocument/2006/relationships/hyperlink" Target="http://news.yahoo.com" TargetMode="External"/><Relationship Id="rId566" Type="http://schemas.openxmlformats.org/officeDocument/2006/relationships/hyperlink" Target="http://soaps.sheknows.com" TargetMode="External"/><Relationship Id="rId687" Type="http://schemas.openxmlformats.org/officeDocument/2006/relationships/hyperlink" Target="http://yahoo.com" TargetMode="External"/><Relationship Id="rId209" Type="http://schemas.openxmlformats.org/officeDocument/2006/relationships/hyperlink" Target="http://factinate.com" TargetMode="External"/><Relationship Id="rId208" Type="http://schemas.openxmlformats.org/officeDocument/2006/relationships/hyperlink" Target="http://factable.com" TargetMode="External"/><Relationship Id="rId329" Type="http://schemas.openxmlformats.org/officeDocument/2006/relationships/hyperlink" Target="http://mail.aol.com" TargetMode="External"/><Relationship Id="rId207" Type="http://schemas.openxmlformats.org/officeDocument/2006/relationships/hyperlink" Target="http://ew.com" TargetMode="External"/><Relationship Id="rId328" Type="http://schemas.openxmlformats.org/officeDocument/2006/relationships/hyperlink" Target="http://mail.aol.com" TargetMode="External"/><Relationship Id="rId449" Type="http://schemas.openxmlformats.org/officeDocument/2006/relationships/hyperlink" Target="http://news.yahoo.com" TargetMode="External"/><Relationship Id="rId440" Type="http://schemas.openxmlformats.org/officeDocument/2006/relationships/hyperlink" Target="http://nbcnews.com" TargetMode="External"/><Relationship Id="rId561" Type="http://schemas.openxmlformats.org/officeDocument/2006/relationships/hyperlink" Target="http://slickdeals.net" TargetMode="External"/><Relationship Id="rId682" Type="http://schemas.openxmlformats.org/officeDocument/2006/relationships/hyperlink" Target="http://wunderground.com" TargetMode="External"/><Relationship Id="rId560" Type="http://schemas.openxmlformats.org/officeDocument/2006/relationships/hyperlink" Target="http://slickdeals.net" TargetMode="External"/><Relationship Id="rId681" Type="http://schemas.openxmlformats.org/officeDocument/2006/relationships/hyperlink" Target="http://wunderground.com" TargetMode="External"/><Relationship Id="rId680" Type="http://schemas.openxmlformats.org/officeDocument/2006/relationships/hyperlink" Target="http://wsvn.com" TargetMode="External"/><Relationship Id="rId202" Type="http://schemas.openxmlformats.org/officeDocument/2006/relationships/hyperlink" Target="http://espn.com" TargetMode="External"/><Relationship Id="rId323" Type="http://schemas.openxmlformats.org/officeDocument/2006/relationships/hyperlink" Target="http://macrumors.com" TargetMode="External"/><Relationship Id="rId444" Type="http://schemas.openxmlformats.org/officeDocument/2006/relationships/hyperlink" Target="http://news.yahoo.com" TargetMode="External"/><Relationship Id="rId565" Type="http://schemas.openxmlformats.org/officeDocument/2006/relationships/hyperlink" Target="http://sneakertoast.com" TargetMode="External"/><Relationship Id="rId686" Type="http://schemas.openxmlformats.org/officeDocument/2006/relationships/hyperlink" Target="http://yahoo.com" TargetMode="External"/><Relationship Id="rId201" Type="http://schemas.openxmlformats.org/officeDocument/2006/relationships/hyperlink" Target="http://eonline.com" TargetMode="External"/><Relationship Id="rId322" Type="http://schemas.openxmlformats.org/officeDocument/2006/relationships/hyperlink" Target="http://m.timesofindia.com" TargetMode="External"/><Relationship Id="rId443" Type="http://schemas.openxmlformats.org/officeDocument/2006/relationships/hyperlink" Target="http://nbcsports.com" TargetMode="External"/><Relationship Id="rId564" Type="http://schemas.openxmlformats.org/officeDocument/2006/relationships/hyperlink" Target="http://slickdeals.net" TargetMode="External"/><Relationship Id="rId685" Type="http://schemas.openxmlformats.org/officeDocument/2006/relationships/hyperlink" Target="http://yahoo.com" TargetMode="External"/><Relationship Id="rId200" Type="http://schemas.openxmlformats.org/officeDocument/2006/relationships/hyperlink" Target="http://eenadu.net" TargetMode="External"/><Relationship Id="rId321" Type="http://schemas.openxmlformats.org/officeDocument/2006/relationships/hyperlink" Target="http://m.timesofindia.com" TargetMode="External"/><Relationship Id="rId442" Type="http://schemas.openxmlformats.org/officeDocument/2006/relationships/hyperlink" Target="http://nbcnews.com" TargetMode="External"/><Relationship Id="rId563" Type="http://schemas.openxmlformats.org/officeDocument/2006/relationships/hyperlink" Target="http://slickdeals.net" TargetMode="External"/><Relationship Id="rId684" Type="http://schemas.openxmlformats.org/officeDocument/2006/relationships/hyperlink" Target="http://yahoo.com" TargetMode="External"/><Relationship Id="rId320" Type="http://schemas.openxmlformats.org/officeDocument/2006/relationships/hyperlink" Target="http://m.timesofindia.com" TargetMode="External"/><Relationship Id="rId441" Type="http://schemas.openxmlformats.org/officeDocument/2006/relationships/hyperlink" Target="http://nbcnews.com" TargetMode="External"/><Relationship Id="rId562" Type="http://schemas.openxmlformats.org/officeDocument/2006/relationships/hyperlink" Target="http://slickdeals.net" TargetMode="External"/><Relationship Id="rId683" Type="http://schemas.openxmlformats.org/officeDocument/2006/relationships/hyperlink" Target="http://yachtworld.com" TargetMode="External"/><Relationship Id="rId316" Type="http://schemas.openxmlformats.org/officeDocument/2006/relationships/hyperlink" Target="http://lensvid.com" TargetMode="External"/><Relationship Id="rId437" Type="http://schemas.openxmlformats.org/officeDocument/2006/relationships/hyperlink" Target="http://nbcmiami.com" TargetMode="External"/><Relationship Id="rId558" Type="http://schemas.openxmlformats.org/officeDocument/2006/relationships/hyperlink" Target="http://slickdeals.net" TargetMode="External"/><Relationship Id="rId679" Type="http://schemas.openxmlformats.org/officeDocument/2006/relationships/hyperlink" Target="http://wsmv.com" TargetMode="External"/><Relationship Id="rId315" Type="http://schemas.openxmlformats.org/officeDocument/2006/relationships/hyperlink" Target="http://kiplinger.com" TargetMode="External"/><Relationship Id="rId436" Type="http://schemas.openxmlformats.org/officeDocument/2006/relationships/hyperlink" Target="http://nbcdfw.com" TargetMode="External"/><Relationship Id="rId557" Type="http://schemas.openxmlformats.org/officeDocument/2006/relationships/hyperlink" Target="http://slickdeals.net" TargetMode="External"/><Relationship Id="rId678" Type="http://schemas.openxmlformats.org/officeDocument/2006/relationships/hyperlink" Target="http://wsj.com" TargetMode="External"/><Relationship Id="rId314" Type="http://schemas.openxmlformats.org/officeDocument/2006/relationships/hyperlink" Target="http://kbb.com" TargetMode="External"/><Relationship Id="rId435" Type="http://schemas.openxmlformats.org/officeDocument/2006/relationships/hyperlink" Target="http://nbcchicago.com" TargetMode="External"/><Relationship Id="rId556" Type="http://schemas.openxmlformats.org/officeDocument/2006/relationships/hyperlink" Target="http://signupgenius.com" TargetMode="External"/><Relationship Id="rId677" Type="http://schemas.openxmlformats.org/officeDocument/2006/relationships/hyperlink" Target="http://wordunscrambler.me" TargetMode="External"/><Relationship Id="rId313" Type="http://schemas.openxmlformats.org/officeDocument/2006/relationships/hyperlink" Target="http://kbb.com" TargetMode="External"/><Relationship Id="rId434" Type="http://schemas.openxmlformats.org/officeDocument/2006/relationships/hyperlink" Target="http://nbcchicago.com" TargetMode="External"/><Relationship Id="rId555" Type="http://schemas.openxmlformats.org/officeDocument/2006/relationships/hyperlink" Target="http://signupgenius.com" TargetMode="External"/><Relationship Id="rId676" Type="http://schemas.openxmlformats.org/officeDocument/2006/relationships/hyperlink" Target="http://womenshealthmag.com" TargetMode="External"/><Relationship Id="rId319" Type="http://schemas.openxmlformats.org/officeDocument/2006/relationships/hyperlink" Target="http://lotterypost.com" TargetMode="External"/><Relationship Id="rId318" Type="http://schemas.openxmlformats.org/officeDocument/2006/relationships/hyperlink" Target="http://lotterypost.com" TargetMode="External"/><Relationship Id="rId439" Type="http://schemas.openxmlformats.org/officeDocument/2006/relationships/hyperlink" Target="http://nbcnews.com" TargetMode="External"/><Relationship Id="rId317" Type="http://schemas.openxmlformats.org/officeDocument/2006/relationships/hyperlink" Target="http://livescience.com" TargetMode="External"/><Relationship Id="rId438" Type="http://schemas.openxmlformats.org/officeDocument/2006/relationships/hyperlink" Target="http://nbcnews.com" TargetMode="External"/><Relationship Id="rId559" Type="http://schemas.openxmlformats.org/officeDocument/2006/relationships/hyperlink" Target="http://slickdeals.net" TargetMode="External"/><Relationship Id="rId550" Type="http://schemas.openxmlformats.org/officeDocument/2006/relationships/hyperlink" Target="http://signin.ebay.com" TargetMode="External"/><Relationship Id="rId671" Type="http://schemas.openxmlformats.org/officeDocument/2006/relationships/hyperlink" Target="http://wikihow.com" TargetMode="External"/><Relationship Id="rId670" Type="http://schemas.openxmlformats.org/officeDocument/2006/relationships/hyperlink" Target="http://wikihow.com" TargetMode="External"/><Relationship Id="rId312" Type="http://schemas.openxmlformats.org/officeDocument/2006/relationships/hyperlink" Target="http://kbb.com" TargetMode="External"/><Relationship Id="rId433" Type="http://schemas.openxmlformats.org/officeDocument/2006/relationships/hyperlink" Target="http://nba.com" TargetMode="External"/><Relationship Id="rId554" Type="http://schemas.openxmlformats.org/officeDocument/2006/relationships/hyperlink" Target="http://signupgenius.com" TargetMode="External"/><Relationship Id="rId675" Type="http://schemas.openxmlformats.org/officeDocument/2006/relationships/hyperlink" Target="http://wizofawes.com" TargetMode="External"/><Relationship Id="rId311" Type="http://schemas.openxmlformats.org/officeDocument/2006/relationships/hyperlink" Target="http://kbb.com" TargetMode="External"/><Relationship Id="rId432" Type="http://schemas.openxmlformats.org/officeDocument/2006/relationships/hyperlink" Target="http://myfitnesspal.com" TargetMode="External"/><Relationship Id="rId553" Type="http://schemas.openxmlformats.org/officeDocument/2006/relationships/hyperlink" Target="http://signupgenius.com" TargetMode="External"/><Relationship Id="rId674" Type="http://schemas.openxmlformats.org/officeDocument/2006/relationships/hyperlink" Target="http://wikihow.com" TargetMode="External"/><Relationship Id="rId310" Type="http://schemas.openxmlformats.org/officeDocument/2006/relationships/hyperlink" Target="http://kbb.com" TargetMode="External"/><Relationship Id="rId431" Type="http://schemas.openxmlformats.org/officeDocument/2006/relationships/hyperlink" Target="http://mydailymagazine.com" TargetMode="External"/><Relationship Id="rId552" Type="http://schemas.openxmlformats.org/officeDocument/2006/relationships/hyperlink" Target="http://signupgenius.com" TargetMode="External"/><Relationship Id="rId673" Type="http://schemas.openxmlformats.org/officeDocument/2006/relationships/hyperlink" Target="http://wikihow.com" TargetMode="External"/><Relationship Id="rId430" Type="http://schemas.openxmlformats.org/officeDocument/2006/relationships/hyperlink" Target="http://my.yahoo.com" TargetMode="External"/><Relationship Id="rId551" Type="http://schemas.openxmlformats.org/officeDocument/2006/relationships/hyperlink" Target="http://signupgenius.com" TargetMode="External"/><Relationship Id="rId672" Type="http://schemas.openxmlformats.org/officeDocument/2006/relationships/hyperlink" Target="http://wikihow.com" TargetMode="Externa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90" Type="http://schemas.openxmlformats.org/officeDocument/2006/relationships/hyperlink" Target="http://ebay.com" TargetMode="External"/><Relationship Id="rId194" Type="http://schemas.openxmlformats.org/officeDocument/2006/relationships/hyperlink" Target="http://ebay.com" TargetMode="External"/><Relationship Id="rId193" Type="http://schemas.openxmlformats.org/officeDocument/2006/relationships/hyperlink" Target="http://ebay.com" TargetMode="External"/><Relationship Id="rId192" Type="http://schemas.openxmlformats.org/officeDocument/2006/relationships/hyperlink" Target="http://ebay.com" TargetMode="External"/><Relationship Id="rId191" Type="http://schemas.openxmlformats.org/officeDocument/2006/relationships/hyperlink" Target="http://ebay.com" TargetMode="External"/><Relationship Id="rId187" Type="http://schemas.openxmlformats.org/officeDocument/2006/relationships/hyperlink" Target="http://ebay.com" TargetMode="External"/><Relationship Id="rId186" Type="http://schemas.openxmlformats.org/officeDocument/2006/relationships/hyperlink" Target="http://ebay.com" TargetMode="External"/><Relationship Id="rId185" Type="http://schemas.openxmlformats.org/officeDocument/2006/relationships/hyperlink" Target="http://ebay.com" TargetMode="External"/><Relationship Id="rId184" Type="http://schemas.openxmlformats.org/officeDocument/2006/relationships/hyperlink" Target="http://ebay.com" TargetMode="External"/><Relationship Id="rId189" Type="http://schemas.openxmlformats.org/officeDocument/2006/relationships/hyperlink" Target="http://ebay.com" TargetMode="External"/><Relationship Id="rId188" Type="http://schemas.openxmlformats.org/officeDocument/2006/relationships/hyperlink" Target="http://ebay.com" TargetMode="External"/><Relationship Id="rId183" Type="http://schemas.openxmlformats.org/officeDocument/2006/relationships/hyperlink" Target="http://ebay.com" TargetMode="External"/><Relationship Id="rId182" Type="http://schemas.openxmlformats.org/officeDocument/2006/relationships/hyperlink" Target="http://ebay.com" TargetMode="External"/><Relationship Id="rId181" Type="http://schemas.openxmlformats.org/officeDocument/2006/relationships/hyperlink" Target="http://ebay.com" TargetMode="External"/><Relationship Id="rId180" Type="http://schemas.openxmlformats.org/officeDocument/2006/relationships/hyperlink" Target="http://ebay.com" TargetMode="External"/><Relationship Id="rId176" Type="http://schemas.openxmlformats.org/officeDocument/2006/relationships/hyperlink" Target="http://ebay.com" TargetMode="External"/><Relationship Id="rId297" Type="http://schemas.openxmlformats.org/officeDocument/2006/relationships/hyperlink" Target="http://insidethemagic.net" TargetMode="External"/><Relationship Id="rId175" Type="http://schemas.openxmlformats.org/officeDocument/2006/relationships/hyperlink" Target="http://ebay.com" TargetMode="External"/><Relationship Id="rId296" Type="http://schemas.openxmlformats.org/officeDocument/2006/relationships/hyperlink" Target="http://insider.com" TargetMode="External"/><Relationship Id="rId174" Type="http://schemas.openxmlformats.org/officeDocument/2006/relationships/hyperlink" Target="http://ebay.com" TargetMode="External"/><Relationship Id="rId295" Type="http://schemas.openxmlformats.org/officeDocument/2006/relationships/hyperlink" Target="http://insider.com" TargetMode="External"/><Relationship Id="rId173" Type="http://schemas.openxmlformats.org/officeDocument/2006/relationships/hyperlink" Target="http://ebay.com" TargetMode="External"/><Relationship Id="rId294" Type="http://schemas.openxmlformats.org/officeDocument/2006/relationships/hyperlink" Target="http://insider.com" TargetMode="External"/><Relationship Id="rId179" Type="http://schemas.openxmlformats.org/officeDocument/2006/relationships/hyperlink" Target="http://ebay.com" TargetMode="External"/><Relationship Id="rId178" Type="http://schemas.openxmlformats.org/officeDocument/2006/relationships/hyperlink" Target="http://ebay.com" TargetMode="External"/><Relationship Id="rId299" Type="http://schemas.openxmlformats.org/officeDocument/2006/relationships/hyperlink" Target="http://investing.com" TargetMode="External"/><Relationship Id="rId177" Type="http://schemas.openxmlformats.org/officeDocument/2006/relationships/hyperlink" Target="http://ebay.com" TargetMode="External"/><Relationship Id="rId298" Type="http://schemas.openxmlformats.org/officeDocument/2006/relationships/hyperlink" Target="http://investing.com" TargetMode="External"/><Relationship Id="rId198" Type="http://schemas.openxmlformats.org/officeDocument/2006/relationships/hyperlink" Target="http://ebay.com" TargetMode="External"/><Relationship Id="rId197" Type="http://schemas.openxmlformats.org/officeDocument/2006/relationships/hyperlink" Target="http://ebay.com" TargetMode="External"/><Relationship Id="rId196" Type="http://schemas.openxmlformats.org/officeDocument/2006/relationships/hyperlink" Target="http://ebay.com" TargetMode="External"/><Relationship Id="rId195" Type="http://schemas.openxmlformats.org/officeDocument/2006/relationships/hyperlink" Target="http://ebay.com" TargetMode="External"/><Relationship Id="rId199" Type="http://schemas.openxmlformats.org/officeDocument/2006/relationships/hyperlink" Target="http://editorsnation.com" TargetMode="External"/><Relationship Id="rId150" Type="http://schemas.openxmlformats.org/officeDocument/2006/relationships/hyperlink" Target="http://dailymail.co.uk/news" TargetMode="External"/><Relationship Id="rId271" Type="http://schemas.openxmlformats.org/officeDocument/2006/relationships/hyperlink" Target="http://geeksforgeeks.org" TargetMode="External"/><Relationship Id="rId392" Type="http://schemas.openxmlformats.org/officeDocument/2006/relationships/hyperlink" Target="http://mlb.com" TargetMode="External"/><Relationship Id="rId270" Type="http://schemas.openxmlformats.org/officeDocument/2006/relationships/hyperlink" Target="http://gamingbible.com" TargetMode="External"/><Relationship Id="rId391" Type="http://schemas.openxmlformats.org/officeDocument/2006/relationships/hyperlink" Target="http://mlb.com" TargetMode="External"/><Relationship Id="rId390" Type="http://schemas.openxmlformats.org/officeDocument/2006/relationships/hyperlink" Target="http://mlb.com" TargetMode="External"/><Relationship Id="rId1" Type="http://schemas.openxmlformats.org/officeDocument/2006/relationships/hyperlink" Target="http://abcnews.go.com" TargetMode="External"/><Relationship Id="rId2" Type="http://schemas.openxmlformats.org/officeDocument/2006/relationships/hyperlink" Target="http://accuweather.com" TargetMode="External"/><Relationship Id="rId3" Type="http://schemas.openxmlformats.org/officeDocument/2006/relationships/hyperlink" Target="http://accuweather.com" TargetMode="External"/><Relationship Id="rId149" Type="http://schemas.openxmlformats.org/officeDocument/2006/relationships/hyperlink" Target="http://dailymail.co.uk/news" TargetMode="External"/><Relationship Id="rId4" Type="http://schemas.openxmlformats.org/officeDocument/2006/relationships/hyperlink" Target="http://accuweather.com" TargetMode="External"/><Relationship Id="rId148" Type="http://schemas.openxmlformats.org/officeDocument/2006/relationships/hyperlink" Target="http://dailyhodl.com" TargetMode="External"/><Relationship Id="rId269" Type="http://schemas.openxmlformats.org/officeDocument/2006/relationships/hyperlink" Target="http://gamespot.com" TargetMode="External"/><Relationship Id="rId9" Type="http://schemas.openxmlformats.org/officeDocument/2006/relationships/hyperlink" Target="http://accuweather.com" TargetMode="External"/><Relationship Id="rId143" Type="http://schemas.openxmlformats.org/officeDocument/2006/relationships/hyperlink" Target="http://dafont.com" TargetMode="External"/><Relationship Id="rId264" Type="http://schemas.openxmlformats.org/officeDocument/2006/relationships/hyperlink" Target="http://foxnews.com" TargetMode="External"/><Relationship Id="rId385" Type="http://schemas.openxmlformats.org/officeDocument/2006/relationships/hyperlink" Target="http://microsoftcasualgames.com" TargetMode="External"/><Relationship Id="rId142" Type="http://schemas.openxmlformats.org/officeDocument/2006/relationships/hyperlink" Target="http://culturess.com" TargetMode="External"/><Relationship Id="rId263" Type="http://schemas.openxmlformats.org/officeDocument/2006/relationships/hyperlink" Target="http://foxnews.com" TargetMode="External"/><Relationship Id="rId384" Type="http://schemas.openxmlformats.org/officeDocument/2006/relationships/hyperlink" Target="http://miamiherald.com" TargetMode="External"/><Relationship Id="rId141" Type="http://schemas.openxmlformats.org/officeDocument/2006/relationships/hyperlink" Target="http://culinaryhill.com" TargetMode="External"/><Relationship Id="rId262" Type="http://schemas.openxmlformats.org/officeDocument/2006/relationships/hyperlink" Target="http://foxnews.com" TargetMode="External"/><Relationship Id="rId383" Type="http://schemas.openxmlformats.org/officeDocument/2006/relationships/hyperlink" Target="http://miamiherald.com" TargetMode="External"/><Relationship Id="rId140" Type="http://schemas.openxmlformats.org/officeDocument/2006/relationships/hyperlink" Target="http://commercialappeal.com" TargetMode="External"/><Relationship Id="rId261" Type="http://schemas.openxmlformats.org/officeDocument/2006/relationships/hyperlink" Target="http://foxnews.com" TargetMode="External"/><Relationship Id="rId382" Type="http://schemas.openxmlformats.org/officeDocument/2006/relationships/hyperlink" Target="http://merriam-webster.com/dictionary" TargetMode="External"/><Relationship Id="rId5" Type="http://schemas.openxmlformats.org/officeDocument/2006/relationships/hyperlink" Target="http://accuweather.com" TargetMode="External"/><Relationship Id="rId147" Type="http://schemas.openxmlformats.org/officeDocument/2006/relationships/hyperlink" Target="http://dailydot.com" TargetMode="External"/><Relationship Id="rId268" Type="http://schemas.openxmlformats.org/officeDocument/2006/relationships/hyperlink" Target="http://gamerant.com" TargetMode="External"/><Relationship Id="rId389" Type="http://schemas.openxmlformats.org/officeDocument/2006/relationships/hyperlink" Target="http://milb.com" TargetMode="External"/><Relationship Id="rId6" Type="http://schemas.openxmlformats.org/officeDocument/2006/relationships/hyperlink" Target="http://accuweather.com" TargetMode="External"/><Relationship Id="rId146" Type="http://schemas.openxmlformats.org/officeDocument/2006/relationships/hyperlink" Target="http://daily-choices.com" TargetMode="External"/><Relationship Id="rId267" Type="http://schemas.openxmlformats.org/officeDocument/2006/relationships/hyperlink" Target="http://gamerant.com" TargetMode="External"/><Relationship Id="rId388" Type="http://schemas.openxmlformats.org/officeDocument/2006/relationships/hyperlink" Target="http://microsoftcasualgames.com" TargetMode="External"/><Relationship Id="rId7" Type="http://schemas.openxmlformats.org/officeDocument/2006/relationships/hyperlink" Target="http://accuweather.com" TargetMode="External"/><Relationship Id="rId145" Type="http://schemas.openxmlformats.org/officeDocument/2006/relationships/hyperlink" Target="http://daily-choices.com" TargetMode="External"/><Relationship Id="rId266" Type="http://schemas.openxmlformats.org/officeDocument/2006/relationships/hyperlink" Target="http://gameofglam.com" TargetMode="External"/><Relationship Id="rId387" Type="http://schemas.openxmlformats.org/officeDocument/2006/relationships/hyperlink" Target="http://microsoftcasualgames.com" TargetMode="External"/><Relationship Id="rId8" Type="http://schemas.openxmlformats.org/officeDocument/2006/relationships/hyperlink" Target="http://accuweather.com" TargetMode="External"/><Relationship Id="rId144" Type="http://schemas.openxmlformats.org/officeDocument/2006/relationships/hyperlink" Target="http://dailybee.com" TargetMode="External"/><Relationship Id="rId265" Type="http://schemas.openxmlformats.org/officeDocument/2006/relationships/hyperlink" Target="http://funnyand.com" TargetMode="External"/><Relationship Id="rId386" Type="http://schemas.openxmlformats.org/officeDocument/2006/relationships/hyperlink" Target="http://microsoftcasualgames.com" TargetMode="External"/><Relationship Id="rId260" Type="http://schemas.openxmlformats.org/officeDocument/2006/relationships/hyperlink" Target="http://foxnews.com" TargetMode="External"/><Relationship Id="rId381" Type="http://schemas.openxmlformats.org/officeDocument/2006/relationships/hyperlink" Target="http://merriam-webster.com/dictionary" TargetMode="External"/><Relationship Id="rId380" Type="http://schemas.openxmlformats.org/officeDocument/2006/relationships/hyperlink" Target="http://merriam-webster.com" TargetMode="External"/><Relationship Id="rId139" Type="http://schemas.openxmlformats.org/officeDocument/2006/relationships/hyperlink" Target="http://cnn.com" TargetMode="External"/><Relationship Id="rId138" Type="http://schemas.openxmlformats.org/officeDocument/2006/relationships/hyperlink" Target="http://cnn.com" TargetMode="External"/><Relationship Id="rId259" Type="http://schemas.openxmlformats.org/officeDocument/2006/relationships/hyperlink" Target="http://foxnews.com" TargetMode="External"/><Relationship Id="rId137" Type="http://schemas.openxmlformats.org/officeDocument/2006/relationships/hyperlink" Target="http://cnn.com" TargetMode="External"/><Relationship Id="rId258" Type="http://schemas.openxmlformats.org/officeDocument/2006/relationships/hyperlink" Target="http://foxnews.com" TargetMode="External"/><Relationship Id="rId379" Type="http://schemas.openxmlformats.org/officeDocument/2006/relationships/hyperlink" Target="http://medicalnewstoday.com" TargetMode="External"/><Relationship Id="rId132" Type="http://schemas.openxmlformats.org/officeDocument/2006/relationships/hyperlink" Target="http://cnn.com" TargetMode="External"/><Relationship Id="rId253" Type="http://schemas.openxmlformats.org/officeDocument/2006/relationships/hyperlink" Target="http://foxbusiness.com" TargetMode="External"/><Relationship Id="rId374" Type="http://schemas.openxmlformats.org/officeDocument/2006/relationships/hyperlink" Target="http://maxroll.gg" TargetMode="External"/><Relationship Id="rId495" Type="http://schemas.openxmlformats.org/officeDocument/2006/relationships/hyperlink" Target="http://poshland.com" TargetMode="External"/><Relationship Id="rId131" Type="http://schemas.openxmlformats.org/officeDocument/2006/relationships/hyperlink" Target="http://cnet.com" TargetMode="External"/><Relationship Id="rId252" Type="http://schemas.openxmlformats.org/officeDocument/2006/relationships/hyperlink" Target="http://fox59.com" TargetMode="External"/><Relationship Id="rId373" Type="http://schemas.openxmlformats.org/officeDocument/2006/relationships/hyperlink" Target="http://marca.com" TargetMode="External"/><Relationship Id="rId494" Type="http://schemas.openxmlformats.org/officeDocument/2006/relationships/hyperlink" Target="http://politico.com" TargetMode="External"/><Relationship Id="rId130" Type="http://schemas.openxmlformats.org/officeDocument/2006/relationships/hyperlink" Target="http://cnet.com" TargetMode="External"/><Relationship Id="rId251" Type="http://schemas.openxmlformats.org/officeDocument/2006/relationships/hyperlink" Target="http://fortune.com" TargetMode="External"/><Relationship Id="rId372" Type="http://schemas.openxmlformats.org/officeDocument/2006/relationships/hyperlink" Target="http://marca.com" TargetMode="External"/><Relationship Id="rId493" Type="http://schemas.openxmlformats.org/officeDocument/2006/relationships/hyperlink" Target="http://politico.com" TargetMode="External"/><Relationship Id="rId250" Type="http://schemas.openxmlformats.org/officeDocument/2006/relationships/hyperlink" Target="http://forbes.com" TargetMode="External"/><Relationship Id="rId371" Type="http://schemas.openxmlformats.org/officeDocument/2006/relationships/hyperlink" Target="http://mapquest.com" TargetMode="External"/><Relationship Id="rId492" Type="http://schemas.openxmlformats.org/officeDocument/2006/relationships/hyperlink" Target="http://phys.org" TargetMode="External"/><Relationship Id="rId136" Type="http://schemas.openxmlformats.org/officeDocument/2006/relationships/hyperlink" Target="http://cnn.com" TargetMode="External"/><Relationship Id="rId257" Type="http://schemas.openxmlformats.org/officeDocument/2006/relationships/hyperlink" Target="http://foxnews.com" TargetMode="External"/><Relationship Id="rId378" Type="http://schemas.openxmlformats.org/officeDocument/2006/relationships/hyperlink" Target="http://medicalnewstoday.com" TargetMode="External"/><Relationship Id="rId499" Type="http://schemas.openxmlformats.org/officeDocument/2006/relationships/hyperlink" Target="http://ranker.com" TargetMode="External"/><Relationship Id="rId135" Type="http://schemas.openxmlformats.org/officeDocument/2006/relationships/hyperlink" Target="http://cnn.com" TargetMode="External"/><Relationship Id="rId256" Type="http://schemas.openxmlformats.org/officeDocument/2006/relationships/hyperlink" Target="http://foxnews.com" TargetMode="External"/><Relationship Id="rId377" Type="http://schemas.openxmlformats.org/officeDocument/2006/relationships/hyperlink" Target="http://medicalnewstoday.com" TargetMode="External"/><Relationship Id="rId498" Type="http://schemas.openxmlformats.org/officeDocument/2006/relationships/hyperlink" Target="http://poshland.com" TargetMode="External"/><Relationship Id="rId134" Type="http://schemas.openxmlformats.org/officeDocument/2006/relationships/hyperlink" Target="http://cnn.com" TargetMode="External"/><Relationship Id="rId255" Type="http://schemas.openxmlformats.org/officeDocument/2006/relationships/hyperlink" Target="http://foxnews.com" TargetMode="External"/><Relationship Id="rId376" Type="http://schemas.openxmlformats.org/officeDocument/2006/relationships/hyperlink" Target="http://medical-news.org" TargetMode="External"/><Relationship Id="rId497" Type="http://schemas.openxmlformats.org/officeDocument/2006/relationships/hyperlink" Target="http://poshland.com" TargetMode="External"/><Relationship Id="rId133" Type="http://schemas.openxmlformats.org/officeDocument/2006/relationships/hyperlink" Target="http://cnn.com" TargetMode="External"/><Relationship Id="rId254" Type="http://schemas.openxmlformats.org/officeDocument/2006/relationships/hyperlink" Target="http://foxnews.com" TargetMode="External"/><Relationship Id="rId375" Type="http://schemas.openxmlformats.org/officeDocument/2006/relationships/hyperlink" Target="http://mayoclinic.org" TargetMode="External"/><Relationship Id="rId496" Type="http://schemas.openxmlformats.org/officeDocument/2006/relationships/hyperlink" Target="http://poshland.com" TargetMode="External"/><Relationship Id="rId172" Type="http://schemas.openxmlformats.org/officeDocument/2006/relationships/hyperlink" Target="http://ebay.com" TargetMode="External"/><Relationship Id="rId293" Type="http://schemas.openxmlformats.org/officeDocument/2006/relationships/hyperlink" Target="http://ign.com" TargetMode="External"/><Relationship Id="rId171" Type="http://schemas.openxmlformats.org/officeDocument/2006/relationships/hyperlink" Target="http://ebay.com" TargetMode="External"/><Relationship Id="rId292" Type="http://schemas.openxmlformats.org/officeDocument/2006/relationships/hyperlink" Target="http://ign.com" TargetMode="External"/><Relationship Id="rId170" Type="http://schemas.openxmlformats.org/officeDocument/2006/relationships/hyperlink" Target="http://ebay.com" TargetMode="External"/><Relationship Id="rId291" Type="http://schemas.openxmlformats.org/officeDocument/2006/relationships/hyperlink" Target="http://ign.com" TargetMode="External"/><Relationship Id="rId290" Type="http://schemas.openxmlformats.org/officeDocument/2006/relationships/hyperlink" Target="http://iflscience.com" TargetMode="External"/><Relationship Id="rId165" Type="http://schemas.openxmlformats.org/officeDocument/2006/relationships/hyperlink" Target="http://drugs.com" TargetMode="External"/><Relationship Id="rId286" Type="http://schemas.openxmlformats.org/officeDocument/2006/relationships/hyperlink" Target="http://homehacks.co" TargetMode="External"/><Relationship Id="rId164" Type="http://schemas.openxmlformats.org/officeDocument/2006/relationships/hyperlink" Target="http://drugs.com" TargetMode="External"/><Relationship Id="rId285" Type="http://schemas.openxmlformats.org/officeDocument/2006/relationships/hyperlink" Target="http://homeaddict.io" TargetMode="External"/><Relationship Id="rId163" Type="http://schemas.openxmlformats.org/officeDocument/2006/relationships/hyperlink" Target="http://drugs.com" TargetMode="External"/><Relationship Id="rId284" Type="http://schemas.openxmlformats.org/officeDocument/2006/relationships/hyperlink" Target="http://historycollection.com" TargetMode="External"/><Relationship Id="rId162" Type="http://schemas.openxmlformats.org/officeDocument/2006/relationships/hyperlink" Target="http://drugs.com" TargetMode="External"/><Relationship Id="rId283" Type="http://schemas.openxmlformats.org/officeDocument/2006/relationships/hyperlink" Target="http://historyallday.com" TargetMode="External"/><Relationship Id="rId169" Type="http://schemas.openxmlformats.org/officeDocument/2006/relationships/hyperlink" Target="http://ebay.com" TargetMode="External"/><Relationship Id="rId168" Type="http://schemas.openxmlformats.org/officeDocument/2006/relationships/hyperlink" Target="http://ebay.com" TargetMode="External"/><Relationship Id="rId289" Type="http://schemas.openxmlformats.org/officeDocument/2006/relationships/hyperlink" Target="http://icy-veins.com" TargetMode="External"/><Relationship Id="rId167" Type="http://schemas.openxmlformats.org/officeDocument/2006/relationships/hyperlink" Target="http://ebay.com" TargetMode="External"/><Relationship Id="rId288" Type="http://schemas.openxmlformats.org/officeDocument/2006/relationships/hyperlink" Target="http://icy-veins.com" TargetMode="External"/><Relationship Id="rId166" Type="http://schemas.openxmlformats.org/officeDocument/2006/relationships/hyperlink" Target="http://drugs.com" TargetMode="External"/><Relationship Id="rId287" Type="http://schemas.openxmlformats.org/officeDocument/2006/relationships/hyperlink" Target="http://houseplans.net" TargetMode="External"/><Relationship Id="rId161" Type="http://schemas.openxmlformats.org/officeDocument/2006/relationships/hyperlink" Target="http://dotesports.com" TargetMode="External"/><Relationship Id="rId282" Type="http://schemas.openxmlformats.org/officeDocument/2006/relationships/hyperlink" Target="http://hindustantimes.com" TargetMode="External"/><Relationship Id="rId160" Type="http://schemas.openxmlformats.org/officeDocument/2006/relationships/hyperlink" Target="http://doodle.com" TargetMode="External"/><Relationship Id="rId281" Type="http://schemas.openxmlformats.org/officeDocument/2006/relationships/hyperlink" Target="http://hindustantimes.com" TargetMode="External"/><Relationship Id="rId280" Type="http://schemas.openxmlformats.org/officeDocument/2006/relationships/hyperlink" Target="http://heraldweekly.com" TargetMode="External"/><Relationship Id="rId159" Type="http://schemas.openxmlformats.org/officeDocument/2006/relationships/hyperlink" Target="http://doctoreport.com" TargetMode="External"/><Relationship Id="rId154" Type="http://schemas.openxmlformats.org/officeDocument/2006/relationships/hyperlink" Target="http://dexerto.com" TargetMode="External"/><Relationship Id="rId275" Type="http://schemas.openxmlformats.org/officeDocument/2006/relationships/hyperlink" Target="http://greatschools.org" TargetMode="External"/><Relationship Id="rId396" Type="http://schemas.openxmlformats.org/officeDocument/2006/relationships/hyperlink" Target="http://mobileposse.com" TargetMode="External"/><Relationship Id="rId153" Type="http://schemas.openxmlformats.org/officeDocument/2006/relationships/hyperlink" Target="http://dailymail.co.uk/tvshowbiz" TargetMode="External"/><Relationship Id="rId274" Type="http://schemas.openxmlformats.org/officeDocument/2006/relationships/hyperlink" Target="http://geeksforgeeks.org" TargetMode="External"/><Relationship Id="rId395" Type="http://schemas.openxmlformats.org/officeDocument/2006/relationships/hyperlink" Target="http://mlb.com" TargetMode="External"/><Relationship Id="rId152" Type="http://schemas.openxmlformats.org/officeDocument/2006/relationships/hyperlink" Target="http://dailymail.co.uk/tvshowbiz" TargetMode="External"/><Relationship Id="rId273" Type="http://schemas.openxmlformats.org/officeDocument/2006/relationships/hyperlink" Target="http://geeksforgeeks.org" TargetMode="External"/><Relationship Id="rId394" Type="http://schemas.openxmlformats.org/officeDocument/2006/relationships/hyperlink" Target="http://mlb.com" TargetMode="External"/><Relationship Id="rId151" Type="http://schemas.openxmlformats.org/officeDocument/2006/relationships/hyperlink" Target="http://dailymail.co.uk/tvshowbiz" TargetMode="External"/><Relationship Id="rId272" Type="http://schemas.openxmlformats.org/officeDocument/2006/relationships/hyperlink" Target="http://geeksforgeeks.org" TargetMode="External"/><Relationship Id="rId393" Type="http://schemas.openxmlformats.org/officeDocument/2006/relationships/hyperlink" Target="http://mlb.com" TargetMode="External"/><Relationship Id="rId158" Type="http://schemas.openxmlformats.org/officeDocument/2006/relationships/hyperlink" Target="http://dmv.org" TargetMode="External"/><Relationship Id="rId279" Type="http://schemas.openxmlformats.org/officeDocument/2006/relationships/hyperlink" Target="http://healthyrecipesblogs.com" TargetMode="External"/><Relationship Id="rId157" Type="http://schemas.openxmlformats.org/officeDocument/2006/relationships/hyperlink" Target="http://dinneratthezoo.com" TargetMode="External"/><Relationship Id="rId278" Type="http://schemas.openxmlformats.org/officeDocument/2006/relationships/hyperlink" Target="http://healthline.com" TargetMode="External"/><Relationship Id="rId399" Type="http://schemas.openxmlformats.org/officeDocument/2006/relationships/hyperlink" Target="http://msn.com" TargetMode="External"/><Relationship Id="rId156" Type="http://schemas.openxmlformats.org/officeDocument/2006/relationships/hyperlink" Target="http://dictionary.com" TargetMode="External"/><Relationship Id="rId277" Type="http://schemas.openxmlformats.org/officeDocument/2006/relationships/hyperlink" Target="http://health.usnews.com" TargetMode="External"/><Relationship Id="rId398" Type="http://schemas.openxmlformats.org/officeDocument/2006/relationships/hyperlink" Target="http://motor-junkie.com" TargetMode="External"/><Relationship Id="rId155" Type="http://schemas.openxmlformats.org/officeDocument/2006/relationships/hyperlink" Target="http://dictionary.com" TargetMode="External"/><Relationship Id="rId276" Type="http://schemas.openxmlformats.org/officeDocument/2006/relationships/hyperlink" Target="http://greedyfinance.com" TargetMode="External"/><Relationship Id="rId397" Type="http://schemas.openxmlformats.org/officeDocument/2006/relationships/hyperlink" Target="http://moneyppl.com" TargetMode="External"/><Relationship Id="rId40" Type="http://schemas.openxmlformats.org/officeDocument/2006/relationships/hyperlink" Target="http://autotrader.com" TargetMode="External"/><Relationship Id="rId42" Type="http://schemas.openxmlformats.org/officeDocument/2006/relationships/hyperlink" Target="http://baseball.fantasysports.yahoo.com" TargetMode="External"/><Relationship Id="rId41" Type="http://schemas.openxmlformats.org/officeDocument/2006/relationships/hyperlink" Target="http://a-z-animals.com" TargetMode="External"/><Relationship Id="rId44" Type="http://schemas.openxmlformats.org/officeDocument/2006/relationships/hyperlink" Target="http://bbc.com" TargetMode="External"/><Relationship Id="rId43" Type="http://schemas.openxmlformats.org/officeDocument/2006/relationships/hyperlink" Target="http://baseball-reference.com" TargetMode="External"/><Relationship Id="rId46" Type="http://schemas.openxmlformats.org/officeDocument/2006/relationships/hyperlink" Target="http://bbc.com" TargetMode="External"/><Relationship Id="rId45" Type="http://schemas.openxmlformats.org/officeDocument/2006/relationships/hyperlink" Target="http://bbc.com" TargetMode="External"/><Relationship Id="rId509" Type="http://schemas.openxmlformats.org/officeDocument/2006/relationships/hyperlink" Target="http://realtor.com" TargetMode="External"/><Relationship Id="rId508" Type="http://schemas.openxmlformats.org/officeDocument/2006/relationships/hyperlink" Target="http://realtor.com" TargetMode="External"/><Relationship Id="rId629" Type="http://schemas.openxmlformats.org/officeDocument/2006/relationships/hyperlink" Target="http://weather.com" TargetMode="External"/><Relationship Id="rId503" Type="http://schemas.openxmlformats.org/officeDocument/2006/relationships/hyperlink" Target="http://realtor.com" TargetMode="External"/><Relationship Id="rId624" Type="http://schemas.openxmlformats.org/officeDocument/2006/relationships/hyperlink" Target="http://weather.com" TargetMode="External"/><Relationship Id="rId502" Type="http://schemas.openxmlformats.org/officeDocument/2006/relationships/hyperlink" Target="http://realtor.com" TargetMode="External"/><Relationship Id="rId623" Type="http://schemas.openxmlformats.org/officeDocument/2006/relationships/hyperlink" Target="http://washingtonpost.com" TargetMode="External"/><Relationship Id="rId501" Type="http://schemas.openxmlformats.org/officeDocument/2006/relationships/hyperlink" Target="http://realtor.com" TargetMode="External"/><Relationship Id="rId622" Type="http://schemas.openxmlformats.org/officeDocument/2006/relationships/hyperlink" Target="http://w3schools.com" TargetMode="External"/><Relationship Id="rId500" Type="http://schemas.openxmlformats.org/officeDocument/2006/relationships/hyperlink" Target="http://ranker.com" TargetMode="External"/><Relationship Id="rId621" Type="http://schemas.openxmlformats.org/officeDocument/2006/relationships/hyperlink" Target="http://w3schools.com" TargetMode="External"/><Relationship Id="rId507" Type="http://schemas.openxmlformats.org/officeDocument/2006/relationships/hyperlink" Target="http://realtor.com" TargetMode="External"/><Relationship Id="rId628" Type="http://schemas.openxmlformats.org/officeDocument/2006/relationships/hyperlink" Target="http://weather.com" TargetMode="External"/><Relationship Id="rId506" Type="http://schemas.openxmlformats.org/officeDocument/2006/relationships/hyperlink" Target="http://realtor.com" TargetMode="External"/><Relationship Id="rId627" Type="http://schemas.openxmlformats.org/officeDocument/2006/relationships/hyperlink" Target="http://weather.com" TargetMode="External"/><Relationship Id="rId505" Type="http://schemas.openxmlformats.org/officeDocument/2006/relationships/hyperlink" Target="http://realtor.com" TargetMode="External"/><Relationship Id="rId626" Type="http://schemas.openxmlformats.org/officeDocument/2006/relationships/hyperlink" Target="http://weather.com" TargetMode="External"/><Relationship Id="rId504" Type="http://schemas.openxmlformats.org/officeDocument/2006/relationships/hyperlink" Target="http://realtor.com" TargetMode="External"/><Relationship Id="rId625" Type="http://schemas.openxmlformats.org/officeDocument/2006/relationships/hyperlink" Target="http://weather.com" TargetMode="External"/><Relationship Id="rId48" Type="http://schemas.openxmlformats.org/officeDocument/2006/relationships/hyperlink" Target="http://bbc.com" TargetMode="External"/><Relationship Id="rId47" Type="http://schemas.openxmlformats.org/officeDocument/2006/relationships/hyperlink" Target="http://bbc.com" TargetMode="External"/><Relationship Id="rId49" Type="http://schemas.openxmlformats.org/officeDocument/2006/relationships/hyperlink" Target="http://behindthevoiceactors.com" TargetMode="External"/><Relationship Id="rId620" Type="http://schemas.openxmlformats.org/officeDocument/2006/relationships/hyperlink" Target="http://w3schools.com" TargetMode="External"/><Relationship Id="rId31" Type="http://schemas.openxmlformats.org/officeDocument/2006/relationships/hyperlink" Target="http://aol.com" TargetMode="External"/><Relationship Id="rId30" Type="http://schemas.openxmlformats.org/officeDocument/2006/relationships/hyperlink" Target="http://aol.com" TargetMode="External"/><Relationship Id="rId33" Type="http://schemas.openxmlformats.org/officeDocument/2006/relationships/hyperlink" Target="http://apnews.com" TargetMode="External"/><Relationship Id="rId32" Type="http://schemas.openxmlformats.org/officeDocument/2006/relationships/hyperlink" Target="http://aol.com" TargetMode="External"/><Relationship Id="rId35" Type="http://schemas.openxmlformats.org/officeDocument/2006/relationships/hyperlink" Target="http://att.yahoo.com" TargetMode="External"/><Relationship Id="rId34" Type="http://schemas.openxmlformats.org/officeDocument/2006/relationships/hyperlink" Target="http://apnews.com" TargetMode="External"/><Relationship Id="rId619" Type="http://schemas.openxmlformats.org/officeDocument/2006/relationships/hyperlink" Target="http://w3schools.com" TargetMode="External"/><Relationship Id="rId618" Type="http://schemas.openxmlformats.org/officeDocument/2006/relationships/hyperlink" Target="http://usssa.com" TargetMode="External"/><Relationship Id="rId613" Type="http://schemas.openxmlformats.org/officeDocument/2006/relationships/hyperlink" Target="http://usatoday.com" TargetMode="External"/><Relationship Id="rId612" Type="http://schemas.openxmlformats.org/officeDocument/2006/relationships/hyperlink" Target="http://usatoday.com" TargetMode="External"/><Relationship Id="rId611" Type="http://schemas.openxmlformats.org/officeDocument/2006/relationships/hyperlink" Target="http://usatoday.com" TargetMode="External"/><Relationship Id="rId610" Type="http://schemas.openxmlformats.org/officeDocument/2006/relationships/hyperlink" Target="http://upworthy.com" TargetMode="External"/><Relationship Id="rId731" Type="http://schemas.microsoft.com/office/2007/relationships/slicer" Target="../slicers/slicer1.xml"/><Relationship Id="rId617" Type="http://schemas.openxmlformats.org/officeDocument/2006/relationships/hyperlink" Target="http://usnews.com" TargetMode="External"/><Relationship Id="rId616" Type="http://schemas.openxmlformats.org/officeDocument/2006/relationships/hyperlink" Target="http://uscellular.com" TargetMode="External"/><Relationship Id="rId615" Type="http://schemas.openxmlformats.org/officeDocument/2006/relationships/hyperlink" Target="http://usatoday.com" TargetMode="External"/><Relationship Id="rId614" Type="http://schemas.openxmlformats.org/officeDocument/2006/relationships/hyperlink" Target="http://usatoday.com" TargetMode="External"/><Relationship Id="rId37" Type="http://schemas.openxmlformats.org/officeDocument/2006/relationships/hyperlink" Target="http://autotrader.com" TargetMode="External"/><Relationship Id="rId36" Type="http://schemas.openxmlformats.org/officeDocument/2006/relationships/hyperlink" Target="http://att.yahoo.com" TargetMode="External"/><Relationship Id="rId39" Type="http://schemas.openxmlformats.org/officeDocument/2006/relationships/hyperlink" Target="http://autotrader.com" TargetMode="External"/><Relationship Id="rId38" Type="http://schemas.openxmlformats.org/officeDocument/2006/relationships/hyperlink" Target="http://autotrader.com" TargetMode="External"/><Relationship Id="rId730" Type="http://schemas.openxmlformats.org/officeDocument/2006/relationships/table" Target="../tables/table1.xml"/><Relationship Id="rId20" Type="http://schemas.openxmlformats.org/officeDocument/2006/relationships/hyperlink" Target="http://activebeat.com" TargetMode="External"/><Relationship Id="rId22" Type="http://schemas.openxmlformats.org/officeDocument/2006/relationships/hyperlink" Target="http://ajc.com" TargetMode="External"/><Relationship Id="rId21" Type="http://schemas.openxmlformats.org/officeDocument/2006/relationships/hyperlink" Target="http://ajc.com" TargetMode="External"/><Relationship Id="rId24" Type="http://schemas.openxmlformats.org/officeDocument/2006/relationships/hyperlink" Target="http://ajc.com" TargetMode="External"/><Relationship Id="rId23" Type="http://schemas.openxmlformats.org/officeDocument/2006/relationships/hyperlink" Target="http://ajc.com" TargetMode="External"/><Relationship Id="rId409" Type="http://schemas.openxmlformats.org/officeDocument/2006/relationships/hyperlink" Target="http://msn.com" TargetMode="External"/><Relationship Id="rId404" Type="http://schemas.openxmlformats.org/officeDocument/2006/relationships/hyperlink" Target="http://msn.com" TargetMode="External"/><Relationship Id="rId525" Type="http://schemas.openxmlformats.org/officeDocument/2006/relationships/hyperlink" Target="http://redfin.com" TargetMode="External"/><Relationship Id="rId646" Type="http://schemas.openxmlformats.org/officeDocument/2006/relationships/hyperlink" Target="http://weather.com" TargetMode="External"/><Relationship Id="rId403" Type="http://schemas.openxmlformats.org/officeDocument/2006/relationships/hyperlink" Target="http://msn.com" TargetMode="External"/><Relationship Id="rId524" Type="http://schemas.openxmlformats.org/officeDocument/2006/relationships/hyperlink" Target="http://realtor.com" TargetMode="External"/><Relationship Id="rId645" Type="http://schemas.openxmlformats.org/officeDocument/2006/relationships/hyperlink" Target="http://weather.com" TargetMode="External"/><Relationship Id="rId402" Type="http://schemas.openxmlformats.org/officeDocument/2006/relationships/hyperlink" Target="http://msn.com" TargetMode="External"/><Relationship Id="rId523" Type="http://schemas.openxmlformats.org/officeDocument/2006/relationships/hyperlink" Target="http://realtor.com" TargetMode="External"/><Relationship Id="rId644" Type="http://schemas.openxmlformats.org/officeDocument/2006/relationships/hyperlink" Target="http://weather.com" TargetMode="External"/><Relationship Id="rId401" Type="http://schemas.openxmlformats.org/officeDocument/2006/relationships/hyperlink" Target="http://msn.com" TargetMode="External"/><Relationship Id="rId522" Type="http://schemas.openxmlformats.org/officeDocument/2006/relationships/hyperlink" Target="http://realtor.com" TargetMode="External"/><Relationship Id="rId643" Type="http://schemas.openxmlformats.org/officeDocument/2006/relationships/hyperlink" Target="http://weather.com" TargetMode="External"/><Relationship Id="rId408" Type="http://schemas.openxmlformats.org/officeDocument/2006/relationships/hyperlink" Target="http://msn.com" TargetMode="External"/><Relationship Id="rId529" Type="http://schemas.openxmlformats.org/officeDocument/2006/relationships/hyperlink" Target="http://repairlinkshop.com" TargetMode="External"/><Relationship Id="rId407" Type="http://schemas.openxmlformats.org/officeDocument/2006/relationships/hyperlink" Target="http://msn.com" TargetMode="External"/><Relationship Id="rId528" Type="http://schemas.openxmlformats.org/officeDocument/2006/relationships/hyperlink" Target="http://rent.com" TargetMode="External"/><Relationship Id="rId649" Type="http://schemas.openxmlformats.org/officeDocument/2006/relationships/hyperlink" Target="http://weather.com" TargetMode="External"/><Relationship Id="rId406" Type="http://schemas.openxmlformats.org/officeDocument/2006/relationships/hyperlink" Target="http://msn.com" TargetMode="External"/><Relationship Id="rId527" Type="http://schemas.openxmlformats.org/officeDocument/2006/relationships/hyperlink" Target="http://rent.com" TargetMode="External"/><Relationship Id="rId648" Type="http://schemas.openxmlformats.org/officeDocument/2006/relationships/hyperlink" Target="http://weather.com" TargetMode="External"/><Relationship Id="rId405" Type="http://schemas.openxmlformats.org/officeDocument/2006/relationships/hyperlink" Target="http://msn.com" TargetMode="External"/><Relationship Id="rId526" Type="http://schemas.openxmlformats.org/officeDocument/2006/relationships/hyperlink" Target="http://reference.com" TargetMode="External"/><Relationship Id="rId647" Type="http://schemas.openxmlformats.org/officeDocument/2006/relationships/hyperlink" Target="http://weather.com" TargetMode="External"/><Relationship Id="rId26" Type="http://schemas.openxmlformats.org/officeDocument/2006/relationships/hyperlink" Target="http://allrecipes.com" TargetMode="External"/><Relationship Id="rId25" Type="http://schemas.openxmlformats.org/officeDocument/2006/relationships/hyperlink" Target="http://al.com" TargetMode="External"/><Relationship Id="rId28" Type="http://schemas.openxmlformats.org/officeDocument/2006/relationships/hyperlink" Target="http://androidauthority.com" TargetMode="External"/><Relationship Id="rId27" Type="http://schemas.openxmlformats.org/officeDocument/2006/relationships/hyperlink" Target="http://alotfinance.com" TargetMode="External"/><Relationship Id="rId400" Type="http://schemas.openxmlformats.org/officeDocument/2006/relationships/hyperlink" Target="http://msn.com" TargetMode="External"/><Relationship Id="rId521" Type="http://schemas.openxmlformats.org/officeDocument/2006/relationships/hyperlink" Target="http://realtor.com" TargetMode="External"/><Relationship Id="rId642" Type="http://schemas.openxmlformats.org/officeDocument/2006/relationships/hyperlink" Target="http://weather.com" TargetMode="External"/><Relationship Id="rId29" Type="http://schemas.openxmlformats.org/officeDocument/2006/relationships/hyperlink" Target="http://androidpolice.com" TargetMode="External"/><Relationship Id="rId520" Type="http://schemas.openxmlformats.org/officeDocument/2006/relationships/hyperlink" Target="http://realtor.com" TargetMode="External"/><Relationship Id="rId641" Type="http://schemas.openxmlformats.org/officeDocument/2006/relationships/hyperlink" Target="http://weather.com" TargetMode="External"/><Relationship Id="rId640" Type="http://schemas.openxmlformats.org/officeDocument/2006/relationships/hyperlink" Target="http://weather.com" TargetMode="External"/><Relationship Id="rId11" Type="http://schemas.openxmlformats.org/officeDocument/2006/relationships/hyperlink" Target="http://accuweather.com" TargetMode="External"/><Relationship Id="rId10" Type="http://schemas.openxmlformats.org/officeDocument/2006/relationships/hyperlink" Target="http://accuweather.com" TargetMode="External"/><Relationship Id="rId13" Type="http://schemas.openxmlformats.org/officeDocument/2006/relationships/hyperlink" Target="http://accuweather.com" TargetMode="External"/><Relationship Id="rId12" Type="http://schemas.openxmlformats.org/officeDocument/2006/relationships/hyperlink" Target="http://accuweather.com" TargetMode="External"/><Relationship Id="rId519" Type="http://schemas.openxmlformats.org/officeDocument/2006/relationships/hyperlink" Target="http://realtor.com" TargetMode="External"/><Relationship Id="rId514" Type="http://schemas.openxmlformats.org/officeDocument/2006/relationships/hyperlink" Target="http://realtor.com" TargetMode="External"/><Relationship Id="rId635" Type="http://schemas.openxmlformats.org/officeDocument/2006/relationships/hyperlink" Target="http://weather.com" TargetMode="External"/><Relationship Id="rId513" Type="http://schemas.openxmlformats.org/officeDocument/2006/relationships/hyperlink" Target="http://realtor.com" TargetMode="External"/><Relationship Id="rId634" Type="http://schemas.openxmlformats.org/officeDocument/2006/relationships/hyperlink" Target="http://weather.com" TargetMode="External"/><Relationship Id="rId512" Type="http://schemas.openxmlformats.org/officeDocument/2006/relationships/hyperlink" Target="http://realtor.com" TargetMode="External"/><Relationship Id="rId633" Type="http://schemas.openxmlformats.org/officeDocument/2006/relationships/hyperlink" Target="http://weather.com" TargetMode="External"/><Relationship Id="rId511" Type="http://schemas.openxmlformats.org/officeDocument/2006/relationships/hyperlink" Target="http://realtor.com" TargetMode="External"/><Relationship Id="rId632" Type="http://schemas.openxmlformats.org/officeDocument/2006/relationships/hyperlink" Target="http://weather.com" TargetMode="External"/><Relationship Id="rId518" Type="http://schemas.openxmlformats.org/officeDocument/2006/relationships/hyperlink" Target="http://realtor.com" TargetMode="External"/><Relationship Id="rId639" Type="http://schemas.openxmlformats.org/officeDocument/2006/relationships/hyperlink" Target="http://weather.com" TargetMode="External"/><Relationship Id="rId517" Type="http://schemas.openxmlformats.org/officeDocument/2006/relationships/hyperlink" Target="http://realtor.com" TargetMode="External"/><Relationship Id="rId638" Type="http://schemas.openxmlformats.org/officeDocument/2006/relationships/hyperlink" Target="http://weather.com" TargetMode="External"/><Relationship Id="rId516" Type="http://schemas.openxmlformats.org/officeDocument/2006/relationships/hyperlink" Target="http://realtor.com" TargetMode="External"/><Relationship Id="rId637" Type="http://schemas.openxmlformats.org/officeDocument/2006/relationships/hyperlink" Target="http://weather.com" TargetMode="External"/><Relationship Id="rId515" Type="http://schemas.openxmlformats.org/officeDocument/2006/relationships/hyperlink" Target="http://realtor.com" TargetMode="External"/><Relationship Id="rId636" Type="http://schemas.openxmlformats.org/officeDocument/2006/relationships/hyperlink" Target="http://weather.com" TargetMode="External"/><Relationship Id="rId15" Type="http://schemas.openxmlformats.org/officeDocument/2006/relationships/hyperlink" Target="http://accuweather.com" TargetMode="External"/><Relationship Id="rId14" Type="http://schemas.openxmlformats.org/officeDocument/2006/relationships/hyperlink" Target="http://accuweather.com" TargetMode="External"/><Relationship Id="rId17" Type="http://schemas.openxmlformats.org/officeDocument/2006/relationships/hyperlink" Target="http://activebeat.com" TargetMode="External"/><Relationship Id="rId16" Type="http://schemas.openxmlformats.org/officeDocument/2006/relationships/hyperlink" Target="http://accuweather.com" TargetMode="External"/><Relationship Id="rId19" Type="http://schemas.openxmlformats.org/officeDocument/2006/relationships/hyperlink" Target="http://activebeat.com" TargetMode="External"/><Relationship Id="rId510" Type="http://schemas.openxmlformats.org/officeDocument/2006/relationships/hyperlink" Target="http://realtor.com" TargetMode="External"/><Relationship Id="rId631" Type="http://schemas.openxmlformats.org/officeDocument/2006/relationships/hyperlink" Target="http://weather.com" TargetMode="External"/><Relationship Id="rId18" Type="http://schemas.openxmlformats.org/officeDocument/2006/relationships/hyperlink" Target="http://activebeat.com" TargetMode="External"/><Relationship Id="rId630" Type="http://schemas.openxmlformats.org/officeDocument/2006/relationships/hyperlink" Target="http://weather.com" TargetMode="External"/><Relationship Id="rId84" Type="http://schemas.openxmlformats.org/officeDocument/2006/relationships/hyperlink" Target="http://buzzfeed.com" TargetMode="External"/><Relationship Id="rId83" Type="http://schemas.openxmlformats.org/officeDocument/2006/relationships/hyperlink" Target="http://buzzfeed.com" TargetMode="External"/><Relationship Id="rId86" Type="http://schemas.openxmlformats.org/officeDocument/2006/relationships/hyperlink" Target="http://calculator.net" TargetMode="External"/><Relationship Id="rId85" Type="http://schemas.openxmlformats.org/officeDocument/2006/relationships/hyperlink" Target="http://calculator.net" TargetMode="External"/><Relationship Id="rId88" Type="http://schemas.openxmlformats.org/officeDocument/2006/relationships/hyperlink" Target="http://calculator.net" TargetMode="External"/><Relationship Id="rId87" Type="http://schemas.openxmlformats.org/officeDocument/2006/relationships/hyperlink" Target="http://calculator.net" TargetMode="External"/><Relationship Id="rId89" Type="http://schemas.openxmlformats.org/officeDocument/2006/relationships/hyperlink" Target="http://calculator.net" TargetMode="External"/><Relationship Id="rId709" Type="http://schemas.openxmlformats.org/officeDocument/2006/relationships/hyperlink" Target="http://yahoo.com" TargetMode="External"/><Relationship Id="rId708" Type="http://schemas.openxmlformats.org/officeDocument/2006/relationships/hyperlink" Target="http://yahoo.com" TargetMode="External"/><Relationship Id="rId707" Type="http://schemas.openxmlformats.org/officeDocument/2006/relationships/hyperlink" Target="http://yahoo.com" TargetMode="External"/><Relationship Id="rId706" Type="http://schemas.openxmlformats.org/officeDocument/2006/relationships/hyperlink" Target="http://yahoo.com" TargetMode="External"/><Relationship Id="rId80" Type="http://schemas.openxmlformats.org/officeDocument/2006/relationships/hyperlink" Target="http://businessinsider.com" TargetMode="External"/><Relationship Id="rId82" Type="http://schemas.openxmlformats.org/officeDocument/2006/relationships/hyperlink" Target="http://businessinsider.com" TargetMode="External"/><Relationship Id="rId81" Type="http://schemas.openxmlformats.org/officeDocument/2006/relationships/hyperlink" Target="http://businessinsider.com" TargetMode="External"/><Relationship Id="rId701" Type="http://schemas.openxmlformats.org/officeDocument/2006/relationships/hyperlink" Target="http://yahoo.com" TargetMode="External"/><Relationship Id="rId700" Type="http://schemas.openxmlformats.org/officeDocument/2006/relationships/hyperlink" Target="http://yahoo.com" TargetMode="External"/><Relationship Id="rId705" Type="http://schemas.openxmlformats.org/officeDocument/2006/relationships/hyperlink" Target="http://yahoo.com" TargetMode="External"/><Relationship Id="rId704" Type="http://schemas.openxmlformats.org/officeDocument/2006/relationships/hyperlink" Target="http://yahoo.com" TargetMode="External"/><Relationship Id="rId703" Type="http://schemas.openxmlformats.org/officeDocument/2006/relationships/hyperlink" Target="http://yahoo.com" TargetMode="External"/><Relationship Id="rId702" Type="http://schemas.openxmlformats.org/officeDocument/2006/relationships/hyperlink" Target="http://yahoo.com" TargetMode="External"/><Relationship Id="rId73" Type="http://schemas.openxmlformats.org/officeDocument/2006/relationships/hyperlink" Target="http://boattrader.com" TargetMode="External"/><Relationship Id="rId72" Type="http://schemas.openxmlformats.org/officeDocument/2006/relationships/hyperlink" Target="http://boattrader.com" TargetMode="External"/><Relationship Id="rId75" Type="http://schemas.openxmlformats.org/officeDocument/2006/relationships/hyperlink" Target="http://boattrader.com" TargetMode="External"/><Relationship Id="rId74" Type="http://schemas.openxmlformats.org/officeDocument/2006/relationships/hyperlink" Target="http://boattrader.com" TargetMode="External"/><Relationship Id="rId77" Type="http://schemas.openxmlformats.org/officeDocument/2006/relationships/hyperlink" Target="http://bridesblush.com" TargetMode="External"/><Relationship Id="rId76" Type="http://schemas.openxmlformats.org/officeDocument/2006/relationships/hyperlink" Target="http://boxrox.com" TargetMode="External"/><Relationship Id="rId79" Type="http://schemas.openxmlformats.org/officeDocument/2006/relationships/hyperlink" Target="http://businessinsider.com" TargetMode="External"/><Relationship Id="rId78" Type="http://schemas.openxmlformats.org/officeDocument/2006/relationships/hyperlink" Target="http://britannica.com" TargetMode="External"/><Relationship Id="rId71" Type="http://schemas.openxmlformats.org/officeDocument/2006/relationships/hyperlink" Target="http://boattrader.com" TargetMode="External"/><Relationship Id="rId70" Type="http://schemas.openxmlformats.org/officeDocument/2006/relationships/hyperlink" Target="http://bleacherbreaker.com" TargetMode="External"/><Relationship Id="rId62" Type="http://schemas.openxmlformats.org/officeDocument/2006/relationships/hyperlink" Target="http://biblegateway.com" TargetMode="External"/><Relationship Id="rId61" Type="http://schemas.openxmlformats.org/officeDocument/2006/relationships/hyperlink" Target="http://biblegateway.com" TargetMode="External"/><Relationship Id="rId64" Type="http://schemas.openxmlformats.org/officeDocument/2006/relationships/hyperlink" Target="http://biblegateway.com" TargetMode="External"/><Relationship Id="rId63" Type="http://schemas.openxmlformats.org/officeDocument/2006/relationships/hyperlink" Target="http://biblegateway.com" TargetMode="External"/><Relationship Id="rId66" Type="http://schemas.openxmlformats.org/officeDocument/2006/relationships/hyperlink" Target="http://biblegateway.com" TargetMode="External"/><Relationship Id="rId65" Type="http://schemas.openxmlformats.org/officeDocument/2006/relationships/hyperlink" Target="http://biblegateway.com" TargetMode="External"/><Relationship Id="rId68" Type="http://schemas.openxmlformats.org/officeDocument/2006/relationships/hyperlink" Target="http://biblestudytools.com" TargetMode="External"/><Relationship Id="rId67" Type="http://schemas.openxmlformats.org/officeDocument/2006/relationships/hyperlink" Target="http://biblegateway.com" TargetMode="External"/><Relationship Id="rId609" Type="http://schemas.openxmlformats.org/officeDocument/2006/relationships/hyperlink" Target="http://tripadvisor.com" TargetMode="External"/><Relationship Id="rId608" Type="http://schemas.openxmlformats.org/officeDocument/2006/relationships/hyperlink" Target="http://travelerdreams.com" TargetMode="External"/><Relationship Id="rId607" Type="http://schemas.openxmlformats.org/officeDocument/2006/relationships/hyperlink" Target="http://travelerdreams.com" TargetMode="External"/><Relationship Id="rId728" Type="http://schemas.openxmlformats.org/officeDocument/2006/relationships/drawing" Target="../drawings/drawing17.xml"/><Relationship Id="rId60" Type="http://schemas.openxmlformats.org/officeDocument/2006/relationships/hyperlink" Target="http://biblegateway.com" TargetMode="External"/><Relationship Id="rId602" Type="http://schemas.openxmlformats.org/officeDocument/2006/relationships/hyperlink" Target="http://tomsguide.com" TargetMode="External"/><Relationship Id="rId723" Type="http://schemas.openxmlformats.org/officeDocument/2006/relationships/hyperlink" Target="http://zillow.com" TargetMode="External"/><Relationship Id="rId601" Type="http://schemas.openxmlformats.org/officeDocument/2006/relationships/hyperlink" Target="http://todaysnyc.com" TargetMode="External"/><Relationship Id="rId722" Type="http://schemas.openxmlformats.org/officeDocument/2006/relationships/hyperlink" Target="http://zillow.com" TargetMode="External"/><Relationship Id="rId600" Type="http://schemas.openxmlformats.org/officeDocument/2006/relationships/hyperlink" Target="http://timeanddate.com" TargetMode="External"/><Relationship Id="rId721" Type="http://schemas.openxmlformats.org/officeDocument/2006/relationships/hyperlink" Target="http://zillow.com" TargetMode="External"/><Relationship Id="rId720" Type="http://schemas.openxmlformats.org/officeDocument/2006/relationships/hyperlink" Target="http://zillow.com" TargetMode="External"/><Relationship Id="rId606" Type="http://schemas.openxmlformats.org/officeDocument/2006/relationships/hyperlink" Target="http://topclassactions.com" TargetMode="External"/><Relationship Id="rId727" Type="http://schemas.openxmlformats.org/officeDocument/2006/relationships/hyperlink" Target="http://zone.msn.com" TargetMode="External"/><Relationship Id="rId605" Type="http://schemas.openxmlformats.org/officeDocument/2006/relationships/hyperlink" Target="http://topclassactions.com" TargetMode="External"/><Relationship Id="rId726" Type="http://schemas.openxmlformats.org/officeDocument/2006/relationships/hyperlink" Target="http://zillow.com" TargetMode="External"/><Relationship Id="rId604" Type="http://schemas.openxmlformats.org/officeDocument/2006/relationships/hyperlink" Target="http://tomsguide.com" TargetMode="External"/><Relationship Id="rId725" Type="http://schemas.openxmlformats.org/officeDocument/2006/relationships/hyperlink" Target="http://zillow.com" TargetMode="External"/><Relationship Id="rId603" Type="http://schemas.openxmlformats.org/officeDocument/2006/relationships/hyperlink" Target="http://tomsguide.com" TargetMode="External"/><Relationship Id="rId724" Type="http://schemas.openxmlformats.org/officeDocument/2006/relationships/hyperlink" Target="http://zillow.com" TargetMode="External"/><Relationship Id="rId69" Type="http://schemas.openxmlformats.org/officeDocument/2006/relationships/hyperlink" Target="http://billboard.com" TargetMode="External"/><Relationship Id="rId51" Type="http://schemas.openxmlformats.org/officeDocument/2006/relationships/hyperlink" Target="http://biblegateway.com" TargetMode="External"/><Relationship Id="rId50" Type="http://schemas.openxmlformats.org/officeDocument/2006/relationships/hyperlink" Target="http://bestbuy.com" TargetMode="External"/><Relationship Id="rId53" Type="http://schemas.openxmlformats.org/officeDocument/2006/relationships/hyperlink" Target="http://biblegateway.com" TargetMode="External"/><Relationship Id="rId52" Type="http://schemas.openxmlformats.org/officeDocument/2006/relationships/hyperlink" Target="http://biblegateway.com" TargetMode="External"/><Relationship Id="rId55" Type="http://schemas.openxmlformats.org/officeDocument/2006/relationships/hyperlink" Target="http://biblegateway.com" TargetMode="External"/><Relationship Id="rId54" Type="http://schemas.openxmlformats.org/officeDocument/2006/relationships/hyperlink" Target="http://biblegateway.com" TargetMode="External"/><Relationship Id="rId57" Type="http://schemas.openxmlformats.org/officeDocument/2006/relationships/hyperlink" Target="http://biblegateway.com" TargetMode="External"/><Relationship Id="rId56" Type="http://schemas.openxmlformats.org/officeDocument/2006/relationships/hyperlink" Target="http://biblegateway.com" TargetMode="External"/><Relationship Id="rId719" Type="http://schemas.openxmlformats.org/officeDocument/2006/relationships/hyperlink" Target="http://zillow.com" TargetMode="External"/><Relationship Id="rId718" Type="http://schemas.openxmlformats.org/officeDocument/2006/relationships/hyperlink" Target="http://zdnet.com" TargetMode="External"/><Relationship Id="rId717" Type="http://schemas.openxmlformats.org/officeDocument/2006/relationships/hyperlink" Target="http://zdnet.com" TargetMode="External"/><Relationship Id="rId712" Type="http://schemas.openxmlformats.org/officeDocument/2006/relationships/hyperlink" Target="http://yellowpages.com" TargetMode="External"/><Relationship Id="rId711" Type="http://schemas.openxmlformats.org/officeDocument/2006/relationships/hyperlink" Target="http://yellowpages.com" TargetMode="External"/><Relationship Id="rId710" Type="http://schemas.openxmlformats.org/officeDocument/2006/relationships/hyperlink" Target="http://yahoo.com" TargetMode="External"/><Relationship Id="rId716" Type="http://schemas.openxmlformats.org/officeDocument/2006/relationships/hyperlink" Target="http://yourroyals.com" TargetMode="External"/><Relationship Id="rId715" Type="http://schemas.openxmlformats.org/officeDocument/2006/relationships/hyperlink" Target="http://yourdailysportfix.com" TargetMode="External"/><Relationship Id="rId714" Type="http://schemas.openxmlformats.org/officeDocument/2006/relationships/hyperlink" Target="http://yourdailysportfix.com" TargetMode="External"/><Relationship Id="rId713" Type="http://schemas.openxmlformats.org/officeDocument/2006/relationships/hyperlink" Target="http://yellowpages.com" TargetMode="External"/><Relationship Id="rId59" Type="http://schemas.openxmlformats.org/officeDocument/2006/relationships/hyperlink" Target="http://biblegateway.com" TargetMode="External"/><Relationship Id="rId58" Type="http://schemas.openxmlformats.org/officeDocument/2006/relationships/hyperlink" Target="http://biblegateway.com" TargetMode="External"/><Relationship Id="rId590" Type="http://schemas.openxmlformats.org/officeDocument/2006/relationships/hyperlink" Target="http://thesaurus.com" TargetMode="External"/><Relationship Id="rId107" Type="http://schemas.openxmlformats.org/officeDocument/2006/relationships/hyperlink" Target="http://cbsnews.com" TargetMode="External"/><Relationship Id="rId228" Type="http://schemas.openxmlformats.org/officeDocument/2006/relationships/hyperlink" Target="http://finance.yahoo.com" TargetMode="External"/><Relationship Id="rId349" Type="http://schemas.openxmlformats.org/officeDocument/2006/relationships/hyperlink" Target="http://mail.yahoo.com" TargetMode="External"/><Relationship Id="rId106" Type="http://schemas.openxmlformats.org/officeDocument/2006/relationships/hyperlink" Target="http://cbsnews.com" TargetMode="External"/><Relationship Id="rId227" Type="http://schemas.openxmlformats.org/officeDocument/2006/relationships/hyperlink" Target="http://finance.yahoo.com" TargetMode="External"/><Relationship Id="rId348" Type="http://schemas.openxmlformats.org/officeDocument/2006/relationships/hyperlink" Target="http://mail.yahoo.com" TargetMode="External"/><Relationship Id="rId469" Type="http://schemas.openxmlformats.org/officeDocument/2006/relationships/hyperlink" Target="http://outlook.live.com" TargetMode="External"/><Relationship Id="rId105" Type="http://schemas.openxmlformats.org/officeDocument/2006/relationships/hyperlink" Target="http://cbsnews.com" TargetMode="External"/><Relationship Id="rId226" Type="http://schemas.openxmlformats.org/officeDocument/2006/relationships/hyperlink" Target="http://finance.yahoo.com" TargetMode="External"/><Relationship Id="rId347" Type="http://schemas.openxmlformats.org/officeDocument/2006/relationships/hyperlink" Target="http://mail.yahoo.com" TargetMode="External"/><Relationship Id="rId468" Type="http://schemas.openxmlformats.org/officeDocument/2006/relationships/hyperlink" Target="http://outlook.live.com" TargetMode="External"/><Relationship Id="rId589" Type="http://schemas.openxmlformats.org/officeDocument/2006/relationships/hyperlink" Target="http://thesaurus.com" TargetMode="External"/><Relationship Id="rId104" Type="http://schemas.openxmlformats.org/officeDocument/2006/relationships/hyperlink" Target="http://cbsnews.com" TargetMode="External"/><Relationship Id="rId225" Type="http://schemas.openxmlformats.org/officeDocument/2006/relationships/hyperlink" Target="http://finance.yahoo.com" TargetMode="External"/><Relationship Id="rId346" Type="http://schemas.openxmlformats.org/officeDocument/2006/relationships/hyperlink" Target="http://mail.yahoo.com" TargetMode="External"/><Relationship Id="rId467" Type="http://schemas.openxmlformats.org/officeDocument/2006/relationships/hyperlink" Target="http://outlook.live.com" TargetMode="External"/><Relationship Id="rId588" Type="http://schemas.openxmlformats.org/officeDocument/2006/relationships/hyperlink" Target="http://thesaurus.com" TargetMode="External"/><Relationship Id="rId109" Type="http://schemas.openxmlformats.org/officeDocument/2006/relationships/hyperlink" Target="http://cbsnews.com" TargetMode="External"/><Relationship Id="rId108" Type="http://schemas.openxmlformats.org/officeDocument/2006/relationships/hyperlink" Target="http://cbsnews.com" TargetMode="External"/><Relationship Id="rId229" Type="http://schemas.openxmlformats.org/officeDocument/2006/relationships/hyperlink" Target="http://finance.yahoo.com" TargetMode="External"/><Relationship Id="rId220" Type="http://schemas.openxmlformats.org/officeDocument/2006/relationships/hyperlink" Target="http://finance.yahoo.com" TargetMode="External"/><Relationship Id="rId341" Type="http://schemas.openxmlformats.org/officeDocument/2006/relationships/hyperlink" Target="http://mail.aol.com" TargetMode="External"/><Relationship Id="rId462" Type="http://schemas.openxmlformats.org/officeDocument/2006/relationships/hyperlink" Target="http://nytimes.com" TargetMode="External"/><Relationship Id="rId583" Type="http://schemas.openxmlformats.org/officeDocument/2006/relationships/hyperlink" Target="http://therighthairstyles.com" TargetMode="External"/><Relationship Id="rId340" Type="http://schemas.openxmlformats.org/officeDocument/2006/relationships/hyperlink" Target="http://mail.aol.com" TargetMode="External"/><Relationship Id="rId461" Type="http://schemas.openxmlformats.org/officeDocument/2006/relationships/hyperlink" Target="http://nypost.com" TargetMode="External"/><Relationship Id="rId582" Type="http://schemas.openxmlformats.org/officeDocument/2006/relationships/hyperlink" Target="http://thekrazycouponlady.com" TargetMode="External"/><Relationship Id="rId460" Type="http://schemas.openxmlformats.org/officeDocument/2006/relationships/hyperlink" Target="http://nypost.com" TargetMode="External"/><Relationship Id="rId581" Type="http://schemas.openxmlformats.org/officeDocument/2006/relationships/hyperlink" Target="http://thehulltruth.com" TargetMode="External"/><Relationship Id="rId580" Type="http://schemas.openxmlformats.org/officeDocument/2006/relationships/hyperlink" Target="http://thegamer.com" TargetMode="External"/><Relationship Id="rId103" Type="http://schemas.openxmlformats.org/officeDocument/2006/relationships/hyperlink" Target="http://cbsnews.com" TargetMode="External"/><Relationship Id="rId224" Type="http://schemas.openxmlformats.org/officeDocument/2006/relationships/hyperlink" Target="http://finance.yahoo.com" TargetMode="External"/><Relationship Id="rId345" Type="http://schemas.openxmlformats.org/officeDocument/2006/relationships/hyperlink" Target="http://mail.yahoo.com" TargetMode="External"/><Relationship Id="rId466" Type="http://schemas.openxmlformats.org/officeDocument/2006/relationships/hyperlink" Target="http://onechicagocenter.com" TargetMode="External"/><Relationship Id="rId587" Type="http://schemas.openxmlformats.org/officeDocument/2006/relationships/hyperlink" Target="http://thesaurus.com" TargetMode="External"/><Relationship Id="rId102" Type="http://schemas.openxmlformats.org/officeDocument/2006/relationships/hyperlink" Target="http://cbsnews.com" TargetMode="External"/><Relationship Id="rId223" Type="http://schemas.openxmlformats.org/officeDocument/2006/relationships/hyperlink" Target="http://finance.yahoo.com" TargetMode="External"/><Relationship Id="rId344" Type="http://schemas.openxmlformats.org/officeDocument/2006/relationships/hyperlink" Target="http://mail.yahoo.com" TargetMode="External"/><Relationship Id="rId465" Type="http://schemas.openxmlformats.org/officeDocument/2006/relationships/hyperlink" Target="http://omnicalculator.com" TargetMode="External"/><Relationship Id="rId586" Type="http://schemas.openxmlformats.org/officeDocument/2006/relationships/hyperlink" Target="http://thesaurus.com" TargetMode="External"/><Relationship Id="rId101" Type="http://schemas.openxmlformats.org/officeDocument/2006/relationships/hyperlink" Target="http://carscoops.com" TargetMode="External"/><Relationship Id="rId222" Type="http://schemas.openxmlformats.org/officeDocument/2006/relationships/hyperlink" Target="http://finance.yahoo.com" TargetMode="External"/><Relationship Id="rId343" Type="http://schemas.openxmlformats.org/officeDocument/2006/relationships/hyperlink" Target="http://mail.aol.com" TargetMode="External"/><Relationship Id="rId464" Type="http://schemas.openxmlformats.org/officeDocument/2006/relationships/hyperlink" Target="http://omnicalculator.com" TargetMode="External"/><Relationship Id="rId585" Type="http://schemas.openxmlformats.org/officeDocument/2006/relationships/hyperlink" Target="http://thesaurus.com" TargetMode="External"/><Relationship Id="rId100" Type="http://schemas.openxmlformats.org/officeDocument/2006/relationships/hyperlink" Target="http://cars.com" TargetMode="External"/><Relationship Id="rId221" Type="http://schemas.openxmlformats.org/officeDocument/2006/relationships/hyperlink" Target="http://finance.yahoo.com" TargetMode="External"/><Relationship Id="rId342" Type="http://schemas.openxmlformats.org/officeDocument/2006/relationships/hyperlink" Target="http://mail.aol.com" TargetMode="External"/><Relationship Id="rId463" Type="http://schemas.openxmlformats.org/officeDocument/2006/relationships/hyperlink" Target="http://nytimes.com" TargetMode="External"/><Relationship Id="rId584" Type="http://schemas.openxmlformats.org/officeDocument/2006/relationships/hyperlink" Target="http://thesaltymarshmallow.com" TargetMode="External"/><Relationship Id="rId217" Type="http://schemas.openxmlformats.org/officeDocument/2006/relationships/hyperlink" Target="http://femanin.com" TargetMode="External"/><Relationship Id="rId338" Type="http://schemas.openxmlformats.org/officeDocument/2006/relationships/hyperlink" Target="http://mail.aol.com" TargetMode="External"/><Relationship Id="rId459" Type="http://schemas.openxmlformats.org/officeDocument/2006/relationships/hyperlink" Target="http://nypost.com" TargetMode="External"/><Relationship Id="rId216" Type="http://schemas.openxmlformats.org/officeDocument/2006/relationships/hyperlink" Target="http://fandomwire.com" TargetMode="External"/><Relationship Id="rId337" Type="http://schemas.openxmlformats.org/officeDocument/2006/relationships/hyperlink" Target="http://mail.aol.com" TargetMode="External"/><Relationship Id="rId458" Type="http://schemas.openxmlformats.org/officeDocument/2006/relationships/hyperlink" Target="http://nypost.com" TargetMode="External"/><Relationship Id="rId579" Type="http://schemas.openxmlformats.org/officeDocument/2006/relationships/hyperlink" Target="http://thefinancechatter.com" TargetMode="External"/><Relationship Id="rId215" Type="http://schemas.openxmlformats.org/officeDocument/2006/relationships/hyperlink" Target="http://fandomwire.com" TargetMode="External"/><Relationship Id="rId336" Type="http://schemas.openxmlformats.org/officeDocument/2006/relationships/hyperlink" Target="http://mail.aol.com" TargetMode="External"/><Relationship Id="rId457" Type="http://schemas.openxmlformats.org/officeDocument/2006/relationships/hyperlink" Target="http://nypost.com" TargetMode="External"/><Relationship Id="rId578" Type="http://schemas.openxmlformats.org/officeDocument/2006/relationships/hyperlink" Target="http://thebigmansworld.com" TargetMode="External"/><Relationship Id="rId699" Type="http://schemas.openxmlformats.org/officeDocument/2006/relationships/hyperlink" Target="http://yahoo.com" TargetMode="External"/><Relationship Id="rId214" Type="http://schemas.openxmlformats.org/officeDocument/2006/relationships/hyperlink" Target="http://fandomwire.com" TargetMode="External"/><Relationship Id="rId335" Type="http://schemas.openxmlformats.org/officeDocument/2006/relationships/hyperlink" Target="http://mail.aol.com" TargetMode="External"/><Relationship Id="rId456" Type="http://schemas.openxmlformats.org/officeDocument/2006/relationships/hyperlink" Target="http://nypost.com" TargetMode="External"/><Relationship Id="rId577" Type="http://schemas.openxmlformats.org/officeDocument/2006/relationships/hyperlink" Target="http://techradar.com" TargetMode="External"/><Relationship Id="rId698" Type="http://schemas.openxmlformats.org/officeDocument/2006/relationships/hyperlink" Target="http://yahoo.com" TargetMode="External"/><Relationship Id="rId219" Type="http://schemas.openxmlformats.org/officeDocument/2006/relationships/hyperlink" Target="http://finance.yahoo.com" TargetMode="External"/><Relationship Id="rId218" Type="http://schemas.openxmlformats.org/officeDocument/2006/relationships/hyperlink" Target="http://femanin.com" TargetMode="External"/><Relationship Id="rId339" Type="http://schemas.openxmlformats.org/officeDocument/2006/relationships/hyperlink" Target="http://mail.aol.com" TargetMode="External"/><Relationship Id="rId330" Type="http://schemas.openxmlformats.org/officeDocument/2006/relationships/hyperlink" Target="http://mail.aol.com" TargetMode="External"/><Relationship Id="rId451" Type="http://schemas.openxmlformats.org/officeDocument/2006/relationships/hyperlink" Target="http://newsmemory.com" TargetMode="External"/><Relationship Id="rId572" Type="http://schemas.openxmlformats.org/officeDocument/2006/relationships/hyperlink" Target="http://streetinsider.com" TargetMode="External"/><Relationship Id="rId693" Type="http://schemas.openxmlformats.org/officeDocument/2006/relationships/hyperlink" Target="http://yahoo.com" TargetMode="External"/><Relationship Id="rId450" Type="http://schemas.openxmlformats.org/officeDocument/2006/relationships/hyperlink" Target="http://newsharper.com" TargetMode="External"/><Relationship Id="rId571" Type="http://schemas.openxmlformats.org/officeDocument/2006/relationships/hyperlink" Target="http://streetinsider.com" TargetMode="External"/><Relationship Id="rId692" Type="http://schemas.openxmlformats.org/officeDocument/2006/relationships/hyperlink" Target="http://yahoo.com" TargetMode="External"/><Relationship Id="rId570" Type="http://schemas.openxmlformats.org/officeDocument/2006/relationships/hyperlink" Target="http://sports.yahoo.com" TargetMode="External"/><Relationship Id="rId691" Type="http://schemas.openxmlformats.org/officeDocument/2006/relationships/hyperlink" Target="http://yahoo.com" TargetMode="External"/><Relationship Id="rId690" Type="http://schemas.openxmlformats.org/officeDocument/2006/relationships/hyperlink" Target="http://yahoo.com" TargetMode="External"/><Relationship Id="rId213" Type="http://schemas.openxmlformats.org/officeDocument/2006/relationships/hyperlink" Target="http://fandom.com" TargetMode="External"/><Relationship Id="rId334" Type="http://schemas.openxmlformats.org/officeDocument/2006/relationships/hyperlink" Target="http://mail.aol.com" TargetMode="External"/><Relationship Id="rId455" Type="http://schemas.openxmlformats.org/officeDocument/2006/relationships/hyperlink" Target="http://nsfas-applications.co.za" TargetMode="External"/><Relationship Id="rId576" Type="http://schemas.openxmlformats.org/officeDocument/2006/relationships/hyperlink" Target="http://tastesbetterfromscratch.com" TargetMode="External"/><Relationship Id="rId697" Type="http://schemas.openxmlformats.org/officeDocument/2006/relationships/hyperlink" Target="http://yahoo.com" TargetMode="External"/><Relationship Id="rId212" Type="http://schemas.openxmlformats.org/officeDocument/2006/relationships/hyperlink" Target="http://fandom.com" TargetMode="External"/><Relationship Id="rId333" Type="http://schemas.openxmlformats.org/officeDocument/2006/relationships/hyperlink" Target="http://mail.aol.com" TargetMode="External"/><Relationship Id="rId454" Type="http://schemas.openxmlformats.org/officeDocument/2006/relationships/hyperlink" Target="http://npr.org" TargetMode="External"/><Relationship Id="rId575" Type="http://schemas.openxmlformats.org/officeDocument/2006/relationships/hyperlink" Target="http://tasteofhome.com" TargetMode="External"/><Relationship Id="rId696" Type="http://schemas.openxmlformats.org/officeDocument/2006/relationships/hyperlink" Target="http://yahoo.com" TargetMode="External"/><Relationship Id="rId211" Type="http://schemas.openxmlformats.org/officeDocument/2006/relationships/hyperlink" Target="http://fandom.com" TargetMode="External"/><Relationship Id="rId332" Type="http://schemas.openxmlformats.org/officeDocument/2006/relationships/hyperlink" Target="http://mail.aol.com" TargetMode="External"/><Relationship Id="rId453" Type="http://schemas.openxmlformats.org/officeDocument/2006/relationships/hyperlink" Target="http://npr.org" TargetMode="External"/><Relationship Id="rId574" Type="http://schemas.openxmlformats.org/officeDocument/2006/relationships/hyperlink" Target="http://taboolanews.com" TargetMode="External"/><Relationship Id="rId695" Type="http://schemas.openxmlformats.org/officeDocument/2006/relationships/hyperlink" Target="http://yahoo.com" TargetMode="External"/><Relationship Id="rId210" Type="http://schemas.openxmlformats.org/officeDocument/2006/relationships/hyperlink" Target="http://fandom.com" TargetMode="External"/><Relationship Id="rId331" Type="http://schemas.openxmlformats.org/officeDocument/2006/relationships/hyperlink" Target="http://mail.aol.com" TargetMode="External"/><Relationship Id="rId452" Type="http://schemas.openxmlformats.org/officeDocument/2006/relationships/hyperlink" Target="http://newsmemory.com" TargetMode="External"/><Relationship Id="rId573" Type="http://schemas.openxmlformats.org/officeDocument/2006/relationships/hyperlink" Target="http://streetinsider.com" TargetMode="External"/><Relationship Id="rId694" Type="http://schemas.openxmlformats.org/officeDocument/2006/relationships/hyperlink" Target="http://yahoo.com" TargetMode="External"/><Relationship Id="rId370" Type="http://schemas.openxmlformats.org/officeDocument/2006/relationships/hyperlink" Target="http://mapquest.com" TargetMode="External"/><Relationship Id="rId491" Type="http://schemas.openxmlformats.org/officeDocument/2006/relationships/hyperlink" Target="http://people.com" TargetMode="External"/><Relationship Id="rId490" Type="http://schemas.openxmlformats.org/officeDocument/2006/relationships/hyperlink" Target="http://people.com" TargetMode="External"/><Relationship Id="rId129" Type="http://schemas.openxmlformats.org/officeDocument/2006/relationships/hyperlink" Target="http://cnbc.com" TargetMode="External"/><Relationship Id="rId128" Type="http://schemas.openxmlformats.org/officeDocument/2006/relationships/hyperlink" Target="http://cnbc.com" TargetMode="External"/><Relationship Id="rId249" Type="http://schemas.openxmlformats.org/officeDocument/2006/relationships/hyperlink" Target="http://forbes.com" TargetMode="External"/><Relationship Id="rId127" Type="http://schemas.openxmlformats.org/officeDocument/2006/relationships/hyperlink" Target="http://clutchpoints.com" TargetMode="External"/><Relationship Id="rId248" Type="http://schemas.openxmlformats.org/officeDocument/2006/relationships/hyperlink" Target="http://forbes.com" TargetMode="External"/><Relationship Id="rId369" Type="http://schemas.openxmlformats.org/officeDocument/2006/relationships/hyperlink" Target="http://mapquest.com" TargetMode="External"/><Relationship Id="rId126" Type="http://schemas.openxmlformats.org/officeDocument/2006/relationships/hyperlink" Target="http://classmates.com" TargetMode="External"/><Relationship Id="rId247" Type="http://schemas.openxmlformats.org/officeDocument/2006/relationships/hyperlink" Target="http://forbes.com" TargetMode="External"/><Relationship Id="rId368" Type="http://schemas.openxmlformats.org/officeDocument/2006/relationships/hyperlink" Target="http://mail.yahoo.com" TargetMode="External"/><Relationship Id="rId489" Type="http://schemas.openxmlformats.org/officeDocument/2006/relationships/hyperlink" Target="http://people.com" TargetMode="External"/><Relationship Id="rId121" Type="http://schemas.openxmlformats.org/officeDocument/2006/relationships/hyperlink" Target="http://chicagotribune.com" TargetMode="External"/><Relationship Id="rId242" Type="http://schemas.openxmlformats.org/officeDocument/2006/relationships/hyperlink" Target="http://forbes.com" TargetMode="External"/><Relationship Id="rId363" Type="http://schemas.openxmlformats.org/officeDocument/2006/relationships/hyperlink" Target="http://mail.yahoo.com" TargetMode="External"/><Relationship Id="rId484" Type="http://schemas.openxmlformats.org/officeDocument/2006/relationships/hyperlink" Target="http://pandora.com" TargetMode="External"/><Relationship Id="rId120" Type="http://schemas.openxmlformats.org/officeDocument/2006/relationships/hyperlink" Target="http://cheezburger.com" TargetMode="External"/><Relationship Id="rId241" Type="http://schemas.openxmlformats.org/officeDocument/2006/relationships/hyperlink" Target="http://forbes.com" TargetMode="External"/><Relationship Id="rId362" Type="http://schemas.openxmlformats.org/officeDocument/2006/relationships/hyperlink" Target="http://mail.yahoo.com" TargetMode="External"/><Relationship Id="rId483" Type="http://schemas.openxmlformats.org/officeDocument/2006/relationships/hyperlink" Target="http://pandora.com" TargetMode="External"/><Relationship Id="rId240" Type="http://schemas.openxmlformats.org/officeDocument/2006/relationships/hyperlink" Target="http://forbes.com" TargetMode="External"/><Relationship Id="rId361" Type="http://schemas.openxmlformats.org/officeDocument/2006/relationships/hyperlink" Target="http://mail.yahoo.com" TargetMode="External"/><Relationship Id="rId482" Type="http://schemas.openxmlformats.org/officeDocument/2006/relationships/hyperlink" Target="http://pandora.com" TargetMode="External"/><Relationship Id="rId360" Type="http://schemas.openxmlformats.org/officeDocument/2006/relationships/hyperlink" Target="http://mail.yahoo.com" TargetMode="External"/><Relationship Id="rId481" Type="http://schemas.openxmlformats.org/officeDocument/2006/relationships/hyperlink" Target="http://outlook.live.com" TargetMode="External"/><Relationship Id="rId125" Type="http://schemas.openxmlformats.org/officeDocument/2006/relationships/hyperlink" Target="http://classmates.com" TargetMode="External"/><Relationship Id="rId246" Type="http://schemas.openxmlformats.org/officeDocument/2006/relationships/hyperlink" Target="http://forbes.com" TargetMode="External"/><Relationship Id="rId367" Type="http://schemas.openxmlformats.org/officeDocument/2006/relationships/hyperlink" Target="http://mail.yahoo.com" TargetMode="External"/><Relationship Id="rId488" Type="http://schemas.openxmlformats.org/officeDocument/2006/relationships/hyperlink" Target="http://people.com" TargetMode="External"/><Relationship Id="rId124" Type="http://schemas.openxmlformats.org/officeDocument/2006/relationships/hyperlink" Target="http://classmates.com" TargetMode="External"/><Relationship Id="rId245" Type="http://schemas.openxmlformats.org/officeDocument/2006/relationships/hyperlink" Target="http://forbes.com" TargetMode="External"/><Relationship Id="rId366" Type="http://schemas.openxmlformats.org/officeDocument/2006/relationships/hyperlink" Target="http://mail.yahoo.com" TargetMode="External"/><Relationship Id="rId487" Type="http://schemas.openxmlformats.org/officeDocument/2006/relationships/hyperlink" Target="http://people.com" TargetMode="External"/><Relationship Id="rId123" Type="http://schemas.openxmlformats.org/officeDocument/2006/relationships/hyperlink" Target="http://citationmachine.net" TargetMode="External"/><Relationship Id="rId244" Type="http://schemas.openxmlformats.org/officeDocument/2006/relationships/hyperlink" Target="http://forbes.com" TargetMode="External"/><Relationship Id="rId365" Type="http://schemas.openxmlformats.org/officeDocument/2006/relationships/hyperlink" Target="http://mail.yahoo.com" TargetMode="External"/><Relationship Id="rId486" Type="http://schemas.openxmlformats.org/officeDocument/2006/relationships/hyperlink" Target="http://people.com" TargetMode="External"/><Relationship Id="rId122" Type="http://schemas.openxmlformats.org/officeDocument/2006/relationships/hyperlink" Target="http://chocolatecoveredkatie.com" TargetMode="External"/><Relationship Id="rId243" Type="http://schemas.openxmlformats.org/officeDocument/2006/relationships/hyperlink" Target="http://forbes.com" TargetMode="External"/><Relationship Id="rId364" Type="http://schemas.openxmlformats.org/officeDocument/2006/relationships/hyperlink" Target="http://mail.yahoo.com" TargetMode="External"/><Relationship Id="rId485" Type="http://schemas.openxmlformats.org/officeDocument/2006/relationships/hyperlink" Target="http://pandora.com" TargetMode="External"/><Relationship Id="rId95" Type="http://schemas.openxmlformats.org/officeDocument/2006/relationships/hyperlink" Target="http://cars.com" TargetMode="External"/><Relationship Id="rId94" Type="http://schemas.openxmlformats.org/officeDocument/2006/relationships/hyperlink" Target="http://cars.com" TargetMode="External"/><Relationship Id="rId97" Type="http://schemas.openxmlformats.org/officeDocument/2006/relationships/hyperlink" Target="http://cars.com" TargetMode="External"/><Relationship Id="rId96" Type="http://schemas.openxmlformats.org/officeDocument/2006/relationships/hyperlink" Target="http://cars.com" TargetMode="External"/><Relationship Id="rId99" Type="http://schemas.openxmlformats.org/officeDocument/2006/relationships/hyperlink" Target="http://cars.com" TargetMode="External"/><Relationship Id="rId480" Type="http://schemas.openxmlformats.org/officeDocument/2006/relationships/hyperlink" Target="http://outlook.live.com" TargetMode="External"/><Relationship Id="rId98" Type="http://schemas.openxmlformats.org/officeDocument/2006/relationships/hyperlink" Target="http://cars.com" TargetMode="External"/><Relationship Id="rId91" Type="http://schemas.openxmlformats.org/officeDocument/2006/relationships/hyperlink" Target="http://cargurus.com" TargetMode="External"/><Relationship Id="rId90" Type="http://schemas.openxmlformats.org/officeDocument/2006/relationships/hyperlink" Target="http://cargurus.com" TargetMode="External"/><Relationship Id="rId93" Type="http://schemas.openxmlformats.org/officeDocument/2006/relationships/hyperlink" Target="http://cargurus.com" TargetMode="External"/><Relationship Id="rId92" Type="http://schemas.openxmlformats.org/officeDocument/2006/relationships/hyperlink" Target="http://cargurus.com" TargetMode="External"/><Relationship Id="rId118" Type="http://schemas.openxmlformats.org/officeDocument/2006/relationships/hyperlink" Target="http://cheapoair.com" TargetMode="External"/><Relationship Id="rId239" Type="http://schemas.openxmlformats.org/officeDocument/2006/relationships/hyperlink" Target="http://forbes.com" TargetMode="External"/><Relationship Id="rId117" Type="http://schemas.openxmlformats.org/officeDocument/2006/relationships/hyperlink" Target="http://cheapoair.com" TargetMode="External"/><Relationship Id="rId238" Type="http://schemas.openxmlformats.org/officeDocument/2006/relationships/hyperlink" Target="http://flightaware.com" TargetMode="External"/><Relationship Id="rId359" Type="http://schemas.openxmlformats.org/officeDocument/2006/relationships/hyperlink" Target="http://mail.yahoo.com" TargetMode="External"/><Relationship Id="rId116" Type="http://schemas.openxmlformats.org/officeDocument/2006/relationships/hyperlink" Target="http://cbssports.com" TargetMode="External"/><Relationship Id="rId237" Type="http://schemas.openxmlformats.org/officeDocument/2006/relationships/hyperlink" Target="http://flightaware.com" TargetMode="External"/><Relationship Id="rId358" Type="http://schemas.openxmlformats.org/officeDocument/2006/relationships/hyperlink" Target="http://mail.yahoo.com" TargetMode="External"/><Relationship Id="rId479" Type="http://schemas.openxmlformats.org/officeDocument/2006/relationships/hyperlink" Target="http://outlook.live.com" TargetMode="External"/><Relationship Id="rId115" Type="http://schemas.openxmlformats.org/officeDocument/2006/relationships/hyperlink" Target="http://cbssports.com" TargetMode="External"/><Relationship Id="rId236" Type="http://schemas.openxmlformats.org/officeDocument/2006/relationships/hyperlink" Target="http://flightaware.com" TargetMode="External"/><Relationship Id="rId357" Type="http://schemas.openxmlformats.org/officeDocument/2006/relationships/hyperlink" Target="http://mail.yahoo.com" TargetMode="External"/><Relationship Id="rId478" Type="http://schemas.openxmlformats.org/officeDocument/2006/relationships/hyperlink" Target="http://outlook.live.com" TargetMode="External"/><Relationship Id="rId599" Type="http://schemas.openxmlformats.org/officeDocument/2006/relationships/hyperlink" Target="http://timeanddate.com" TargetMode="External"/><Relationship Id="rId119" Type="http://schemas.openxmlformats.org/officeDocument/2006/relationships/hyperlink" Target="http://cheezburger.com" TargetMode="External"/><Relationship Id="rId110" Type="http://schemas.openxmlformats.org/officeDocument/2006/relationships/hyperlink" Target="http://cbsnews.com" TargetMode="External"/><Relationship Id="rId231" Type="http://schemas.openxmlformats.org/officeDocument/2006/relationships/hyperlink" Target="http://findagrave.com" TargetMode="External"/><Relationship Id="rId352" Type="http://schemas.openxmlformats.org/officeDocument/2006/relationships/hyperlink" Target="http://mail.yahoo.com" TargetMode="External"/><Relationship Id="rId473" Type="http://schemas.openxmlformats.org/officeDocument/2006/relationships/hyperlink" Target="http://outlook.live.com" TargetMode="External"/><Relationship Id="rId594" Type="http://schemas.openxmlformats.org/officeDocument/2006/relationships/hyperlink" Target="http://the-sun.com" TargetMode="External"/><Relationship Id="rId230" Type="http://schemas.openxmlformats.org/officeDocument/2006/relationships/hyperlink" Target="http://finance.yahoo.com" TargetMode="External"/><Relationship Id="rId351" Type="http://schemas.openxmlformats.org/officeDocument/2006/relationships/hyperlink" Target="http://mail.yahoo.com" TargetMode="External"/><Relationship Id="rId472" Type="http://schemas.openxmlformats.org/officeDocument/2006/relationships/hyperlink" Target="http://outlook.live.com" TargetMode="External"/><Relationship Id="rId593" Type="http://schemas.openxmlformats.org/officeDocument/2006/relationships/hyperlink" Target="http://the-sun.com" TargetMode="External"/><Relationship Id="rId350" Type="http://schemas.openxmlformats.org/officeDocument/2006/relationships/hyperlink" Target="http://mail.yahoo.com" TargetMode="External"/><Relationship Id="rId471" Type="http://schemas.openxmlformats.org/officeDocument/2006/relationships/hyperlink" Target="http://outlook.live.com" TargetMode="External"/><Relationship Id="rId592" Type="http://schemas.openxmlformats.org/officeDocument/2006/relationships/hyperlink" Target="http://the-sun.com" TargetMode="External"/><Relationship Id="rId470" Type="http://schemas.openxmlformats.org/officeDocument/2006/relationships/hyperlink" Target="http://outlook.live.com" TargetMode="External"/><Relationship Id="rId591" Type="http://schemas.openxmlformats.org/officeDocument/2006/relationships/hyperlink" Target="http://thesaurus.com" TargetMode="External"/><Relationship Id="rId114" Type="http://schemas.openxmlformats.org/officeDocument/2006/relationships/hyperlink" Target="http://cbssports.com" TargetMode="External"/><Relationship Id="rId235" Type="http://schemas.openxmlformats.org/officeDocument/2006/relationships/hyperlink" Target="http://firstcoastnews.com" TargetMode="External"/><Relationship Id="rId356" Type="http://schemas.openxmlformats.org/officeDocument/2006/relationships/hyperlink" Target="http://mail.yahoo.com" TargetMode="External"/><Relationship Id="rId477" Type="http://schemas.openxmlformats.org/officeDocument/2006/relationships/hyperlink" Target="http://outlook.live.com" TargetMode="External"/><Relationship Id="rId598" Type="http://schemas.openxmlformats.org/officeDocument/2006/relationships/hyperlink" Target="http://timeanddate.com" TargetMode="External"/><Relationship Id="rId113" Type="http://schemas.openxmlformats.org/officeDocument/2006/relationships/hyperlink" Target="http://cbsnews.com" TargetMode="External"/><Relationship Id="rId234" Type="http://schemas.openxmlformats.org/officeDocument/2006/relationships/hyperlink" Target="http://finviz.com" TargetMode="External"/><Relationship Id="rId355" Type="http://schemas.openxmlformats.org/officeDocument/2006/relationships/hyperlink" Target="http://mail.yahoo.com" TargetMode="External"/><Relationship Id="rId476" Type="http://schemas.openxmlformats.org/officeDocument/2006/relationships/hyperlink" Target="http://outlook.live.com" TargetMode="External"/><Relationship Id="rId597" Type="http://schemas.openxmlformats.org/officeDocument/2006/relationships/hyperlink" Target="http://the-sun.com" TargetMode="External"/><Relationship Id="rId112" Type="http://schemas.openxmlformats.org/officeDocument/2006/relationships/hyperlink" Target="http://cbsnews.com" TargetMode="External"/><Relationship Id="rId233" Type="http://schemas.openxmlformats.org/officeDocument/2006/relationships/hyperlink" Target="http://findagrave.com" TargetMode="External"/><Relationship Id="rId354" Type="http://schemas.openxmlformats.org/officeDocument/2006/relationships/hyperlink" Target="http://mail.yahoo.com" TargetMode="External"/><Relationship Id="rId475" Type="http://schemas.openxmlformats.org/officeDocument/2006/relationships/hyperlink" Target="http://outlook.live.com" TargetMode="External"/><Relationship Id="rId596" Type="http://schemas.openxmlformats.org/officeDocument/2006/relationships/hyperlink" Target="http://the-sun.com" TargetMode="External"/><Relationship Id="rId111" Type="http://schemas.openxmlformats.org/officeDocument/2006/relationships/hyperlink" Target="http://cbsnews.com" TargetMode="External"/><Relationship Id="rId232" Type="http://schemas.openxmlformats.org/officeDocument/2006/relationships/hyperlink" Target="http://findagrave.com" TargetMode="External"/><Relationship Id="rId353" Type="http://schemas.openxmlformats.org/officeDocument/2006/relationships/hyperlink" Target="http://mail.yahoo.com" TargetMode="External"/><Relationship Id="rId474" Type="http://schemas.openxmlformats.org/officeDocument/2006/relationships/hyperlink" Target="http://outlook.live.com" TargetMode="External"/><Relationship Id="rId595" Type="http://schemas.openxmlformats.org/officeDocument/2006/relationships/hyperlink" Target="http://the-sun.com" TargetMode="External"/><Relationship Id="rId305" Type="http://schemas.openxmlformats.org/officeDocument/2006/relationships/hyperlink" Target="http://jdpower.com" TargetMode="External"/><Relationship Id="rId426" Type="http://schemas.openxmlformats.org/officeDocument/2006/relationships/hyperlink" Target="http://msn.com" TargetMode="External"/><Relationship Id="rId547" Type="http://schemas.openxmlformats.org/officeDocument/2006/relationships/hyperlink" Target="http://shareably.net" TargetMode="External"/><Relationship Id="rId668" Type="http://schemas.openxmlformats.org/officeDocument/2006/relationships/hyperlink" Target="http://whatismyipaddress.com" TargetMode="External"/><Relationship Id="rId304" Type="http://schemas.openxmlformats.org/officeDocument/2006/relationships/hyperlink" Target="http://jdpower.com" TargetMode="External"/><Relationship Id="rId425" Type="http://schemas.openxmlformats.org/officeDocument/2006/relationships/hyperlink" Target="http://msn.com" TargetMode="External"/><Relationship Id="rId546" Type="http://schemas.openxmlformats.org/officeDocument/2006/relationships/hyperlink" Target="http://semana.com" TargetMode="External"/><Relationship Id="rId667" Type="http://schemas.openxmlformats.org/officeDocument/2006/relationships/hyperlink" Target="http://whatismyipaddress.com" TargetMode="External"/><Relationship Id="rId303" Type="http://schemas.openxmlformats.org/officeDocument/2006/relationships/hyperlink" Target="http://investopedia.com" TargetMode="External"/><Relationship Id="rId424" Type="http://schemas.openxmlformats.org/officeDocument/2006/relationships/hyperlink" Target="http://msn.com" TargetMode="External"/><Relationship Id="rId545" Type="http://schemas.openxmlformats.org/officeDocument/2006/relationships/hyperlink" Target="http://seedsgames.com" TargetMode="External"/><Relationship Id="rId666" Type="http://schemas.openxmlformats.org/officeDocument/2006/relationships/hyperlink" Target="http://whatismyipaddress.com" TargetMode="External"/><Relationship Id="rId302" Type="http://schemas.openxmlformats.org/officeDocument/2006/relationships/hyperlink" Target="http://investopedia.com" TargetMode="External"/><Relationship Id="rId423" Type="http://schemas.openxmlformats.org/officeDocument/2006/relationships/hyperlink" Target="http://msn.com" TargetMode="External"/><Relationship Id="rId544" Type="http://schemas.openxmlformats.org/officeDocument/2006/relationships/hyperlink" Target="http://screenrant.com" TargetMode="External"/><Relationship Id="rId665" Type="http://schemas.openxmlformats.org/officeDocument/2006/relationships/hyperlink" Target="http://whatismyipaddress.com" TargetMode="External"/><Relationship Id="rId309" Type="http://schemas.openxmlformats.org/officeDocument/2006/relationships/hyperlink" Target="http://kbb.com" TargetMode="External"/><Relationship Id="rId308" Type="http://schemas.openxmlformats.org/officeDocument/2006/relationships/hyperlink" Target="http://kbb.com" TargetMode="External"/><Relationship Id="rId429" Type="http://schemas.openxmlformats.org/officeDocument/2006/relationships/hyperlink" Target="http://my.yahoo.com" TargetMode="External"/><Relationship Id="rId307" Type="http://schemas.openxmlformats.org/officeDocument/2006/relationships/hyperlink" Target="http://kbb.com" TargetMode="External"/><Relationship Id="rId428" Type="http://schemas.openxmlformats.org/officeDocument/2006/relationships/hyperlink" Target="http://my.earthlink.net" TargetMode="External"/><Relationship Id="rId549" Type="http://schemas.openxmlformats.org/officeDocument/2006/relationships/hyperlink" Target="http://signin.ebay.com" TargetMode="External"/><Relationship Id="rId306" Type="http://schemas.openxmlformats.org/officeDocument/2006/relationships/hyperlink" Target="http://jdpower.com" TargetMode="External"/><Relationship Id="rId427" Type="http://schemas.openxmlformats.org/officeDocument/2006/relationships/hyperlink" Target="http://msn.com" TargetMode="External"/><Relationship Id="rId548" Type="http://schemas.openxmlformats.org/officeDocument/2006/relationships/hyperlink" Target="http://si.com" TargetMode="External"/><Relationship Id="rId669" Type="http://schemas.openxmlformats.org/officeDocument/2006/relationships/hyperlink" Target="http://whatismyipaddress.com" TargetMode="External"/><Relationship Id="rId660" Type="http://schemas.openxmlformats.org/officeDocument/2006/relationships/hyperlink" Target="http://weather.com" TargetMode="External"/><Relationship Id="rId301" Type="http://schemas.openxmlformats.org/officeDocument/2006/relationships/hyperlink" Target="http://investmentguru.com" TargetMode="External"/><Relationship Id="rId422" Type="http://schemas.openxmlformats.org/officeDocument/2006/relationships/hyperlink" Target="http://msn.com" TargetMode="External"/><Relationship Id="rId543" Type="http://schemas.openxmlformats.org/officeDocument/2006/relationships/hyperlink" Target="http://screenrant.com" TargetMode="External"/><Relationship Id="rId664" Type="http://schemas.openxmlformats.org/officeDocument/2006/relationships/hyperlink" Target="http://whatismyipaddress.com" TargetMode="External"/><Relationship Id="rId300" Type="http://schemas.openxmlformats.org/officeDocument/2006/relationships/hyperlink" Target="http://investing.com" TargetMode="External"/><Relationship Id="rId421" Type="http://schemas.openxmlformats.org/officeDocument/2006/relationships/hyperlink" Target="http://msn.com" TargetMode="External"/><Relationship Id="rId542" Type="http://schemas.openxmlformats.org/officeDocument/2006/relationships/hyperlink" Target="http://screenrant.com" TargetMode="External"/><Relationship Id="rId663" Type="http://schemas.openxmlformats.org/officeDocument/2006/relationships/hyperlink" Target="http://whatismyipaddress.com" TargetMode="External"/><Relationship Id="rId420" Type="http://schemas.openxmlformats.org/officeDocument/2006/relationships/hyperlink" Target="http://msn.com" TargetMode="External"/><Relationship Id="rId541" Type="http://schemas.openxmlformats.org/officeDocument/2006/relationships/hyperlink" Target="http://screenrant.com" TargetMode="External"/><Relationship Id="rId662" Type="http://schemas.openxmlformats.org/officeDocument/2006/relationships/hyperlink" Target="http://webmd.com" TargetMode="External"/><Relationship Id="rId540" Type="http://schemas.openxmlformats.org/officeDocument/2006/relationships/hyperlink" Target="http://screenrant.com" TargetMode="External"/><Relationship Id="rId661" Type="http://schemas.openxmlformats.org/officeDocument/2006/relationships/hyperlink" Target="http://webmd.com" TargetMode="External"/><Relationship Id="rId415" Type="http://schemas.openxmlformats.org/officeDocument/2006/relationships/hyperlink" Target="http://msn.com" TargetMode="External"/><Relationship Id="rId536" Type="http://schemas.openxmlformats.org/officeDocument/2006/relationships/hyperlink" Target="http://sallysbakingaddiction.com" TargetMode="External"/><Relationship Id="rId657" Type="http://schemas.openxmlformats.org/officeDocument/2006/relationships/hyperlink" Target="http://weather.com" TargetMode="External"/><Relationship Id="rId414" Type="http://schemas.openxmlformats.org/officeDocument/2006/relationships/hyperlink" Target="http://msn.com" TargetMode="External"/><Relationship Id="rId535" Type="http://schemas.openxmlformats.org/officeDocument/2006/relationships/hyperlink" Target="http://rvtrader.com" TargetMode="External"/><Relationship Id="rId656" Type="http://schemas.openxmlformats.org/officeDocument/2006/relationships/hyperlink" Target="http://weather.com" TargetMode="External"/><Relationship Id="rId413" Type="http://schemas.openxmlformats.org/officeDocument/2006/relationships/hyperlink" Target="http://msn.com" TargetMode="External"/><Relationship Id="rId534" Type="http://schemas.openxmlformats.org/officeDocument/2006/relationships/hyperlink" Target="http://rollingstone.com" TargetMode="External"/><Relationship Id="rId655" Type="http://schemas.openxmlformats.org/officeDocument/2006/relationships/hyperlink" Target="http://weather.com" TargetMode="External"/><Relationship Id="rId412" Type="http://schemas.openxmlformats.org/officeDocument/2006/relationships/hyperlink" Target="http://msn.com" TargetMode="External"/><Relationship Id="rId533" Type="http://schemas.openxmlformats.org/officeDocument/2006/relationships/hyperlink" Target="http://rollingstone.com" TargetMode="External"/><Relationship Id="rId654" Type="http://schemas.openxmlformats.org/officeDocument/2006/relationships/hyperlink" Target="http://weather.com" TargetMode="External"/><Relationship Id="rId419" Type="http://schemas.openxmlformats.org/officeDocument/2006/relationships/hyperlink" Target="http://msn.com" TargetMode="External"/><Relationship Id="rId418" Type="http://schemas.openxmlformats.org/officeDocument/2006/relationships/hyperlink" Target="http://msn.com" TargetMode="External"/><Relationship Id="rId539" Type="http://schemas.openxmlformats.org/officeDocument/2006/relationships/hyperlink" Target="http://scitechdaily.com" TargetMode="External"/><Relationship Id="rId417" Type="http://schemas.openxmlformats.org/officeDocument/2006/relationships/hyperlink" Target="http://msn.com" TargetMode="External"/><Relationship Id="rId538" Type="http://schemas.openxmlformats.org/officeDocument/2006/relationships/hyperlink" Target="http://sciencesensei.com" TargetMode="External"/><Relationship Id="rId659" Type="http://schemas.openxmlformats.org/officeDocument/2006/relationships/hyperlink" Target="http://weather.com" TargetMode="External"/><Relationship Id="rId416" Type="http://schemas.openxmlformats.org/officeDocument/2006/relationships/hyperlink" Target="http://msn.com" TargetMode="External"/><Relationship Id="rId537" Type="http://schemas.openxmlformats.org/officeDocument/2006/relationships/hyperlink" Target="http://sciencealert.com" TargetMode="External"/><Relationship Id="rId658" Type="http://schemas.openxmlformats.org/officeDocument/2006/relationships/hyperlink" Target="http://weather.com" TargetMode="External"/><Relationship Id="rId411" Type="http://schemas.openxmlformats.org/officeDocument/2006/relationships/hyperlink" Target="http://msn.com" TargetMode="External"/><Relationship Id="rId532" Type="http://schemas.openxmlformats.org/officeDocument/2006/relationships/hyperlink" Target="http://rollingstone.com" TargetMode="External"/><Relationship Id="rId653" Type="http://schemas.openxmlformats.org/officeDocument/2006/relationships/hyperlink" Target="http://weather.com" TargetMode="External"/><Relationship Id="rId410" Type="http://schemas.openxmlformats.org/officeDocument/2006/relationships/hyperlink" Target="http://msn.com" TargetMode="External"/><Relationship Id="rId531" Type="http://schemas.openxmlformats.org/officeDocument/2006/relationships/hyperlink" Target="http://reuters.com" TargetMode="External"/><Relationship Id="rId652" Type="http://schemas.openxmlformats.org/officeDocument/2006/relationships/hyperlink" Target="http://weather.com" TargetMode="External"/><Relationship Id="rId530" Type="http://schemas.openxmlformats.org/officeDocument/2006/relationships/hyperlink" Target="http://reuters.com" TargetMode="External"/><Relationship Id="rId651" Type="http://schemas.openxmlformats.org/officeDocument/2006/relationships/hyperlink" Target="http://weather.com" TargetMode="External"/><Relationship Id="rId650" Type="http://schemas.openxmlformats.org/officeDocument/2006/relationships/hyperlink" Target="http://weather.com" TargetMode="External"/><Relationship Id="rId206" Type="http://schemas.openxmlformats.org/officeDocument/2006/relationships/hyperlink" Target="http://evite.com" TargetMode="External"/><Relationship Id="rId327" Type="http://schemas.openxmlformats.org/officeDocument/2006/relationships/hyperlink" Target="http://mail.aol.com" TargetMode="External"/><Relationship Id="rId448" Type="http://schemas.openxmlformats.org/officeDocument/2006/relationships/hyperlink" Target="http://news.yahoo.com" TargetMode="External"/><Relationship Id="rId569" Type="http://schemas.openxmlformats.org/officeDocument/2006/relationships/hyperlink" Target="http://sports.yahoo.com" TargetMode="External"/><Relationship Id="rId205" Type="http://schemas.openxmlformats.org/officeDocument/2006/relationships/hyperlink" Target="http://essentiallysports.com" TargetMode="External"/><Relationship Id="rId326" Type="http://schemas.openxmlformats.org/officeDocument/2006/relationships/hyperlink" Target="http://mail.aol.com" TargetMode="External"/><Relationship Id="rId447" Type="http://schemas.openxmlformats.org/officeDocument/2006/relationships/hyperlink" Target="http://news.yahoo.com" TargetMode="External"/><Relationship Id="rId568" Type="http://schemas.openxmlformats.org/officeDocument/2006/relationships/hyperlink" Target="http://sportpirate.com" TargetMode="External"/><Relationship Id="rId689" Type="http://schemas.openxmlformats.org/officeDocument/2006/relationships/hyperlink" Target="http://yahoo.com" TargetMode="External"/><Relationship Id="rId204" Type="http://schemas.openxmlformats.org/officeDocument/2006/relationships/hyperlink" Target="http://essentiallysports.com" TargetMode="External"/><Relationship Id="rId325" Type="http://schemas.openxmlformats.org/officeDocument/2006/relationships/hyperlink" Target="http://mail.aol.com" TargetMode="External"/><Relationship Id="rId446" Type="http://schemas.openxmlformats.org/officeDocument/2006/relationships/hyperlink" Target="http://news.yahoo.com" TargetMode="External"/><Relationship Id="rId567" Type="http://schemas.openxmlformats.org/officeDocument/2006/relationships/hyperlink" Target="http://sporcle.com" TargetMode="External"/><Relationship Id="rId688" Type="http://schemas.openxmlformats.org/officeDocument/2006/relationships/hyperlink" Target="http://yahoo.com" TargetMode="External"/><Relationship Id="rId203" Type="http://schemas.openxmlformats.org/officeDocument/2006/relationships/hyperlink" Target="http://espn.com" TargetMode="External"/><Relationship Id="rId324" Type="http://schemas.openxmlformats.org/officeDocument/2006/relationships/hyperlink" Target="http://macrumors.com" TargetMode="External"/><Relationship Id="rId445" Type="http://schemas.openxmlformats.org/officeDocument/2006/relationships/hyperlink" Target="http://news.yahoo.com" TargetMode="External"/><Relationship Id="rId566" Type="http://schemas.openxmlformats.org/officeDocument/2006/relationships/hyperlink" Target="http://soaps.sheknows.com" TargetMode="External"/><Relationship Id="rId687" Type="http://schemas.openxmlformats.org/officeDocument/2006/relationships/hyperlink" Target="http://yahoo.com" TargetMode="External"/><Relationship Id="rId209" Type="http://schemas.openxmlformats.org/officeDocument/2006/relationships/hyperlink" Target="http://factinate.com" TargetMode="External"/><Relationship Id="rId208" Type="http://schemas.openxmlformats.org/officeDocument/2006/relationships/hyperlink" Target="http://factable.com" TargetMode="External"/><Relationship Id="rId329" Type="http://schemas.openxmlformats.org/officeDocument/2006/relationships/hyperlink" Target="http://mail.aol.com" TargetMode="External"/><Relationship Id="rId207" Type="http://schemas.openxmlformats.org/officeDocument/2006/relationships/hyperlink" Target="http://ew.com" TargetMode="External"/><Relationship Id="rId328" Type="http://schemas.openxmlformats.org/officeDocument/2006/relationships/hyperlink" Target="http://mail.aol.com" TargetMode="External"/><Relationship Id="rId449" Type="http://schemas.openxmlformats.org/officeDocument/2006/relationships/hyperlink" Target="http://news.yahoo.com" TargetMode="External"/><Relationship Id="rId440" Type="http://schemas.openxmlformats.org/officeDocument/2006/relationships/hyperlink" Target="http://nbcnews.com" TargetMode="External"/><Relationship Id="rId561" Type="http://schemas.openxmlformats.org/officeDocument/2006/relationships/hyperlink" Target="http://slickdeals.net" TargetMode="External"/><Relationship Id="rId682" Type="http://schemas.openxmlformats.org/officeDocument/2006/relationships/hyperlink" Target="http://wunderground.com" TargetMode="External"/><Relationship Id="rId560" Type="http://schemas.openxmlformats.org/officeDocument/2006/relationships/hyperlink" Target="http://slickdeals.net" TargetMode="External"/><Relationship Id="rId681" Type="http://schemas.openxmlformats.org/officeDocument/2006/relationships/hyperlink" Target="http://wunderground.com" TargetMode="External"/><Relationship Id="rId680" Type="http://schemas.openxmlformats.org/officeDocument/2006/relationships/hyperlink" Target="http://wsvn.com" TargetMode="External"/><Relationship Id="rId202" Type="http://schemas.openxmlformats.org/officeDocument/2006/relationships/hyperlink" Target="http://espn.com" TargetMode="External"/><Relationship Id="rId323" Type="http://schemas.openxmlformats.org/officeDocument/2006/relationships/hyperlink" Target="http://macrumors.com" TargetMode="External"/><Relationship Id="rId444" Type="http://schemas.openxmlformats.org/officeDocument/2006/relationships/hyperlink" Target="http://news.yahoo.com" TargetMode="External"/><Relationship Id="rId565" Type="http://schemas.openxmlformats.org/officeDocument/2006/relationships/hyperlink" Target="http://sneakertoast.com" TargetMode="External"/><Relationship Id="rId686" Type="http://schemas.openxmlformats.org/officeDocument/2006/relationships/hyperlink" Target="http://yahoo.com" TargetMode="External"/><Relationship Id="rId201" Type="http://schemas.openxmlformats.org/officeDocument/2006/relationships/hyperlink" Target="http://eonline.com" TargetMode="External"/><Relationship Id="rId322" Type="http://schemas.openxmlformats.org/officeDocument/2006/relationships/hyperlink" Target="http://m.timesofindia.com" TargetMode="External"/><Relationship Id="rId443" Type="http://schemas.openxmlformats.org/officeDocument/2006/relationships/hyperlink" Target="http://nbcsports.com" TargetMode="External"/><Relationship Id="rId564" Type="http://schemas.openxmlformats.org/officeDocument/2006/relationships/hyperlink" Target="http://slickdeals.net" TargetMode="External"/><Relationship Id="rId685" Type="http://schemas.openxmlformats.org/officeDocument/2006/relationships/hyperlink" Target="http://yahoo.com" TargetMode="External"/><Relationship Id="rId200" Type="http://schemas.openxmlformats.org/officeDocument/2006/relationships/hyperlink" Target="http://eenadu.net" TargetMode="External"/><Relationship Id="rId321" Type="http://schemas.openxmlformats.org/officeDocument/2006/relationships/hyperlink" Target="http://m.timesofindia.com" TargetMode="External"/><Relationship Id="rId442" Type="http://schemas.openxmlformats.org/officeDocument/2006/relationships/hyperlink" Target="http://nbcnews.com" TargetMode="External"/><Relationship Id="rId563" Type="http://schemas.openxmlformats.org/officeDocument/2006/relationships/hyperlink" Target="http://slickdeals.net" TargetMode="External"/><Relationship Id="rId684" Type="http://schemas.openxmlformats.org/officeDocument/2006/relationships/hyperlink" Target="http://yahoo.com" TargetMode="External"/><Relationship Id="rId320" Type="http://schemas.openxmlformats.org/officeDocument/2006/relationships/hyperlink" Target="http://m.timesofindia.com" TargetMode="External"/><Relationship Id="rId441" Type="http://schemas.openxmlformats.org/officeDocument/2006/relationships/hyperlink" Target="http://nbcnews.com" TargetMode="External"/><Relationship Id="rId562" Type="http://schemas.openxmlformats.org/officeDocument/2006/relationships/hyperlink" Target="http://slickdeals.net" TargetMode="External"/><Relationship Id="rId683" Type="http://schemas.openxmlformats.org/officeDocument/2006/relationships/hyperlink" Target="http://yachtworld.com" TargetMode="External"/><Relationship Id="rId316" Type="http://schemas.openxmlformats.org/officeDocument/2006/relationships/hyperlink" Target="http://lensvid.com" TargetMode="External"/><Relationship Id="rId437" Type="http://schemas.openxmlformats.org/officeDocument/2006/relationships/hyperlink" Target="http://nbcmiami.com" TargetMode="External"/><Relationship Id="rId558" Type="http://schemas.openxmlformats.org/officeDocument/2006/relationships/hyperlink" Target="http://slickdeals.net" TargetMode="External"/><Relationship Id="rId679" Type="http://schemas.openxmlformats.org/officeDocument/2006/relationships/hyperlink" Target="http://wsmv.com" TargetMode="External"/><Relationship Id="rId315" Type="http://schemas.openxmlformats.org/officeDocument/2006/relationships/hyperlink" Target="http://kiplinger.com" TargetMode="External"/><Relationship Id="rId436" Type="http://schemas.openxmlformats.org/officeDocument/2006/relationships/hyperlink" Target="http://nbcdfw.com" TargetMode="External"/><Relationship Id="rId557" Type="http://schemas.openxmlformats.org/officeDocument/2006/relationships/hyperlink" Target="http://slickdeals.net" TargetMode="External"/><Relationship Id="rId678" Type="http://schemas.openxmlformats.org/officeDocument/2006/relationships/hyperlink" Target="http://wsj.com" TargetMode="External"/><Relationship Id="rId314" Type="http://schemas.openxmlformats.org/officeDocument/2006/relationships/hyperlink" Target="http://kbb.com" TargetMode="External"/><Relationship Id="rId435" Type="http://schemas.openxmlformats.org/officeDocument/2006/relationships/hyperlink" Target="http://nbcchicago.com" TargetMode="External"/><Relationship Id="rId556" Type="http://schemas.openxmlformats.org/officeDocument/2006/relationships/hyperlink" Target="http://signupgenius.com" TargetMode="External"/><Relationship Id="rId677" Type="http://schemas.openxmlformats.org/officeDocument/2006/relationships/hyperlink" Target="http://wordunscrambler.me" TargetMode="External"/><Relationship Id="rId313" Type="http://schemas.openxmlformats.org/officeDocument/2006/relationships/hyperlink" Target="http://kbb.com" TargetMode="External"/><Relationship Id="rId434" Type="http://schemas.openxmlformats.org/officeDocument/2006/relationships/hyperlink" Target="http://nbcchicago.com" TargetMode="External"/><Relationship Id="rId555" Type="http://schemas.openxmlformats.org/officeDocument/2006/relationships/hyperlink" Target="http://signupgenius.com" TargetMode="External"/><Relationship Id="rId676" Type="http://schemas.openxmlformats.org/officeDocument/2006/relationships/hyperlink" Target="http://womenshealthmag.com" TargetMode="External"/><Relationship Id="rId319" Type="http://schemas.openxmlformats.org/officeDocument/2006/relationships/hyperlink" Target="http://lotterypost.com" TargetMode="External"/><Relationship Id="rId318" Type="http://schemas.openxmlformats.org/officeDocument/2006/relationships/hyperlink" Target="http://lotterypost.com" TargetMode="External"/><Relationship Id="rId439" Type="http://schemas.openxmlformats.org/officeDocument/2006/relationships/hyperlink" Target="http://nbcnews.com" TargetMode="External"/><Relationship Id="rId317" Type="http://schemas.openxmlformats.org/officeDocument/2006/relationships/hyperlink" Target="http://livescience.com" TargetMode="External"/><Relationship Id="rId438" Type="http://schemas.openxmlformats.org/officeDocument/2006/relationships/hyperlink" Target="http://nbcnews.com" TargetMode="External"/><Relationship Id="rId559" Type="http://schemas.openxmlformats.org/officeDocument/2006/relationships/hyperlink" Target="http://slickdeals.net" TargetMode="External"/><Relationship Id="rId550" Type="http://schemas.openxmlformats.org/officeDocument/2006/relationships/hyperlink" Target="http://signin.ebay.com" TargetMode="External"/><Relationship Id="rId671" Type="http://schemas.openxmlformats.org/officeDocument/2006/relationships/hyperlink" Target="http://wikihow.com" TargetMode="External"/><Relationship Id="rId670" Type="http://schemas.openxmlformats.org/officeDocument/2006/relationships/hyperlink" Target="http://wikihow.com" TargetMode="External"/><Relationship Id="rId312" Type="http://schemas.openxmlformats.org/officeDocument/2006/relationships/hyperlink" Target="http://kbb.com" TargetMode="External"/><Relationship Id="rId433" Type="http://schemas.openxmlformats.org/officeDocument/2006/relationships/hyperlink" Target="http://nba.com" TargetMode="External"/><Relationship Id="rId554" Type="http://schemas.openxmlformats.org/officeDocument/2006/relationships/hyperlink" Target="http://signupgenius.com" TargetMode="External"/><Relationship Id="rId675" Type="http://schemas.openxmlformats.org/officeDocument/2006/relationships/hyperlink" Target="http://wizofawes.com" TargetMode="External"/><Relationship Id="rId311" Type="http://schemas.openxmlformats.org/officeDocument/2006/relationships/hyperlink" Target="http://kbb.com" TargetMode="External"/><Relationship Id="rId432" Type="http://schemas.openxmlformats.org/officeDocument/2006/relationships/hyperlink" Target="http://myfitnesspal.com" TargetMode="External"/><Relationship Id="rId553" Type="http://schemas.openxmlformats.org/officeDocument/2006/relationships/hyperlink" Target="http://signupgenius.com" TargetMode="External"/><Relationship Id="rId674" Type="http://schemas.openxmlformats.org/officeDocument/2006/relationships/hyperlink" Target="http://wikihow.com" TargetMode="External"/><Relationship Id="rId310" Type="http://schemas.openxmlformats.org/officeDocument/2006/relationships/hyperlink" Target="http://kbb.com" TargetMode="External"/><Relationship Id="rId431" Type="http://schemas.openxmlformats.org/officeDocument/2006/relationships/hyperlink" Target="http://mydailymagazine.com" TargetMode="External"/><Relationship Id="rId552" Type="http://schemas.openxmlformats.org/officeDocument/2006/relationships/hyperlink" Target="http://signupgenius.com" TargetMode="External"/><Relationship Id="rId673" Type="http://schemas.openxmlformats.org/officeDocument/2006/relationships/hyperlink" Target="http://wikihow.com" TargetMode="External"/><Relationship Id="rId430" Type="http://schemas.openxmlformats.org/officeDocument/2006/relationships/hyperlink" Target="http://my.yahoo.com" TargetMode="External"/><Relationship Id="rId551" Type="http://schemas.openxmlformats.org/officeDocument/2006/relationships/hyperlink" Target="http://signupgenius.com" TargetMode="External"/><Relationship Id="rId672" Type="http://schemas.openxmlformats.org/officeDocument/2006/relationships/hyperlink" Target="http://wikihow.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25"/>
    <col customWidth="1" min="2" max="2" width="13.25"/>
    <col customWidth="1" min="3" max="3" width="34.25"/>
    <col customWidth="1" min="4" max="5" width="49.25"/>
    <col customWidth="1" min="6" max="6" width="35.5"/>
    <col customWidth="1" min="7" max="7" width="19.63"/>
    <col customWidth="1" min="8" max="8" width="23.0"/>
    <col customWidth="1" min="9" max="9" width="15.63"/>
    <col customWidth="1" min="10" max="10" width="18.38"/>
    <col customWidth="1" min="11" max="11" width="29.13"/>
    <col customWidth="1" min="12" max="12" width="28.5"/>
    <col customWidth="1" min="13" max="13" width="22.0"/>
    <col customWidth="1" min="14" max="26" width="49.25"/>
  </cols>
  <sheetData>
    <row r="1" ht="54.0" customHeight="1">
      <c r="A1" s="1" t="s">
        <v>0</v>
      </c>
      <c r="B1" s="2" t="s">
        <v>1</v>
      </c>
      <c r="C1" s="2" t="s">
        <v>2</v>
      </c>
      <c r="D1" s="2" t="s">
        <v>3</v>
      </c>
      <c r="E1" s="2" t="s">
        <v>4</v>
      </c>
      <c r="F1" s="2" t="s">
        <v>5</v>
      </c>
      <c r="G1" s="2" t="s">
        <v>6</v>
      </c>
      <c r="H1" s="2" t="s">
        <v>7</v>
      </c>
      <c r="I1" s="2" t="s">
        <v>8</v>
      </c>
      <c r="J1" s="2" t="s">
        <v>9</v>
      </c>
      <c r="K1" s="2" t="s">
        <v>10</v>
      </c>
      <c r="L1" s="2" t="s">
        <v>11</v>
      </c>
      <c r="M1" s="2" t="s">
        <v>12</v>
      </c>
      <c r="N1" s="3" t="s">
        <v>13</v>
      </c>
      <c r="O1" s="3" t="s">
        <v>13</v>
      </c>
      <c r="P1" s="3" t="s">
        <v>13</v>
      </c>
      <c r="Q1" s="3" t="s">
        <v>13</v>
      </c>
      <c r="R1" s="3" t="s">
        <v>13</v>
      </c>
      <c r="S1" s="3" t="s">
        <v>13</v>
      </c>
      <c r="T1" s="3" t="s">
        <v>13</v>
      </c>
      <c r="U1" s="3" t="s">
        <v>13</v>
      </c>
      <c r="V1" s="3" t="s">
        <v>13</v>
      </c>
      <c r="W1" s="3" t="s">
        <v>13</v>
      </c>
      <c r="X1" s="3" t="s">
        <v>13</v>
      </c>
      <c r="Y1" s="3" t="s">
        <v>13</v>
      </c>
      <c r="Z1" s="3" t="s">
        <v>13</v>
      </c>
    </row>
    <row r="2">
      <c r="A2" s="4" t="s">
        <v>14</v>
      </c>
      <c r="B2" s="5" t="s">
        <v>15</v>
      </c>
      <c r="C2" s="5" t="s">
        <v>16</v>
      </c>
      <c r="D2" s="5" t="s">
        <v>17</v>
      </c>
      <c r="E2" s="6" t="s">
        <v>18</v>
      </c>
      <c r="F2" s="5" t="s">
        <v>19</v>
      </c>
      <c r="G2" s="5" t="s">
        <v>20</v>
      </c>
      <c r="H2" s="5">
        <v>10524.0</v>
      </c>
      <c r="I2" s="5">
        <v>55.0</v>
      </c>
      <c r="J2" s="5">
        <v>7601.0</v>
      </c>
      <c r="K2" s="5">
        <v>10242.0</v>
      </c>
      <c r="L2" s="5">
        <v>11.0</v>
      </c>
      <c r="M2" s="5">
        <v>6136.133902</v>
      </c>
    </row>
    <row r="3">
      <c r="A3" s="4" t="s">
        <v>21</v>
      </c>
      <c r="B3" s="5" t="s">
        <v>22</v>
      </c>
      <c r="C3" s="5" t="s">
        <v>23</v>
      </c>
      <c r="D3" s="5" t="s">
        <v>24</v>
      </c>
      <c r="E3" s="6" t="s">
        <v>25</v>
      </c>
      <c r="F3" s="5" t="s">
        <v>26</v>
      </c>
      <c r="G3" s="5" t="s">
        <v>27</v>
      </c>
      <c r="H3" s="5">
        <v>18324.0</v>
      </c>
      <c r="I3" s="5">
        <v>60.0</v>
      </c>
      <c r="J3" s="5">
        <v>3145.0</v>
      </c>
      <c r="K3" s="5">
        <v>13703.0</v>
      </c>
      <c r="L3" s="5">
        <v>8.0</v>
      </c>
      <c r="M3" s="5">
        <v>6996.231838</v>
      </c>
    </row>
    <row r="4">
      <c r="A4" s="4" t="s">
        <v>28</v>
      </c>
      <c r="B4" s="5" t="s">
        <v>15</v>
      </c>
      <c r="C4" s="5" t="s">
        <v>16</v>
      </c>
      <c r="D4" s="5" t="s">
        <v>29</v>
      </c>
      <c r="E4" s="6" t="s">
        <v>25</v>
      </c>
      <c r="F4" s="5" t="s">
        <v>19</v>
      </c>
      <c r="G4" s="5" t="s">
        <v>27</v>
      </c>
      <c r="H4" s="5">
        <v>7862.0</v>
      </c>
      <c r="I4" s="5">
        <v>20.0</v>
      </c>
      <c r="J4" s="5">
        <v>2152.0</v>
      </c>
      <c r="K4" s="5">
        <v>6039.0</v>
      </c>
      <c r="L4" s="5">
        <v>2.0</v>
      </c>
      <c r="M4" s="5">
        <v>6506.433687</v>
      </c>
    </row>
    <row r="5">
      <c r="A5" s="4" t="s">
        <v>30</v>
      </c>
      <c r="B5" s="5" t="s">
        <v>15</v>
      </c>
      <c r="C5" s="5" t="s">
        <v>31</v>
      </c>
      <c r="D5" s="5" t="s">
        <v>32</v>
      </c>
      <c r="E5" s="6" t="s">
        <v>25</v>
      </c>
      <c r="F5" s="5" t="s">
        <v>33</v>
      </c>
      <c r="G5" s="5" t="s">
        <v>27</v>
      </c>
      <c r="H5" s="5">
        <v>10501.0</v>
      </c>
      <c r="I5" s="5">
        <v>90.0</v>
      </c>
      <c r="J5" s="5">
        <v>4126.0</v>
      </c>
      <c r="K5" s="5">
        <v>7654.0</v>
      </c>
      <c r="L5" s="5">
        <v>8.0</v>
      </c>
      <c r="M5" s="5">
        <v>6244.517921</v>
      </c>
    </row>
    <row r="6">
      <c r="A6" s="4" t="s">
        <v>34</v>
      </c>
      <c r="B6" s="5" t="s">
        <v>15</v>
      </c>
      <c r="C6" s="5" t="s">
        <v>31</v>
      </c>
      <c r="D6" s="5" t="s">
        <v>35</v>
      </c>
      <c r="E6" s="6" t="s">
        <v>25</v>
      </c>
      <c r="F6" s="5" t="s">
        <v>36</v>
      </c>
      <c r="G6" s="5" t="s">
        <v>20</v>
      </c>
      <c r="H6" s="5">
        <v>23156.0</v>
      </c>
      <c r="I6" s="5">
        <v>73.0</v>
      </c>
      <c r="J6" s="5">
        <v>4468.0</v>
      </c>
      <c r="K6" s="5">
        <v>18821.0</v>
      </c>
      <c r="L6" s="5">
        <v>15.0</v>
      </c>
      <c r="M6" s="5">
        <v>6173.41289</v>
      </c>
    </row>
    <row r="7">
      <c r="A7" s="4" t="s">
        <v>37</v>
      </c>
      <c r="B7" s="5" t="s">
        <v>22</v>
      </c>
      <c r="C7" s="5" t="s">
        <v>31</v>
      </c>
      <c r="D7" s="5" t="s">
        <v>17</v>
      </c>
      <c r="E7" s="6" t="s">
        <v>25</v>
      </c>
      <c r="F7" s="5" t="s">
        <v>19</v>
      </c>
      <c r="G7" s="5" t="s">
        <v>27</v>
      </c>
      <c r="H7" s="5">
        <v>23711.0</v>
      </c>
      <c r="I7" s="5">
        <v>69.0</v>
      </c>
      <c r="J7" s="5">
        <v>4337.0</v>
      </c>
      <c r="K7" s="5">
        <v>17211.0</v>
      </c>
      <c r="L7" s="5">
        <v>8.0</v>
      </c>
      <c r="M7" s="5">
        <v>5740.952219</v>
      </c>
    </row>
    <row r="8">
      <c r="A8" s="4" t="s">
        <v>38</v>
      </c>
      <c r="B8" s="5" t="s">
        <v>22</v>
      </c>
      <c r="C8" s="5" t="s">
        <v>16</v>
      </c>
      <c r="D8" s="5" t="s">
        <v>39</v>
      </c>
      <c r="E8" s="6" t="s">
        <v>25</v>
      </c>
      <c r="F8" s="5" t="s">
        <v>26</v>
      </c>
      <c r="G8" s="5" t="s">
        <v>27</v>
      </c>
      <c r="H8" s="5">
        <v>23965.0</v>
      </c>
      <c r="I8" s="5">
        <v>270.0</v>
      </c>
      <c r="J8" s="5">
        <v>13608.0</v>
      </c>
      <c r="K8" s="5">
        <v>21704.0</v>
      </c>
      <c r="L8" s="5">
        <v>12.0</v>
      </c>
      <c r="M8" s="5">
        <v>5706.864417</v>
      </c>
    </row>
    <row r="9">
      <c r="A9" s="4" t="s">
        <v>40</v>
      </c>
      <c r="B9" s="5" t="s">
        <v>15</v>
      </c>
      <c r="C9" s="5" t="s">
        <v>31</v>
      </c>
      <c r="D9" s="5" t="s">
        <v>39</v>
      </c>
      <c r="E9" s="6" t="s">
        <v>25</v>
      </c>
      <c r="F9" s="5" t="s">
        <v>19</v>
      </c>
      <c r="G9" s="5" t="s">
        <v>27</v>
      </c>
      <c r="H9" s="5">
        <v>14730.0</v>
      </c>
      <c r="I9" s="5">
        <v>88.0</v>
      </c>
      <c r="J9" s="5">
        <v>1272.0</v>
      </c>
      <c r="K9" s="5">
        <v>12427.0</v>
      </c>
      <c r="L9" s="5">
        <v>3.0</v>
      </c>
      <c r="M9" s="5">
        <v>5190.535998</v>
      </c>
    </row>
    <row r="10">
      <c r="A10" s="4" t="s">
        <v>41</v>
      </c>
      <c r="B10" s="5" t="s">
        <v>15</v>
      </c>
      <c r="C10" s="5" t="s">
        <v>42</v>
      </c>
      <c r="D10" s="5" t="s">
        <v>43</v>
      </c>
      <c r="E10" s="6" t="s">
        <v>25</v>
      </c>
      <c r="F10" s="5" t="s">
        <v>36</v>
      </c>
      <c r="G10" s="5" t="s">
        <v>27</v>
      </c>
      <c r="H10" s="5">
        <v>36863.0</v>
      </c>
      <c r="I10" s="5">
        <v>116.0</v>
      </c>
      <c r="J10" s="5">
        <v>3570.0</v>
      </c>
      <c r="K10" s="5">
        <v>29458.0</v>
      </c>
      <c r="L10" s="5">
        <v>15.0</v>
      </c>
      <c r="M10" s="5">
        <v>4752.816685</v>
      </c>
    </row>
    <row r="11">
      <c r="A11" s="4" t="s">
        <v>44</v>
      </c>
      <c r="B11" s="5" t="s">
        <v>22</v>
      </c>
      <c r="C11" s="5" t="s">
        <v>31</v>
      </c>
      <c r="D11" s="5" t="s">
        <v>45</v>
      </c>
      <c r="E11" s="6" t="s">
        <v>25</v>
      </c>
      <c r="F11" s="5" t="s">
        <v>46</v>
      </c>
      <c r="G11" s="5" t="s">
        <v>27</v>
      </c>
      <c r="H11" s="5">
        <v>213699.0</v>
      </c>
      <c r="I11" s="5">
        <v>270.0</v>
      </c>
      <c r="J11" s="5">
        <v>18395.0</v>
      </c>
      <c r="K11" s="5">
        <v>164487.0</v>
      </c>
      <c r="L11" s="5">
        <v>4.0</v>
      </c>
      <c r="M11" s="5">
        <v>2194.987125</v>
      </c>
    </row>
    <row r="12">
      <c r="A12" s="4" t="s">
        <v>47</v>
      </c>
      <c r="B12" s="5" t="s">
        <v>22</v>
      </c>
      <c r="C12" s="5" t="s">
        <v>23</v>
      </c>
      <c r="D12" s="5" t="s">
        <v>32</v>
      </c>
      <c r="E12" s="6" t="s">
        <v>25</v>
      </c>
      <c r="F12" s="5" t="s">
        <v>48</v>
      </c>
      <c r="G12" s="5" t="s">
        <v>27</v>
      </c>
      <c r="H12" s="5">
        <v>49936.0</v>
      </c>
      <c r="I12" s="5">
        <v>126.0</v>
      </c>
      <c r="J12" s="5">
        <v>25461.0</v>
      </c>
      <c r="K12" s="5">
        <v>44751.0</v>
      </c>
      <c r="L12" s="5">
        <v>13.0</v>
      </c>
      <c r="M12" s="5">
        <v>2025.784019</v>
      </c>
    </row>
    <row r="13">
      <c r="A13" s="4" t="s">
        <v>49</v>
      </c>
      <c r="B13" s="5" t="s">
        <v>15</v>
      </c>
      <c r="C13" s="5" t="s">
        <v>23</v>
      </c>
      <c r="D13" s="5" t="s">
        <v>17</v>
      </c>
      <c r="E13" s="6" t="s">
        <v>25</v>
      </c>
      <c r="F13" s="5" t="s">
        <v>50</v>
      </c>
      <c r="G13" s="5" t="s">
        <v>27</v>
      </c>
      <c r="H13" s="5">
        <v>15200.0</v>
      </c>
      <c r="I13" s="5">
        <v>60.0</v>
      </c>
      <c r="J13" s="5">
        <v>5375.0</v>
      </c>
      <c r="K13" s="5">
        <v>12040.0</v>
      </c>
      <c r="L13" s="5">
        <v>4.0</v>
      </c>
      <c r="M13" s="5">
        <v>1970.357345</v>
      </c>
    </row>
    <row r="14">
      <c r="A14" s="4" t="s">
        <v>51</v>
      </c>
      <c r="B14" s="5" t="s">
        <v>15</v>
      </c>
      <c r="C14" s="5" t="s">
        <v>31</v>
      </c>
      <c r="D14" s="5" t="s">
        <v>35</v>
      </c>
      <c r="E14" s="6" t="s">
        <v>25</v>
      </c>
      <c r="F14" s="5" t="s">
        <v>19</v>
      </c>
      <c r="G14" s="5" t="s">
        <v>52</v>
      </c>
      <c r="H14" s="5">
        <v>49250.0</v>
      </c>
      <c r="I14" s="5">
        <v>220.0</v>
      </c>
      <c r="J14" s="5">
        <v>9205.0</v>
      </c>
      <c r="K14" s="5">
        <v>43535.0</v>
      </c>
      <c r="L14" s="5">
        <v>15.0</v>
      </c>
      <c r="M14" s="5">
        <v>1694.470977</v>
      </c>
    </row>
    <row r="15">
      <c r="A15" s="4" t="s">
        <v>53</v>
      </c>
      <c r="B15" s="5" t="s">
        <v>15</v>
      </c>
      <c r="C15" s="5" t="s">
        <v>16</v>
      </c>
      <c r="D15" s="5" t="s">
        <v>29</v>
      </c>
      <c r="E15" s="6" t="s">
        <v>25</v>
      </c>
      <c r="F15" s="5" t="s">
        <v>46</v>
      </c>
      <c r="G15" s="5" t="s">
        <v>27</v>
      </c>
      <c r="H15" s="5">
        <v>10811.0</v>
      </c>
      <c r="I15" s="5">
        <v>25.0</v>
      </c>
      <c r="J15" s="5">
        <v>988.0</v>
      </c>
      <c r="K15" s="5">
        <v>2975.0</v>
      </c>
      <c r="L15" s="5">
        <v>3.0</v>
      </c>
      <c r="M15" s="5">
        <v>1679.833815</v>
      </c>
    </row>
    <row r="16">
      <c r="A16" s="4" t="s">
        <v>54</v>
      </c>
      <c r="B16" s="5" t="s">
        <v>15</v>
      </c>
      <c r="C16" s="5" t="s">
        <v>23</v>
      </c>
      <c r="D16" s="5" t="s">
        <v>55</v>
      </c>
      <c r="E16" s="6" t="s">
        <v>25</v>
      </c>
      <c r="F16" s="5" t="s">
        <v>46</v>
      </c>
      <c r="G16" s="5" t="s">
        <v>27</v>
      </c>
      <c r="H16" s="5">
        <v>23829.0</v>
      </c>
      <c r="I16" s="5">
        <v>75.0</v>
      </c>
      <c r="J16" s="5">
        <v>8326.0</v>
      </c>
      <c r="K16" s="5">
        <v>18812.0</v>
      </c>
      <c r="L16" s="5">
        <v>5.0</v>
      </c>
      <c r="M16" s="5">
        <v>1534.698</v>
      </c>
    </row>
    <row r="17">
      <c r="A17" s="4" t="s">
        <v>56</v>
      </c>
      <c r="B17" s="5" t="s">
        <v>22</v>
      </c>
      <c r="C17" s="5" t="s">
        <v>42</v>
      </c>
      <c r="D17" s="5" t="s">
        <v>17</v>
      </c>
      <c r="E17" s="6" t="s">
        <v>25</v>
      </c>
      <c r="F17" s="5" t="s">
        <v>48</v>
      </c>
      <c r="G17" s="5" t="s">
        <v>27</v>
      </c>
      <c r="H17" s="5">
        <v>19826.0</v>
      </c>
      <c r="I17" s="5">
        <v>39.0</v>
      </c>
      <c r="J17" s="5">
        <v>6511.0</v>
      </c>
      <c r="K17" s="5">
        <v>15752.0</v>
      </c>
      <c r="L17" s="5">
        <v>10.0</v>
      </c>
      <c r="M17" s="5">
        <v>1447.873298</v>
      </c>
    </row>
    <row r="18">
      <c r="A18" s="4" t="s">
        <v>57</v>
      </c>
      <c r="B18" s="5" t="s">
        <v>15</v>
      </c>
      <c r="C18" s="5" t="s">
        <v>42</v>
      </c>
      <c r="D18" s="5" t="s">
        <v>35</v>
      </c>
      <c r="E18" s="6" t="s">
        <v>58</v>
      </c>
      <c r="F18" s="5" t="s">
        <v>36</v>
      </c>
      <c r="G18" s="5" t="s">
        <v>52</v>
      </c>
      <c r="H18" s="5">
        <v>81905.0</v>
      </c>
      <c r="I18" s="5">
        <v>220.0</v>
      </c>
      <c r="J18" s="5">
        <v>61995.0</v>
      </c>
      <c r="K18" s="5">
        <v>71110.0</v>
      </c>
      <c r="L18" s="5">
        <v>24.0</v>
      </c>
      <c r="M18" s="5">
        <v>7065.66928</v>
      </c>
    </row>
    <row r="19">
      <c r="A19" s="4" t="s">
        <v>59</v>
      </c>
      <c r="B19" s="5" t="s">
        <v>22</v>
      </c>
      <c r="C19" s="5" t="s">
        <v>23</v>
      </c>
      <c r="D19" s="5" t="s">
        <v>32</v>
      </c>
      <c r="E19" s="6" t="s">
        <v>58</v>
      </c>
      <c r="F19" s="5" t="s">
        <v>36</v>
      </c>
      <c r="G19" s="5" t="s">
        <v>27</v>
      </c>
      <c r="H19" s="5">
        <v>16151.0</v>
      </c>
      <c r="I19" s="5">
        <v>54.0</v>
      </c>
      <c r="J19" s="5">
        <v>4360.0</v>
      </c>
      <c r="K19" s="5">
        <v>11358.0</v>
      </c>
      <c r="L19" s="5">
        <v>3.0</v>
      </c>
      <c r="M19" s="5">
        <v>1706.224318</v>
      </c>
    </row>
    <row r="20">
      <c r="A20" s="4" t="s">
        <v>60</v>
      </c>
      <c r="B20" s="5" t="s">
        <v>61</v>
      </c>
      <c r="C20" s="5" t="s">
        <v>31</v>
      </c>
      <c r="D20" s="5" t="s">
        <v>29</v>
      </c>
      <c r="E20" s="6" t="s">
        <v>58</v>
      </c>
      <c r="F20" s="5" t="s">
        <v>46</v>
      </c>
      <c r="G20" s="5" t="s">
        <v>27</v>
      </c>
      <c r="H20" s="5">
        <v>68704.0</v>
      </c>
      <c r="I20" s="5">
        <v>185.0</v>
      </c>
      <c r="J20" s="5">
        <v>31283.0</v>
      </c>
      <c r="K20" s="5">
        <v>59462.0</v>
      </c>
      <c r="L20" s="5">
        <v>16.0</v>
      </c>
      <c r="M20" s="5">
        <v>1605.566031</v>
      </c>
    </row>
    <row r="21">
      <c r="A21" s="4" t="s">
        <v>62</v>
      </c>
      <c r="B21" s="5" t="s">
        <v>15</v>
      </c>
      <c r="C21" s="5" t="s">
        <v>23</v>
      </c>
      <c r="D21" s="5" t="s">
        <v>29</v>
      </c>
      <c r="E21" s="6" t="s">
        <v>58</v>
      </c>
      <c r="F21" s="5" t="s">
        <v>19</v>
      </c>
      <c r="G21" s="5" t="s">
        <v>52</v>
      </c>
      <c r="H21" s="5">
        <v>76439.0</v>
      </c>
      <c r="I21" s="5">
        <v>100.0</v>
      </c>
      <c r="J21" s="5">
        <v>58269.0</v>
      </c>
      <c r="K21" s="5">
        <v>66924.0</v>
      </c>
      <c r="L21" s="5">
        <v>8.0</v>
      </c>
      <c r="M21" s="5">
        <v>1524.810224</v>
      </c>
    </row>
    <row r="22">
      <c r="A22" s="4" t="s">
        <v>63</v>
      </c>
      <c r="B22" s="5" t="s">
        <v>15</v>
      </c>
      <c r="C22" s="5" t="s">
        <v>16</v>
      </c>
      <c r="D22" s="5" t="s">
        <v>35</v>
      </c>
      <c r="E22" s="6" t="s">
        <v>64</v>
      </c>
      <c r="F22" s="5" t="s">
        <v>33</v>
      </c>
      <c r="G22" s="5" t="s">
        <v>52</v>
      </c>
      <c r="H22" s="5">
        <v>17833.0</v>
      </c>
      <c r="I22" s="5">
        <v>61.0</v>
      </c>
      <c r="J22" s="5">
        <v>8670.0</v>
      </c>
      <c r="K22" s="5">
        <v>16871.0</v>
      </c>
      <c r="L22" s="5">
        <v>10.0</v>
      </c>
      <c r="M22" s="5">
        <v>4899.155955</v>
      </c>
    </row>
    <row r="23">
      <c r="A23" s="4" t="s">
        <v>65</v>
      </c>
      <c r="B23" s="5" t="s">
        <v>15</v>
      </c>
      <c r="C23" s="5" t="s">
        <v>31</v>
      </c>
      <c r="D23" s="5" t="s">
        <v>66</v>
      </c>
      <c r="E23" s="6" t="s">
        <v>64</v>
      </c>
      <c r="F23" s="5" t="s">
        <v>19</v>
      </c>
      <c r="G23" s="5" t="s">
        <v>20</v>
      </c>
      <c r="H23" s="5">
        <v>16719.0</v>
      </c>
      <c r="I23" s="5">
        <v>35.0</v>
      </c>
      <c r="J23" s="5">
        <v>9944.0</v>
      </c>
      <c r="K23" s="5">
        <v>15714.0</v>
      </c>
      <c r="L23" s="5">
        <v>13.0</v>
      </c>
      <c r="M23" s="5">
        <v>1588.6475</v>
      </c>
    </row>
    <row r="24">
      <c r="A24" s="4" t="s">
        <v>67</v>
      </c>
      <c r="B24" s="5" t="s">
        <v>22</v>
      </c>
      <c r="C24" s="5" t="s">
        <v>16</v>
      </c>
      <c r="D24" s="5" t="s">
        <v>45</v>
      </c>
      <c r="E24" s="6" t="s">
        <v>64</v>
      </c>
      <c r="F24" s="5" t="s">
        <v>26</v>
      </c>
      <c r="G24" s="5" t="s">
        <v>27</v>
      </c>
      <c r="H24" s="5">
        <v>12592.0</v>
      </c>
      <c r="I24" s="5">
        <v>63.0</v>
      </c>
      <c r="J24" s="5">
        <v>7472.0</v>
      </c>
      <c r="K24" s="5">
        <v>11687.0</v>
      </c>
      <c r="L24" s="5">
        <v>4.0</v>
      </c>
      <c r="M24" s="5">
        <v>1521.185189</v>
      </c>
    </row>
    <row r="25">
      <c r="A25" s="4" t="s">
        <v>68</v>
      </c>
      <c r="B25" s="5" t="s">
        <v>15</v>
      </c>
      <c r="C25" s="5" t="s">
        <v>23</v>
      </c>
      <c r="D25" s="5" t="s">
        <v>32</v>
      </c>
      <c r="E25" s="6" t="s">
        <v>64</v>
      </c>
      <c r="F25" s="5" t="s">
        <v>36</v>
      </c>
      <c r="G25" s="5" t="s">
        <v>27</v>
      </c>
      <c r="H25" s="5">
        <v>14136.0</v>
      </c>
      <c r="I25" s="5">
        <v>88.0</v>
      </c>
      <c r="J25" s="5">
        <v>4683.0</v>
      </c>
      <c r="K25" s="5">
        <v>13273.0</v>
      </c>
      <c r="L25" s="5">
        <v>3.0</v>
      </c>
      <c r="M25" s="5">
        <v>1476.536841</v>
      </c>
    </row>
    <row r="26">
      <c r="A26" s="4" t="s">
        <v>69</v>
      </c>
      <c r="B26" s="5" t="s">
        <v>22</v>
      </c>
      <c r="C26" s="5" t="s">
        <v>31</v>
      </c>
      <c r="D26" s="5" t="s">
        <v>17</v>
      </c>
      <c r="E26" s="6" t="s">
        <v>70</v>
      </c>
      <c r="F26" s="5" t="s">
        <v>26</v>
      </c>
      <c r="G26" s="5" t="s">
        <v>27</v>
      </c>
      <c r="H26" s="5">
        <v>14489.0</v>
      </c>
      <c r="I26" s="5">
        <v>37.0</v>
      </c>
      <c r="J26" s="5">
        <v>12453.0</v>
      </c>
      <c r="K26" s="5">
        <v>13873.0</v>
      </c>
      <c r="L26" s="5">
        <v>10.0</v>
      </c>
      <c r="M26" s="5">
        <v>6195.840734</v>
      </c>
    </row>
    <row r="27">
      <c r="A27" s="4" t="s">
        <v>71</v>
      </c>
      <c r="B27" s="5" t="s">
        <v>15</v>
      </c>
      <c r="C27" s="5" t="s">
        <v>31</v>
      </c>
      <c r="D27" s="5" t="s">
        <v>45</v>
      </c>
      <c r="E27" s="6" t="s">
        <v>72</v>
      </c>
      <c r="F27" s="5" t="s">
        <v>19</v>
      </c>
      <c r="G27" s="5" t="s">
        <v>52</v>
      </c>
      <c r="H27" s="5">
        <v>20348.0</v>
      </c>
      <c r="I27" s="5">
        <v>101.0</v>
      </c>
      <c r="J27" s="5">
        <v>14945.0</v>
      </c>
      <c r="K27" s="5">
        <v>19548.0</v>
      </c>
      <c r="L27" s="5">
        <v>6.0</v>
      </c>
      <c r="M27" s="5">
        <v>1596.552373</v>
      </c>
    </row>
    <row r="28">
      <c r="A28" s="4" t="s">
        <v>73</v>
      </c>
      <c r="B28" s="5" t="s">
        <v>22</v>
      </c>
      <c r="C28" s="5" t="s">
        <v>31</v>
      </c>
      <c r="D28" s="5" t="s">
        <v>17</v>
      </c>
      <c r="E28" s="6" t="s">
        <v>74</v>
      </c>
      <c r="F28" s="5" t="s">
        <v>48</v>
      </c>
      <c r="G28" s="5" t="s">
        <v>27</v>
      </c>
      <c r="H28" s="5">
        <v>40447.0</v>
      </c>
      <c r="I28" s="5">
        <v>177.0</v>
      </c>
      <c r="J28" s="5">
        <v>16663.0</v>
      </c>
      <c r="K28" s="5">
        <v>29774.0</v>
      </c>
      <c r="L28" s="5">
        <v>12.0</v>
      </c>
      <c r="M28" s="5">
        <v>5083.886273</v>
      </c>
    </row>
    <row r="29">
      <c r="A29" s="4" t="s">
        <v>75</v>
      </c>
      <c r="B29" s="5" t="s">
        <v>15</v>
      </c>
      <c r="C29" s="5" t="s">
        <v>23</v>
      </c>
      <c r="D29" s="5" t="s">
        <v>35</v>
      </c>
      <c r="E29" s="6" t="s">
        <v>76</v>
      </c>
      <c r="F29" s="5" t="s">
        <v>26</v>
      </c>
      <c r="G29" s="5" t="s">
        <v>27</v>
      </c>
      <c r="H29" s="5">
        <v>14451.0</v>
      </c>
      <c r="I29" s="5">
        <v>50.0</v>
      </c>
      <c r="J29" s="5">
        <v>5606.0</v>
      </c>
      <c r="K29" s="5">
        <v>13461.0</v>
      </c>
      <c r="L29" s="5">
        <v>8.0</v>
      </c>
      <c r="M29" s="5">
        <v>6397.602518</v>
      </c>
    </row>
    <row r="30">
      <c r="A30" s="4" t="s">
        <v>77</v>
      </c>
      <c r="B30" s="5" t="s">
        <v>15</v>
      </c>
      <c r="C30" s="5" t="s">
        <v>31</v>
      </c>
      <c r="D30" s="5" t="s">
        <v>78</v>
      </c>
      <c r="E30" s="6" t="s">
        <v>79</v>
      </c>
      <c r="F30" s="5" t="s">
        <v>80</v>
      </c>
      <c r="G30" s="5" t="s">
        <v>20</v>
      </c>
      <c r="H30" s="5">
        <v>11668.0</v>
      </c>
      <c r="I30" s="5">
        <v>110.0</v>
      </c>
      <c r="J30" s="5">
        <v>7860.0</v>
      </c>
      <c r="K30" s="5">
        <v>11009.0</v>
      </c>
      <c r="L30" s="5">
        <v>5.0</v>
      </c>
      <c r="M30" s="5">
        <v>2653.981579</v>
      </c>
    </row>
    <row r="31">
      <c r="A31" s="4" t="s">
        <v>81</v>
      </c>
      <c r="B31" s="5" t="s">
        <v>15</v>
      </c>
      <c r="C31" s="5" t="s">
        <v>23</v>
      </c>
      <c r="D31" s="5" t="s">
        <v>78</v>
      </c>
      <c r="E31" s="6" t="s">
        <v>82</v>
      </c>
      <c r="F31" s="5" t="s">
        <v>26</v>
      </c>
      <c r="G31" s="5" t="s">
        <v>52</v>
      </c>
      <c r="H31" s="5">
        <v>19379.0</v>
      </c>
      <c r="I31" s="5">
        <v>49.0</v>
      </c>
      <c r="J31" s="5">
        <v>12168.0</v>
      </c>
      <c r="K31" s="5">
        <v>16616.0</v>
      </c>
      <c r="L31" s="5">
        <v>97.0</v>
      </c>
      <c r="M31" s="5">
        <v>7294.100001</v>
      </c>
    </row>
    <row r="32">
      <c r="A32" s="4" t="s">
        <v>83</v>
      </c>
      <c r="B32" s="5" t="s">
        <v>15</v>
      </c>
      <c r="C32" s="5" t="s">
        <v>42</v>
      </c>
      <c r="D32" s="5" t="s">
        <v>84</v>
      </c>
      <c r="E32" s="6" t="s">
        <v>82</v>
      </c>
      <c r="F32" s="5" t="s">
        <v>19</v>
      </c>
      <c r="G32" s="5" t="s">
        <v>27</v>
      </c>
      <c r="H32" s="5">
        <v>8716.0</v>
      </c>
      <c r="I32" s="5">
        <v>40.0</v>
      </c>
      <c r="J32" s="5">
        <v>6490.0</v>
      </c>
      <c r="K32" s="5">
        <v>7862.0</v>
      </c>
      <c r="L32" s="5">
        <v>2.0</v>
      </c>
      <c r="M32" s="5">
        <v>2100.820137</v>
      </c>
    </row>
    <row r="33">
      <c r="A33" s="4" t="s">
        <v>85</v>
      </c>
      <c r="B33" s="5" t="s">
        <v>15</v>
      </c>
      <c r="C33" s="5" t="s">
        <v>16</v>
      </c>
      <c r="D33" s="5" t="s">
        <v>43</v>
      </c>
      <c r="E33" s="6" t="s">
        <v>82</v>
      </c>
      <c r="F33" s="5" t="s">
        <v>48</v>
      </c>
      <c r="G33" s="5" t="s">
        <v>27</v>
      </c>
      <c r="H33" s="5">
        <v>11062.0</v>
      </c>
      <c r="I33" s="5">
        <v>78.0</v>
      </c>
      <c r="J33" s="5">
        <v>6539.0</v>
      </c>
      <c r="K33" s="5">
        <v>9391.0</v>
      </c>
      <c r="L33" s="5">
        <v>2.0</v>
      </c>
      <c r="M33" s="5">
        <v>1500.09932</v>
      </c>
    </row>
    <row r="34">
      <c r="A34" s="4" t="s">
        <v>86</v>
      </c>
      <c r="B34" s="5" t="s">
        <v>61</v>
      </c>
      <c r="C34" s="5" t="s">
        <v>42</v>
      </c>
      <c r="D34" s="5" t="s">
        <v>17</v>
      </c>
      <c r="E34" s="6" t="s">
        <v>87</v>
      </c>
      <c r="F34" s="5" t="s">
        <v>46</v>
      </c>
      <c r="G34" s="5" t="s">
        <v>27</v>
      </c>
      <c r="H34" s="5">
        <v>100800.0</v>
      </c>
      <c r="I34" s="5">
        <v>185.0</v>
      </c>
      <c r="J34" s="5">
        <v>14473.0</v>
      </c>
      <c r="K34" s="5">
        <v>85424.0</v>
      </c>
      <c r="L34" s="5">
        <v>10.0</v>
      </c>
      <c r="M34" s="5">
        <v>7004.730483</v>
      </c>
    </row>
    <row r="35">
      <c r="A35" s="4" t="s">
        <v>88</v>
      </c>
      <c r="B35" s="5" t="s">
        <v>15</v>
      </c>
      <c r="C35" s="5" t="s">
        <v>42</v>
      </c>
      <c r="D35" s="5" t="s">
        <v>17</v>
      </c>
      <c r="E35" s="6" t="s">
        <v>87</v>
      </c>
      <c r="F35" s="5" t="s">
        <v>19</v>
      </c>
      <c r="G35" s="5" t="s">
        <v>27</v>
      </c>
      <c r="H35" s="5">
        <v>12864.0</v>
      </c>
      <c r="I35" s="5">
        <v>84.0</v>
      </c>
      <c r="J35" s="5">
        <v>5549.0</v>
      </c>
      <c r="K35" s="5">
        <v>11852.0</v>
      </c>
      <c r="L35" s="5">
        <v>5.0</v>
      </c>
      <c r="M35" s="5">
        <v>1905.889693</v>
      </c>
    </row>
    <row r="36">
      <c r="A36" s="4" t="s">
        <v>89</v>
      </c>
      <c r="B36" s="5" t="s">
        <v>22</v>
      </c>
      <c r="C36" s="5" t="s">
        <v>23</v>
      </c>
      <c r="D36" s="5" t="s">
        <v>66</v>
      </c>
      <c r="E36" s="6" t="s">
        <v>90</v>
      </c>
      <c r="F36" s="5" t="s">
        <v>46</v>
      </c>
      <c r="G36" s="5" t="s">
        <v>27</v>
      </c>
      <c r="H36" s="5">
        <v>10992.0</v>
      </c>
      <c r="I36" s="5">
        <v>97.0</v>
      </c>
      <c r="J36" s="5">
        <v>6677.0</v>
      </c>
      <c r="K36" s="5">
        <v>10132.0</v>
      </c>
      <c r="L36" s="5">
        <v>3.0</v>
      </c>
      <c r="M36" s="5">
        <v>1675.987427</v>
      </c>
    </row>
    <row r="37">
      <c r="A37" s="4" t="s">
        <v>91</v>
      </c>
      <c r="B37" s="5" t="s">
        <v>15</v>
      </c>
      <c r="C37" s="5" t="s">
        <v>16</v>
      </c>
      <c r="D37" s="5" t="s">
        <v>39</v>
      </c>
      <c r="E37" s="6" t="s">
        <v>90</v>
      </c>
      <c r="F37" s="5" t="s">
        <v>19</v>
      </c>
      <c r="G37" s="5" t="s">
        <v>27</v>
      </c>
      <c r="H37" s="5">
        <v>14984.0</v>
      </c>
      <c r="I37" s="5">
        <v>63.0</v>
      </c>
      <c r="J37" s="5">
        <v>9614.0</v>
      </c>
      <c r="K37" s="5">
        <v>14086.0</v>
      </c>
      <c r="L37" s="5">
        <v>3.0</v>
      </c>
      <c r="M37" s="5">
        <v>1505.009635</v>
      </c>
    </row>
    <row r="38">
      <c r="A38" s="4" t="s">
        <v>92</v>
      </c>
      <c r="B38" s="5" t="s">
        <v>22</v>
      </c>
      <c r="C38" s="5" t="s">
        <v>42</v>
      </c>
      <c r="D38" s="5" t="s">
        <v>78</v>
      </c>
      <c r="E38" s="6" t="s">
        <v>93</v>
      </c>
      <c r="F38" s="5" t="s">
        <v>19</v>
      </c>
      <c r="G38" s="5" t="s">
        <v>27</v>
      </c>
      <c r="H38" s="5">
        <v>19093.0</v>
      </c>
      <c r="I38" s="5">
        <v>50.0</v>
      </c>
      <c r="J38" s="5">
        <v>9626.0</v>
      </c>
      <c r="K38" s="5">
        <v>17815.0</v>
      </c>
      <c r="L38" s="5">
        <v>10.0</v>
      </c>
      <c r="M38" s="5">
        <v>6612.14569</v>
      </c>
    </row>
    <row r="39">
      <c r="A39" s="4" t="s">
        <v>94</v>
      </c>
      <c r="B39" s="5" t="s">
        <v>15</v>
      </c>
      <c r="C39" s="5" t="s">
        <v>42</v>
      </c>
      <c r="D39" s="5" t="s">
        <v>95</v>
      </c>
      <c r="E39" s="6" t="s">
        <v>93</v>
      </c>
      <c r="F39" s="5" t="s">
        <v>46</v>
      </c>
      <c r="G39" s="5" t="s">
        <v>27</v>
      </c>
      <c r="H39" s="5">
        <v>43057.0</v>
      </c>
      <c r="I39" s="5">
        <v>122.0</v>
      </c>
      <c r="J39" s="5">
        <v>23767.0</v>
      </c>
      <c r="K39" s="5">
        <v>41484.0</v>
      </c>
      <c r="L39" s="5">
        <v>7.0</v>
      </c>
      <c r="M39" s="5">
        <v>5884.931394</v>
      </c>
    </row>
    <row r="40">
      <c r="A40" s="4" t="s">
        <v>96</v>
      </c>
      <c r="B40" s="5" t="s">
        <v>61</v>
      </c>
      <c r="C40" s="5" t="s">
        <v>23</v>
      </c>
      <c r="D40" s="5" t="s">
        <v>55</v>
      </c>
      <c r="E40" s="6" t="s">
        <v>93</v>
      </c>
      <c r="F40" s="5" t="s">
        <v>19</v>
      </c>
      <c r="G40" s="5" t="s">
        <v>27</v>
      </c>
      <c r="H40" s="5">
        <v>53561.0</v>
      </c>
      <c r="I40" s="5">
        <v>147.0</v>
      </c>
      <c r="J40" s="5">
        <v>37063.0</v>
      </c>
      <c r="K40" s="5">
        <v>51480.0</v>
      </c>
      <c r="L40" s="5">
        <v>14.0</v>
      </c>
      <c r="M40" s="5">
        <v>2039.35506</v>
      </c>
    </row>
    <row r="41">
      <c r="A41" s="4" t="s">
        <v>97</v>
      </c>
      <c r="B41" s="5" t="s">
        <v>15</v>
      </c>
      <c r="C41" s="5" t="s">
        <v>31</v>
      </c>
      <c r="D41" s="5" t="s">
        <v>17</v>
      </c>
      <c r="E41" s="6" t="s">
        <v>93</v>
      </c>
      <c r="F41" s="5" t="s">
        <v>26</v>
      </c>
      <c r="G41" s="5" t="s">
        <v>27</v>
      </c>
      <c r="H41" s="5">
        <v>67752.0</v>
      </c>
      <c r="I41" s="5">
        <v>174.0</v>
      </c>
      <c r="J41" s="5">
        <v>47126.0</v>
      </c>
      <c r="K41" s="5">
        <v>65080.0</v>
      </c>
      <c r="L41" s="5">
        <v>3.0</v>
      </c>
      <c r="M41" s="5">
        <v>1557.01573</v>
      </c>
    </row>
    <row r="42">
      <c r="A42" s="4" t="s">
        <v>98</v>
      </c>
      <c r="B42" s="5" t="s">
        <v>15</v>
      </c>
      <c r="C42" s="5" t="s">
        <v>16</v>
      </c>
      <c r="D42" s="5" t="s">
        <v>78</v>
      </c>
      <c r="E42" s="6" t="s">
        <v>99</v>
      </c>
      <c r="F42" s="5" t="s">
        <v>48</v>
      </c>
      <c r="G42" s="5" t="s">
        <v>27</v>
      </c>
      <c r="H42" s="5">
        <v>75161.0</v>
      </c>
      <c r="I42" s="5">
        <v>280.0</v>
      </c>
      <c r="J42" s="5">
        <v>40385.0</v>
      </c>
      <c r="K42" s="5">
        <v>70325.0</v>
      </c>
      <c r="L42" s="5">
        <v>3.0</v>
      </c>
      <c r="M42" s="5">
        <v>1506.461108</v>
      </c>
    </row>
    <row r="43">
      <c r="A43" s="4" t="s">
        <v>100</v>
      </c>
      <c r="B43" s="5" t="s">
        <v>15</v>
      </c>
      <c r="C43" s="5" t="s">
        <v>16</v>
      </c>
      <c r="D43" s="5" t="s">
        <v>78</v>
      </c>
      <c r="E43" s="6" t="s">
        <v>101</v>
      </c>
      <c r="F43" s="5" t="s">
        <v>46</v>
      </c>
      <c r="G43" s="5" t="s">
        <v>20</v>
      </c>
      <c r="H43" s="5">
        <v>12770.0</v>
      </c>
      <c r="I43" s="5">
        <v>84.0</v>
      </c>
      <c r="J43" s="5">
        <v>6224.0</v>
      </c>
      <c r="K43" s="5">
        <v>11110.0</v>
      </c>
      <c r="L43" s="5">
        <v>21.0</v>
      </c>
      <c r="M43" s="5">
        <v>2087.509827</v>
      </c>
    </row>
    <row r="44">
      <c r="A44" s="4" t="s">
        <v>102</v>
      </c>
      <c r="B44" s="5" t="s">
        <v>15</v>
      </c>
      <c r="C44" s="5" t="s">
        <v>42</v>
      </c>
      <c r="D44" s="5" t="s">
        <v>35</v>
      </c>
      <c r="E44" s="6" t="s">
        <v>103</v>
      </c>
      <c r="F44" s="5" t="s">
        <v>33</v>
      </c>
      <c r="G44" s="5" t="s">
        <v>27</v>
      </c>
      <c r="H44" s="5">
        <v>117713.0</v>
      </c>
      <c r="I44" s="5">
        <v>374.0</v>
      </c>
      <c r="J44" s="5">
        <v>16357.0</v>
      </c>
      <c r="K44" s="5">
        <v>100222.0</v>
      </c>
      <c r="L44" s="5">
        <v>5.0</v>
      </c>
      <c r="M44" s="5">
        <v>2505.403543</v>
      </c>
    </row>
    <row r="45">
      <c r="A45" s="4" t="s">
        <v>104</v>
      </c>
      <c r="B45" s="5" t="s">
        <v>15</v>
      </c>
      <c r="C45" s="5" t="s">
        <v>16</v>
      </c>
      <c r="D45" s="5" t="s">
        <v>35</v>
      </c>
      <c r="E45" s="6" t="s">
        <v>105</v>
      </c>
      <c r="F45" s="5" t="s">
        <v>26</v>
      </c>
      <c r="G45" s="5" t="s">
        <v>20</v>
      </c>
      <c r="H45" s="5">
        <v>26558.0</v>
      </c>
      <c r="I45" s="5">
        <v>111.0</v>
      </c>
      <c r="J45" s="5">
        <v>15761.0</v>
      </c>
      <c r="K45" s="5">
        <v>23532.0</v>
      </c>
      <c r="L45" s="5">
        <v>14.0</v>
      </c>
      <c r="M45" s="5">
        <v>6751.558981</v>
      </c>
    </row>
    <row r="46">
      <c r="A46" s="4" t="s">
        <v>106</v>
      </c>
      <c r="B46" s="5" t="s">
        <v>15</v>
      </c>
      <c r="C46" s="5" t="s">
        <v>23</v>
      </c>
      <c r="D46" s="5" t="s">
        <v>95</v>
      </c>
      <c r="E46" s="6" t="s">
        <v>105</v>
      </c>
      <c r="F46" s="5" t="s">
        <v>19</v>
      </c>
      <c r="G46" s="5" t="s">
        <v>27</v>
      </c>
      <c r="H46" s="5">
        <v>53464.0</v>
      </c>
      <c r="I46" s="5">
        <v>212.0</v>
      </c>
      <c r="J46" s="5">
        <v>22151.0</v>
      </c>
      <c r="K46" s="5">
        <v>49058.0</v>
      </c>
      <c r="L46" s="5">
        <v>9.0</v>
      </c>
      <c r="M46" s="5">
        <v>5741.098045</v>
      </c>
    </row>
    <row r="47">
      <c r="A47" s="4" t="s">
        <v>107</v>
      </c>
      <c r="B47" s="5" t="s">
        <v>61</v>
      </c>
      <c r="C47" s="5" t="s">
        <v>42</v>
      </c>
      <c r="D47" s="5" t="s">
        <v>29</v>
      </c>
      <c r="E47" s="6" t="s">
        <v>105</v>
      </c>
      <c r="F47" s="5" t="s">
        <v>46</v>
      </c>
      <c r="G47" s="5" t="s">
        <v>27</v>
      </c>
      <c r="H47" s="5">
        <v>13686.0</v>
      </c>
      <c r="I47" s="5">
        <v>66.0</v>
      </c>
      <c r="J47" s="5">
        <v>7928.0</v>
      </c>
      <c r="K47" s="5">
        <v>11931.0</v>
      </c>
      <c r="L47" s="5">
        <v>11.0</v>
      </c>
      <c r="M47" s="5">
        <v>4660.560369</v>
      </c>
    </row>
    <row r="48">
      <c r="A48" s="4" t="s">
        <v>108</v>
      </c>
      <c r="B48" s="5" t="s">
        <v>22</v>
      </c>
      <c r="C48" s="5" t="s">
        <v>23</v>
      </c>
      <c r="D48" s="5" t="s">
        <v>24</v>
      </c>
      <c r="E48" s="6" t="s">
        <v>105</v>
      </c>
      <c r="F48" s="5" t="s">
        <v>19</v>
      </c>
      <c r="G48" s="5" t="s">
        <v>27</v>
      </c>
      <c r="H48" s="5">
        <v>17752.0</v>
      </c>
      <c r="I48" s="5">
        <v>98.0</v>
      </c>
      <c r="J48" s="5">
        <v>5855.0</v>
      </c>
      <c r="K48" s="5">
        <v>15753.0</v>
      </c>
      <c r="L48" s="5">
        <v>5.0</v>
      </c>
      <c r="M48" s="5">
        <v>2200.297094</v>
      </c>
    </row>
    <row r="49">
      <c r="A49" s="4" t="s">
        <v>109</v>
      </c>
      <c r="B49" s="5" t="s">
        <v>15</v>
      </c>
      <c r="C49" s="5" t="s">
        <v>42</v>
      </c>
      <c r="D49" s="5" t="s">
        <v>78</v>
      </c>
      <c r="E49" s="6" t="s">
        <v>105</v>
      </c>
      <c r="F49" s="5" t="s">
        <v>19</v>
      </c>
      <c r="G49" s="5" t="s">
        <v>52</v>
      </c>
      <c r="H49" s="5">
        <v>32845.0</v>
      </c>
      <c r="I49" s="5">
        <v>164.0</v>
      </c>
      <c r="J49" s="5">
        <v>16163.0</v>
      </c>
      <c r="K49" s="5">
        <v>30368.0</v>
      </c>
      <c r="L49" s="5">
        <v>5.0</v>
      </c>
      <c r="M49" s="5">
        <v>1910.436686</v>
      </c>
    </row>
    <row r="50">
      <c r="A50" s="4" t="s">
        <v>110</v>
      </c>
      <c r="B50" s="5" t="s">
        <v>22</v>
      </c>
      <c r="C50" s="5" t="s">
        <v>23</v>
      </c>
      <c r="D50" s="5" t="s">
        <v>35</v>
      </c>
      <c r="E50" s="6" t="s">
        <v>111</v>
      </c>
      <c r="F50" s="5" t="s">
        <v>19</v>
      </c>
      <c r="G50" s="5" t="s">
        <v>27</v>
      </c>
      <c r="H50" s="5">
        <v>15322.0</v>
      </c>
      <c r="I50" s="5">
        <v>55.0</v>
      </c>
      <c r="J50" s="5">
        <v>6416.0</v>
      </c>
      <c r="K50" s="5">
        <v>14049.0</v>
      </c>
      <c r="L50" s="5">
        <v>5.0</v>
      </c>
      <c r="M50" s="5">
        <v>1850.464205</v>
      </c>
    </row>
    <row r="51">
      <c r="A51" s="4" t="s">
        <v>112</v>
      </c>
      <c r="B51" s="5" t="s">
        <v>15</v>
      </c>
      <c r="C51" s="5" t="s">
        <v>16</v>
      </c>
      <c r="D51" s="5" t="s">
        <v>78</v>
      </c>
      <c r="E51" s="6" t="s">
        <v>113</v>
      </c>
      <c r="F51" s="5" t="s">
        <v>46</v>
      </c>
      <c r="G51" s="5" t="s">
        <v>27</v>
      </c>
      <c r="H51" s="5">
        <v>18458.0</v>
      </c>
      <c r="I51" s="5">
        <v>111.0</v>
      </c>
      <c r="J51" s="5">
        <v>3623.0</v>
      </c>
      <c r="K51" s="5">
        <v>16934.0</v>
      </c>
      <c r="L51" s="5">
        <v>6.0</v>
      </c>
      <c r="M51" s="5">
        <v>2866.496671</v>
      </c>
    </row>
    <row r="52">
      <c r="A52" s="4" t="s">
        <v>114</v>
      </c>
      <c r="B52" s="5" t="s">
        <v>22</v>
      </c>
      <c r="C52" s="5" t="s">
        <v>42</v>
      </c>
      <c r="D52" s="5" t="s">
        <v>35</v>
      </c>
      <c r="E52" s="6" t="s">
        <v>115</v>
      </c>
      <c r="F52" s="5" t="s">
        <v>19</v>
      </c>
      <c r="G52" s="5" t="s">
        <v>27</v>
      </c>
      <c r="H52" s="5">
        <v>108559.0</v>
      </c>
      <c r="I52" s="5">
        <v>212.0</v>
      </c>
      <c r="J52" s="5">
        <v>79254.0</v>
      </c>
      <c r="K52" s="5">
        <v>100563.0</v>
      </c>
      <c r="L52" s="5">
        <v>7.0</v>
      </c>
      <c r="M52" s="5">
        <v>6850.576483</v>
      </c>
    </row>
    <row r="53">
      <c r="A53" s="4" t="s">
        <v>116</v>
      </c>
      <c r="B53" s="5" t="s">
        <v>22</v>
      </c>
      <c r="C53" s="5" t="s">
        <v>42</v>
      </c>
      <c r="D53" s="5" t="s">
        <v>35</v>
      </c>
      <c r="E53" s="6" t="s">
        <v>115</v>
      </c>
      <c r="F53" s="5" t="s">
        <v>117</v>
      </c>
      <c r="G53" s="5" t="s">
        <v>27</v>
      </c>
      <c r="H53" s="5">
        <v>106151.0</v>
      </c>
      <c r="I53" s="5">
        <v>299.0</v>
      </c>
      <c r="J53" s="5">
        <v>75304.0</v>
      </c>
      <c r="K53" s="5">
        <v>99311.0</v>
      </c>
      <c r="L53" s="5">
        <v>9.0</v>
      </c>
      <c r="M53" s="5">
        <v>6616.88066</v>
      </c>
    </row>
    <row r="54">
      <c r="A54" s="4" t="s">
        <v>118</v>
      </c>
      <c r="B54" s="5" t="s">
        <v>22</v>
      </c>
      <c r="C54" s="5" t="s">
        <v>42</v>
      </c>
      <c r="D54" s="5" t="s">
        <v>84</v>
      </c>
      <c r="E54" s="6" t="s">
        <v>115</v>
      </c>
      <c r="F54" s="5" t="s">
        <v>36</v>
      </c>
      <c r="G54" s="5" t="s">
        <v>27</v>
      </c>
      <c r="H54" s="5">
        <v>149618.0</v>
      </c>
      <c r="I54" s="5">
        <v>260.0</v>
      </c>
      <c r="J54" s="5">
        <v>126031.0</v>
      </c>
      <c r="K54" s="5">
        <v>140596.0</v>
      </c>
      <c r="L54" s="5">
        <v>26.0</v>
      </c>
      <c r="M54" s="5">
        <v>6605.586158</v>
      </c>
    </row>
    <row r="55">
      <c r="A55" s="4" t="s">
        <v>119</v>
      </c>
      <c r="B55" s="5" t="s">
        <v>22</v>
      </c>
      <c r="C55" s="5" t="s">
        <v>42</v>
      </c>
      <c r="D55" s="5" t="s">
        <v>35</v>
      </c>
      <c r="E55" s="6" t="s">
        <v>115</v>
      </c>
      <c r="F55" s="5" t="s">
        <v>117</v>
      </c>
      <c r="G55" s="5" t="s">
        <v>27</v>
      </c>
      <c r="H55" s="5">
        <v>114384.0</v>
      </c>
      <c r="I55" s="5">
        <v>100.0</v>
      </c>
      <c r="J55" s="5">
        <v>61524.0</v>
      </c>
      <c r="K55" s="5">
        <v>105104.0</v>
      </c>
      <c r="L55" s="5">
        <v>12.0</v>
      </c>
      <c r="M55" s="5">
        <v>5803.331454</v>
      </c>
    </row>
    <row r="56">
      <c r="A56" s="4" t="s">
        <v>120</v>
      </c>
      <c r="B56" s="5" t="s">
        <v>22</v>
      </c>
      <c r="C56" s="5" t="s">
        <v>16</v>
      </c>
      <c r="D56" s="5" t="s">
        <v>121</v>
      </c>
      <c r="E56" s="6" t="s">
        <v>115</v>
      </c>
      <c r="F56" s="5" t="s">
        <v>80</v>
      </c>
      <c r="G56" s="5" t="s">
        <v>27</v>
      </c>
      <c r="H56" s="5">
        <v>43367.0</v>
      </c>
      <c r="I56" s="5">
        <v>111.0</v>
      </c>
      <c r="J56" s="5">
        <v>14306.0</v>
      </c>
      <c r="K56" s="5">
        <v>39750.0</v>
      </c>
      <c r="L56" s="5">
        <v>12.0</v>
      </c>
      <c r="M56" s="5">
        <v>5214.298693</v>
      </c>
    </row>
    <row r="57">
      <c r="A57" s="4" t="s">
        <v>122</v>
      </c>
      <c r="B57" s="5" t="s">
        <v>15</v>
      </c>
      <c r="C57" s="5" t="s">
        <v>31</v>
      </c>
      <c r="D57" s="5" t="s">
        <v>35</v>
      </c>
      <c r="E57" s="6" t="s">
        <v>115</v>
      </c>
      <c r="F57" s="5" t="s">
        <v>19</v>
      </c>
      <c r="G57" s="5" t="s">
        <v>52</v>
      </c>
      <c r="H57" s="5">
        <v>113420.0</v>
      </c>
      <c r="I57" s="5">
        <v>333.0</v>
      </c>
      <c r="J57" s="5">
        <v>33557.0</v>
      </c>
      <c r="K57" s="5">
        <v>104929.0</v>
      </c>
      <c r="L57" s="5">
        <v>11.0</v>
      </c>
      <c r="M57" s="5">
        <v>5124.435934</v>
      </c>
    </row>
    <row r="58">
      <c r="A58" s="4" t="s">
        <v>123</v>
      </c>
      <c r="B58" s="5" t="s">
        <v>15</v>
      </c>
      <c r="C58" s="5" t="s">
        <v>23</v>
      </c>
      <c r="D58" s="5" t="s">
        <v>55</v>
      </c>
      <c r="E58" s="6" t="s">
        <v>115</v>
      </c>
      <c r="F58" s="5" t="s">
        <v>19</v>
      </c>
      <c r="G58" s="5" t="s">
        <v>52</v>
      </c>
      <c r="H58" s="5">
        <v>88293.0</v>
      </c>
      <c r="I58" s="5">
        <v>255.0</v>
      </c>
      <c r="J58" s="5">
        <v>24101.0</v>
      </c>
      <c r="K58" s="5">
        <v>75557.0</v>
      </c>
      <c r="L58" s="5">
        <v>19.0</v>
      </c>
      <c r="M58" s="5">
        <v>5054.481581</v>
      </c>
    </row>
    <row r="59">
      <c r="A59" s="4" t="s">
        <v>124</v>
      </c>
      <c r="B59" s="5" t="s">
        <v>22</v>
      </c>
      <c r="C59" s="5" t="s">
        <v>16</v>
      </c>
      <c r="D59" s="5" t="s">
        <v>35</v>
      </c>
      <c r="E59" s="6" t="s">
        <v>115</v>
      </c>
      <c r="F59" s="5" t="s">
        <v>19</v>
      </c>
      <c r="G59" s="5" t="s">
        <v>27</v>
      </c>
      <c r="H59" s="5">
        <v>26715.0</v>
      </c>
      <c r="I59" s="5">
        <v>100.0</v>
      </c>
      <c r="J59" s="5">
        <v>12287.0</v>
      </c>
      <c r="K59" s="5">
        <v>25003.0</v>
      </c>
      <c r="L59" s="5">
        <v>6.0</v>
      </c>
      <c r="M59" s="5">
        <v>4623.089672</v>
      </c>
    </row>
    <row r="60">
      <c r="A60" s="4" t="s">
        <v>125</v>
      </c>
      <c r="B60" s="5" t="s">
        <v>22</v>
      </c>
      <c r="C60" s="5" t="s">
        <v>31</v>
      </c>
      <c r="D60" s="5" t="s">
        <v>126</v>
      </c>
      <c r="E60" s="6" t="s">
        <v>115</v>
      </c>
      <c r="F60" s="5" t="s">
        <v>19</v>
      </c>
      <c r="G60" s="5" t="s">
        <v>27</v>
      </c>
      <c r="H60" s="5">
        <v>65380.0</v>
      </c>
      <c r="I60" s="5">
        <v>208.0</v>
      </c>
      <c r="J60" s="5">
        <v>30039.0</v>
      </c>
      <c r="K60" s="5">
        <v>60482.0</v>
      </c>
      <c r="L60" s="5">
        <v>5.0</v>
      </c>
      <c r="M60" s="5">
        <v>2905.884162</v>
      </c>
    </row>
    <row r="61">
      <c r="A61" s="4" t="s">
        <v>127</v>
      </c>
      <c r="B61" s="5" t="s">
        <v>15</v>
      </c>
      <c r="C61" s="5" t="s">
        <v>42</v>
      </c>
      <c r="D61" s="5" t="s">
        <v>17</v>
      </c>
      <c r="E61" s="6" t="s">
        <v>115</v>
      </c>
      <c r="F61" s="5" t="s">
        <v>19</v>
      </c>
      <c r="G61" s="5" t="s">
        <v>27</v>
      </c>
      <c r="H61" s="5">
        <v>130796.0</v>
      </c>
      <c r="I61" s="5">
        <v>300.0</v>
      </c>
      <c r="J61" s="5">
        <v>109118.0</v>
      </c>
      <c r="K61" s="5">
        <v>122937.0</v>
      </c>
      <c r="L61" s="5">
        <v>6.0</v>
      </c>
      <c r="M61" s="5">
        <v>2196.661232</v>
      </c>
    </row>
    <row r="62">
      <c r="A62" s="4" t="s">
        <v>128</v>
      </c>
      <c r="B62" s="5" t="s">
        <v>15</v>
      </c>
      <c r="C62" s="5" t="s">
        <v>16</v>
      </c>
      <c r="D62" s="5" t="s">
        <v>39</v>
      </c>
      <c r="E62" s="6" t="s">
        <v>115</v>
      </c>
      <c r="F62" s="5" t="s">
        <v>19</v>
      </c>
      <c r="G62" s="5" t="s">
        <v>52</v>
      </c>
      <c r="H62" s="5">
        <v>64892.0</v>
      </c>
      <c r="I62" s="5">
        <v>214.0</v>
      </c>
      <c r="J62" s="5">
        <v>34731.0</v>
      </c>
      <c r="K62" s="5">
        <v>59369.0</v>
      </c>
      <c r="L62" s="5">
        <v>24.0</v>
      </c>
      <c r="M62" s="5">
        <v>2096.285549</v>
      </c>
    </row>
    <row r="63">
      <c r="A63" s="4" t="s">
        <v>129</v>
      </c>
      <c r="B63" s="5" t="s">
        <v>15</v>
      </c>
      <c r="C63" s="5" t="s">
        <v>42</v>
      </c>
      <c r="D63" s="5" t="s">
        <v>35</v>
      </c>
      <c r="E63" s="6" t="s">
        <v>115</v>
      </c>
      <c r="F63" s="5" t="s">
        <v>36</v>
      </c>
      <c r="G63" s="5" t="s">
        <v>27</v>
      </c>
      <c r="H63" s="5">
        <v>210096.0</v>
      </c>
      <c r="I63" s="5">
        <v>590.0</v>
      </c>
      <c r="J63" s="5">
        <v>90928.0</v>
      </c>
      <c r="K63" s="5">
        <v>184823.0</v>
      </c>
      <c r="L63" s="5">
        <v>4.0</v>
      </c>
      <c r="M63" s="5">
        <v>2027.431388</v>
      </c>
    </row>
    <row r="64">
      <c r="A64" s="4" t="s">
        <v>130</v>
      </c>
      <c r="B64" s="5" t="s">
        <v>22</v>
      </c>
      <c r="C64" s="5" t="s">
        <v>16</v>
      </c>
      <c r="D64" s="5" t="s">
        <v>131</v>
      </c>
      <c r="E64" s="6" t="s">
        <v>115</v>
      </c>
      <c r="F64" s="5" t="s">
        <v>19</v>
      </c>
      <c r="G64" s="5" t="s">
        <v>27</v>
      </c>
      <c r="H64" s="5">
        <v>77313.0</v>
      </c>
      <c r="I64" s="5">
        <v>191.0</v>
      </c>
      <c r="J64" s="5">
        <v>40366.0</v>
      </c>
      <c r="K64" s="5">
        <v>71128.0</v>
      </c>
      <c r="L64" s="5">
        <v>3.0</v>
      </c>
      <c r="M64" s="5">
        <v>1790.390198</v>
      </c>
    </row>
    <row r="65">
      <c r="A65" s="4" t="s">
        <v>132</v>
      </c>
      <c r="B65" s="5" t="s">
        <v>15</v>
      </c>
      <c r="C65" s="5" t="s">
        <v>42</v>
      </c>
      <c r="D65" s="5" t="s">
        <v>84</v>
      </c>
      <c r="E65" s="6" t="s">
        <v>115</v>
      </c>
      <c r="F65" s="5" t="s">
        <v>36</v>
      </c>
      <c r="G65" s="5" t="s">
        <v>27</v>
      </c>
      <c r="H65" s="5">
        <v>188170.0</v>
      </c>
      <c r="I65" s="5">
        <v>490.0</v>
      </c>
      <c r="J65" s="5">
        <v>155266.0</v>
      </c>
      <c r="K65" s="5">
        <v>176562.0</v>
      </c>
      <c r="L65" s="5">
        <v>6.0</v>
      </c>
      <c r="M65" s="5">
        <v>1599.715069</v>
      </c>
    </row>
    <row r="66">
      <c r="A66" s="4" t="s">
        <v>133</v>
      </c>
      <c r="B66" s="5" t="s">
        <v>15</v>
      </c>
      <c r="C66" s="5" t="s">
        <v>23</v>
      </c>
      <c r="D66" s="5" t="s">
        <v>17</v>
      </c>
      <c r="E66" s="6" t="s">
        <v>115</v>
      </c>
      <c r="F66" s="5" t="s">
        <v>19</v>
      </c>
      <c r="G66" s="5" t="s">
        <v>52</v>
      </c>
      <c r="H66" s="5">
        <v>16808.0</v>
      </c>
      <c r="I66" s="5">
        <v>43.0</v>
      </c>
      <c r="J66" s="5">
        <v>9211.0</v>
      </c>
      <c r="K66" s="5">
        <v>13372.0</v>
      </c>
      <c r="L66" s="5">
        <v>3.0</v>
      </c>
      <c r="M66" s="5">
        <v>1574.79128</v>
      </c>
    </row>
    <row r="67">
      <c r="A67" s="4" t="s">
        <v>134</v>
      </c>
      <c r="B67" s="5" t="s">
        <v>15</v>
      </c>
      <c r="C67" s="5" t="s">
        <v>16</v>
      </c>
      <c r="D67" s="5" t="s">
        <v>39</v>
      </c>
      <c r="E67" s="6" t="s">
        <v>115</v>
      </c>
      <c r="F67" s="5" t="s">
        <v>19</v>
      </c>
      <c r="G67" s="5" t="s">
        <v>52</v>
      </c>
      <c r="H67" s="5">
        <v>21531.0</v>
      </c>
      <c r="I67" s="5">
        <v>55.0</v>
      </c>
      <c r="J67" s="5">
        <v>15593.0</v>
      </c>
      <c r="K67" s="5">
        <v>18617.0</v>
      </c>
      <c r="L67" s="5">
        <v>6.0</v>
      </c>
      <c r="M67" s="5">
        <v>1470.971925</v>
      </c>
    </row>
    <row r="68">
      <c r="A68" s="4" t="s">
        <v>135</v>
      </c>
      <c r="B68" s="5" t="s">
        <v>15</v>
      </c>
      <c r="C68" s="5" t="s">
        <v>23</v>
      </c>
      <c r="D68" s="5" t="s">
        <v>78</v>
      </c>
      <c r="E68" s="6" t="s">
        <v>115</v>
      </c>
      <c r="F68" s="5" t="s">
        <v>136</v>
      </c>
      <c r="G68" s="5" t="s">
        <v>20</v>
      </c>
      <c r="H68" s="5">
        <v>18313.0</v>
      </c>
      <c r="I68" s="5">
        <v>60.0</v>
      </c>
      <c r="J68" s="5">
        <v>9481.0</v>
      </c>
      <c r="K68" s="5">
        <v>16300.0</v>
      </c>
      <c r="L68" s="5">
        <v>4.0</v>
      </c>
      <c r="M68" s="5">
        <v>1456.934187</v>
      </c>
    </row>
    <row r="69">
      <c r="A69" s="4" t="s">
        <v>137</v>
      </c>
      <c r="B69" s="5" t="s">
        <v>22</v>
      </c>
      <c r="C69" s="5" t="s">
        <v>42</v>
      </c>
      <c r="D69" s="5" t="s">
        <v>39</v>
      </c>
      <c r="E69" s="6" t="s">
        <v>138</v>
      </c>
      <c r="F69" s="5" t="s">
        <v>19</v>
      </c>
      <c r="G69" s="5" t="s">
        <v>27</v>
      </c>
      <c r="H69" s="5">
        <v>10779.0</v>
      </c>
      <c r="I69" s="5">
        <v>86.0</v>
      </c>
      <c r="J69" s="5">
        <v>6420.0</v>
      </c>
      <c r="K69" s="5">
        <v>10287.0</v>
      </c>
      <c r="L69" s="5">
        <v>3.0</v>
      </c>
      <c r="M69" s="5">
        <v>1759.704833</v>
      </c>
    </row>
    <row r="70">
      <c r="A70" s="4" t="s">
        <v>139</v>
      </c>
      <c r="B70" s="5" t="s">
        <v>22</v>
      </c>
      <c r="C70" s="5" t="s">
        <v>16</v>
      </c>
      <c r="D70" s="5" t="s">
        <v>55</v>
      </c>
      <c r="E70" s="6" t="s">
        <v>140</v>
      </c>
      <c r="F70" s="5" t="s">
        <v>19</v>
      </c>
      <c r="G70" s="5" t="s">
        <v>27</v>
      </c>
      <c r="H70" s="5">
        <v>11325.0</v>
      </c>
      <c r="I70" s="5">
        <v>88.0</v>
      </c>
      <c r="J70" s="5">
        <v>6186.0</v>
      </c>
      <c r="K70" s="5">
        <v>10612.0</v>
      </c>
      <c r="L70" s="5">
        <v>2.0</v>
      </c>
      <c r="M70" s="5">
        <v>1573.25409</v>
      </c>
    </row>
    <row r="71">
      <c r="A71" s="4" t="s">
        <v>141</v>
      </c>
      <c r="B71" s="5" t="s">
        <v>22</v>
      </c>
      <c r="C71" s="5" t="s">
        <v>16</v>
      </c>
      <c r="D71" s="5" t="s">
        <v>142</v>
      </c>
      <c r="E71" s="6" t="s">
        <v>143</v>
      </c>
      <c r="F71" s="5" t="s">
        <v>48</v>
      </c>
      <c r="G71" s="5" t="s">
        <v>27</v>
      </c>
      <c r="H71" s="5">
        <v>9078.0</v>
      </c>
      <c r="I71" s="5">
        <v>21.0</v>
      </c>
      <c r="J71" s="5">
        <v>4051.0</v>
      </c>
      <c r="K71" s="5">
        <v>6215.0</v>
      </c>
      <c r="L71" s="5">
        <v>1.0</v>
      </c>
      <c r="M71" s="5">
        <v>1700.795736</v>
      </c>
    </row>
    <row r="72">
      <c r="A72" s="4" t="s">
        <v>144</v>
      </c>
      <c r="B72" s="5" t="s">
        <v>22</v>
      </c>
      <c r="C72" s="5" t="s">
        <v>42</v>
      </c>
      <c r="D72" s="5" t="s">
        <v>29</v>
      </c>
      <c r="E72" s="6" t="s">
        <v>145</v>
      </c>
      <c r="F72" s="5" t="s">
        <v>19</v>
      </c>
      <c r="G72" s="5" t="s">
        <v>27</v>
      </c>
      <c r="H72" s="5">
        <v>11511.0</v>
      </c>
      <c r="I72" s="5">
        <v>33.0</v>
      </c>
      <c r="J72" s="5">
        <v>8268.0</v>
      </c>
      <c r="K72" s="5">
        <v>11042.0</v>
      </c>
      <c r="L72" s="5">
        <v>3.0</v>
      </c>
      <c r="M72" s="5">
        <v>6815.712325</v>
      </c>
    </row>
    <row r="73">
      <c r="A73" s="4" t="s">
        <v>146</v>
      </c>
      <c r="B73" s="5" t="s">
        <v>22</v>
      </c>
      <c r="C73" s="5" t="s">
        <v>23</v>
      </c>
      <c r="D73" s="5" t="s">
        <v>147</v>
      </c>
      <c r="E73" s="6" t="s">
        <v>145</v>
      </c>
      <c r="F73" s="5" t="s">
        <v>46</v>
      </c>
      <c r="G73" s="5" t="s">
        <v>27</v>
      </c>
      <c r="H73" s="5">
        <v>14047.0</v>
      </c>
      <c r="I73" s="5">
        <v>44.0</v>
      </c>
      <c r="J73" s="5">
        <v>9934.0</v>
      </c>
      <c r="K73" s="5">
        <v>13377.0</v>
      </c>
      <c r="L73" s="5">
        <v>7.0</v>
      </c>
      <c r="M73" s="5">
        <v>5729.650755</v>
      </c>
    </row>
    <row r="74">
      <c r="A74" s="4" t="s">
        <v>148</v>
      </c>
      <c r="B74" s="5" t="s">
        <v>15</v>
      </c>
      <c r="C74" s="5" t="s">
        <v>31</v>
      </c>
      <c r="D74" s="5" t="s">
        <v>17</v>
      </c>
      <c r="E74" s="6" t="s">
        <v>145</v>
      </c>
      <c r="F74" s="5" t="s">
        <v>46</v>
      </c>
      <c r="G74" s="5" t="s">
        <v>27</v>
      </c>
      <c r="H74" s="5">
        <v>20278.0</v>
      </c>
      <c r="I74" s="5">
        <v>74.0</v>
      </c>
      <c r="J74" s="5">
        <v>14227.0</v>
      </c>
      <c r="K74" s="5">
        <v>19480.0</v>
      </c>
      <c r="L74" s="5">
        <v>3.0</v>
      </c>
      <c r="M74" s="5">
        <v>2921.110207</v>
      </c>
    </row>
    <row r="75">
      <c r="A75" s="4" t="s">
        <v>149</v>
      </c>
      <c r="B75" s="5" t="s">
        <v>22</v>
      </c>
      <c r="C75" s="5" t="s">
        <v>31</v>
      </c>
      <c r="D75" s="5" t="s">
        <v>150</v>
      </c>
      <c r="E75" s="6" t="s">
        <v>145</v>
      </c>
      <c r="F75" s="5" t="s">
        <v>36</v>
      </c>
      <c r="G75" s="5" t="s">
        <v>27</v>
      </c>
      <c r="H75" s="5">
        <v>12354.0</v>
      </c>
      <c r="I75" s="5">
        <v>10.0</v>
      </c>
      <c r="J75" s="5">
        <v>8561.0</v>
      </c>
      <c r="K75" s="5">
        <v>11782.0</v>
      </c>
      <c r="L75" s="5">
        <v>5.0</v>
      </c>
      <c r="M75" s="5">
        <v>1808.307918</v>
      </c>
    </row>
    <row r="76">
      <c r="A76" s="4" t="s">
        <v>151</v>
      </c>
      <c r="B76" s="5" t="s">
        <v>15</v>
      </c>
      <c r="C76" s="5" t="s">
        <v>16</v>
      </c>
      <c r="D76" s="5" t="s">
        <v>35</v>
      </c>
      <c r="E76" s="6" t="s">
        <v>145</v>
      </c>
      <c r="F76" s="5" t="s">
        <v>19</v>
      </c>
      <c r="G76" s="5" t="s">
        <v>27</v>
      </c>
      <c r="H76" s="5">
        <v>13132.0</v>
      </c>
      <c r="I76" s="5">
        <v>67.0</v>
      </c>
      <c r="J76" s="5">
        <v>6133.0</v>
      </c>
      <c r="K76" s="5">
        <v>12377.0</v>
      </c>
      <c r="L76" s="5">
        <v>4.0</v>
      </c>
      <c r="M76" s="5">
        <v>1807.693142</v>
      </c>
    </row>
    <row r="77">
      <c r="A77" s="4" t="s">
        <v>152</v>
      </c>
      <c r="B77" s="5" t="s">
        <v>15</v>
      </c>
      <c r="C77" s="5" t="s">
        <v>42</v>
      </c>
      <c r="D77" s="5" t="s">
        <v>95</v>
      </c>
      <c r="E77" s="6" t="s">
        <v>153</v>
      </c>
      <c r="F77" s="5" t="s">
        <v>136</v>
      </c>
      <c r="G77" s="5" t="s">
        <v>27</v>
      </c>
      <c r="H77" s="5">
        <v>35034.0</v>
      </c>
      <c r="I77" s="5">
        <v>145.0</v>
      </c>
      <c r="J77" s="5">
        <v>13904.0</v>
      </c>
      <c r="K77" s="5">
        <v>34123.0</v>
      </c>
      <c r="L77" s="5">
        <v>3.0</v>
      </c>
      <c r="M77" s="5">
        <v>2141.469346</v>
      </c>
    </row>
    <row r="78">
      <c r="A78" s="4" t="s">
        <v>154</v>
      </c>
      <c r="B78" s="5" t="s">
        <v>61</v>
      </c>
      <c r="C78" s="5" t="s">
        <v>16</v>
      </c>
      <c r="D78" s="5" t="s">
        <v>155</v>
      </c>
      <c r="E78" s="6" t="s">
        <v>156</v>
      </c>
      <c r="F78" s="5" t="s">
        <v>19</v>
      </c>
      <c r="G78" s="5" t="s">
        <v>27</v>
      </c>
      <c r="H78" s="5">
        <v>9946.0</v>
      </c>
      <c r="I78" s="5">
        <v>20.0</v>
      </c>
      <c r="J78" s="5">
        <v>4818.0</v>
      </c>
      <c r="K78" s="5">
        <v>7382.0</v>
      </c>
      <c r="L78" s="5">
        <v>3.0</v>
      </c>
      <c r="M78" s="5">
        <v>1525.962329</v>
      </c>
    </row>
    <row r="79">
      <c r="A79" s="4" t="s">
        <v>157</v>
      </c>
      <c r="B79" s="5" t="s">
        <v>22</v>
      </c>
      <c r="C79" s="5" t="s">
        <v>16</v>
      </c>
      <c r="D79" s="5" t="s">
        <v>55</v>
      </c>
      <c r="E79" s="6" t="s">
        <v>158</v>
      </c>
      <c r="F79" s="5" t="s">
        <v>19</v>
      </c>
      <c r="G79" s="5" t="s">
        <v>27</v>
      </c>
      <c r="H79" s="5">
        <v>8068.0</v>
      </c>
      <c r="I79" s="5">
        <v>10.0</v>
      </c>
      <c r="J79" s="5">
        <v>5545.0</v>
      </c>
      <c r="K79" s="5">
        <v>7554.0</v>
      </c>
      <c r="L79" s="5">
        <v>1.0</v>
      </c>
      <c r="M79" s="5">
        <v>5995.041002</v>
      </c>
    </row>
    <row r="80">
      <c r="A80" s="4" t="s">
        <v>159</v>
      </c>
      <c r="B80" s="5" t="s">
        <v>22</v>
      </c>
      <c r="C80" s="5" t="s">
        <v>16</v>
      </c>
      <c r="D80" s="5" t="s">
        <v>39</v>
      </c>
      <c r="E80" s="6" t="s">
        <v>160</v>
      </c>
      <c r="F80" s="5" t="s">
        <v>161</v>
      </c>
      <c r="G80" s="5" t="s">
        <v>27</v>
      </c>
      <c r="H80" s="5">
        <v>11919.0</v>
      </c>
      <c r="I80" s="5">
        <v>69.0</v>
      </c>
      <c r="J80" s="5">
        <v>8100.0</v>
      </c>
      <c r="K80" s="5">
        <v>11524.0</v>
      </c>
      <c r="L80" s="5">
        <v>2.0</v>
      </c>
      <c r="M80" s="5">
        <v>6350.916905</v>
      </c>
    </row>
    <row r="81">
      <c r="A81" s="4" t="s">
        <v>162</v>
      </c>
      <c r="B81" s="5" t="s">
        <v>22</v>
      </c>
      <c r="C81" s="5" t="s">
        <v>23</v>
      </c>
      <c r="D81" s="5" t="s">
        <v>55</v>
      </c>
      <c r="E81" s="6" t="s">
        <v>160</v>
      </c>
      <c r="F81" s="5" t="s">
        <v>19</v>
      </c>
      <c r="G81" s="5" t="s">
        <v>27</v>
      </c>
      <c r="H81" s="5">
        <v>35163.0</v>
      </c>
      <c r="I81" s="5">
        <v>250.0</v>
      </c>
      <c r="J81" s="5">
        <v>21222.0</v>
      </c>
      <c r="K81" s="5">
        <v>33671.0</v>
      </c>
      <c r="L81" s="5">
        <v>15.0</v>
      </c>
      <c r="M81" s="5">
        <v>6336.7181</v>
      </c>
    </row>
    <row r="82">
      <c r="A82" s="4" t="s">
        <v>163</v>
      </c>
      <c r="B82" s="5" t="s">
        <v>15</v>
      </c>
      <c r="C82" s="5" t="s">
        <v>42</v>
      </c>
      <c r="D82" s="5" t="s">
        <v>35</v>
      </c>
      <c r="E82" s="6" t="s">
        <v>160</v>
      </c>
      <c r="F82" s="5" t="s">
        <v>19</v>
      </c>
      <c r="G82" s="5" t="s">
        <v>52</v>
      </c>
      <c r="H82" s="5">
        <v>27202.0</v>
      </c>
      <c r="I82" s="5">
        <v>70.0</v>
      </c>
      <c r="J82" s="5">
        <v>5202.0</v>
      </c>
      <c r="K82" s="5">
        <v>23474.0</v>
      </c>
      <c r="L82" s="5">
        <v>11.0</v>
      </c>
      <c r="M82" s="5">
        <v>4253.979116</v>
      </c>
    </row>
    <row r="83">
      <c r="A83" s="4" t="s">
        <v>164</v>
      </c>
      <c r="B83" s="5" t="s">
        <v>22</v>
      </c>
      <c r="C83" s="5" t="s">
        <v>16</v>
      </c>
      <c r="D83" s="5" t="s">
        <v>17</v>
      </c>
      <c r="E83" s="6" t="s">
        <v>160</v>
      </c>
      <c r="F83" s="5" t="s">
        <v>19</v>
      </c>
      <c r="G83" s="5" t="s">
        <v>27</v>
      </c>
      <c r="H83" s="5">
        <v>59782.0</v>
      </c>
      <c r="I83" s="5">
        <v>212.0</v>
      </c>
      <c r="J83" s="5">
        <v>28235.0</v>
      </c>
      <c r="K83" s="5">
        <v>57543.0</v>
      </c>
      <c r="L83" s="5">
        <v>13.0</v>
      </c>
      <c r="M83" s="5">
        <v>1455.703554</v>
      </c>
    </row>
    <row r="84">
      <c r="A84" s="4" t="s">
        <v>165</v>
      </c>
      <c r="B84" s="5" t="s">
        <v>15</v>
      </c>
      <c r="C84" s="5" t="s">
        <v>16</v>
      </c>
      <c r="D84" s="5" t="s">
        <v>39</v>
      </c>
      <c r="E84" s="6" t="s">
        <v>166</v>
      </c>
      <c r="F84" s="5" t="s">
        <v>167</v>
      </c>
      <c r="G84" s="5" t="s">
        <v>20</v>
      </c>
      <c r="H84" s="5">
        <v>10066.0</v>
      </c>
      <c r="I84" s="5">
        <v>63.0</v>
      </c>
      <c r="J84" s="5">
        <v>6978.0</v>
      </c>
      <c r="K84" s="5">
        <v>9369.0</v>
      </c>
      <c r="L84" s="5">
        <v>19.0</v>
      </c>
      <c r="M84" s="5">
        <v>6879.587097</v>
      </c>
    </row>
    <row r="85">
      <c r="A85" s="4" t="s">
        <v>168</v>
      </c>
      <c r="B85" s="5" t="s">
        <v>15</v>
      </c>
      <c r="C85" s="5" t="s">
        <v>16</v>
      </c>
      <c r="D85" s="5" t="s">
        <v>35</v>
      </c>
      <c r="E85" s="6" t="s">
        <v>166</v>
      </c>
      <c r="F85" s="5" t="s">
        <v>161</v>
      </c>
      <c r="G85" s="5" t="s">
        <v>27</v>
      </c>
      <c r="H85" s="5">
        <v>11296.0</v>
      </c>
      <c r="I85" s="5">
        <v>54.0</v>
      </c>
      <c r="J85" s="5">
        <v>6822.0</v>
      </c>
      <c r="K85" s="5">
        <v>9274.0</v>
      </c>
      <c r="L85" s="5">
        <v>4.0</v>
      </c>
      <c r="M85" s="5">
        <v>1682.338499</v>
      </c>
    </row>
    <row r="86">
      <c r="A86" s="4" t="s">
        <v>169</v>
      </c>
      <c r="B86" s="5" t="s">
        <v>22</v>
      </c>
      <c r="C86" s="5" t="s">
        <v>31</v>
      </c>
      <c r="D86" s="5" t="s">
        <v>39</v>
      </c>
      <c r="E86" s="6" t="s">
        <v>170</v>
      </c>
      <c r="F86" s="5" t="s">
        <v>19</v>
      </c>
      <c r="G86" s="5" t="s">
        <v>27</v>
      </c>
      <c r="H86" s="5">
        <v>18633.0</v>
      </c>
      <c r="I86" s="5">
        <v>60.0</v>
      </c>
      <c r="J86" s="5">
        <v>9424.0</v>
      </c>
      <c r="K86" s="5">
        <v>18087.0</v>
      </c>
      <c r="L86" s="5">
        <v>15.0</v>
      </c>
      <c r="M86" s="5">
        <v>6785.063293</v>
      </c>
    </row>
    <row r="87">
      <c r="A87" s="4" t="s">
        <v>171</v>
      </c>
      <c r="B87" s="5" t="s">
        <v>22</v>
      </c>
      <c r="C87" s="5" t="s">
        <v>42</v>
      </c>
      <c r="D87" s="5" t="s">
        <v>78</v>
      </c>
      <c r="E87" s="6" t="s">
        <v>170</v>
      </c>
      <c r="F87" s="5" t="s">
        <v>26</v>
      </c>
      <c r="G87" s="5" t="s">
        <v>27</v>
      </c>
      <c r="H87" s="5">
        <v>37176.0</v>
      </c>
      <c r="I87" s="5">
        <v>100.0</v>
      </c>
      <c r="J87" s="5">
        <v>31829.0</v>
      </c>
      <c r="K87" s="5">
        <v>35639.0</v>
      </c>
      <c r="L87" s="5">
        <v>21.0</v>
      </c>
      <c r="M87" s="5">
        <v>6753.595242</v>
      </c>
    </row>
    <row r="88">
      <c r="A88" s="4" t="s">
        <v>172</v>
      </c>
      <c r="B88" s="5" t="s">
        <v>22</v>
      </c>
      <c r="C88" s="5" t="s">
        <v>42</v>
      </c>
      <c r="D88" s="5" t="s">
        <v>173</v>
      </c>
      <c r="E88" s="6" t="s">
        <v>170</v>
      </c>
      <c r="F88" s="5" t="s">
        <v>19</v>
      </c>
      <c r="G88" s="5" t="s">
        <v>27</v>
      </c>
      <c r="H88" s="5">
        <v>29251.0</v>
      </c>
      <c r="I88" s="5">
        <v>95.0</v>
      </c>
      <c r="J88" s="5">
        <v>25060.0</v>
      </c>
      <c r="K88" s="5">
        <v>28038.0</v>
      </c>
      <c r="L88" s="5">
        <v>8.0</v>
      </c>
      <c r="M88" s="5">
        <v>5994.746834</v>
      </c>
    </row>
    <row r="89">
      <c r="A89" s="4" t="s">
        <v>174</v>
      </c>
      <c r="B89" s="5" t="s">
        <v>22</v>
      </c>
      <c r="C89" s="5" t="s">
        <v>16</v>
      </c>
      <c r="D89" s="5" t="s">
        <v>175</v>
      </c>
      <c r="E89" s="6" t="s">
        <v>170</v>
      </c>
      <c r="F89" s="5" t="s">
        <v>117</v>
      </c>
      <c r="G89" s="5" t="s">
        <v>27</v>
      </c>
      <c r="H89" s="5">
        <v>36431.0</v>
      </c>
      <c r="I89" s="5">
        <v>108.0</v>
      </c>
      <c r="J89" s="5">
        <v>31262.0</v>
      </c>
      <c r="K89" s="5">
        <v>35043.0</v>
      </c>
      <c r="L89" s="5">
        <v>11.0</v>
      </c>
      <c r="M89" s="5">
        <v>3285.834522</v>
      </c>
    </row>
    <row r="90">
      <c r="A90" s="4" t="s">
        <v>176</v>
      </c>
      <c r="B90" s="5" t="s">
        <v>15</v>
      </c>
      <c r="C90" s="5" t="s">
        <v>31</v>
      </c>
      <c r="D90" s="5" t="s">
        <v>35</v>
      </c>
      <c r="E90" s="6" t="s">
        <v>170</v>
      </c>
      <c r="F90" s="5" t="s">
        <v>26</v>
      </c>
      <c r="G90" s="5" t="s">
        <v>27</v>
      </c>
      <c r="H90" s="5">
        <v>22004.0</v>
      </c>
      <c r="I90" s="5">
        <v>80.0</v>
      </c>
      <c r="J90" s="5">
        <v>18735.0</v>
      </c>
      <c r="K90" s="5">
        <v>21127.0</v>
      </c>
      <c r="L90" s="5">
        <v>4.0</v>
      </c>
      <c r="M90" s="5">
        <v>1632.472782</v>
      </c>
    </row>
    <row r="91">
      <c r="A91" s="4" t="s">
        <v>177</v>
      </c>
      <c r="B91" s="5" t="s">
        <v>22</v>
      </c>
      <c r="C91" s="5" t="s">
        <v>23</v>
      </c>
      <c r="D91" s="5" t="s">
        <v>173</v>
      </c>
      <c r="E91" s="6" t="s">
        <v>178</v>
      </c>
      <c r="F91" s="5" t="s">
        <v>50</v>
      </c>
      <c r="G91" s="5" t="s">
        <v>27</v>
      </c>
      <c r="H91" s="5">
        <v>16644.0</v>
      </c>
      <c r="I91" s="5">
        <v>10.0</v>
      </c>
      <c r="J91" s="5">
        <v>5055.0</v>
      </c>
      <c r="K91" s="5">
        <v>15831.0</v>
      </c>
      <c r="L91" s="5">
        <v>5.0</v>
      </c>
      <c r="M91" s="5">
        <v>6386.464232</v>
      </c>
    </row>
    <row r="92">
      <c r="A92" s="4" t="s">
        <v>179</v>
      </c>
      <c r="B92" s="5" t="s">
        <v>22</v>
      </c>
      <c r="C92" s="5" t="s">
        <v>31</v>
      </c>
      <c r="D92" s="5" t="s">
        <v>142</v>
      </c>
      <c r="E92" s="6" t="s">
        <v>178</v>
      </c>
      <c r="F92" s="5" t="s">
        <v>117</v>
      </c>
      <c r="G92" s="5" t="s">
        <v>27</v>
      </c>
      <c r="H92" s="5">
        <v>45285.0</v>
      </c>
      <c r="I92" s="5">
        <v>190.0</v>
      </c>
      <c r="J92" s="5">
        <v>30225.0</v>
      </c>
      <c r="K92" s="5">
        <v>43298.0</v>
      </c>
      <c r="L92" s="5">
        <v>11.0</v>
      </c>
      <c r="M92" s="5">
        <v>4728.012406</v>
      </c>
    </row>
    <row r="93">
      <c r="A93" s="4" t="s">
        <v>180</v>
      </c>
      <c r="B93" s="5" t="s">
        <v>22</v>
      </c>
      <c r="C93" s="5" t="s">
        <v>16</v>
      </c>
      <c r="D93" s="5" t="s">
        <v>181</v>
      </c>
      <c r="E93" s="6" t="s">
        <v>178</v>
      </c>
      <c r="F93" s="5" t="s">
        <v>117</v>
      </c>
      <c r="G93" s="5" t="s">
        <v>27</v>
      </c>
      <c r="H93" s="5">
        <v>16227.0</v>
      </c>
      <c r="I93" s="5">
        <v>40.0</v>
      </c>
      <c r="J93" s="5">
        <v>9438.0</v>
      </c>
      <c r="K93" s="5">
        <v>15611.0</v>
      </c>
      <c r="L93" s="5">
        <v>3.0</v>
      </c>
      <c r="M93" s="5">
        <v>1991.94384</v>
      </c>
    </row>
    <row r="94">
      <c r="A94" s="4" t="s">
        <v>182</v>
      </c>
      <c r="B94" s="5" t="s">
        <v>15</v>
      </c>
      <c r="C94" s="5" t="s">
        <v>31</v>
      </c>
      <c r="D94" s="5" t="s">
        <v>183</v>
      </c>
      <c r="E94" s="6" t="s">
        <v>178</v>
      </c>
      <c r="F94" s="5" t="s">
        <v>184</v>
      </c>
      <c r="G94" s="5" t="s">
        <v>27</v>
      </c>
      <c r="H94" s="5">
        <v>7409.0</v>
      </c>
      <c r="I94" s="5">
        <v>10.0</v>
      </c>
      <c r="J94" s="5">
        <v>5009.0</v>
      </c>
      <c r="K94" s="5">
        <v>7160.0</v>
      </c>
      <c r="L94" s="5">
        <v>12.0</v>
      </c>
      <c r="M94" s="5">
        <v>1472.110115</v>
      </c>
    </row>
    <row r="95">
      <c r="A95" s="4" t="s">
        <v>185</v>
      </c>
      <c r="B95" s="5" t="s">
        <v>22</v>
      </c>
      <c r="C95" s="5" t="s">
        <v>23</v>
      </c>
      <c r="D95" s="5" t="s">
        <v>32</v>
      </c>
      <c r="E95" s="6" t="s">
        <v>186</v>
      </c>
      <c r="F95" s="5" t="s">
        <v>19</v>
      </c>
      <c r="G95" s="5" t="s">
        <v>27</v>
      </c>
      <c r="H95" s="5">
        <v>17582.0</v>
      </c>
      <c r="I95" s="5">
        <v>56.0</v>
      </c>
      <c r="J95" s="5">
        <v>9848.0</v>
      </c>
      <c r="K95" s="5">
        <v>16558.0</v>
      </c>
      <c r="L95" s="5">
        <v>12.0</v>
      </c>
      <c r="M95" s="5">
        <v>6846.447915</v>
      </c>
    </row>
    <row r="96">
      <c r="A96" s="4" t="s">
        <v>187</v>
      </c>
      <c r="B96" s="5" t="s">
        <v>15</v>
      </c>
      <c r="C96" s="5" t="s">
        <v>31</v>
      </c>
      <c r="D96" s="5" t="s">
        <v>78</v>
      </c>
      <c r="E96" s="6" t="s">
        <v>186</v>
      </c>
      <c r="F96" s="5" t="s">
        <v>46</v>
      </c>
      <c r="G96" s="5" t="s">
        <v>52</v>
      </c>
      <c r="H96" s="5">
        <v>45711.0</v>
      </c>
      <c r="I96" s="5">
        <v>130.0</v>
      </c>
      <c r="J96" s="5">
        <v>23052.0</v>
      </c>
      <c r="K96" s="5">
        <v>42375.0</v>
      </c>
      <c r="L96" s="5">
        <v>11.0</v>
      </c>
      <c r="M96" s="5">
        <v>6417.876169</v>
      </c>
    </row>
    <row r="97">
      <c r="A97" s="4" t="s">
        <v>188</v>
      </c>
      <c r="B97" s="5" t="s">
        <v>15</v>
      </c>
      <c r="C97" s="5" t="s">
        <v>42</v>
      </c>
      <c r="D97" s="5" t="s">
        <v>32</v>
      </c>
      <c r="E97" s="6" t="s">
        <v>186</v>
      </c>
      <c r="F97" s="5" t="s">
        <v>26</v>
      </c>
      <c r="G97" s="5" t="s">
        <v>52</v>
      </c>
      <c r="H97" s="5">
        <v>48562.0</v>
      </c>
      <c r="I97" s="5">
        <v>150.0</v>
      </c>
      <c r="J97" s="5">
        <v>29108.0</v>
      </c>
      <c r="K97" s="5">
        <v>45570.0</v>
      </c>
      <c r="L97" s="5">
        <v>11.0</v>
      </c>
      <c r="M97" s="5">
        <v>6346.633024</v>
      </c>
    </row>
    <row r="98">
      <c r="A98" s="4" t="s">
        <v>189</v>
      </c>
      <c r="B98" s="5" t="s">
        <v>15</v>
      </c>
      <c r="C98" s="5" t="s">
        <v>31</v>
      </c>
      <c r="D98" s="5" t="s">
        <v>39</v>
      </c>
      <c r="E98" s="6" t="s">
        <v>186</v>
      </c>
      <c r="F98" s="5" t="s">
        <v>19</v>
      </c>
      <c r="G98" s="5" t="s">
        <v>20</v>
      </c>
      <c r="H98" s="5">
        <v>47394.0</v>
      </c>
      <c r="I98" s="5">
        <v>184.0</v>
      </c>
      <c r="J98" s="5">
        <v>22712.0</v>
      </c>
      <c r="K98" s="5">
        <v>41918.0</v>
      </c>
      <c r="L98" s="5">
        <v>24.0</v>
      </c>
      <c r="M98" s="5">
        <v>4701.496237</v>
      </c>
    </row>
    <row r="99">
      <c r="A99" s="4" t="s">
        <v>190</v>
      </c>
      <c r="B99" s="5" t="s">
        <v>22</v>
      </c>
      <c r="C99" s="5" t="s">
        <v>31</v>
      </c>
      <c r="D99" s="5" t="s">
        <v>39</v>
      </c>
      <c r="E99" s="6" t="s">
        <v>186</v>
      </c>
      <c r="F99" s="5" t="s">
        <v>191</v>
      </c>
      <c r="G99" s="5" t="s">
        <v>27</v>
      </c>
      <c r="H99" s="5">
        <v>66554.0</v>
      </c>
      <c r="I99" s="5">
        <v>169.0</v>
      </c>
      <c r="J99" s="5">
        <v>39206.0</v>
      </c>
      <c r="K99" s="5">
        <v>62109.0</v>
      </c>
      <c r="L99" s="5">
        <v>6.0</v>
      </c>
      <c r="M99" s="5">
        <v>1890.885935</v>
      </c>
    </row>
    <row r="100">
      <c r="A100" s="4" t="s">
        <v>192</v>
      </c>
      <c r="B100" s="5" t="s">
        <v>61</v>
      </c>
      <c r="C100" s="5" t="s">
        <v>16</v>
      </c>
      <c r="D100" s="5" t="s">
        <v>17</v>
      </c>
      <c r="E100" s="6" t="s">
        <v>186</v>
      </c>
      <c r="F100" s="5" t="s">
        <v>19</v>
      </c>
      <c r="G100" s="5" t="s">
        <v>27</v>
      </c>
      <c r="H100" s="5">
        <v>9730.0</v>
      </c>
      <c r="I100" s="5">
        <v>45.0</v>
      </c>
      <c r="J100" s="5">
        <v>2971.0</v>
      </c>
      <c r="K100" s="5">
        <v>5102.0</v>
      </c>
      <c r="L100" s="5">
        <v>3.0</v>
      </c>
      <c r="M100" s="5">
        <v>1778.937935</v>
      </c>
    </row>
    <row r="101">
      <c r="A101" s="4" t="s">
        <v>193</v>
      </c>
      <c r="B101" s="5" t="s">
        <v>15</v>
      </c>
      <c r="C101" s="5" t="s">
        <v>31</v>
      </c>
      <c r="D101" s="5" t="s">
        <v>35</v>
      </c>
      <c r="E101" s="6" t="s">
        <v>186</v>
      </c>
      <c r="F101" s="5" t="s">
        <v>46</v>
      </c>
      <c r="G101" s="5" t="s">
        <v>52</v>
      </c>
      <c r="H101" s="5">
        <v>69757.0</v>
      </c>
      <c r="I101" s="5">
        <v>199.0</v>
      </c>
      <c r="J101" s="5">
        <v>41258.0</v>
      </c>
      <c r="K101" s="5">
        <v>65374.0</v>
      </c>
      <c r="L101" s="5">
        <v>20.0</v>
      </c>
      <c r="M101" s="5">
        <v>1510.61532</v>
      </c>
    </row>
    <row r="102">
      <c r="A102" s="4" t="s">
        <v>194</v>
      </c>
      <c r="B102" s="5" t="s">
        <v>61</v>
      </c>
      <c r="C102" s="5" t="s">
        <v>23</v>
      </c>
      <c r="D102" s="5" t="s">
        <v>24</v>
      </c>
      <c r="E102" s="6" t="s">
        <v>195</v>
      </c>
      <c r="F102" s="5" t="s">
        <v>26</v>
      </c>
      <c r="G102" s="5" t="s">
        <v>27</v>
      </c>
      <c r="H102" s="5">
        <v>8862.0</v>
      </c>
      <c r="I102" s="5">
        <v>30.0</v>
      </c>
      <c r="J102" s="5">
        <v>1359.0</v>
      </c>
      <c r="K102" s="5">
        <v>7114.0</v>
      </c>
      <c r="L102" s="5">
        <v>1.0</v>
      </c>
      <c r="M102" s="5">
        <v>1481.945157</v>
      </c>
    </row>
    <row r="103">
      <c r="A103" s="4" t="s">
        <v>196</v>
      </c>
      <c r="B103" s="5" t="s">
        <v>15</v>
      </c>
      <c r="C103" s="5" t="s">
        <v>42</v>
      </c>
      <c r="D103" s="5" t="s">
        <v>39</v>
      </c>
      <c r="E103" s="6" t="s">
        <v>197</v>
      </c>
      <c r="F103" s="5" t="s">
        <v>46</v>
      </c>
      <c r="G103" s="5" t="s">
        <v>27</v>
      </c>
      <c r="H103" s="5">
        <v>7229.0</v>
      </c>
      <c r="I103" s="5">
        <v>20.0</v>
      </c>
      <c r="J103" s="5">
        <v>5668.0</v>
      </c>
      <c r="K103" s="5">
        <v>6760.0</v>
      </c>
      <c r="L103" s="5">
        <v>3.0</v>
      </c>
      <c r="M103" s="5">
        <v>6812.588702</v>
      </c>
    </row>
    <row r="104">
      <c r="A104" s="4" t="s">
        <v>198</v>
      </c>
      <c r="B104" s="5" t="s">
        <v>22</v>
      </c>
      <c r="C104" s="5" t="s">
        <v>16</v>
      </c>
      <c r="D104" s="5" t="s">
        <v>95</v>
      </c>
      <c r="E104" s="6" t="s">
        <v>197</v>
      </c>
      <c r="F104" s="5" t="s">
        <v>46</v>
      </c>
      <c r="G104" s="5" t="s">
        <v>27</v>
      </c>
      <c r="H104" s="5">
        <v>115544.0</v>
      </c>
      <c r="I104" s="5">
        <v>412.0</v>
      </c>
      <c r="J104" s="5">
        <v>79182.0</v>
      </c>
      <c r="K104" s="5">
        <v>109463.0</v>
      </c>
      <c r="L104" s="5">
        <v>56.0</v>
      </c>
      <c r="M104" s="5">
        <v>6721.094453</v>
      </c>
    </row>
    <row r="105">
      <c r="A105" s="4" t="s">
        <v>199</v>
      </c>
      <c r="B105" s="5" t="s">
        <v>15</v>
      </c>
      <c r="C105" s="5" t="s">
        <v>16</v>
      </c>
      <c r="D105" s="5" t="s">
        <v>17</v>
      </c>
      <c r="E105" s="6" t="s">
        <v>197</v>
      </c>
      <c r="F105" s="5" t="s">
        <v>19</v>
      </c>
      <c r="G105" s="5" t="s">
        <v>52</v>
      </c>
      <c r="H105" s="5">
        <v>48211.0</v>
      </c>
      <c r="I105" s="5">
        <v>160.0</v>
      </c>
      <c r="J105" s="5">
        <v>30157.0</v>
      </c>
      <c r="K105" s="5">
        <v>43810.0</v>
      </c>
      <c r="L105" s="5">
        <v>14.0</v>
      </c>
      <c r="M105" s="5">
        <v>6708.463351</v>
      </c>
    </row>
    <row r="106">
      <c r="A106" s="4" t="s">
        <v>200</v>
      </c>
      <c r="B106" s="5" t="s">
        <v>22</v>
      </c>
      <c r="C106" s="5" t="s">
        <v>16</v>
      </c>
      <c r="D106" s="5" t="s">
        <v>78</v>
      </c>
      <c r="E106" s="6" t="s">
        <v>197</v>
      </c>
      <c r="F106" s="5" t="s">
        <v>161</v>
      </c>
      <c r="G106" s="5" t="s">
        <v>27</v>
      </c>
      <c r="H106" s="5">
        <v>134847.0</v>
      </c>
      <c r="I106" s="5">
        <v>450.0</v>
      </c>
      <c r="J106" s="5">
        <v>104268.0</v>
      </c>
      <c r="K106" s="5">
        <v>128470.0</v>
      </c>
      <c r="L106" s="5">
        <v>125.0</v>
      </c>
      <c r="M106" s="5">
        <v>6040.595578</v>
      </c>
    </row>
    <row r="107">
      <c r="A107" s="4" t="s">
        <v>201</v>
      </c>
      <c r="B107" s="5" t="s">
        <v>22</v>
      </c>
      <c r="C107" s="5" t="s">
        <v>16</v>
      </c>
      <c r="D107" s="5" t="s">
        <v>95</v>
      </c>
      <c r="E107" s="6" t="s">
        <v>197</v>
      </c>
      <c r="F107" s="5" t="s">
        <v>46</v>
      </c>
      <c r="G107" s="5" t="s">
        <v>27</v>
      </c>
      <c r="H107" s="5">
        <v>35178.0</v>
      </c>
      <c r="I107" s="5">
        <v>155.0</v>
      </c>
      <c r="J107" s="5">
        <v>23374.0</v>
      </c>
      <c r="K107" s="5">
        <v>33779.0</v>
      </c>
      <c r="L107" s="5">
        <v>8.0</v>
      </c>
      <c r="M107" s="5">
        <v>5738.809089</v>
      </c>
    </row>
    <row r="108">
      <c r="A108" s="4" t="s">
        <v>202</v>
      </c>
      <c r="B108" s="5" t="s">
        <v>22</v>
      </c>
      <c r="C108" s="5" t="s">
        <v>16</v>
      </c>
      <c r="D108" s="5" t="s">
        <v>17</v>
      </c>
      <c r="E108" s="6" t="s">
        <v>197</v>
      </c>
      <c r="F108" s="5" t="s">
        <v>19</v>
      </c>
      <c r="G108" s="5" t="s">
        <v>27</v>
      </c>
      <c r="H108" s="5">
        <v>43117.0</v>
      </c>
      <c r="I108" s="5">
        <v>100.0</v>
      </c>
      <c r="J108" s="5">
        <v>6478.0</v>
      </c>
      <c r="K108" s="5">
        <v>27405.0</v>
      </c>
      <c r="L108" s="5">
        <v>8.0</v>
      </c>
      <c r="M108" s="5">
        <v>4250.430439</v>
      </c>
    </row>
    <row r="109">
      <c r="A109" s="4" t="s">
        <v>203</v>
      </c>
      <c r="B109" s="5" t="s">
        <v>15</v>
      </c>
      <c r="C109" s="5" t="s">
        <v>42</v>
      </c>
      <c r="D109" s="5" t="s">
        <v>204</v>
      </c>
      <c r="E109" s="6" t="s">
        <v>197</v>
      </c>
      <c r="F109" s="5" t="s">
        <v>46</v>
      </c>
      <c r="G109" s="5" t="s">
        <v>27</v>
      </c>
      <c r="H109" s="5">
        <v>510778.0</v>
      </c>
      <c r="I109" s="5">
        <v>1290.0</v>
      </c>
      <c r="J109" s="5">
        <v>70777.0</v>
      </c>
      <c r="K109" s="5">
        <v>436133.0</v>
      </c>
      <c r="L109" s="5">
        <v>6.0</v>
      </c>
      <c r="M109" s="5">
        <v>3870.253867</v>
      </c>
    </row>
    <row r="110">
      <c r="A110" s="4" t="s">
        <v>205</v>
      </c>
      <c r="B110" s="5" t="s">
        <v>15</v>
      </c>
      <c r="C110" s="5" t="s">
        <v>23</v>
      </c>
      <c r="D110" s="5" t="s">
        <v>29</v>
      </c>
      <c r="E110" s="6" t="s">
        <v>197</v>
      </c>
      <c r="F110" s="5" t="s">
        <v>26</v>
      </c>
      <c r="G110" s="5" t="s">
        <v>27</v>
      </c>
      <c r="H110" s="5">
        <v>13700.0</v>
      </c>
      <c r="I110" s="5">
        <v>63.0</v>
      </c>
      <c r="J110" s="5">
        <v>3609.0</v>
      </c>
      <c r="K110" s="5">
        <v>12644.0</v>
      </c>
      <c r="L110" s="5">
        <v>4.0</v>
      </c>
      <c r="M110" s="5">
        <v>2032.700147</v>
      </c>
    </row>
    <row r="111">
      <c r="A111" s="4" t="s">
        <v>206</v>
      </c>
      <c r="B111" s="5" t="s">
        <v>15</v>
      </c>
      <c r="C111" s="5" t="s">
        <v>31</v>
      </c>
      <c r="D111" s="5" t="s">
        <v>55</v>
      </c>
      <c r="E111" s="6" t="s">
        <v>197</v>
      </c>
      <c r="F111" s="5" t="s">
        <v>117</v>
      </c>
      <c r="G111" s="5" t="s">
        <v>20</v>
      </c>
      <c r="H111" s="5">
        <v>13075.0</v>
      </c>
      <c r="I111" s="5">
        <v>74.0</v>
      </c>
      <c r="J111" s="5">
        <v>5980.0</v>
      </c>
      <c r="K111" s="5">
        <v>12114.0</v>
      </c>
      <c r="L111" s="5">
        <v>15.0</v>
      </c>
      <c r="M111" s="5">
        <v>1936.130798</v>
      </c>
    </row>
    <row r="112">
      <c r="A112" s="4" t="s">
        <v>207</v>
      </c>
      <c r="B112" s="5" t="s">
        <v>22</v>
      </c>
      <c r="C112" s="5" t="s">
        <v>16</v>
      </c>
      <c r="D112" s="5" t="s">
        <v>55</v>
      </c>
      <c r="E112" s="6" t="s">
        <v>197</v>
      </c>
      <c r="F112" s="5" t="s">
        <v>136</v>
      </c>
      <c r="G112" s="5" t="s">
        <v>27</v>
      </c>
      <c r="H112" s="5">
        <v>69540.0</v>
      </c>
      <c r="I112" s="5">
        <v>204.0</v>
      </c>
      <c r="J112" s="5">
        <v>28713.0</v>
      </c>
      <c r="K112" s="5">
        <v>62829.0</v>
      </c>
      <c r="L112" s="5">
        <v>15.0</v>
      </c>
      <c r="M112" s="5">
        <v>1838.98773</v>
      </c>
    </row>
    <row r="113">
      <c r="A113" s="4" t="s">
        <v>208</v>
      </c>
      <c r="B113" s="5" t="s">
        <v>15</v>
      </c>
      <c r="C113" s="5" t="s">
        <v>23</v>
      </c>
      <c r="D113" s="5" t="s">
        <v>78</v>
      </c>
      <c r="E113" s="6" t="s">
        <v>197</v>
      </c>
      <c r="F113" s="5" t="s">
        <v>19</v>
      </c>
      <c r="G113" s="5" t="s">
        <v>52</v>
      </c>
      <c r="H113" s="5">
        <v>65983.0</v>
      </c>
      <c r="I113" s="5">
        <v>212.0</v>
      </c>
      <c r="J113" s="5">
        <v>8536.0</v>
      </c>
      <c r="K113" s="5">
        <v>57434.0</v>
      </c>
      <c r="L113" s="5">
        <v>3.0</v>
      </c>
      <c r="M113" s="5">
        <v>1599.076249</v>
      </c>
    </row>
    <row r="114">
      <c r="A114" s="4" t="s">
        <v>209</v>
      </c>
      <c r="B114" s="5" t="s">
        <v>22</v>
      </c>
      <c r="C114" s="5" t="s">
        <v>16</v>
      </c>
      <c r="D114" s="5" t="s">
        <v>35</v>
      </c>
      <c r="E114" s="6" t="s">
        <v>197</v>
      </c>
      <c r="F114" s="5" t="s">
        <v>19</v>
      </c>
      <c r="G114" s="5" t="s">
        <v>27</v>
      </c>
      <c r="H114" s="5">
        <v>21478.0</v>
      </c>
      <c r="I114" s="5">
        <v>50.0</v>
      </c>
      <c r="J114" s="5">
        <v>15548.0</v>
      </c>
      <c r="K114" s="5">
        <v>20651.0</v>
      </c>
      <c r="L114" s="5">
        <v>24.0</v>
      </c>
      <c r="M114" s="5">
        <v>1541.214047</v>
      </c>
    </row>
    <row r="115">
      <c r="A115" s="4" t="s">
        <v>210</v>
      </c>
      <c r="B115" s="5" t="s">
        <v>22</v>
      </c>
      <c r="C115" s="5" t="s">
        <v>31</v>
      </c>
      <c r="D115" s="5" t="s">
        <v>78</v>
      </c>
      <c r="E115" s="6" t="s">
        <v>211</v>
      </c>
      <c r="F115" s="5" t="s">
        <v>19</v>
      </c>
      <c r="G115" s="5" t="s">
        <v>27</v>
      </c>
      <c r="H115" s="5">
        <v>9515.0</v>
      </c>
      <c r="I115" s="5">
        <v>30.0</v>
      </c>
      <c r="J115" s="5">
        <v>6169.0</v>
      </c>
      <c r="K115" s="5">
        <v>9138.0</v>
      </c>
      <c r="L115" s="5">
        <v>3.0</v>
      </c>
      <c r="M115" s="5">
        <v>5776.508186</v>
      </c>
    </row>
    <row r="116">
      <c r="A116" s="4" t="s">
        <v>212</v>
      </c>
      <c r="B116" s="5" t="s">
        <v>22</v>
      </c>
      <c r="C116" s="5" t="s">
        <v>23</v>
      </c>
      <c r="D116" s="5" t="s">
        <v>35</v>
      </c>
      <c r="E116" s="6" t="s">
        <v>211</v>
      </c>
      <c r="F116" s="5" t="s">
        <v>48</v>
      </c>
      <c r="G116" s="5" t="s">
        <v>27</v>
      </c>
      <c r="H116" s="5">
        <v>20548.0</v>
      </c>
      <c r="I116" s="5">
        <v>40.0</v>
      </c>
      <c r="J116" s="5">
        <v>14259.0</v>
      </c>
      <c r="K116" s="5">
        <v>19654.0</v>
      </c>
      <c r="L116" s="5">
        <v>13.0</v>
      </c>
      <c r="M116" s="5">
        <v>3060.424769</v>
      </c>
    </row>
    <row r="117">
      <c r="A117" s="4" t="s">
        <v>213</v>
      </c>
      <c r="B117" s="5" t="s">
        <v>15</v>
      </c>
      <c r="C117" s="5" t="s">
        <v>42</v>
      </c>
      <c r="D117" s="5" t="s">
        <v>214</v>
      </c>
      <c r="E117" s="6" t="s">
        <v>211</v>
      </c>
      <c r="F117" s="5" t="s">
        <v>36</v>
      </c>
      <c r="G117" s="5" t="s">
        <v>20</v>
      </c>
      <c r="H117" s="5">
        <v>94340.0</v>
      </c>
      <c r="I117" s="5">
        <v>250.0</v>
      </c>
      <c r="J117" s="5">
        <v>16955.0</v>
      </c>
      <c r="K117" s="5">
        <v>76971.0</v>
      </c>
      <c r="L117" s="5">
        <v>13.0</v>
      </c>
      <c r="M117" s="5">
        <v>1517.244377</v>
      </c>
    </row>
    <row r="118">
      <c r="A118" s="4" t="s">
        <v>215</v>
      </c>
      <c r="B118" s="5" t="s">
        <v>61</v>
      </c>
      <c r="C118" s="5" t="s">
        <v>23</v>
      </c>
      <c r="D118" s="5" t="s">
        <v>32</v>
      </c>
      <c r="E118" s="6" t="s">
        <v>216</v>
      </c>
      <c r="F118" s="5" t="s">
        <v>26</v>
      </c>
      <c r="G118" s="5" t="s">
        <v>27</v>
      </c>
      <c r="H118" s="5">
        <v>114723.0</v>
      </c>
      <c r="I118" s="5">
        <v>350.0</v>
      </c>
      <c r="J118" s="5">
        <v>14623.0</v>
      </c>
      <c r="K118" s="5">
        <v>92063.0</v>
      </c>
      <c r="L118" s="5">
        <v>6.0</v>
      </c>
      <c r="M118" s="5">
        <v>4742.008637</v>
      </c>
    </row>
    <row r="119">
      <c r="A119" s="4" t="s">
        <v>217</v>
      </c>
      <c r="B119" s="5" t="s">
        <v>15</v>
      </c>
      <c r="C119" s="5" t="s">
        <v>31</v>
      </c>
      <c r="D119" s="5" t="s">
        <v>35</v>
      </c>
      <c r="E119" s="6" t="s">
        <v>216</v>
      </c>
      <c r="F119" s="5" t="s">
        <v>19</v>
      </c>
      <c r="G119" s="5" t="s">
        <v>27</v>
      </c>
      <c r="H119" s="5">
        <v>14581.0</v>
      </c>
      <c r="I119" s="5">
        <v>85.0</v>
      </c>
      <c r="J119" s="5">
        <v>6970.0</v>
      </c>
      <c r="K119" s="5">
        <v>8882.0</v>
      </c>
      <c r="L119" s="5">
        <v>4.0</v>
      </c>
      <c r="M119" s="5">
        <v>2636.202124</v>
      </c>
    </row>
    <row r="120">
      <c r="A120" s="4" t="s">
        <v>218</v>
      </c>
      <c r="B120" s="5" t="s">
        <v>61</v>
      </c>
      <c r="C120" s="5" t="s">
        <v>42</v>
      </c>
      <c r="D120" s="5" t="s">
        <v>35</v>
      </c>
      <c r="E120" s="6" t="s">
        <v>219</v>
      </c>
      <c r="F120" s="5" t="s">
        <v>19</v>
      </c>
      <c r="G120" s="5" t="s">
        <v>27</v>
      </c>
      <c r="H120" s="5">
        <v>19461.0</v>
      </c>
      <c r="I120" s="5">
        <v>74.0</v>
      </c>
      <c r="J120" s="5">
        <v>14647.0</v>
      </c>
      <c r="K120" s="5">
        <v>18731.0</v>
      </c>
      <c r="L120" s="5">
        <v>9.0</v>
      </c>
      <c r="M120" s="5">
        <v>7311.99875</v>
      </c>
    </row>
    <row r="121">
      <c r="A121" s="4" t="s">
        <v>220</v>
      </c>
      <c r="B121" s="5" t="s">
        <v>22</v>
      </c>
      <c r="C121" s="5" t="s">
        <v>23</v>
      </c>
      <c r="D121" s="5" t="s">
        <v>35</v>
      </c>
      <c r="E121" s="6" t="s">
        <v>219</v>
      </c>
      <c r="F121" s="5" t="s">
        <v>26</v>
      </c>
      <c r="G121" s="5" t="s">
        <v>27</v>
      </c>
      <c r="H121" s="5">
        <v>27032.0</v>
      </c>
      <c r="I121" s="5">
        <v>110.0</v>
      </c>
      <c r="J121" s="5">
        <v>21893.0</v>
      </c>
      <c r="K121" s="5">
        <v>26127.0</v>
      </c>
      <c r="L121" s="5">
        <v>5.0</v>
      </c>
      <c r="M121" s="5">
        <v>5292.896913</v>
      </c>
    </row>
    <row r="122">
      <c r="A122" s="4" t="s">
        <v>221</v>
      </c>
      <c r="B122" s="5" t="s">
        <v>15</v>
      </c>
      <c r="C122" s="5" t="s">
        <v>23</v>
      </c>
      <c r="D122" s="5" t="s">
        <v>84</v>
      </c>
      <c r="E122" s="6" t="s">
        <v>222</v>
      </c>
      <c r="F122" s="5" t="s">
        <v>19</v>
      </c>
      <c r="G122" s="5" t="s">
        <v>27</v>
      </c>
      <c r="H122" s="5">
        <v>7628.0</v>
      </c>
      <c r="I122" s="5">
        <v>19.0</v>
      </c>
      <c r="J122" s="5">
        <v>5048.0</v>
      </c>
      <c r="K122" s="5">
        <v>7154.0</v>
      </c>
      <c r="L122" s="5">
        <v>5.0</v>
      </c>
      <c r="M122" s="5">
        <v>6684.062804</v>
      </c>
    </row>
    <row r="123">
      <c r="A123" s="4" t="s">
        <v>223</v>
      </c>
      <c r="B123" s="5" t="s">
        <v>22</v>
      </c>
      <c r="C123" s="5" t="s">
        <v>16</v>
      </c>
      <c r="D123" s="5" t="s">
        <v>78</v>
      </c>
      <c r="E123" s="6" t="s">
        <v>224</v>
      </c>
      <c r="F123" s="5" t="s">
        <v>19</v>
      </c>
      <c r="G123" s="5" t="s">
        <v>27</v>
      </c>
      <c r="H123" s="5">
        <v>7806.0</v>
      </c>
      <c r="I123" s="5">
        <v>20.0</v>
      </c>
      <c r="J123" s="5">
        <v>3150.0</v>
      </c>
      <c r="K123" s="5">
        <v>7247.0</v>
      </c>
      <c r="L123" s="5">
        <v>1.0</v>
      </c>
      <c r="M123" s="5">
        <v>6162.320833</v>
      </c>
    </row>
    <row r="124">
      <c r="A124" s="4" t="s">
        <v>225</v>
      </c>
      <c r="B124" s="5" t="s">
        <v>15</v>
      </c>
      <c r="C124" s="5" t="s">
        <v>42</v>
      </c>
      <c r="D124" s="5" t="s">
        <v>55</v>
      </c>
      <c r="E124" s="6" t="s">
        <v>226</v>
      </c>
      <c r="F124" s="5" t="s">
        <v>19</v>
      </c>
      <c r="G124" s="5" t="s">
        <v>52</v>
      </c>
      <c r="H124" s="5">
        <v>31443.0</v>
      </c>
      <c r="I124" s="5">
        <v>70.0</v>
      </c>
      <c r="J124" s="5">
        <v>19134.0</v>
      </c>
      <c r="K124" s="5">
        <v>28059.0</v>
      </c>
      <c r="L124" s="5">
        <v>9.0</v>
      </c>
      <c r="M124" s="5">
        <v>2122.765888</v>
      </c>
    </row>
    <row r="125">
      <c r="A125" s="4" t="s">
        <v>227</v>
      </c>
      <c r="B125" s="5" t="s">
        <v>22</v>
      </c>
      <c r="C125" s="5" t="s">
        <v>23</v>
      </c>
      <c r="D125" s="5" t="s">
        <v>29</v>
      </c>
      <c r="E125" s="6" t="s">
        <v>228</v>
      </c>
      <c r="F125" s="5" t="s">
        <v>19</v>
      </c>
      <c r="G125" s="5" t="s">
        <v>27</v>
      </c>
      <c r="H125" s="5">
        <v>29107.0</v>
      </c>
      <c r="I125" s="5">
        <v>64.0</v>
      </c>
      <c r="J125" s="5">
        <v>4047.0</v>
      </c>
      <c r="K125" s="5">
        <v>27357.0</v>
      </c>
      <c r="L125" s="5">
        <v>9.0</v>
      </c>
      <c r="M125" s="5">
        <v>3339.454322</v>
      </c>
    </row>
    <row r="126">
      <c r="A126" s="4" t="s">
        <v>229</v>
      </c>
      <c r="B126" s="5" t="s">
        <v>22</v>
      </c>
      <c r="C126" s="5" t="s">
        <v>16</v>
      </c>
      <c r="D126" s="5" t="s">
        <v>84</v>
      </c>
      <c r="E126" s="6" t="s">
        <v>228</v>
      </c>
      <c r="F126" s="5" t="s">
        <v>36</v>
      </c>
      <c r="G126" s="5" t="s">
        <v>27</v>
      </c>
      <c r="H126" s="5">
        <v>12451.0</v>
      </c>
      <c r="I126" s="5">
        <v>30.0</v>
      </c>
      <c r="J126" s="5">
        <v>2987.0</v>
      </c>
      <c r="K126" s="5">
        <v>11295.0</v>
      </c>
      <c r="L126" s="5">
        <v>4.0</v>
      </c>
      <c r="M126" s="5">
        <v>2127.323828</v>
      </c>
    </row>
    <row r="127">
      <c r="A127" s="4" t="s">
        <v>230</v>
      </c>
      <c r="B127" s="5" t="s">
        <v>15</v>
      </c>
      <c r="C127" s="5" t="s">
        <v>16</v>
      </c>
      <c r="D127" s="5" t="s">
        <v>78</v>
      </c>
      <c r="E127" s="6" t="s">
        <v>228</v>
      </c>
      <c r="F127" s="5" t="s">
        <v>231</v>
      </c>
      <c r="G127" s="5" t="s">
        <v>20</v>
      </c>
      <c r="H127" s="5">
        <v>12176.0</v>
      </c>
      <c r="I127" s="5">
        <v>10.0</v>
      </c>
      <c r="J127" s="5">
        <v>5460.0</v>
      </c>
      <c r="K127" s="5">
        <v>11154.0</v>
      </c>
      <c r="L127" s="5">
        <v>10.0</v>
      </c>
      <c r="M127" s="5">
        <v>1816.030806</v>
      </c>
    </row>
    <row r="128">
      <c r="A128" s="4" t="s">
        <v>232</v>
      </c>
      <c r="B128" s="5" t="s">
        <v>15</v>
      </c>
      <c r="C128" s="5" t="s">
        <v>23</v>
      </c>
      <c r="D128" s="5" t="s">
        <v>29</v>
      </c>
      <c r="E128" s="6" t="s">
        <v>233</v>
      </c>
      <c r="F128" s="5" t="s">
        <v>19</v>
      </c>
      <c r="G128" s="5" t="s">
        <v>27</v>
      </c>
      <c r="H128" s="5">
        <v>7472.0</v>
      </c>
      <c r="I128" s="5">
        <v>10.0</v>
      </c>
      <c r="J128" s="5">
        <v>1191.0</v>
      </c>
      <c r="K128" s="5">
        <v>5883.0</v>
      </c>
      <c r="L128" s="5">
        <v>1.0</v>
      </c>
      <c r="M128" s="5">
        <v>2183.952037</v>
      </c>
    </row>
    <row r="129">
      <c r="A129" s="4" t="s">
        <v>234</v>
      </c>
      <c r="B129" s="5" t="s">
        <v>15</v>
      </c>
      <c r="C129" s="5" t="s">
        <v>31</v>
      </c>
      <c r="D129" s="5" t="s">
        <v>35</v>
      </c>
      <c r="E129" s="6" t="s">
        <v>235</v>
      </c>
      <c r="F129" s="5" t="s">
        <v>19</v>
      </c>
      <c r="G129" s="5" t="s">
        <v>27</v>
      </c>
      <c r="H129" s="5">
        <v>42451.0</v>
      </c>
      <c r="I129" s="5">
        <v>122.0</v>
      </c>
      <c r="J129" s="5">
        <v>29142.0</v>
      </c>
      <c r="K129" s="5">
        <v>41093.0</v>
      </c>
      <c r="L129" s="5">
        <v>7.0</v>
      </c>
      <c r="M129" s="5">
        <v>1530.553686</v>
      </c>
    </row>
    <row r="130">
      <c r="A130" s="4" t="s">
        <v>236</v>
      </c>
      <c r="B130" s="5" t="s">
        <v>22</v>
      </c>
      <c r="C130" s="5" t="s">
        <v>16</v>
      </c>
      <c r="D130" s="5" t="s">
        <v>78</v>
      </c>
      <c r="E130" s="6" t="s">
        <v>235</v>
      </c>
      <c r="F130" s="5" t="s">
        <v>117</v>
      </c>
      <c r="G130" s="5" t="s">
        <v>27</v>
      </c>
      <c r="H130" s="5">
        <v>10677.0</v>
      </c>
      <c r="I130" s="5">
        <v>88.0</v>
      </c>
      <c r="J130" s="5">
        <v>7247.0</v>
      </c>
      <c r="K130" s="5">
        <v>10338.0</v>
      </c>
      <c r="L130" s="5">
        <v>3.0</v>
      </c>
      <c r="M130" s="5">
        <v>1483.452706</v>
      </c>
    </row>
    <row r="131">
      <c r="A131" s="4" t="s">
        <v>237</v>
      </c>
      <c r="B131" s="5" t="s">
        <v>15</v>
      </c>
      <c r="C131" s="5" t="s">
        <v>23</v>
      </c>
      <c r="D131" s="5" t="s">
        <v>35</v>
      </c>
      <c r="E131" s="6" t="s">
        <v>238</v>
      </c>
      <c r="F131" s="5" t="s">
        <v>46</v>
      </c>
      <c r="G131" s="5" t="s">
        <v>27</v>
      </c>
      <c r="H131" s="5">
        <v>8217.0</v>
      </c>
      <c r="I131" s="5">
        <v>25.0</v>
      </c>
      <c r="J131" s="5">
        <v>5740.0</v>
      </c>
      <c r="K131" s="5">
        <v>8009.0</v>
      </c>
      <c r="L131" s="5">
        <v>11.0</v>
      </c>
      <c r="M131" s="5">
        <v>6051.334623</v>
      </c>
    </row>
    <row r="132">
      <c r="A132" s="4" t="s">
        <v>239</v>
      </c>
      <c r="B132" s="5" t="s">
        <v>22</v>
      </c>
      <c r="C132" s="5" t="s">
        <v>23</v>
      </c>
      <c r="D132" s="5" t="s">
        <v>240</v>
      </c>
      <c r="E132" s="6" t="s">
        <v>238</v>
      </c>
      <c r="F132" s="5" t="s">
        <v>161</v>
      </c>
      <c r="G132" s="5" t="s">
        <v>27</v>
      </c>
      <c r="H132" s="5">
        <v>7530.0</v>
      </c>
      <c r="I132" s="5">
        <v>20.0</v>
      </c>
      <c r="J132" s="5">
        <v>5468.0</v>
      </c>
      <c r="K132" s="5">
        <v>7298.0</v>
      </c>
      <c r="L132" s="5">
        <v>3.0</v>
      </c>
      <c r="M132" s="5">
        <v>5038.714067</v>
      </c>
    </row>
    <row r="133">
      <c r="A133" s="4" t="s">
        <v>241</v>
      </c>
      <c r="B133" s="5" t="s">
        <v>22</v>
      </c>
      <c r="C133" s="5" t="s">
        <v>16</v>
      </c>
      <c r="D133" s="5" t="s">
        <v>78</v>
      </c>
      <c r="E133" s="6" t="s">
        <v>242</v>
      </c>
      <c r="F133" s="5" t="s">
        <v>19</v>
      </c>
      <c r="G133" s="5" t="s">
        <v>27</v>
      </c>
      <c r="H133" s="5">
        <v>272509.0</v>
      </c>
      <c r="I133" s="5">
        <v>736.0</v>
      </c>
      <c r="J133" s="5">
        <v>89526.0</v>
      </c>
      <c r="K133" s="5">
        <v>237859.0</v>
      </c>
      <c r="L133" s="5">
        <v>69.0</v>
      </c>
      <c r="M133" s="5">
        <v>8168.347077</v>
      </c>
    </row>
    <row r="134">
      <c r="A134" s="4" t="s">
        <v>243</v>
      </c>
      <c r="B134" s="5" t="s">
        <v>15</v>
      </c>
      <c r="C134" s="5" t="s">
        <v>16</v>
      </c>
      <c r="D134" s="5" t="s">
        <v>78</v>
      </c>
      <c r="E134" s="6" t="s">
        <v>242</v>
      </c>
      <c r="F134" s="5" t="s">
        <v>19</v>
      </c>
      <c r="G134" s="5" t="s">
        <v>27</v>
      </c>
      <c r="H134" s="5">
        <v>106392.0</v>
      </c>
      <c r="I134" s="5">
        <v>299.0</v>
      </c>
      <c r="J134" s="5">
        <v>39599.0</v>
      </c>
      <c r="K134" s="5">
        <v>94941.0</v>
      </c>
      <c r="L134" s="5">
        <v>3.0</v>
      </c>
      <c r="M134" s="5">
        <v>6542.612428</v>
      </c>
    </row>
    <row r="135">
      <c r="A135" s="4" t="s">
        <v>244</v>
      </c>
      <c r="B135" s="5" t="s">
        <v>22</v>
      </c>
      <c r="C135" s="5" t="s">
        <v>31</v>
      </c>
      <c r="D135" s="5" t="s">
        <v>17</v>
      </c>
      <c r="E135" s="6" t="s">
        <v>242</v>
      </c>
      <c r="F135" s="5" t="s">
        <v>26</v>
      </c>
      <c r="G135" s="5" t="s">
        <v>27</v>
      </c>
      <c r="H135" s="5">
        <v>9060.0</v>
      </c>
      <c r="I135" s="5">
        <v>30.0</v>
      </c>
      <c r="J135" s="5">
        <v>5190.0</v>
      </c>
      <c r="K135" s="5">
        <v>8621.0</v>
      </c>
      <c r="L135" s="5">
        <v>14.0</v>
      </c>
      <c r="M135" s="5">
        <v>4934.851563</v>
      </c>
    </row>
    <row r="136">
      <c r="A136" s="4" t="s">
        <v>245</v>
      </c>
      <c r="B136" s="5" t="s">
        <v>22</v>
      </c>
      <c r="C136" s="5" t="s">
        <v>31</v>
      </c>
      <c r="D136" s="5" t="s">
        <v>35</v>
      </c>
      <c r="E136" s="6" t="s">
        <v>242</v>
      </c>
      <c r="F136" s="5" t="s">
        <v>117</v>
      </c>
      <c r="G136" s="5" t="s">
        <v>27</v>
      </c>
      <c r="H136" s="5">
        <v>116926.0</v>
      </c>
      <c r="I136" s="5">
        <v>321.0</v>
      </c>
      <c r="J136" s="5">
        <v>69132.0</v>
      </c>
      <c r="K136" s="5">
        <v>111957.0</v>
      </c>
      <c r="L136" s="5">
        <v>22.0</v>
      </c>
      <c r="M136" s="5">
        <v>4918.040982</v>
      </c>
    </row>
    <row r="137">
      <c r="A137" s="4" t="s">
        <v>246</v>
      </c>
      <c r="B137" s="5" t="s">
        <v>15</v>
      </c>
      <c r="C137" s="5" t="s">
        <v>42</v>
      </c>
      <c r="D137" s="5" t="s">
        <v>78</v>
      </c>
      <c r="E137" s="6" t="s">
        <v>242</v>
      </c>
      <c r="F137" s="5" t="s">
        <v>50</v>
      </c>
      <c r="G137" s="5" t="s">
        <v>27</v>
      </c>
      <c r="H137" s="5">
        <v>45402.0</v>
      </c>
      <c r="I137" s="5">
        <v>122.0</v>
      </c>
      <c r="J137" s="5">
        <v>17284.0</v>
      </c>
      <c r="K137" s="5">
        <v>27542.0</v>
      </c>
      <c r="L137" s="5">
        <v>5.0</v>
      </c>
      <c r="M137" s="5">
        <v>2163.265346</v>
      </c>
    </row>
    <row r="138">
      <c r="A138" s="4" t="s">
        <v>247</v>
      </c>
      <c r="B138" s="5" t="s">
        <v>61</v>
      </c>
      <c r="C138" s="5" t="s">
        <v>31</v>
      </c>
      <c r="D138" s="5" t="s">
        <v>35</v>
      </c>
      <c r="E138" s="6" t="s">
        <v>242</v>
      </c>
      <c r="F138" s="5" t="s">
        <v>19</v>
      </c>
      <c r="G138" s="5" t="s">
        <v>27</v>
      </c>
      <c r="H138" s="5">
        <v>84306.0</v>
      </c>
      <c r="I138" s="5">
        <v>185.0</v>
      </c>
      <c r="J138" s="5">
        <v>45376.0</v>
      </c>
      <c r="K138" s="5">
        <v>79935.0</v>
      </c>
      <c r="L138" s="5">
        <v>3.0</v>
      </c>
      <c r="M138" s="5">
        <v>1809.590961</v>
      </c>
    </row>
    <row r="139">
      <c r="A139" s="4" t="s">
        <v>248</v>
      </c>
      <c r="B139" s="5" t="s">
        <v>15</v>
      </c>
      <c r="C139" s="5" t="s">
        <v>16</v>
      </c>
      <c r="D139" s="5" t="s">
        <v>17</v>
      </c>
      <c r="E139" s="6" t="s">
        <v>242</v>
      </c>
      <c r="F139" s="5" t="s">
        <v>19</v>
      </c>
      <c r="G139" s="5" t="s">
        <v>27</v>
      </c>
      <c r="H139" s="5">
        <v>88499.0</v>
      </c>
      <c r="I139" s="5">
        <v>186.0</v>
      </c>
      <c r="J139" s="5">
        <v>18950.0</v>
      </c>
      <c r="K139" s="5">
        <v>71458.0</v>
      </c>
      <c r="L139" s="5">
        <v>5.0</v>
      </c>
      <c r="M139" s="5">
        <v>1803.139812</v>
      </c>
    </row>
    <row r="140">
      <c r="A140" s="4" t="s">
        <v>249</v>
      </c>
      <c r="B140" s="5" t="s">
        <v>15</v>
      </c>
      <c r="C140" s="5" t="s">
        <v>16</v>
      </c>
      <c r="D140" s="5" t="s">
        <v>150</v>
      </c>
      <c r="E140" s="6" t="s">
        <v>242</v>
      </c>
      <c r="F140" s="5" t="s">
        <v>19</v>
      </c>
      <c r="G140" s="5" t="s">
        <v>27</v>
      </c>
      <c r="H140" s="5">
        <v>77748.0</v>
      </c>
      <c r="I140" s="5">
        <v>227.0</v>
      </c>
      <c r="J140" s="5">
        <v>6170.0</v>
      </c>
      <c r="K140" s="5">
        <v>53603.0</v>
      </c>
      <c r="L140" s="5">
        <v>3.0</v>
      </c>
      <c r="M140" s="5">
        <v>1498.3009</v>
      </c>
    </row>
    <row r="141">
      <c r="A141" s="4" t="s">
        <v>250</v>
      </c>
      <c r="B141" s="5" t="s">
        <v>22</v>
      </c>
      <c r="C141" s="5" t="s">
        <v>42</v>
      </c>
      <c r="D141" s="5" t="s">
        <v>35</v>
      </c>
      <c r="E141" s="6" t="s">
        <v>251</v>
      </c>
      <c r="F141" s="5" t="s">
        <v>19</v>
      </c>
      <c r="G141" s="5" t="s">
        <v>27</v>
      </c>
      <c r="H141" s="5">
        <v>10191.0</v>
      </c>
      <c r="I141" s="5">
        <v>75.0</v>
      </c>
      <c r="J141" s="5">
        <v>1243.0</v>
      </c>
      <c r="K141" s="5">
        <v>8897.0</v>
      </c>
      <c r="L141" s="5">
        <v>3.0</v>
      </c>
      <c r="M141" s="5">
        <v>2365.914372</v>
      </c>
    </row>
    <row r="142">
      <c r="A142" s="4" t="s">
        <v>252</v>
      </c>
      <c r="B142" s="5" t="s">
        <v>22</v>
      </c>
      <c r="C142" s="5" t="s">
        <v>31</v>
      </c>
      <c r="D142" s="5" t="s">
        <v>29</v>
      </c>
      <c r="E142" s="6" t="s">
        <v>253</v>
      </c>
      <c r="F142" s="5" t="s">
        <v>19</v>
      </c>
      <c r="G142" s="5" t="s">
        <v>27</v>
      </c>
      <c r="H142" s="5">
        <v>10093.0</v>
      </c>
      <c r="I142" s="5">
        <v>65.0</v>
      </c>
      <c r="J142" s="5">
        <v>3901.0</v>
      </c>
      <c r="K142" s="5">
        <v>9645.0</v>
      </c>
      <c r="L142" s="5">
        <v>2.0</v>
      </c>
      <c r="M142" s="5">
        <v>3105.283004</v>
      </c>
    </row>
    <row r="143">
      <c r="A143" s="4" t="s">
        <v>254</v>
      </c>
      <c r="B143" s="5" t="s">
        <v>15</v>
      </c>
      <c r="C143" s="5" t="s">
        <v>16</v>
      </c>
      <c r="D143" s="5" t="s">
        <v>35</v>
      </c>
      <c r="E143" s="6" t="s">
        <v>255</v>
      </c>
      <c r="F143" s="5" t="s">
        <v>19</v>
      </c>
      <c r="G143" s="5" t="s">
        <v>27</v>
      </c>
      <c r="H143" s="5">
        <v>9328.0</v>
      </c>
      <c r="I143" s="5">
        <v>56.0</v>
      </c>
      <c r="J143" s="5">
        <v>7102.0</v>
      </c>
      <c r="K143" s="5">
        <v>8925.0</v>
      </c>
      <c r="L143" s="5">
        <v>5.0</v>
      </c>
      <c r="M143" s="5">
        <v>3408.076049</v>
      </c>
    </row>
    <row r="144">
      <c r="A144" s="4" t="s">
        <v>256</v>
      </c>
      <c r="B144" s="5" t="s">
        <v>15</v>
      </c>
      <c r="C144" s="5" t="s">
        <v>16</v>
      </c>
      <c r="D144" s="5" t="s">
        <v>55</v>
      </c>
      <c r="E144" s="6" t="s">
        <v>257</v>
      </c>
      <c r="F144" s="5" t="s">
        <v>46</v>
      </c>
      <c r="G144" s="5" t="s">
        <v>52</v>
      </c>
      <c r="H144" s="5">
        <v>24464.0</v>
      </c>
      <c r="I144" s="5">
        <v>0.0</v>
      </c>
      <c r="J144" s="5">
        <v>3275.0</v>
      </c>
      <c r="K144" s="5">
        <v>21993.0</v>
      </c>
      <c r="L144" s="5">
        <v>6.0</v>
      </c>
      <c r="M144" s="5">
        <v>2959.114973</v>
      </c>
    </row>
    <row r="145">
      <c r="A145" s="4" t="s">
        <v>258</v>
      </c>
      <c r="B145" s="5" t="s">
        <v>15</v>
      </c>
      <c r="C145" s="5" t="s">
        <v>16</v>
      </c>
      <c r="D145" s="5" t="s">
        <v>78</v>
      </c>
      <c r="E145" s="6" t="s">
        <v>259</v>
      </c>
      <c r="F145" s="5" t="s">
        <v>19</v>
      </c>
      <c r="G145" s="5" t="s">
        <v>27</v>
      </c>
      <c r="H145" s="5">
        <v>8111.0</v>
      </c>
      <c r="I145" s="5">
        <v>0.0</v>
      </c>
      <c r="J145" s="5">
        <v>4346.0</v>
      </c>
      <c r="K145" s="5">
        <v>6163.0</v>
      </c>
      <c r="L145" s="5">
        <v>1.0</v>
      </c>
      <c r="M145" s="5">
        <v>5000.761206</v>
      </c>
    </row>
    <row r="146">
      <c r="A146" s="4" t="s">
        <v>260</v>
      </c>
      <c r="B146" s="5" t="s">
        <v>22</v>
      </c>
      <c r="C146" s="5" t="s">
        <v>42</v>
      </c>
      <c r="D146" s="5" t="s">
        <v>78</v>
      </c>
      <c r="E146" s="6" t="s">
        <v>261</v>
      </c>
      <c r="F146" s="5" t="s">
        <v>48</v>
      </c>
      <c r="G146" s="5" t="s">
        <v>27</v>
      </c>
      <c r="H146" s="5">
        <v>25532.0</v>
      </c>
      <c r="I146" s="5">
        <v>140.0</v>
      </c>
      <c r="J146" s="5">
        <v>15219.0</v>
      </c>
      <c r="K146" s="5">
        <v>21497.0</v>
      </c>
      <c r="L146" s="5">
        <v>9.0</v>
      </c>
      <c r="M146" s="5">
        <v>6047.174109</v>
      </c>
    </row>
    <row r="147">
      <c r="A147" s="4" t="s">
        <v>262</v>
      </c>
      <c r="B147" s="5" t="s">
        <v>22</v>
      </c>
      <c r="C147" s="5" t="s">
        <v>31</v>
      </c>
      <c r="D147" s="5" t="s">
        <v>35</v>
      </c>
      <c r="E147" s="6" t="s">
        <v>261</v>
      </c>
      <c r="F147" s="5" t="s">
        <v>26</v>
      </c>
      <c r="G147" s="5" t="s">
        <v>27</v>
      </c>
      <c r="H147" s="5">
        <v>28553.0</v>
      </c>
      <c r="I147" s="5">
        <v>90.0</v>
      </c>
      <c r="J147" s="5">
        <v>11390.0</v>
      </c>
      <c r="K147" s="5">
        <v>23355.0</v>
      </c>
      <c r="L147" s="5">
        <v>13.0</v>
      </c>
      <c r="M147" s="5">
        <v>5573.112396</v>
      </c>
    </row>
    <row r="148">
      <c r="A148" s="4" t="s">
        <v>263</v>
      </c>
      <c r="B148" s="5" t="s">
        <v>22</v>
      </c>
      <c r="C148" s="5" t="s">
        <v>23</v>
      </c>
      <c r="D148" s="5" t="s">
        <v>142</v>
      </c>
      <c r="E148" s="6" t="s">
        <v>264</v>
      </c>
      <c r="F148" s="5" t="s">
        <v>19</v>
      </c>
      <c r="G148" s="5" t="s">
        <v>27</v>
      </c>
      <c r="H148" s="5">
        <v>29393.0</v>
      </c>
      <c r="I148" s="5">
        <v>70.0</v>
      </c>
      <c r="J148" s="5">
        <v>3277.0</v>
      </c>
      <c r="K148" s="5">
        <v>25959.0</v>
      </c>
      <c r="L148" s="5">
        <v>19.0</v>
      </c>
      <c r="M148" s="5">
        <v>2120.757698</v>
      </c>
    </row>
    <row r="149">
      <c r="A149" s="4" t="s">
        <v>265</v>
      </c>
      <c r="B149" s="5" t="s">
        <v>22</v>
      </c>
      <c r="C149" s="5" t="s">
        <v>16</v>
      </c>
      <c r="D149" s="5" t="s">
        <v>17</v>
      </c>
      <c r="E149" s="6" t="s">
        <v>266</v>
      </c>
      <c r="F149" s="5" t="s">
        <v>33</v>
      </c>
      <c r="G149" s="5" t="s">
        <v>27</v>
      </c>
      <c r="H149" s="5">
        <v>39212.0</v>
      </c>
      <c r="I149" s="5">
        <v>260.0</v>
      </c>
      <c r="J149" s="5">
        <v>31317.0</v>
      </c>
      <c r="K149" s="5">
        <v>37660.0</v>
      </c>
      <c r="L149" s="5">
        <v>1.0</v>
      </c>
      <c r="M149" s="5">
        <v>3621.417703</v>
      </c>
    </row>
    <row r="150">
      <c r="A150" s="4" t="s">
        <v>267</v>
      </c>
      <c r="B150" s="5" t="s">
        <v>61</v>
      </c>
      <c r="C150" s="5" t="s">
        <v>42</v>
      </c>
      <c r="D150" s="5" t="s">
        <v>39</v>
      </c>
      <c r="E150" s="6" t="s">
        <v>268</v>
      </c>
      <c r="F150" s="5" t="s">
        <v>19</v>
      </c>
      <c r="G150" s="5" t="s">
        <v>27</v>
      </c>
      <c r="H150" s="5">
        <v>14137.0</v>
      </c>
      <c r="I150" s="5">
        <v>44.0</v>
      </c>
      <c r="J150" s="5">
        <v>9300.0</v>
      </c>
      <c r="K150" s="5">
        <v>13110.0</v>
      </c>
      <c r="L150" s="5">
        <v>8.0</v>
      </c>
      <c r="M150" s="5">
        <v>6345.460338</v>
      </c>
    </row>
    <row r="151">
      <c r="A151" s="4" t="s">
        <v>269</v>
      </c>
      <c r="B151" s="5" t="s">
        <v>15</v>
      </c>
      <c r="C151" s="5" t="s">
        <v>42</v>
      </c>
      <c r="D151" s="5" t="s">
        <v>17</v>
      </c>
      <c r="E151" s="6" t="s">
        <v>268</v>
      </c>
      <c r="F151" s="5" t="s">
        <v>19</v>
      </c>
      <c r="G151" s="5" t="s">
        <v>27</v>
      </c>
      <c r="H151" s="5">
        <v>7921.0</v>
      </c>
      <c r="I151" s="5">
        <v>50.0</v>
      </c>
      <c r="J151" s="5">
        <v>4727.0</v>
      </c>
      <c r="K151" s="5">
        <v>6513.0</v>
      </c>
      <c r="L151" s="5">
        <v>11.0</v>
      </c>
      <c r="M151" s="5">
        <v>5379.00144</v>
      </c>
    </row>
    <row r="152">
      <c r="A152" s="4" t="s">
        <v>270</v>
      </c>
      <c r="B152" s="5" t="s">
        <v>22</v>
      </c>
      <c r="C152" s="5" t="s">
        <v>42</v>
      </c>
      <c r="D152" s="5" t="s">
        <v>29</v>
      </c>
      <c r="E152" s="6" t="s">
        <v>271</v>
      </c>
      <c r="F152" s="5" t="s">
        <v>19</v>
      </c>
      <c r="G152" s="5" t="s">
        <v>27</v>
      </c>
      <c r="H152" s="5">
        <v>11025.0</v>
      </c>
      <c r="I152" s="5">
        <v>50.0</v>
      </c>
      <c r="J152" s="5">
        <v>7974.0</v>
      </c>
      <c r="K152" s="5">
        <v>10311.0</v>
      </c>
      <c r="L152" s="5">
        <v>4.0</v>
      </c>
      <c r="M152" s="5">
        <v>1657.159766</v>
      </c>
    </row>
    <row r="153">
      <c r="A153" s="4" t="s">
        <v>272</v>
      </c>
      <c r="B153" s="5" t="s">
        <v>15</v>
      </c>
      <c r="C153" s="5" t="s">
        <v>42</v>
      </c>
      <c r="D153" s="5" t="s">
        <v>273</v>
      </c>
      <c r="E153" s="6" t="s">
        <v>271</v>
      </c>
      <c r="F153" s="5" t="s">
        <v>26</v>
      </c>
      <c r="G153" s="5" t="s">
        <v>27</v>
      </c>
      <c r="H153" s="5">
        <v>14922.0</v>
      </c>
      <c r="I153" s="5">
        <v>99.0</v>
      </c>
      <c r="J153" s="5">
        <v>10713.0</v>
      </c>
      <c r="K153" s="5">
        <v>13992.0</v>
      </c>
      <c r="L153" s="5">
        <v>5.0</v>
      </c>
      <c r="M153" s="5">
        <v>1578.876432</v>
      </c>
    </row>
    <row r="154">
      <c r="A154" s="4" t="s">
        <v>274</v>
      </c>
      <c r="B154" s="5" t="s">
        <v>15</v>
      </c>
      <c r="C154" s="5" t="s">
        <v>31</v>
      </c>
      <c r="D154" s="5" t="s">
        <v>66</v>
      </c>
      <c r="E154" s="6" t="s">
        <v>271</v>
      </c>
      <c r="F154" s="5" t="s">
        <v>19</v>
      </c>
      <c r="G154" s="5" t="s">
        <v>27</v>
      </c>
      <c r="H154" s="5">
        <v>7427.0</v>
      </c>
      <c r="I154" s="5">
        <v>0.0</v>
      </c>
      <c r="J154" s="5">
        <v>4752.0</v>
      </c>
      <c r="K154" s="5">
        <v>6566.0</v>
      </c>
      <c r="L154" s="5">
        <v>1.0</v>
      </c>
      <c r="M154" s="5">
        <v>1504.784161</v>
      </c>
    </row>
    <row r="155">
      <c r="A155" s="4" t="s">
        <v>275</v>
      </c>
      <c r="B155" s="5" t="s">
        <v>22</v>
      </c>
      <c r="C155" s="5" t="s">
        <v>16</v>
      </c>
      <c r="D155" s="5" t="s">
        <v>55</v>
      </c>
      <c r="E155" s="6" t="s">
        <v>276</v>
      </c>
      <c r="F155" s="5" t="s">
        <v>48</v>
      </c>
      <c r="G155" s="5" t="s">
        <v>27</v>
      </c>
      <c r="H155" s="5">
        <v>14553.0</v>
      </c>
      <c r="I155" s="5">
        <v>47.0</v>
      </c>
      <c r="J155" s="5">
        <v>6119.0</v>
      </c>
      <c r="K155" s="5">
        <v>12505.0</v>
      </c>
      <c r="L155" s="5">
        <v>11.0</v>
      </c>
      <c r="M155" s="5">
        <v>6968.00047</v>
      </c>
    </row>
    <row r="156">
      <c r="A156" s="4" t="s">
        <v>277</v>
      </c>
      <c r="B156" s="5" t="s">
        <v>61</v>
      </c>
      <c r="C156" s="5" t="s">
        <v>16</v>
      </c>
      <c r="D156" s="5" t="s">
        <v>17</v>
      </c>
      <c r="E156" s="6" t="s">
        <v>278</v>
      </c>
      <c r="F156" s="5" t="s">
        <v>26</v>
      </c>
      <c r="G156" s="5" t="s">
        <v>27</v>
      </c>
      <c r="H156" s="5">
        <v>10350.0</v>
      </c>
      <c r="I156" s="5">
        <v>66.0</v>
      </c>
      <c r="J156" s="5">
        <v>723.0</v>
      </c>
      <c r="K156" s="5">
        <v>8720.0</v>
      </c>
      <c r="L156" s="5">
        <v>14.0</v>
      </c>
      <c r="M156" s="5">
        <v>6774.202636</v>
      </c>
    </row>
    <row r="157">
      <c r="A157" s="4" t="s">
        <v>279</v>
      </c>
      <c r="B157" s="5" t="s">
        <v>15</v>
      </c>
      <c r="C157" s="5" t="s">
        <v>23</v>
      </c>
      <c r="D157" s="5" t="s">
        <v>78</v>
      </c>
      <c r="E157" s="6" t="s">
        <v>278</v>
      </c>
      <c r="F157" s="5" t="s">
        <v>46</v>
      </c>
      <c r="G157" s="5" t="s">
        <v>20</v>
      </c>
      <c r="H157" s="5">
        <v>18028.0</v>
      </c>
      <c r="I157" s="5">
        <v>89.0</v>
      </c>
      <c r="J157" s="5">
        <v>1851.0</v>
      </c>
      <c r="K157" s="5">
        <v>14926.0</v>
      </c>
      <c r="L157" s="5">
        <v>24.0</v>
      </c>
      <c r="M157" s="5">
        <v>1572.24171</v>
      </c>
    </row>
    <row r="158">
      <c r="A158" s="4" t="s">
        <v>280</v>
      </c>
      <c r="B158" s="5" t="s">
        <v>15</v>
      </c>
      <c r="C158" s="5" t="s">
        <v>23</v>
      </c>
      <c r="D158" s="5" t="s">
        <v>17</v>
      </c>
      <c r="E158" s="6" t="s">
        <v>281</v>
      </c>
      <c r="F158" s="5" t="s">
        <v>19</v>
      </c>
      <c r="G158" s="5" t="s">
        <v>27</v>
      </c>
      <c r="H158" s="5">
        <v>12391.0</v>
      </c>
      <c r="I158" s="5">
        <v>40.0</v>
      </c>
      <c r="J158" s="5">
        <v>5756.0</v>
      </c>
      <c r="K158" s="5">
        <v>11636.0</v>
      </c>
      <c r="L158" s="5">
        <v>4.0</v>
      </c>
      <c r="M158" s="5">
        <v>3069.123483</v>
      </c>
    </row>
    <row r="159">
      <c r="A159" s="4" t="s">
        <v>282</v>
      </c>
      <c r="B159" s="5" t="s">
        <v>22</v>
      </c>
      <c r="C159" s="5" t="s">
        <v>31</v>
      </c>
      <c r="D159" s="5" t="s">
        <v>32</v>
      </c>
      <c r="E159" s="6" t="s">
        <v>283</v>
      </c>
      <c r="F159" s="5" t="s">
        <v>46</v>
      </c>
      <c r="G159" s="5" t="s">
        <v>27</v>
      </c>
      <c r="H159" s="5">
        <v>14917.0</v>
      </c>
      <c r="I159" s="5">
        <v>10.0</v>
      </c>
      <c r="J159" s="5">
        <v>3065.0</v>
      </c>
      <c r="K159" s="5">
        <v>13109.0</v>
      </c>
      <c r="L159" s="5">
        <v>3.0</v>
      </c>
      <c r="M159" s="5">
        <v>1583.537104</v>
      </c>
    </row>
    <row r="160">
      <c r="A160" s="4" t="s">
        <v>284</v>
      </c>
      <c r="B160" s="5" t="s">
        <v>61</v>
      </c>
      <c r="C160" s="5" t="s">
        <v>16</v>
      </c>
      <c r="D160" s="5" t="s">
        <v>29</v>
      </c>
      <c r="E160" s="6" t="s">
        <v>285</v>
      </c>
      <c r="F160" s="5" t="s">
        <v>117</v>
      </c>
      <c r="G160" s="5" t="s">
        <v>27</v>
      </c>
      <c r="H160" s="5">
        <v>9560.0</v>
      </c>
      <c r="I160" s="5">
        <v>98.0</v>
      </c>
      <c r="J160" s="5">
        <v>3076.0</v>
      </c>
      <c r="K160" s="5">
        <v>6252.0</v>
      </c>
      <c r="L160" s="5">
        <v>17.0</v>
      </c>
      <c r="M160" s="5">
        <v>6420.218123</v>
      </c>
    </row>
    <row r="161">
      <c r="A161" s="4" t="s">
        <v>286</v>
      </c>
      <c r="B161" s="5" t="s">
        <v>22</v>
      </c>
      <c r="C161" s="5" t="s">
        <v>23</v>
      </c>
      <c r="D161" s="5" t="s">
        <v>55</v>
      </c>
      <c r="E161" s="6" t="s">
        <v>287</v>
      </c>
      <c r="F161" s="5" t="s">
        <v>19</v>
      </c>
      <c r="G161" s="5" t="s">
        <v>27</v>
      </c>
      <c r="H161" s="5">
        <v>12606.0</v>
      </c>
      <c r="I161" s="5">
        <v>74.0</v>
      </c>
      <c r="J161" s="5">
        <v>8332.0</v>
      </c>
      <c r="K161" s="5">
        <v>11170.0</v>
      </c>
      <c r="L161" s="5">
        <v>5.0</v>
      </c>
      <c r="M161" s="5">
        <v>2002.537989</v>
      </c>
    </row>
    <row r="162">
      <c r="A162" s="4" t="s">
        <v>288</v>
      </c>
      <c r="B162" s="5" t="s">
        <v>22</v>
      </c>
      <c r="C162" s="5" t="s">
        <v>16</v>
      </c>
      <c r="D162" s="5" t="s">
        <v>78</v>
      </c>
      <c r="E162" s="6" t="s">
        <v>289</v>
      </c>
      <c r="F162" s="5" t="s">
        <v>33</v>
      </c>
      <c r="G162" s="5" t="s">
        <v>27</v>
      </c>
      <c r="H162" s="5">
        <v>18022.0</v>
      </c>
      <c r="I162" s="5">
        <v>30.0</v>
      </c>
      <c r="J162" s="5">
        <v>10618.0</v>
      </c>
      <c r="K162" s="5">
        <v>16643.0</v>
      </c>
      <c r="L162" s="5">
        <v>15.0</v>
      </c>
      <c r="M162" s="5">
        <v>4051.158749</v>
      </c>
    </row>
    <row r="163">
      <c r="A163" s="4" t="s">
        <v>290</v>
      </c>
      <c r="B163" s="5" t="s">
        <v>22</v>
      </c>
      <c r="C163" s="5" t="s">
        <v>16</v>
      </c>
      <c r="D163" s="5" t="s">
        <v>17</v>
      </c>
      <c r="E163" s="6" t="s">
        <v>291</v>
      </c>
      <c r="F163" s="5" t="s">
        <v>36</v>
      </c>
      <c r="G163" s="5" t="s">
        <v>27</v>
      </c>
      <c r="H163" s="5">
        <v>18401.0</v>
      </c>
      <c r="I163" s="5">
        <v>66.0</v>
      </c>
      <c r="J163" s="5">
        <v>11051.0</v>
      </c>
      <c r="K163" s="5">
        <v>17202.0</v>
      </c>
      <c r="L163" s="5">
        <v>26.0</v>
      </c>
      <c r="M163" s="5">
        <v>6571.491552</v>
      </c>
    </row>
    <row r="164">
      <c r="A164" s="4" t="s">
        <v>292</v>
      </c>
      <c r="B164" s="5" t="s">
        <v>22</v>
      </c>
      <c r="C164" s="5" t="s">
        <v>16</v>
      </c>
      <c r="D164" s="5" t="s">
        <v>273</v>
      </c>
      <c r="E164" s="6" t="s">
        <v>291</v>
      </c>
      <c r="F164" s="5" t="s">
        <v>19</v>
      </c>
      <c r="G164" s="5" t="s">
        <v>27</v>
      </c>
      <c r="H164" s="5">
        <v>18412.0</v>
      </c>
      <c r="I164" s="5">
        <v>140.0</v>
      </c>
      <c r="J164" s="5">
        <v>5668.0</v>
      </c>
      <c r="K164" s="5">
        <v>16711.0</v>
      </c>
      <c r="L164" s="5">
        <v>12.0</v>
      </c>
      <c r="M164" s="5">
        <v>5244.34174</v>
      </c>
    </row>
    <row r="165">
      <c r="A165" s="4" t="s">
        <v>293</v>
      </c>
      <c r="B165" s="5" t="s">
        <v>15</v>
      </c>
      <c r="C165" s="5" t="s">
        <v>31</v>
      </c>
      <c r="D165" s="5" t="s">
        <v>29</v>
      </c>
      <c r="E165" s="6" t="s">
        <v>291</v>
      </c>
      <c r="F165" s="5" t="s">
        <v>46</v>
      </c>
      <c r="G165" s="5" t="s">
        <v>27</v>
      </c>
      <c r="H165" s="5">
        <v>11697.0</v>
      </c>
      <c r="I165" s="5">
        <v>64.0</v>
      </c>
      <c r="J165" s="5">
        <v>6761.0</v>
      </c>
      <c r="K165" s="5">
        <v>10783.0</v>
      </c>
      <c r="L165" s="5">
        <v>3.0</v>
      </c>
      <c r="M165" s="5">
        <v>5218.070231</v>
      </c>
    </row>
    <row r="166">
      <c r="A166" s="4" t="s">
        <v>294</v>
      </c>
      <c r="B166" s="5" t="s">
        <v>22</v>
      </c>
      <c r="C166" s="5" t="s">
        <v>16</v>
      </c>
      <c r="D166" s="5" t="s">
        <v>29</v>
      </c>
      <c r="E166" s="6" t="s">
        <v>291</v>
      </c>
      <c r="F166" s="5" t="s">
        <v>36</v>
      </c>
      <c r="G166" s="5" t="s">
        <v>27</v>
      </c>
      <c r="H166" s="5">
        <v>12220.0</v>
      </c>
      <c r="I166" s="5">
        <v>54.0</v>
      </c>
      <c r="J166" s="5">
        <v>7133.0</v>
      </c>
      <c r="K166" s="5">
        <v>11331.0</v>
      </c>
      <c r="L166" s="5">
        <v>3.0</v>
      </c>
      <c r="M166" s="5">
        <v>1478.392247</v>
      </c>
    </row>
    <row r="167">
      <c r="A167" s="4" t="s">
        <v>295</v>
      </c>
      <c r="B167" s="5" t="s">
        <v>15</v>
      </c>
      <c r="C167" s="5" t="s">
        <v>42</v>
      </c>
      <c r="D167" s="5" t="s">
        <v>17</v>
      </c>
      <c r="E167" s="6" t="s">
        <v>291</v>
      </c>
      <c r="F167" s="5" t="s">
        <v>136</v>
      </c>
      <c r="G167" s="5" t="s">
        <v>52</v>
      </c>
      <c r="H167" s="5">
        <v>49415.0</v>
      </c>
      <c r="I167" s="5">
        <v>144.0</v>
      </c>
      <c r="J167" s="5">
        <v>24692.0</v>
      </c>
      <c r="K167" s="5">
        <v>45565.0</v>
      </c>
      <c r="L167" s="5">
        <v>3.0</v>
      </c>
      <c r="M167" s="5">
        <v>1471.175728</v>
      </c>
    </row>
    <row r="168">
      <c r="A168" s="4" t="s">
        <v>296</v>
      </c>
      <c r="B168" s="5" t="s">
        <v>15</v>
      </c>
      <c r="C168" s="5" t="s">
        <v>16</v>
      </c>
      <c r="D168" s="5" t="s">
        <v>35</v>
      </c>
      <c r="E168" s="6" t="s">
        <v>297</v>
      </c>
      <c r="F168" s="5" t="s">
        <v>19</v>
      </c>
      <c r="G168" s="5" t="s">
        <v>27</v>
      </c>
      <c r="H168" s="5">
        <v>1100942.0</v>
      </c>
      <c r="I168" s="5">
        <v>2984.0</v>
      </c>
      <c r="J168" s="5">
        <v>629973.0</v>
      </c>
      <c r="K168" s="5">
        <v>1041225.0</v>
      </c>
      <c r="L168" s="5">
        <v>147.0</v>
      </c>
      <c r="M168" s="5">
        <v>7979.348589</v>
      </c>
    </row>
    <row r="169">
      <c r="A169" s="4" t="s">
        <v>298</v>
      </c>
      <c r="B169" s="5" t="s">
        <v>22</v>
      </c>
      <c r="C169" s="5" t="s">
        <v>16</v>
      </c>
      <c r="D169" s="5" t="s">
        <v>78</v>
      </c>
      <c r="E169" s="6" t="s">
        <v>297</v>
      </c>
      <c r="F169" s="5" t="s">
        <v>19</v>
      </c>
      <c r="G169" s="5" t="s">
        <v>27</v>
      </c>
      <c r="H169" s="5">
        <v>221720.0</v>
      </c>
      <c r="I169" s="5">
        <v>499.0</v>
      </c>
      <c r="J169" s="5">
        <v>35178.0</v>
      </c>
      <c r="K169" s="5">
        <v>196583.0</v>
      </c>
      <c r="L169" s="5">
        <v>69.0</v>
      </c>
      <c r="M169" s="5">
        <v>7890.221963</v>
      </c>
    </row>
    <row r="170">
      <c r="A170" s="4" t="s">
        <v>299</v>
      </c>
      <c r="B170" s="5" t="s">
        <v>15</v>
      </c>
      <c r="C170" s="5" t="s">
        <v>31</v>
      </c>
      <c r="D170" s="5" t="s">
        <v>78</v>
      </c>
      <c r="E170" s="6" t="s">
        <v>297</v>
      </c>
      <c r="F170" s="5" t="s">
        <v>19</v>
      </c>
      <c r="G170" s="5" t="s">
        <v>27</v>
      </c>
      <c r="H170" s="5">
        <v>325152.0</v>
      </c>
      <c r="I170" s="5">
        <v>854.0</v>
      </c>
      <c r="J170" s="5">
        <v>138319.0</v>
      </c>
      <c r="K170" s="5">
        <v>300133.0</v>
      </c>
      <c r="L170" s="5">
        <v>55.0</v>
      </c>
      <c r="M170" s="5">
        <v>7887.612662</v>
      </c>
    </row>
    <row r="171">
      <c r="A171" s="4" t="s">
        <v>300</v>
      </c>
      <c r="B171" s="5" t="s">
        <v>22</v>
      </c>
      <c r="C171" s="5" t="s">
        <v>16</v>
      </c>
      <c r="D171" s="5" t="s">
        <v>55</v>
      </c>
      <c r="E171" s="6" t="s">
        <v>297</v>
      </c>
      <c r="F171" s="5" t="s">
        <v>50</v>
      </c>
      <c r="G171" s="5" t="s">
        <v>27</v>
      </c>
      <c r="H171" s="5">
        <v>680912.0</v>
      </c>
      <c r="I171" s="5">
        <v>2000.0</v>
      </c>
      <c r="J171" s="5">
        <v>388915.0</v>
      </c>
      <c r="K171" s="5">
        <v>648524.0</v>
      </c>
      <c r="L171" s="5">
        <v>39.0</v>
      </c>
      <c r="M171" s="5">
        <v>7814.262494</v>
      </c>
    </row>
    <row r="172">
      <c r="A172" s="4" t="s">
        <v>301</v>
      </c>
      <c r="B172" s="5" t="s">
        <v>15</v>
      </c>
      <c r="C172" s="5" t="s">
        <v>42</v>
      </c>
      <c r="D172" s="5" t="s">
        <v>39</v>
      </c>
      <c r="E172" s="6" t="s">
        <v>297</v>
      </c>
      <c r="F172" s="5" t="s">
        <v>33</v>
      </c>
      <c r="G172" s="5" t="s">
        <v>27</v>
      </c>
      <c r="H172" s="5">
        <v>569171.0</v>
      </c>
      <c r="I172" s="5">
        <v>1354.0</v>
      </c>
      <c r="J172" s="5">
        <v>343050.0</v>
      </c>
      <c r="K172" s="5">
        <v>541133.0</v>
      </c>
      <c r="L172" s="5">
        <v>78.0</v>
      </c>
      <c r="M172" s="5">
        <v>7129.633287</v>
      </c>
    </row>
    <row r="173">
      <c r="A173" s="4" t="s">
        <v>302</v>
      </c>
      <c r="B173" s="5" t="s">
        <v>15</v>
      </c>
      <c r="C173" s="5" t="s">
        <v>42</v>
      </c>
      <c r="D173" s="5" t="s">
        <v>35</v>
      </c>
      <c r="E173" s="6" t="s">
        <v>297</v>
      </c>
      <c r="F173" s="5" t="s">
        <v>36</v>
      </c>
      <c r="G173" s="5" t="s">
        <v>20</v>
      </c>
      <c r="H173" s="5">
        <v>27592.0</v>
      </c>
      <c r="I173" s="5">
        <v>80.0</v>
      </c>
      <c r="J173" s="5">
        <v>10901.0</v>
      </c>
      <c r="K173" s="5">
        <v>24980.0</v>
      </c>
      <c r="L173" s="5">
        <v>17.0</v>
      </c>
      <c r="M173" s="5">
        <v>6809.356022</v>
      </c>
    </row>
    <row r="174">
      <c r="A174" s="4" t="s">
        <v>303</v>
      </c>
      <c r="B174" s="5" t="s">
        <v>22</v>
      </c>
      <c r="C174" s="5" t="s">
        <v>31</v>
      </c>
      <c r="D174" s="5" t="s">
        <v>304</v>
      </c>
      <c r="E174" s="6" t="s">
        <v>297</v>
      </c>
      <c r="F174" s="5" t="s">
        <v>167</v>
      </c>
      <c r="G174" s="5" t="s">
        <v>27</v>
      </c>
      <c r="H174" s="5">
        <v>83957.0</v>
      </c>
      <c r="I174" s="5">
        <v>185.0</v>
      </c>
      <c r="J174" s="5">
        <v>1420.0</v>
      </c>
      <c r="K174" s="5">
        <v>69246.0</v>
      </c>
      <c r="L174" s="5">
        <v>19.0</v>
      </c>
      <c r="M174" s="5">
        <v>6651.51451</v>
      </c>
    </row>
    <row r="175">
      <c r="A175" s="4" t="s">
        <v>305</v>
      </c>
      <c r="B175" s="5" t="s">
        <v>15</v>
      </c>
      <c r="C175" s="5" t="s">
        <v>42</v>
      </c>
      <c r="D175" s="5" t="s">
        <v>78</v>
      </c>
      <c r="E175" s="6" t="s">
        <v>297</v>
      </c>
      <c r="F175" s="5" t="s">
        <v>19</v>
      </c>
      <c r="G175" s="5" t="s">
        <v>27</v>
      </c>
      <c r="H175" s="5">
        <v>161178.0</v>
      </c>
      <c r="I175" s="5">
        <v>492.0</v>
      </c>
      <c r="J175" s="5">
        <v>70181.0</v>
      </c>
      <c r="K175" s="5">
        <v>150003.0</v>
      </c>
      <c r="L175" s="5">
        <v>11.0</v>
      </c>
      <c r="M175" s="5">
        <v>5892.48218</v>
      </c>
    </row>
    <row r="176">
      <c r="A176" s="4" t="s">
        <v>306</v>
      </c>
      <c r="B176" s="5" t="s">
        <v>22</v>
      </c>
      <c r="C176" s="5" t="s">
        <v>31</v>
      </c>
      <c r="D176" s="5" t="s">
        <v>17</v>
      </c>
      <c r="E176" s="6" t="s">
        <v>297</v>
      </c>
      <c r="F176" s="5" t="s">
        <v>19</v>
      </c>
      <c r="G176" s="5" t="s">
        <v>27</v>
      </c>
      <c r="H176" s="5">
        <v>405957.0</v>
      </c>
      <c r="I176" s="5">
        <v>874.0</v>
      </c>
      <c r="J176" s="5">
        <v>204189.0</v>
      </c>
      <c r="K176" s="5">
        <v>385654.0</v>
      </c>
      <c r="L176" s="5">
        <v>16.0</v>
      </c>
      <c r="M176" s="5">
        <v>5864.126493</v>
      </c>
    </row>
    <row r="177">
      <c r="A177" s="4" t="s">
        <v>307</v>
      </c>
      <c r="B177" s="5" t="s">
        <v>15</v>
      </c>
      <c r="C177" s="5" t="s">
        <v>31</v>
      </c>
      <c r="D177" s="5" t="s">
        <v>17</v>
      </c>
      <c r="E177" s="6" t="s">
        <v>297</v>
      </c>
      <c r="F177" s="5" t="s">
        <v>36</v>
      </c>
      <c r="G177" s="5" t="s">
        <v>20</v>
      </c>
      <c r="H177" s="5">
        <v>161222.0</v>
      </c>
      <c r="I177" s="5">
        <v>500.0</v>
      </c>
      <c r="J177" s="5">
        <v>66740.0</v>
      </c>
      <c r="K177" s="5">
        <v>149743.0</v>
      </c>
      <c r="L177" s="5">
        <v>19.0</v>
      </c>
      <c r="M177" s="5">
        <v>5767.797381</v>
      </c>
    </row>
    <row r="178">
      <c r="A178" s="4" t="s">
        <v>308</v>
      </c>
      <c r="B178" s="5" t="s">
        <v>15</v>
      </c>
      <c r="C178" s="5" t="s">
        <v>42</v>
      </c>
      <c r="D178" s="5" t="s">
        <v>29</v>
      </c>
      <c r="E178" s="6" t="s">
        <v>297</v>
      </c>
      <c r="F178" s="5" t="s">
        <v>19</v>
      </c>
      <c r="G178" s="5" t="s">
        <v>52</v>
      </c>
      <c r="H178" s="5">
        <v>39163.0</v>
      </c>
      <c r="I178" s="5">
        <v>113.0</v>
      </c>
      <c r="J178" s="5">
        <v>16254.0</v>
      </c>
      <c r="K178" s="5">
        <v>36526.0</v>
      </c>
      <c r="L178" s="5">
        <v>15.0</v>
      </c>
      <c r="M178" s="5">
        <v>5692.765813</v>
      </c>
    </row>
    <row r="179">
      <c r="A179" s="4" t="s">
        <v>309</v>
      </c>
      <c r="B179" s="5" t="s">
        <v>22</v>
      </c>
      <c r="C179" s="5" t="s">
        <v>23</v>
      </c>
      <c r="D179" s="5" t="s">
        <v>29</v>
      </c>
      <c r="E179" s="6" t="s">
        <v>297</v>
      </c>
      <c r="F179" s="5" t="s">
        <v>117</v>
      </c>
      <c r="G179" s="5" t="s">
        <v>27</v>
      </c>
      <c r="H179" s="5">
        <v>39794.0</v>
      </c>
      <c r="I179" s="5">
        <v>101.0</v>
      </c>
      <c r="J179" s="5">
        <v>17539.0</v>
      </c>
      <c r="K179" s="5">
        <v>37664.0</v>
      </c>
      <c r="L179" s="5">
        <v>12.0</v>
      </c>
      <c r="M179" s="5">
        <v>5328.524514</v>
      </c>
    </row>
    <row r="180">
      <c r="A180" s="4" t="s">
        <v>310</v>
      </c>
      <c r="B180" s="5" t="s">
        <v>15</v>
      </c>
      <c r="C180" s="5" t="s">
        <v>31</v>
      </c>
      <c r="D180" s="5" t="s">
        <v>84</v>
      </c>
      <c r="E180" s="6" t="s">
        <v>297</v>
      </c>
      <c r="F180" s="5" t="s">
        <v>19</v>
      </c>
      <c r="G180" s="5" t="s">
        <v>20</v>
      </c>
      <c r="H180" s="5">
        <v>104538.0</v>
      </c>
      <c r="I180" s="5">
        <v>347.0</v>
      </c>
      <c r="J180" s="5">
        <v>49049.0</v>
      </c>
      <c r="K180" s="5">
        <v>97093.0</v>
      </c>
      <c r="L180" s="5">
        <v>2.0</v>
      </c>
      <c r="M180" s="5">
        <v>5266.424233</v>
      </c>
    </row>
    <row r="181">
      <c r="A181" s="4" t="s">
        <v>311</v>
      </c>
      <c r="B181" s="5" t="s">
        <v>15</v>
      </c>
      <c r="C181" s="5" t="s">
        <v>31</v>
      </c>
      <c r="D181" s="5" t="s">
        <v>35</v>
      </c>
      <c r="E181" s="6" t="s">
        <v>297</v>
      </c>
      <c r="F181" s="5" t="s">
        <v>19</v>
      </c>
      <c r="G181" s="5" t="s">
        <v>27</v>
      </c>
      <c r="H181" s="5">
        <v>262807.0</v>
      </c>
      <c r="I181" s="5">
        <v>684.0</v>
      </c>
      <c r="J181" s="5">
        <v>109871.0</v>
      </c>
      <c r="K181" s="5">
        <v>236426.0</v>
      </c>
      <c r="L181" s="5">
        <v>12.0</v>
      </c>
      <c r="M181" s="5">
        <v>5150.468923</v>
      </c>
    </row>
    <row r="182">
      <c r="A182" s="4" t="s">
        <v>312</v>
      </c>
      <c r="B182" s="5" t="s">
        <v>15</v>
      </c>
      <c r="C182" s="5" t="s">
        <v>31</v>
      </c>
      <c r="D182" s="5" t="s">
        <v>35</v>
      </c>
      <c r="E182" s="6" t="s">
        <v>297</v>
      </c>
      <c r="F182" s="5" t="s">
        <v>117</v>
      </c>
      <c r="G182" s="5" t="s">
        <v>27</v>
      </c>
      <c r="H182" s="5">
        <v>56945.0</v>
      </c>
      <c r="I182" s="5">
        <v>152.0</v>
      </c>
      <c r="J182" s="5">
        <v>20750.0</v>
      </c>
      <c r="K182" s="5">
        <v>50714.0</v>
      </c>
      <c r="L182" s="5">
        <v>9.0</v>
      </c>
      <c r="M182" s="5">
        <v>5144.474371</v>
      </c>
    </row>
    <row r="183">
      <c r="A183" s="4" t="s">
        <v>313</v>
      </c>
      <c r="B183" s="5" t="s">
        <v>15</v>
      </c>
      <c r="C183" s="5" t="s">
        <v>23</v>
      </c>
      <c r="D183" s="5" t="s">
        <v>39</v>
      </c>
      <c r="E183" s="6" t="s">
        <v>297</v>
      </c>
      <c r="F183" s="5" t="s">
        <v>19</v>
      </c>
      <c r="G183" s="5" t="s">
        <v>27</v>
      </c>
      <c r="H183" s="5">
        <v>23983.0</v>
      </c>
      <c r="I183" s="5">
        <v>0.0</v>
      </c>
      <c r="J183" s="5">
        <v>464.0</v>
      </c>
      <c r="K183" s="5">
        <v>19802.0</v>
      </c>
      <c r="L183" s="5">
        <v>9.0</v>
      </c>
      <c r="M183" s="5">
        <v>4574.34827</v>
      </c>
    </row>
    <row r="184">
      <c r="A184" s="4" t="s">
        <v>314</v>
      </c>
      <c r="B184" s="5" t="s">
        <v>22</v>
      </c>
      <c r="C184" s="5" t="s">
        <v>23</v>
      </c>
      <c r="D184" s="5" t="s">
        <v>35</v>
      </c>
      <c r="E184" s="6" t="s">
        <v>297</v>
      </c>
      <c r="F184" s="5" t="s">
        <v>19</v>
      </c>
      <c r="G184" s="5" t="s">
        <v>27</v>
      </c>
      <c r="H184" s="5">
        <v>102884.0</v>
      </c>
      <c r="I184" s="5">
        <v>299.0</v>
      </c>
      <c r="J184" s="5">
        <v>42841.0</v>
      </c>
      <c r="K184" s="5">
        <v>96539.0</v>
      </c>
      <c r="L184" s="5">
        <v>6.0</v>
      </c>
      <c r="M184" s="5">
        <v>2015.448331</v>
      </c>
    </row>
    <row r="185">
      <c r="A185" s="4" t="s">
        <v>315</v>
      </c>
      <c r="B185" s="5" t="s">
        <v>15</v>
      </c>
      <c r="C185" s="5" t="s">
        <v>23</v>
      </c>
      <c r="D185" s="5" t="s">
        <v>17</v>
      </c>
      <c r="E185" s="6" t="s">
        <v>297</v>
      </c>
      <c r="F185" s="5" t="s">
        <v>19</v>
      </c>
      <c r="G185" s="5" t="s">
        <v>52</v>
      </c>
      <c r="H185" s="5">
        <v>55692.0</v>
      </c>
      <c r="I185" s="5">
        <v>184.0</v>
      </c>
      <c r="J185" s="5">
        <v>3596.0</v>
      </c>
      <c r="K185" s="5">
        <v>51209.0</v>
      </c>
      <c r="L185" s="5">
        <v>9.0</v>
      </c>
      <c r="M185" s="5">
        <v>1981.050288</v>
      </c>
    </row>
    <row r="186">
      <c r="A186" s="4" t="s">
        <v>316</v>
      </c>
      <c r="B186" s="5" t="s">
        <v>15</v>
      </c>
      <c r="C186" s="5" t="s">
        <v>23</v>
      </c>
      <c r="D186" s="5" t="s">
        <v>17</v>
      </c>
      <c r="E186" s="6" t="s">
        <v>297</v>
      </c>
      <c r="F186" s="5" t="s">
        <v>46</v>
      </c>
      <c r="G186" s="5" t="s">
        <v>20</v>
      </c>
      <c r="H186" s="5">
        <v>63460.0</v>
      </c>
      <c r="I186" s="5">
        <v>212.0</v>
      </c>
      <c r="J186" s="5">
        <v>26978.0</v>
      </c>
      <c r="K186" s="5">
        <v>59516.0</v>
      </c>
      <c r="L186" s="5">
        <v>4.0</v>
      </c>
      <c r="M186" s="5">
        <v>1945.433188</v>
      </c>
    </row>
    <row r="187">
      <c r="A187" s="4" t="s">
        <v>317</v>
      </c>
      <c r="B187" s="5" t="s">
        <v>15</v>
      </c>
      <c r="C187" s="5" t="s">
        <v>42</v>
      </c>
      <c r="D187" s="5" t="s">
        <v>142</v>
      </c>
      <c r="E187" s="6" t="s">
        <v>297</v>
      </c>
      <c r="F187" s="5" t="s">
        <v>19</v>
      </c>
      <c r="G187" s="5" t="s">
        <v>27</v>
      </c>
      <c r="H187" s="5">
        <v>189462.0</v>
      </c>
      <c r="I187" s="5">
        <v>478.0</v>
      </c>
      <c r="J187" s="5">
        <v>53431.0</v>
      </c>
      <c r="K187" s="5">
        <v>163634.0</v>
      </c>
      <c r="L187" s="5">
        <v>5.0</v>
      </c>
      <c r="M187" s="5">
        <v>1625.17488</v>
      </c>
    </row>
    <row r="188">
      <c r="A188" s="4" t="s">
        <v>318</v>
      </c>
      <c r="B188" s="5" t="s">
        <v>15</v>
      </c>
      <c r="C188" s="5" t="s">
        <v>31</v>
      </c>
      <c r="D188" s="5" t="s">
        <v>95</v>
      </c>
      <c r="E188" s="6" t="s">
        <v>297</v>
      </c>
      <c r="F188" s="5" t="s">
        <v>26</v>
      </c>
      <c r="G188" s="5" t="s">
        <v>52</v>
      </c>
      <c r="H188" s="5">
        <v>61442.0</v>
      </c>
      <c r="I188" s="5">
        <v>190.0</v>
      </c>
      <c r="J188" s="5">
        <v>17048.0</v>
      </c>
      <c r="K188" s="5">
        <v>54166.0</v>
      </c>
      <c r="L188" s="5">
        <v>1.0</v>
      </c>
      <c r="M188" s="5">
        <v>1609.149933</v>
      </c>
    </row>
    <row r="189">
      <c r="A189" s="4" t="s">
        <v>319</v>
      </c>
      <c r="B189" s="5" t="s">
        <v>22</v>
      </c>
      <c r="C189" s="5" t="s">
        <v>23</v>
      </c>
      <c r="D189" s="5" t="s">
        <v>35</v>
      </c>
      <c r="E189" s="6" t="s">
        <v>297</v>
      </c>
      <c r="F189" s="5" t="s">
        <v>46</v>
      </c>
      <c r="G189" s="5" t="s">
        <v>27</v>
      </c>
      <c r="H189" s="5">
        <v>87287.0</v>
      </c>
      <c r="I189" s="5">
        <v>203.0</v>
      </c>
      <c r="J189" s="5">
        <v>40039.0</v>
      </c>
      <c r="K189" s="5">
        <v>80040.0</v>
      </c>
      <c r="L189" s="5">
        <v>18.0</v>
      </c>
      <c r="M189" s="5">
        <v>1579.367346</v>
      </c>
    </row>
    <row r="190">
      <c r="A190" s="4" t="s">
        <v>320</v>
      </c>
      <c r="B190" s="5" t="s">
        <v>15</v>
      </c>
      <c r="C190" s="5" t="s">
        <v>16</v>
      </c>
      <c r="D190" s="5" t="s">
        <v>17</v>
      </c>
      <c r="E190" s="6" t="s">
        <v>297</v>
      </c>
      <c r="F190" s="5" t="s">
        <v>46</v>
      </c>
      <c r="G190" s="5" t="s">
        <v>27</v>
      </c>
      <c r="H190" s="5">
        <v>77703.0</v>
      </c>
      <c r="I190" s="5">
        <v>204.0</v>
      </c>
      <c r="J190" s="5">
        <v>33478.0</v>
      </c>
      <c r="K190" s="5">
        <v>72874.0</v>
      </c>
      <c r="L190" s="5">
        <v>3.0</v>
      </c>
      <c r="M190" s="5">
        <v>1566.912406</v>
      </c>
    </row>
    <row r="191">
      <c r="A191" s="4" t="s">
        <v>321</v>
      </c>
      <c r="B191" s="5" t="s">
        <v>15</v>
      </c>
      <c r="C191" s="5" t="s">
        <v>42</v>
      </c>
      <c r="D191" s="5" t="s">
        <v>84</v>
      </c>
      <c r="E191" s="6" t="s">
        <v>297</v>
      </c>
      <c r="F191" s="5" t="s">
        <v>46</v>
      </c>
      <c r="G191" s="5" t="s">
        <v>52</v>
      </c>
      <c r="H191" s="5">
        <v>74436.0</v>
      </c>
      <c r="I191" s="5">
        <v>175.0</v>
      </c>
      <c r="J191" s="5">
        <v>30158.0</v>
      </c>
      <c r="K191" s="5">
        <v>69150.0</v>
      </c>
      <c r="L191" s="5">
        <v>21.0</v>
      </c>
      <c r="M191" s="5">
        <v>1558.549138</v>
      </c>
    </row>
    <row r="192">
      <c r="A192" s="4" t="s">
        <v>322</v>
      </c>
      <c r="B192" s="5" t="s">
        <v>15</v>
      </c>
      <c r="C192" s="5" t="s">
        <v>42</v>
      </c>
      <c r="D192" s="5" t="s">
        <v>39</v>
      </c>
      <c r="E192" s="6" t="s">
        <v>297</v>
      </c>
      <c r="F192" s="5" t="s">
        <v>50</v>
      </c>
      <c r="G192" s="5" t="s">
        <v>27</v>
      </c>
      <c r="H192" s="5">
        <v>435848.0</v>
      </c>
      <c r="I192" s="5">
        <v>1058.0</v>
      </c>
      <c r="J192" s="5">
        <v>274912.0</v>
      </c>
      <c r="K192" s="5">
        <v>415601.0</v>
      </c>
      <c r="L192" s="5">
        <v>15.0</v>
      </c>
      <c r="M192" s="5">
        <v>1554.439959</v>
      </c>
    </row>
    <row r="193">
      <c r="A193" s="4" t="s">
        <v>323</v>
      </c>
      <c r="B193" s="5" t="s">
        <v>15</v>
      </c>
      <c r="C193" s="5" t="s">
        <v>42</v>
      </c>
      <c r="D193" s="5" t="s">
        <v>35</v>
      </c>
      <c r="E193" s="6" t="s">
        <v>297</v>
      </c>
      <c r="F193" s="5" t="s">
        <v>46</v>
      </c>
      <c r="G193" s="5" t="s">
        <v>27</v>
      </c>
      <c r="H193" s="5">
        <v>9210.0</v>
      </c>
      <c r="I193" s="5">
        <v>80.0</v>
      </c>
      <c r="J193" s="5">
        <v>3798.0</v>
      </c>
      <c r="K193" s="5">
        <v>8619.0</v>
      </c>
      <c r="L193" s="5">
        <v>2.0</v>
      </c>
      <c r="M193" s="5">
        <v>1536.629068</v>
      </c>
    </row>
    <row r="194">
      <c r="A194" s="4" t="s">
        <v>324</v>
      </c>
      <c r="B194" s="5" t="s">
        <v>22</v>
      </c>
      <c r="C194" s="5" t="s">
        <v>31</v>
      </c>
      <c r="D194" s="5" t="s">
        <v>35</v>
      </c>
      <c r="E194" s="6" t="s">
        <v>297</v>
      </c>
      <c r="F194" s="5" t="s">
        <v>36</v>
      </c>
      <c r="G194" s="5" t="s">
        <v>27</v>
      </c>
      <c r="H194" s="5">
        <v>12088.0</v>
      </c>
      <c r="I194" s="5">
        <v>88.0</v>
      </c>
      <c r="J194" s="5">
        <v>1124.0</v>
      </c>
      <c r="K194" s="5">
        <v>10003.0</v>
      </c>
      <c r="L194" s="5">
        <v>2.0</v>
      </c>
      <c r="M194" s="5">
        <v>1500.026152</v>
      </c>
    </row>
    <row r="195">
      <c r="A195" s="4" t="s">
        <v>325</v>
      </c>
      <c r="B195" s="5" t="s">
        <v>22</v>
      </c>
      <c r="C195" s="5" t="s">
        <v>31</v>
      </c>
      <c r="D195" s="5" t="s">
        <v>35</v>
      </c>
      <c r="E195" s="6" t="s">
        <v>297</v>
      </c>
      <c r="F195" s="5" t="s">
        <v>19</v>
      </c>
      <c r="G195" s="5" t="s">
        <v>27</v>
      </c>
      <c r="H195" s="5">
        <v>126337.0</v>
      </c>
      <c r="I195" s="5">
        <v>325.0</v>
      </c>
      <c r="J195" s="5">
        <v>51394.0</v>
      </c>
      <c r="K195" s="5">
        <v>117635.0</v>
      </c>
      <c r="L195" s="5">
        <v>5.0</v>
      </c>
      <c r="M195" s="5">
        <v>1487.088288</v>
      </c>
    </row>
    <row r="196">
      <c r="A196" s="4" t="s">
        <v>326</v>
      </c>
      <c r="B196" s="5" t="s">
        <v>15</v>
      </c>
      <c r="C196" s="5" t="s">
        <v>23</v>
      </c>
      <c r="D196" s="5" t="s">
        <v>35</v>
      </c>
      <c r="E196" s="6" t="s">
        <v>297</v>
      </c>
      <c r="F196" s="5" t="s">
        <v>327</v>
      </c>
      <c r="G196" s="5" t="s">
        <v>27</v>
      </c>
      <c r="H196" s="5">
        <v>229908.0</v>
      </c>
      <c r="I196" s="5">
        <v>489.0</v>
      </c>
      <c r="J196" s="5">
        <v>98259.0</v>
      </c>
      <c r="K196" s="5">
        <v>212073.0</v>
      </c>
      <c r="L196" s="5">
        <v>4.0</v>
      </c>
      <c r="M196" s="5">
        <v>1464.348944</v>
      </c>
    </row>
    <row r="197">
      <c r="A197" s="4" t="s">
        <v>328</v>
      </c>
      <c r="B197" s="5" t="s">
        <v>15</v>
      </c>
      <c r="C197" s="5" t="s">
        <v>23</v>
      </c>
      <c r="D197" s="5" t="s">
        <v>17</v>
      </c>
      <c r="E197" s="6" t="s">
        <v>297</v>
      </c>
      <c r="F197" s="5" t="s">
        <v>117</v>
      </c>
      <c r="G197" s="5" t="s">
        <v>27</v>
      </c>
      <c r="H197" s="5">
        <v>144088.0</v>
      </c>
      <c r="I197" s="5">
        <v>490.0</v>
      </c>
      <c r="J197" s="5">
        <v>26416.0</v>
      </c>
      <c r="K197" s="5">
        <v>137369.0</v>
      </c>
      <c r="L197" s="5">
        <v>7.0</v>
      </c>
      <c r="M197" s="5">
        <v>1464.064235</v>
      </c>
    </row>
    <row r="198">
      <c r="A198" s="4" t="s">
        <v>329</v>
      </c>
      <c r="B198" s="5" t="s">
        <v>22</v>
      </c>
      <c r="C198" s="5" t="s">
        <v>16</v>
      </c>
      <c r="D198" s="5" t="s">
        <v>32</v>
      </c>
      <c r="E198" s="6" t="s">
        <v>297</v>
      </c>
      <c r="F198" s="5" t="s">
        <v>46</v>
      </c>
      <c r="G198" s="5" t="s">
        <v>27</v>
      </c>
      <c r="H198" s="5">
        <v>37269.0</v>
      </c>
      <c r="I198" s="5">
        <v>106.0</v>
      </c>
      <c r="J198" s="5">
        <v>11667.0</v>
      </c>
      <c r="K198" s="5">
        <v>33260.0</v>
      </c>
      <c r="L198" s="5">
        <v>6.0</v>
      </c>
      <c r="M198" s="5">
        <v>1453.075462</v>
      </c>
    </row>
    <row r="199">
      <c r="A199" s="4" t="s">
        <v>330</v>
      </c>
      <c r="B199" s="5" t="s">
        <v>15</v>
      </c>
      <c r="C199" s="5" t="s">
        <v>23</v>
      </c>
      <c r="D199" s="5" t="s">
        <v>17</v>
      </c>
      <c r="E199" s="6" t="s">
        <v>297</v>
      </c>
      <c r="F199" s="5" t="s">
        <v>26</v>
      </c>
      <c r="G199" s="5" t="s">
        <v>27</v>
      </c>
      <c r="H199" s="5">
        <v>13326.0</v>
      </c>
      <c r="I199" s="5">
        <v>98.0</v>
      </c>
      <c r="J199" s="5">
        <v>3568.0</v>
      </c>
      <c r="K199" s="5">
        <v>11388.0</v>
      </c>
      <c r="L199" s="5">
        <v>2.0</v>
      </c>
      <c r="M199" s="5">
        <v>1442.032183</v>
      </c>
    </row>
    <row r="200">
      <c r="A200" s="4" t="s">
        <v>331</v>
      </c>
      <c r="B200" s="5" t="s">
        <v>15</v>
      </c>
      <c r="C200" s="5" t="s">
        <v>31</v>
      </c>
      <c r="D200" s="5" t="s">
        <v>78</v>
      </c>
      <c r="E200" s="6" t="s">
        <v>332</v>
      </c>
      <c r="F200" s="5" t="s">
        <v>19</v>
      </c>
      <c r="G200" s="5" t="s">
        <v>27</v>
      </c>
      <c r="H200" s="5">
        <v>10942.0</v>
      </c>
      <c r="I200" s="5">
        <v>66.0</v>
      </c>
      <c r="J200" s="5">
        <v>4578.0</v>
      </c>
      <c r="K200" s="5">
        <v>9155.0</v>
      </c>
      <c r="L200" s="5">
        <v>3.0</v>
      </c>
      <c r="M200" s="5">
        <v>1595.752624</v>
      </c>
    </row>
    <row r="201">
      <c r="A201" s="4" t="s">
        <v>333</v>
      </c>
      <c r="B201" s="5" t="s">
        <v>22</v>
      </c>
      <c r="C201" s="5" t="s">
        <v>16</v>
      </c>
      <c r="D201" s="5" t="s">
        <v>150</v>
      </c>
      <c r="E201" s="6" t="s">
        <v>334</v>
      </c>
      <c r="F201" s="5" t="s">
        <v>19</v>
      </c>
      <c r="G201" s="5" t="s">
        <v>27</v>
      </c>
      <c r="H201" s="5">
        <v>14011.0</v>
      </c>
      <c r="I201" s="5">
        <v>40.0</v>
      </c>
      <c r="J201" s="5">
        <v>5060.0</v>
      </c>
      <c r="K201" s="5">
        <v>12459.0</v>
      </c>
      <c r="L201" s="5">
        <v>5.0</v>
      </c>
      <c r="M201" s="5">
        <v>5632.087973</v>
      </c>
    </row>
    <row r="202">
      <c r="A202" s="4" t="s">
        <v>335</v>
      </c>
      <c r="B202" s="5" t="s">
        <v>15</v>
      </c>
      <c r="C202" s="5" t="s">
        <v>42</v>
      </c>
      <c r="D202" s="5" t="s">
        <v>29</v>
      </c>
      <c r="E202" s="6" t="s">
        <v>336</v>
      </c>
      <c r="F202" s="5" t="s">
        <v>19</v>
      </c>
      <c r="G202" s="5" t="s">
        <v>27</v>
      </c>
      <c r="H202" s="5">
        <v>13464.0</v>
      </c>
      <c r="I202" s="5">
        <v>84.0</v>
      </c>
      <c r="J202" s="5">
        <v>1698.0</v>
      </c>
      <c r="K202" s="5">
        <v>11234.0</v>
      </c>
      <c r="L202" s="5">
        <v>1.0</v>
      </c>
      <c r="M202" s="5">
        <v>1466.285104</v>
      </c>
    </row>
    <row r="203">
      <c r="A203" s="4" t="s">
        <v>337</v>
      </c>
      <c r="B203" s="5" t="s">
        <v>15</v>
      </c>
      <c r="C203" s="5" t="s">
        <v>31</v>
      </c>
      <c r="D203" s="5" t="s">
        <v>84</v>
      </c>
      <c r="E203" s="6" t="s">
        <v>338</v>
      </c>
      <c r="F203" s="5" t="s">
        <v>26</v>
      </c>
      <c r="G203" s="5" t="s">
        <v>27</v>
      </c>
      <c r="H203" s="5">
        <v>121991.0</v>
      </c>
      <c r="I203" s="5">
        <v>369.0</v>
      </c>
      <c r="J203" s="5">
        <v>43079.0</v>
      </c>
      <c r="K203" s="5">
        <v>99312.0</v>
      </c>
      <c r="L203" s="5">
        <v>4.0</v>
      </c>
      <c r="M203" s="5">
        <v>3993.214585</v>
      </c>
    </row>
    <row r="204">
      <c r="A204" s="4" t="s">
        <v>339</v>
      </c>
      <c r="B204" s="5" t="s">
        <v>22</v>
      </c>
      <c r="C204" s="5" t="s">
        <v>31</v>
      </c>
      <c r="D204" s="5" t="s">
        <v>35</v>
      </c>
      <c r="E204" s="6" t="s">
        <v>338</v>
      </c>
      <c r="F204" s="5" t="s">
        <v>19</v>
      </c>
      <c r="G204" s="5" t="s">
        <v>27</v>
      </c>
      <c r="H204" s="5">
        <v>95289.0</v>
      </c>
      <c r="I204" s="5">
        <v>199.0</v>
      </c>
      <c r="J204" s="5">
        <v>19527.0</v>
      </c>
      <c r="K204" s="5">
        <v>82800.0</v>
      </c>
      <c r="L204" s="5">
        <v>5.0</v>
      </c>
      <c r="M204" s="5">
        <v>3223.535948</v>
      </c>
    </row>
    <row r="205">
      <c r="A205" s="4" t="s">
        <v>340</v>
      </c>
      <c r="B205" s="5" t="s">
        <v>22</v>
      </c>
      <c r="C205" s="5" t="s">
        <v>16</v>
      </c>
      <c r="D205" s="5" t="s">
        <v>35</v>
      </c>
      <c r="E205" s="6" t="s">
        <v>341</v>
      </c>
      <c r="F205" s="5" t="s">
        <v>19</v>
      </c>
      <c r="G205" s="5" t="s">
        <v>27</v>
      </c>
      <c r="H205" s="5">
        <v>80408.0</v>
      </c>
      <c r="I205" s="5">
        <v>199.0</v>
      </c>
      <c r="J205" s="5">
        <v>13127.0</v>
      </c>
      <c r="K205" s="5">
        <v>67027.0</v>
      </c>
      <c r="L205" s="5">
        <v>9.0</v>
      </c>
      <c r="M205" s="5">
        <v>1788.111618</v>
      </c>
    </row>
    <row r="206">
      <c r="A206" s="4" t="s">
        <v>342</v>
      </c>
      <c r="B206" s="5" t="s">
        <v>22</v>
      </c>
      <c r="C206" s="5" t="s">
        <v>42</v>
      </c>
      <c r="D206" s="5" t="s">
        <v>55</v>
      </c>
      <c r="E206" s="6" t="s">
        <v>341</v>
      </c>
      <c r="F206" s="5" t="s">
        <v>46</v>
      </c>
      <c r="G206" s="5" t="s">
        <v>27</v>
      </c>
      <c r="H206" s="5">
        <v>82916.0</v>
      </c>
      <c r="I206" s="5">
        <v>199.0</v>
      </c>
      <c r="J206" s="5">
        <v>24951.0</v>
      </c>
      <c r="K206" s="5">
        <v>77333.0</v>
      </c>
      <c r="L206" s="5">
        <v>12.0</v>
      </c>
      <c r="M206" s="5">
        <v>1584.821247</v>
      </c>
    </row>
    <row r="207">
      <c r="A207" s="4" t="s">
        <v>343</v>
      </c>
      <c r="B207" s="5" t="s">
        <v>15</v>
      </c>
      <c r="C207" s="5" t="s">
        <v>16</v>
      </c>
      <c r="D207" s="5" t="s">
        <v>29</v>
      </c>
      <c r="E207" s="6" t="s">
        <v>344</v>
      </c>
      <c r="F207" s="5" t="s">
        <v>19</v>
      </c>
      <c r="G207" s="5" t="s">
        <v>52</v>
      </c>
      <c r="H207" s="5">
        <v>16354.0</v>
      </c>
      <c r="I207" s="5">
        <v>40.0</v>
      </c>
      <c r="J207" s="5">
        <v>8061.0</v>
      </c>
      <c r="K207" s="5">
        <v>15667.0</v>
      </c>
      <c r="L207" s="5">
        <v>4.0</v>
      </c>
      <c r="M207" s="5">
        <v>1610.319977</v>
      </c>
    </row>
    <row r="208">
      <c r="A208" s="4" t="s">
        <v>345</v>
      </c>
      <c r="B208" s="5" t="s">
        <v>22</v>
      </c>
      <c r="C208" s="5" t="s">
        <v>31</v>
      </c>
      <c r="D208" s="5" t="s">
        <v>35</v>
      </c>
      <c r="E208" s="6" t="s">
        <v>346</v>
      </c>
      <c r="F208" s="5" t="s">
        <v>33</v>
      </c>
      <c r="G208" s="5" t="s">
        <v>27</v>
      </c>
      <c r="H208" s="5">
        <v>9920.0</v>
      </c>
      <c r="I208" s="5">
        <v>20.0</v>
      </c>
      <c r="J208" s="5">
        <v>6702.0</v>
      </c>
      <c r="K208" s="5">
        <v>9096.0</v>
      </c>
      <c r="L208" s="5">
        <v>10.0</v>
      </c>
      <c r="M208" s="5">
        <v>1453.11439</v>
      </c>
    </row>
    <row r="209">
      <c r="A209" s="4" t="s">
        <v>347</v>
      </c>
      <c r="B209" s="5" t="s">
        <v>22</v>
      </c>
      <c r="C209" s="5" t="s">
        <v>42</v>
      </c>
      <c r="D209" s="5" t="s">
        <v>24</v>
      </c>
      <c r="E209" s="6" t="s">
        <v>348</v>
      </c>
      <c r="F209" s="5" t="s">
        <v>36</v>
      </c>
      <c r="G209" s="5" t="s">
        <v>27</v>
      </c>
      <c r="H209" s="5">
        <v>31243.0</v>
      </c>
      <c r="I209" s="5">
        <v>100.0</v>
      </c>
      <c r="J209" s="5">
        <v>16326.0</v>
      </c>
      <c r="K209" s="5">
        <v>25991.0</v>
      </c>
      <c r="L209" s="5">
        <v>21.0</v>
      </c>
      <c r="M209" s="5">
        <v>1452.59056</v>
      </c>
    </row>
    <row r="210">
      <c r="A210" s="4" t="s">
        <v>349</v>
      </c>
      <c r="B210" s="5" t="s">
        <v>15</v>
      </c>
      <c r="C210" s="5" t="s">
        <v>42</v>
      </c>
      <c r="D210" s="5" t="s">
        <v>35</v>
      </c>
      <c r="E210" s="6" t="s">
        <v>350</v>
      </c>
      <c r="F210" s="5" t="s">
        <v>36</v>
      </c>
      <c r="G210" s="5" t="s">
        <v>20</v>
      </c>
      <c r="H210" s="5">
        <v>39314.0</v>
      </c>
      <c r="I210" s="5">
        <v>100.0</v>
      </c>
      <c r="J210" s="5">
        <v>27671.0</v>
      </c>
      <c r="K210" s="5">
        <v>35488.0</v>
      </c>
      <c r="L210" s="5">
        <v>8.0</v>
      </c>
      <c r="M210" s="5">
        <v>5530.800458</v>
      </c>
    </row>
    <row r="211">
      <c r="A211" s="4" t="s">
        <v>351</v>
      </c>
      <c r="B211" s="5" t="s">
        <v>22</v>
      </c>
      <c r="C211" s="5" t="s">
        <v>42</v>
      </c>
      <c r="D211" s="5" t="s">
        <v>17</v>
      </c>
      <c r="E211" s="6" t="s">
        <v>352</v>
      </c>
      <c r="F211" s="5" t="s">
        <v>33</v>
      </c>
      <c r="G211" s="5" t="s">
        <v>27</v>
      </c>
      <c r="H211" s="5">
        <v>15252.0</v>
      </c>
      <c r="I211" s="5">
        <v>55.0</v>
      </c>
      <c r="J211" s="5">
        <v>2152.0</v>
      </c>
      <c r="K211" s="5">
        <v>3482.0</v>
      </c>
      <c r="L211" s="5">
        <v>7.0</v>
      </c>
      <c r="M211" s="5">
        <v>6211.200147</v>
      </c>
    </row>
    <row r="212">
      <c r="A212" s="4" t="s">
        <v>353</v>
      </c>
      <c r="B212" s="5" t="s">
        <v>61</v>
      </c>
      <c r="C212" s="5" t="s">
        <v>42</v>
      </c>
      <c r="D212" s="5" t="s">
        <v>304</v>
      </c>
      <c r="E212" s="6" t="s">
        <v>352</v>
      </c>
      <c r="F212" s="5" t="s">
        <v>19</v>
      </c>
      <c r="G212" s="5" t="s">
        <v>27</v>
      </c>
      <c r="H212" s="5">
        <v>7394.0</v>
      </c>
      <c r="I212" s="5">
        <v>20.0</v>
      </c>
      <c r="J212" s="5">
        <v>3441.0</v>
      </c>
      <c r="K212" s="5">
        <v>6663.0</v>
      </c>
      <c r="L212" s="5">
        <v>1.0</v>
      </c>
      <c r="M212" s="5">
        <v>1624.840774</v>
      </c>
    </row>
    <row r="213">
      <c r="A213" s="4" t="s">
        <v>354</v>
      </c>
      <c r="B213" s="5" t="s">
        <v>22</v>
      </c>
      <c r="C213" s="5" t="s">
        <v>16</v>
      </c>
      <c r="D213" s="5" t="s">
        <v>55</v>
      </c>
      <c r="E213" s="6" t="s">
        <v>352</v>
      </c>
      <c r="F213" s="5" t="s">
        <v>19</v>
      </c>
      <c r="G213" s="5" t="s">
        <v>27</v>
      </c>
      <c r="H213" s="5">
        <v>22259.0</v>
      </c>
      <c r="I213" s="5">
        <v>120.0</v>
      </c>
      <c r="J213" s="5">
        <v>12405.0</v>
      </c>
      <c r="K213" s="5">
        <v>17609.0</v>
      </c>
      <c r="L213" s="5">
        <v>14.0</v>
      </c>
      <c r="M213" s="5">
        <v>1611.340211</v>
      </c>
    </row>
    <row r="214">
      <c r="A214" s="4" t="s">
        <v>355</v>
      </c>
      <c r="B214" s="5" t="s">
        <v>15</v>
      </c>
      <c r="C214" s="5" t="s">
        <v>16</v>
      </c>
      <c r="D214" s="5" t="s">
        <v>356</v>
      </c>
      <c r="E214" s="6" t="s">
        <v>352</v>
      </c>
      <c r="F214" s="5" t="s">
        <v>48</v>
      </c>
      <c r="G214" s="5" t="s">
        <v>52</v>
      </c>
      <c r="H214" s="5">
        <v>21143.0</v>
      </c>
      <c r="I214" s="5">
        <v>56.0</v>
      </c>
      <c r="J214" s="5">
        <v>3798.0</v>
      </c>
      <c r="K214" s="5">
        <v>19588.0</v>
      </c>
      <c r="L214" s="5">
        <v>3.0</v>
      </c>
      <c r="M214" s="5">
        <v>1500.41822</v>
      </c>
    </row>
    <row r="215">
      <c r="A215" s="4" t="s">
        <v>357</v>
      </c>
      <c r="B215" s="5" t="s">
        <v>22</v>
      </c>
      <c r="C215" s="5" t="s">
        <v>16</v>
      </c>
      <c r="D215" s="5" t="s">
        <v>35</v>
      </c>
      <c r="E215" s="6" t="s">
        <v>358</v>
      </c>
      <c r="F215" s="5" t="s">
        <v>48</v>
      </c>
      <c r="G215" s="5" t="s">
        <v>27</v>
      </c>
      <c r="H215" s="5">
        <v>111624.0</v>
      </c>
      <c r="I215" s="5">
        <v>590.0</v>
      </c>
      <c r="J215" s="5">
        <v>40343.0</v>
      </c>
      <c r="K215" s="5">
        <v>101306.0</v>
      </c>
      <c r="L215" s="5">
        <v>21.0</v>
      </c>
      <c r="M215" s="5">
        <v>6510.446656</v>
      </c>
    </row>
    <row r="216">
      <c r="A216" s="4" t="s">
        <v>359</v>
      </c>
      <c r="B216" s="5" t="s">
        <v>15</v>
      </c>
      <c r="C216" s="5" t="s">
        <v>42</v>
      </c>
      <c r="D216" s="5" t="s">
        <v>78</v>
      </c>
      <c r="E216" s="6" t="s">
        <v>358</v>
      </c>
      <c r="F216" s="5" t="s">
        <v>26</v>
      </c>
      <c r="G216" s="5" t="s">
        <v>52</v>
      </c>
      <c r="H216" s="5">
        <v>95644.0</v>
      </c>
      <c r="I216" s="5">
        <v>240.0</v>
      </c>
      <c r="J216" s="5">
        <v>13294.0</v>
      </c>
      <c r="K216" s="5">
        <v>86775.0</v>
      </c>
      <c r="L216" s="5">
        <v>9.0</v>
      </c>
      <c r="M216" s="5">
        <v>5587.763675</v>
      </c>
    </row>
    <row r="217">
      <c r="A217" s="4" t="s">
        <v>360</v>
      </c>
      <c r="B217" s="5" t="s">
        <v>15</v>
      </c>
      <c r="C217" s="5" t="s">
        <v>42</v>
      </c>
      <c r="D217" s="5" t="s">
        <v>35</v>
      </c>
      <c r="E217" s="6" t="s">
        <v>358</v>
      </c>
      <c r="F217" s="5" t="s">
        <v>19</v>
      </c>
      <c r="G217" s="5" t="s">
        <v>52</v>
      </c>
      <c r="H217" s="5">
        <v>65238.0</v>
      </c>
      <c r="I217" s="5">
        <v>240.0</v>
      </c>
      <c r="J217" s="5">
        <v>23741.0</v>
      </c>
      <c r="K217" s="5">
        <v>59893.0</v>
      </c>
      <c r="L217" s="5">
        <v>15.0</v>
      </c>
      <c r="M217" s="5">
        <v>3132.519209</v>
      </c>
    </row>
    <row r="218">
      <c r="A218" s="4" t="s">
        <v>361</v>
      </c>
      <c r="B218" s="5" t="s">
        <v>61</v>
      </c>
      <c r="C218" s="5" t="s">
        <v>42</v>
      </c>
      <c r="D218" s="5" t="s">
        <v>55</v>
      </c>
      <c r="E218" s="6" t="s">
        <v>362</v>
      </c>
      <c r="F218" s="5" t="s">
        <v>46</v>
      </c>
      <c r="G218" s="5" t="s">
        <v>27</v>
      </c>
      <c r="H218" s="5">
        <v>115412.0</v>
      </c>
      <c r="I218" s="5">
        <v>490.0</v>
      </c>
      <c r="J218" s="5">
        <v>71564.0</v>
      </c>
      <c r="K218" s="5">
        <v>81785.0</v>
      </c>
      <c r="L218" s="5">
        <v>21.0</v>
      </c>
      <c r="M218" s="5">
        <v>6861.53638</v>
      </c>
    </row>
    <row r="219">
      <c r="A219" s="4" t="s">
        <v>363</v>
      </c>
      <c r="B219" s="5" t="s">
        <v>15</v>
      </c>
      <c r="C219" s="5" t="s">
        <v>31</v>
      </c>
      <c r="D219" s="5" t="s">
        <v>35</v>
      </c>
      <c r="E219" s="6" t="s">
        <v>362</v>
      </c>
      <c r="F219" s="5" t="s">
        <v>19</v>
      </c>
      <c r="G219" s="5" t="s">
        <v>27</v>
      </c>
      <c r="H219" s="5">
        <v>11375.0</v>
      </c>
      <c r="I219" s="5">
        <v>87.0</v>
      </c>
      <c r="J219" s="5">
        <v>7171.0</v>
      </c>
      <c r="K219" s="5">
        <v>8151.0</v>
      </c>
      <c r="L219" s="5">
        <v>4.0</v>
      </c>
      <c r="M219" s="5">
        <v>1763.784061</v>
      </c>
    </row>
    <row r="220">
      <c r="A220" s="4" t="s">
        <v>364</v>
      </c>
      <c r="B220" s="5" t="s">
        <v>15</v>
      </c>
      <c r="C220" s="5" t="s">
        <v>31</v>
      </c>
      <c r="D220" s="5" t="s">
        <v>35</v>
      </c>
      <c r="E220" s="6" t="s">
        <v>365</v>
      </c>
      <c r="F220" s="5" t="s">
        <v>19</v>
      </c>
      <c r="G220" s="5" t="s">
        <v>52</v>
      </c>
      <c r="H220" s="5">
        <v>27394.0</v>
      </c>
      <c r="I220" s="5">
        <v>74.0</v>
      </c>
      <c r="J220" s="5">
        <v>16144.0</v>
      </c>
      <c r="K220" s="5">
        <v>24752.0</v>
      </c>
      <c r="L220" s="5">
        <v>78.0</v>
      </c>
      <c r="M220" s="5">
        <v>7264.58761</v>
      </c>
    </row>
    <row r="221">
      <c r="A221" s="4" t="s">
        <v>366</v>
      </c>
      <c r="B221" s="5" t="s">
        <v>22</v>
      </c>
      <c r="C221" s="5" t="s">
        <v>42</v>
      </c>
      <c r="D221" s="5" t="s">
        <v>39</v>
      </c>
      <c r="E221" s="6" t="s">
        <v>365</v>
      </c>
      <c r="F221" s="5" t="s">
        <v>19</v>
      </c>
      <c r="G221" s="5" t="s">
        <v>27</v>
      </c>
      <c r="H221" s="5">
        <v>22690.0</v>
      </c>
      <c r="I221" s="5">
        <v>68.0</v>
      </c>
      <c r="J221" s="5">
        <v>10212.0</v>
      </c>
      <c r="K221" s="5">
        <v>19934.0</v>
      </c>
      <c r="L221" s="5">
        <v>19.0</v>
      </c>
      <c r="M221" s="5">
        <v>7210.686506</v>
      </c>
    </row>
    <row r="222">
      <c r="A222" s="4" t="s">
        <v>367</v>
      </c>
      <c r="B222" s="5" t="s">
        <v>22</v>
      </c>
      <c r="C222" s="5" t="s">
        <v>42</v>
      </c>
      <c r="D222" s="5" t="s">
        <v>78</v>
      </c>
      <c r="E222" s="6" t="s">
        <v>365</v>
      </c>
      <c r="F222" s="5" t="s">
        <v>36</v>
      </c>
      <c r="G222" s="5" t="s">
        <v>27</v>
      </c>
      <c r="H222" s="5">
        <v>76049.0</v>
      </c>
      <c r="I222" s="5">
        <v>199.0</v>
      </c>
      <c r="J222" s="5">
        <v>34921.0</v>
      </c>
      <c r="K222" s="5">
        <v>69138.0</v>
      </c>
      <c r="L222" s="5">
        <v>8.0</v>
      </c>
      <c r="M222" s="5">
        <v>6942.800458</v>
      </c>
    </row>
    <row r="223">
      <c r="A223" s="4" t="s">
        <v>368</v>
      </c>
      <c r="B223" s="5" t="s">
        <v>22</v>
      </c>
      <c r="C223" s="5" t="s">
        <v>16</v>
      </c>
      <c r="D223" s="5" t="s">
        <v>173</v>
      </c>
      <c r="E223" s="6" t="s">
        <v>365</v>
      </c>
      <c r="F223" s="5" t="s">
        <v>48</v>
      </c>
      <c r="G223" s="5" t="s">
        <v>27</v>
      </c>
      <c r="H223" s="5">
        <v>44505.0</v>
      </c>
      <c r="I223" s="5">
        <v>125.0</v>
      </c>
      <c r="J223" s="5">
        <v>18993.0</v>
      </c>
      <c r="K223" s="5">
        <v>39522.0</v>
      </c>
      <c r="L223" s="5">
        <v>16.0</v>
      </c>
      <c r="M223" s="5">
        <v>6766.475368</v>
      </c>
    </row>
    <row r="224">
      <c r="A224" s="4" t="s">
        <v>369</v>
      </c>
      <c r="B224" s="5" t="s">
        <v>15</v>
      </c>
      <c r="C224" s="5" t="s">
        <v>16</v>
      </c>
      <c r="D224" s="5" t="s">
        <v>78</v>
      </c>
      <c r="E224" s="6" t="s">
        <v>365</v>
      </c>
      <c r="F224" s="5" t="s">
        <v>19</v>
      </c>
      <c r="G224" s="5" t="s">
        <v>27</v>
      </c>
      <c r="H224" s="5">
        <v>286998.0</v>
      </c>
      <c r="I224" s="5">
        <v>815.0</v>
      </c>
      <c r="J224" s="5">
        <v>61586.0</v>
      </c>
      <c r="K224" s="5">
        <v>247500.0</v>
      </c>
      <c r="L224" s="5">
        <v>13.0</v>
      </c>
      <c r="M224" s="5">
        <v>6395.550624</v>
      </c>
    </row>
    <row r="225">
      <c r="A225" s="4" t="s">
        <v>370</v>
      </c>
      <c r="B225" s="5" t="s">
        <v>15</v>
      </c>
      <c r="C225" s="5" t="s">
        <v>23</v>
      </c>
      <c r="D225" s="5" t="s">
        <v>29</v>
      </c>
      <c r="E225" s="6" t="s">
        <v>365</v>
      </c>
      <c r="F225" s="5" t="s">
        <v>19</v>
      </c>
      <c r="G225" s="5" t="s">
        <v>52</v>
      </c>
      <c r="H225" s="5">
        <v>127090.0</v>
      </c>
      <c r="I225" s="5">
        <v>299.0</v>
      </c>
      <c r="J225" s="5">
        <v>30178.0</v>
      </c>
      <c r="K225" s="5">
        <v>113438.0</v>
      </c>
      <c r="L225" s="5">
        <v>24.0</v>
      </c>
      <c r="M225" s="5">
        <v>5808.911254</v>
      </c>
    </row>
    <row r="226">
      <c r="A226" s="4" t="s">
        <v>371</v>
      </c>
      <c r="B226" s="5" t="s">
        <v>22</v>
      </c>
      <c r="C226" s="5" t="s">
        <v>23</v>
      </c>
      <c r="D226" s="5" t="s">
        <v>35</v>
      </c>
      <c r="E226" s="6" t="s">
        <v>365</v>
      </c>
      <c r="F226" s="5" t="s">
        <v>19</v>
      </c>
      <c r="G226" s="5" t="s">
        <v>27</v>
      </c>
      <c r="H226" s="5">
        <v>232470.0</v>
      </c>
      <c r="I226" s="5">
        <v>504.0</v>
      </c>
      <c r="J226" s="5">
        <v>40870.0</v>
      </c>
      <c r="K226" s="5">
        <v>195447.0</v>
      </c>
      <c r="L226" s="5">
        <v>36.0</v>
      </c>
      <c r="M226" s="5">
        <v>5401.365085</v>
      </c>
    </row>
    <row r="227">
      <c r="A227" s="4" t="s">
        <v>372</v>
      </c>
      <c r="B227" s="5" t="s">
        <v>22</v>
      </c>
      <c r="C227" s="5" t="s">
        <v>42</v>
      </c>
      <c r="D227" s="5" t="s">
        <v>29</v>
      </c>
      <c r="E227" s="6" t="s">
        <v>365</v>
      </c>
      <c r="F227" s="5" t="s">
        <v>191</v>
      </c>
      <c r="G227" s="5" t="s">
        <v>27</v>
      </c>
      <c r="H227" s="5">
        <v>51056.0</v>
      </c>
      <c r="I227" s="5">
        <v>120.0</v>
      </c>
      <c r="J227" s="5">
        <v>24672.0</v>
      </c>
      <c r="K227" s="5">
        <v>45563.0</v>
      </c>
      <c r="L227" s="5">
        <v>4.0</v>
      </c>
      <c r="M227" s="5">
        <v>2215.631845</v>
      </c>
    </row>
    <row r="228">
      <c r="A228" s="4" t="s">
        <v>373</v>
      </c>
      <c r="B228" s="5" t="s">
        <v>22</v>
      </c>
      <c r="C228" s="5" t="s">
        <v>42</v>
      </c>
      <c r="D228" s="5" t="s">
        <v>84</v>
      </c>
      <c r="E228" s="6" t="s">
        <v>365</v>
      </c>
      <c r="F228" s="5" t="s">
        <v>19</v>
      </c>
      <c r="G228" s="5" t="s">
        <v>27</v>
      </c>
      <c r="H228" s="5">
        <v>52582.0</v>
      </c>
      <c r="I228" s="5">
        <v>140.0</v>
      </c>
      <c r="J228" s="5">
        <v>22065.0</v>
      </c>
      <c r="K228" s="5">
        <v>46126.0</v>
      </c>
      <c r="L228" s="5">
        <v>10.0</v>
      </c>
      <c r="M228" s="5">
        <v>1631.741712</v>
      </c>
    </row>
    <row r="229">
      <c r="A229" s="4" t="s">
        <v>374</v>
      </c>
      <c r="B229" s="5" t="s">
        <v>15</v>
      </c>
      <c r="C229" s="5" t="s">
        <v>16</v>
      </c>
      <c r="D229" s="5" t="s">
        <v>35</v>
      </c>
      <c r="E229" s="6" t="s">
        <v>365</v>
      </c>
      <c r="F229" s="5" t="s">
        <v>26</v>
      </c>
      <c r="G229" s="5" t="s">
        <v>27</v>
      </c>
      <c r="H229" s="5">
        <v>109567.0</v>
      </c>
      <c r="I229" s="5">
        <v>345.0</v>
      </c>
      <c r="J229" s="5">
        <v>57620.0</v>
      </c>
      <c r="K229" s="5">
        <v>97903.0</v>
      </c>
      <c r="L229" s="5">
        <v>5.0</v>
      </c>
      <c r="M229" s="5">
        <v>1616.714722</v>
      </c>
    </row>
    <row r="230">
      <c r="A230" s="4" t="s">
        <v>375</v>
      </c>
      <c r="B230" s="5" t="s">
        <v>15</v>
      </c>
      <c r="C230" s="5" t="s">
        <v>31</v>
      </c>
      <c r="D230" s="5" t="s">
        <v>24</v>
      </c>
      <c r="E230" s="6" t="s">
        <v>365</v>
      </c>
      <c r="F230" s="5" t="s">
        <v>80</v>
      </c>
      <c r="G230" s="5" t="s">
        <v>52</v>
      </c>
      <c r="H230" s="5">
        <v>74426.0</v>
      </c>
      <c r="I230" s="5">
        <v>150.0</v>
      </c>
      <c r="J230" s="5">
        <v>39257.0</v>
      </c>
      <c r="K230" s="5">
        <v>67151.0</v>
      </c>
      <c r="L230" s="5">
        <v>15.0</v>
      </c>
      <c r="M230" s="5">
        <v>1519.596552</v>
      </c>
    </row>
    <row r="231">
      <c r="A231" s="4" t="s">
        <v>376</v>
      </c>
      <c r="B231" s="5" t="s">
        <v>22</v>
      </c>
      <c r="C231" s="5" t="s">
        <v>42</v>
      </c>
      <c r="D231" s="5" t="s">
        <v>78</v>
      </c>
      <c r="E231" s="6" t="s">
        <v>365</v>
      </c>
      <c r="F231" s="5" t="s">
        <v>19</v>
      </c>
      <c r="G231" s="5" t="s">
        <v>27</v>
      </c>
      <c r="H231" s="5">
        <v>22163.0</v>
      </c>
      <c r="I231" s="5">
        <v>55.0</v>
      </c>
      <c r="J231" s="5">
        <v>2368.0</v>
      </c>
      <c r="K231" s="5">
        <v>8130.0</v>
      </c>
      <c r="L231" s="5">
        <v>3.0</v>
      </c>
      <c r="M231" s="5">
        <v>1493.779328</v>
      </c>
    </row>
    <row r="232">
      <c r="A232" s="4" t="s">
        <v>377</v>
      </c>
      <c r="B232" s="5" t="s">
        <v>15</v>
      </c>
      <c r="C232" s="5" t="s">
        <v>31</v>
      </c>
      <c r="D232" s="5" t="s">
        <v>17</v>
      </c>
      <c r="E232" s="6" t="s">
        <v>378</v>
      </c>
      <c r="F232" s="5" t="s">
        <v>46</v>
      </c>
      <c r="G232" s="5" t="s">
        <v>52</v>
      </c>
      <c r="H232" s="5">
        <v>25021.0</v>
      </c>
      <c r="I232" s="5">
        <v>50.0</v>
      </c>
      <c r="J232" s="5">
        <v>11084.0</v>
      </c>
      <c r="K232" s="5">
        <v>18079.0</v>
      </c>
      <c r="L232" s="5">
        <v>9.0</v>
      </c>
      <c r="M232" s="5">
        <v>4961.478884</v>
      </c>
    </row>
    <row r="233">
      <c r="A233" s="4" t="s">
        <v>379</v>
      </c>
      <c r="B233" s="5" t="s">
        <v>22</v>
      </c>
      <c r="C233" s="5" t="s">
        <v>16</v>
      </c>
      <c r="D233" s="5" t="s">
        <v>78</v>
      </c>
      <c r="E233" s="6" t="s">
        <v>378</v>
      </c>
      <c r="F233" s="5" t="s">
        <v>36</v>
      </c>
      <c r="G233" s="5" t="s">
        <v>27</v>
      </c>
      <c r="H233" s="5">
        <v>26304.0</v>
      </c>
      <c r="I233" s="5">
        <v>75.0</v>
      </c>
      <c r="J233" s="5">
        <v>12354.0</v>
      </c>
      <c r="K233" s="5">
        <v>17500.0</v>
      </c>
      <c r="L233" s="5">
        <v>11.0</v>
      </c>
      <c r="M233" s="5">
        <v>4727.813916</v>
      </c>
    </row>
    <row r="234">
      <c r="A234" s="4" t="s">
        <v>380</v>
      </c>
      <c r="B234" s="5" t="s">
        <v>15</v>
      </c>
      <c r="C234" s="5" t="s">
        <v>23</v>
      </c>
      <c r="D234" s="5" t="s">
        <v>78</v>
      </c>
      <c r="E234" s="6" t="s">
        <v>378</v>
      </c>
      <c r="F234" s="5" t="s">
        <v>26</v>
      </c>
      <c r="G234" s="5" t="s">
        <v>27</v>
      </c>
      <c r="H234" s="5">
        <v>13100.0</v>
      </c>
      <c r="I234" s="5">
        <v>80.0</v>
      </c>
      <c r="J234" s="5">
        <v>6507.0</v>
      </c>
      <c r="K234" s="5">
        <v>10895.0</v>
      </c>
      <c r="L234" s="5">
        <v>5.0</v>
      </c>
      <c r="M234" s="5">
        <v>3411.590029</v>
      </c>
    </row>
    <row r="235">
      <c r="A235" s="4" t="s">
        <v>381</v>
      </c>
      <c r="B235" s="5" t="s">
        <v>22</v>
      </c>
      <c r="C235" s="5" t="s">
        <v>16</v>
      </c>
      <c r="D235" s="5" t="s">
        <v>39</v>
      </c>
      <c r="E235" s="6" t="s">
        <v>382</v>
      </c>
      <c r="F235" s="5" t="s">
        <v>19</v>
      </c>
      <c r="G235" s="5" t="s">
        <v>27</v>
      </c>
      <c r="H235" s="5">
        <v>9533.0</v>
      </c>
      <c r="I235" s="5">
        <v>66.0</v>
      </c>
      <c r="J235" s="5">
        <v>6548.0</v>
      </c>
      <c r="K235" s="5">
        <v>9042.0</v>
      </c>
      <c r="L235" s="5">
        <v>16.0</v>
      </c>
      <c r="M235" s="5">
        <v>5574.543505</v>
      </c>
    </row>
    <row r="236">
      <c r="A236" s="4" t="s">
        <v>383</v>
      </c>
      <c r="B236" s="5" t="s">
        <v>15</v>
      </c>
      <c r="C236" s="5" t="s">
        <v>23</v>
      </c>
      <c r="D236" s="5" t="s">
        <v>95</v>
      </c>
      <c r="E236" s="6" t="s">
        <v>384</v>
      </c>
      <c r="F236" s="5" t="s">
        <v>46</v>
      </c>
      <c r="G236" s="5" t="s">
        <v>27</v>
      </c>
      <c r="H236" s="5">
        <v>12092.0</v>
      </c>
      <c r="I236" s="5">
        <v>30.0</v>
      </c>
      <c r="J236" s="5">
        <v>2042.0</v>
      </c>
      <c r="K236" s="5">
        <v>10315.0</v>
      </c>
      <c r="L236" s="5">
        <v>8.0</v>
      </c>
      <c r="M236" s="5">
        <v>6245.134793</v>
      </c>
    </row>
    <row r="237">
      <c r="A237" s="4" t="s">
        <v>385</v>
      </c>
      <c r="B237" s="5" t="s">
        <v>15</v>
      </c>
      <c r="C237" s="5" t="s">
        <v>16</v>
      </c>
      <c r="D237" s="5" t="s">
        <v>35</v>
      </c>
      <c r="E237" s="6" t="s">
        <v>386</v>
      </c>
      <c r="F237" s="5" t="s">
        <v>117</v>
      </c>
      <c r="G237" s="5" t="s">
        <v>27</v>
      </c>
      <c r="H237" s="5">
        <v>12710.0</v>
      </c>
      <c r="I237" s="5">
        <v>10.0</v>
      </c>
      <c r="J237" s="5">
        <v>8159.0</v>
      </c>
      <c r="K237" s="5">
        <v>11984.0</v>
      </c>
      <c r="L237" s="5">
        <v>11.0</v>
      </c>
      <c r="M237" s="5">
        <v>7851.397478</v>
      </c>
    </row>
    <row r="238">
      <c r="A238" s="4" t="s">
        <v>387</v>
      </c>
      <c r="B238" s="5" t="s">
        <v>22</v>
      </c>
      <c r="C238" s="5" t="s">
        <v>42</v>
      </c>
      <c r="D238" s="5" t="s">
        <v>35</v>
      </c>
      <c r="E238" s="6" t="s">
        <v>386</v>
      </c>
      <c r="F238" s="5" t="s">
        <v>19</v>
      </c>
      <c r="G238" s="5" t="s">
        <v>27</v>
      </c>
      <c r="H238" s="5">
        <v>9463.0</v>
      </c>
      <c r="I238" s="5">
        <v>56.0</v>
      </c>
      <c r="J238" s="5">
        <v>1518.0</v>
      </c>
      <c r="K238" s="5">
        <v>8191.0</v>
      </c>
      <c r="L238" s="5">
        <v>4.0</v>
      </c>
      <c r="M238" s="5">
        <v>6879.601707</v>
      </c>
    </row>
    <row r="239">
      <c r="A239" s="4" t="s">
        <v>388</v>
      </c>
      <c r="B239" s="5" t="s">
        <v>15</v>
      </c>
      <c r="C239" s="5" t="s">
        <v>16</v>
      </c>
      <c r="D239" s="5" t="s">
        <v>35</v>
      </c>
      <c r="E239" s="6" t="s">
        <v>386</v>
      </c>
      <c r="F239" s="5" t="s">
        <v>26</v>
      </c>
      <c r="G239" s="5" t="s">
        <v>27</v>
      </c>
      <c r="H239" s="5">
        <v>12136.0</v>
      </c>
      <c r="I239" s="5">
        <v>97.0</v>
      </c>
      <c r="J239" s="5">
        <v>2089.0</v>
      </c>
      <c r="K239" s="5">
        <v>11500.0</v>
      </c>
      <c r="L239" s="5">
        <v>3.0</v>
      </c>
      <c r="M239" s="5">
        <v>5224.932463</v>
      </c>
    </row>
    <row r="240">
      <c r="A240" s="4" t="s">
        <v>389</v>
      </c>
      <c r="B240" s="5" t="s">
        <v>22</v>
      </c>
      <c r="C240" s="5" t="s">
        <v>31</v>
      </c>
      <c r="D240" s="5" t="s">
        <v>39</v>
      </c>
      <c r="E240" s="6" t="s">
        <v>390</v>
      </c>
      <c r="F240" s="5" t="s">
        <v>19</v>
      </c>
      <c r="G240" s="5" t="s">
        <v>27</v>
      </c>
      <c r="H240" s="5">
        <v>15326.0</v>
      </c>
      <c r="I240" s="5">
        <v>68.0</v>
      </c>
      <c r="J240" s="5">
        <v>7941.0</v>
      </c>
      <c r="K240" s="5">
        <v>14331.0</v>
      </c>
      <c r="L240" s="5">
        <v>8.0</v>
      </c>
      <c r="M240" s="5">
        <v>6943.515824</v>
      </c>
    </row>
    <row r="241">
      <c r="A241" s="4" t="s">
        <v>391</v>
      </c>
      <c r="B241" s="5" t="s">
        <v>22</v>
      </c>
      <c r="C241" s="5" t="s">
        <v>31</v>
      </c>
      <c r="D241" s="5" t="s">
        <v>35</v>
      </c>
      <c r="E241" s="6" t="s">
        <v>390</v>
      </c>
      <c r="F241" s="5" t="s">
        <v>19</v>
      </c>
      <c r="G241" s="5" t="s">
        <v>27</v>
      </c>
      <c r="H241" s="5">
        <v>18095.0</v>
      </c>
      <c r="I241" s="5">
        <v>50.0</v>
      </c>
      <c r="J241" s="5">
        <v>10021.0</v>
      </c>
      <c r="K241" s="5">
        <v>16755.0</v>
      </c>
      <c r="L241" s="5">
        <v>24.0</v>
      </c>
      <c r="M241" s="5">
        <v>6768.758768</v>
      </c>
    </row>
    <row r="242">
      <c r="A242" s="4" t="s">
        <v>392</v>
      </c>
      <c r="B242" s="5" t="s">
        <v>61</v>
      </c>
      <c r="C242" s="5" t="s">
        <v>23</v>
      </c>
      <c r="D242" s="5" t="s">
        <v>55</v>
      </c>
      <c r="E242" s="6" t="s">
        <v>390</v>
      </c>
      <c r="F242" s="5" t="s">
        <v>19</v>
      </c>
      <c r="G242" s="5" t="s">
        <v>27</v>
      </c>
      <c r="H242" s="5">
        <v>119280.0</v>
      </c>
      <c r="I242" s="5">
        <v>400.0</v>
      </c>
      <c r="J242" s="5">
        <v>55665.0</v>
      </c>
      <c r="K242" s="5">
        <v>112913.0</v>
      </c>
      <c r="L242" s="5">
        <v>23.0</v>
      </c>
      <c r="M242" s="5">
        <v>6492.676343</v>
      </c>
    </row>
    <row r="243">
      <c r="A243" s="4" t="s">
        <v>393</v>
      </c>
      <c r="B243" s="5" t="s">
        <v>22</v>
      </c>
      <c r="C243" s="5" t="s">
        <v>31</v>
      </c>
      <c r="D243" s="5" t="s">
        <v>150</v>
      </c>
      <c r="E243" s="6" t="s">
        <v>390</v>
      </c>
      <c r="F243" s="5" t="s">
        <v>46</v>
      </c>
      <c r="G243" s="5" t="s">
        <v>27</v>
      </c>
      <c r="H243" s="5">
        <v>8204.0</v>
      </c>
      <c r="I243" s="5">
        <v>20.0</v>
      </c>
      <c r="J243" s="5">
        <v>1348.0</v>
      </c>
      <c r="K243" s="5">
        <v>7832.0</v>
      </c>
      <c r="L243" s="5">
        <v>1.0</v>
      </c>
      <c r="M243" s="5">
        <v>5973.379892</v>
      </c>
    </row>
    <row r="244">
      <c r="A244" s="4" t="s">
        <v>394</v>
      </c>
      <c r="B244" s="5" t="s">
        <v>61</v>
      </c>
      <c r="C244" s="5" t="s">
        <v>31</v>
      </c>
      <c r="D244" s="5" t="s">
        <v>95</v>
      </c>
      <c r="E244" s="6" t="s">
        <v>390</v>
      </c>
      <c r="F244" s="5" t="s">
        <v>161</v>
      </c>
      <c r="G244" s="5" t="s">
        <v>27</v>
      </c>
      <c r="H244" s="5">
        <v>88022.0</v>
      </c>
      <c r="I244" s="5">
        <v>370.0</v>
      </c>
      <c r="J244" s="5">
        <v>45972.0</v>
      </c>
      <c r="K244" s="5">
        <v>83922.0</v>
      </c>
      <c r="L244" s="5">
        <v>11.0</v>
      </c>
      <c r="M244" s="5">
        <v>5669.14476</v>
      </c>
    </row>
    <row r="245">
      <c r="A245" s="4" t="s">
        <v>395</v>
      </c>
      <c r="B245" s="5" t="s">
        <v>22</v>
      </c>
      <c r="C245" s="5" t="s">
        <v>31</v>
      </c>
      <c r="D245" s="5" t="s">
        <v>78</v>
      </c>
      <c r="E245" s="6" t="s">
        <v>390</v>
      </c>
      <c r="F245" s="5" t="s">
        <v>19</v>
      </c>
      <c r="G245" s="5" t="s">
        <v>27</v>
      </c>
      <c r="H245" s="5">
        <v>12879.0</v>
      </c>
      <c r="I245" s="5">
        <v>71.0</v>
      </c>
      <c r="J245" s="5">
        <v>7225.0</v>
      </c>
      <c r="K245" s="5">
        <v>12173.0</v>
      </c>
      <c r="L245" s="5">
        <v>9.0</v>
      </c>
      <c r="M245" s="5">
        <v>5099.28249</v>
      </c>
    </row>
    <row r="246">
      <c r="A246" s="4" t="s">
        <v>396</v>
      </c>
      <c r="B246" s="5" t="s">
        <v>15</v>
      </c>
      <c r="C246" s="5" t="s">
        <v>16</v>
      </c>
      <c r="D246" s="5" t="s">
        <v>39</v>
      </c>
      <c r="E246" s="6" t="s">
        <v>390</v>
      </c>
      <c r="F246" s="5" t="s">
        <v>19</v>
      </c>
      <c r="G246" s="5" t="s">
        <v>52</v>
      </c>
      <c r="H246" s="5">
        <v>69239.0</v>
      </c>
      <c r="I246" s="5">
        <v>160.0</v>
      </c>
      <c r="J246" s="5">
        <v>23112.0</v>
      </c>
      <c r="K246" s="5">
        <v>65390.0</v>
      </c>
      <c r="L246" s="5">
        <v>1.0</v>
      </c>
      <c r="M246" s="5">
        <v>4514.952724</v>
      </c>
    </row>
    <row r="247">
      <c r="A247" s="4" t="s">
        <v>397</v>
      </c>
      <c r="B247" s="5" t="s">
        <v>22</v>
      </c>
      <c r="C247" s="5" t="s">
        <v>31</v>
      </c>
      <c r="D247" s="5" t="s">
        <v>398</v>
      </c>
      <c r="E247" s="6" t="s">
        <v>390</v>
      </c>
      <c r="F247" s="5" t="s">
        <v>19</v>
      </c>
      <c r="G247" s="5" t="s">
        <v>27</v>
      </c>
      <c r="H247" s="5">
        <v>111884.0</v>
      </c>
      <c r="I247" s="5">
        <v>220.0</v>
      </c>
      <c r="J247" s="5">
        <v>53017.0</v>
      </c>
      <c r="K247" s="5">
        <v>106432.0</v>
      </c>
      <c r="L247" s="5">
        <v>7.0</v>
      </c>
      <c r="M247" s="5">
        <v>1786.105122</v>
      </c>
    </row>
    <row r="248">
      <c r="A248" s="4" t="s">
        <v>399</v>
      </c>
      <c r="B248" s="5" t="s">
        <v>22</v>
      </c>
      <c r="C248" s="5" t="s">
        <v>23</v>
      </c>
      <c r="D248" s="5" t="s">
        <v>78</v>
      </c>
      <c r="E248" s="6" t="s">
        <v>390</v>
      </c>
      <c r="F248" s="5" t="s">
        <v>19</v>
      </c>
      <c r="G248" s="5" t="s">
        <v>27</v>
      </c>
      <c r="H248" s="5">
        <v>20899.0</v>
      </c>
      <c r="I248" s="5">
        <v>20.0</v>
      </c>
      <c r="J248" s="5">
        <v>11394.0</v>
      </c>
      <c r="K248" s="5">
        <v>19576.0</v>
      </c>
      <c r="L248" s="5">
        <v>19.0</v>
      </c>
      <c r="M248" s="5">
        <v>1649.459852</v>
      </c>
    </row>
    <row r="249">
      <c r="A249" s="4" t="s">
        <v>400</v>
      </c>
      <c r="B249" s="5" t="s">
        <v>15</v>
      </c>
      <c r="C249" s="5" t="s">
        <v>42</v>
      </c>
      <c r="D249" s="5" t="s">
        <v>121</v>
      </c>
      <c r="E249" s="6" t="s">
        <v>390</v>
      </c>
      <c r="F249" s="5" t="s">
        <v>19</v>
      </c>
      <c r="G249" s="5" t="s">
        <v>52</v>
      </c>
      <c r="H249" s="5">
        <v>22800.0</v>
      </c>
      <c r="I249" s="5">
        <v>79.0</v>
      </c>
      <c r="J249" s="5">
        <v>8298.0</v>
      </c>
      <c r="K249" s="5">
        <v>21161.0</v>
      </c>
      <c r="L249" s="5">
        <v>24.0</v>
      </c>
      <c r="M249" s="5">
        <v>1620.1655</v>
      </c>
    </row>
    <row r="250">
      <c r="A250" s="4" t="s">
        <v>401</v>
      </c>
      <c r="B250" s="5" t="s">
        <v>22</v>
      </c>
      <c r="C250" s="5" t="s">
        <v>31</v>
      </c>
      <c r="D250" s="5" t="s">
        <v>78</v>
      </c>
      <c r="E250" s="6" t="s">
        <v>390</v>
      </c>
      <c r="F250" s="5" t="s">
        <v>19</v>
      </c>
      <c r="G250" s="5" t="s">
        <v>27</v>
      </c>
      <c r="H250" s="5">
        <v>15441.0</v>
      </c>
      <c r="I250" s="5">
        <v>48.0</v>
      </c>
      <c r="J250" s="5">
        <v>7626.0</v>
      </c>
      <c r="K250" s="5">
        <v>14456.0</v>
      </c>
      <c r="L250" s="5">
        <v>19.0</v>
      </c>
      <c r="M250" s="5">
        <v>1614.309013</v>
      </c>
    </row>
    <row r="251">
      <c r="A251" s="4" t="s">
        <v>402</v>
      </c>
      <c r="B251" s="5" t="s">
        <v>22</v>
      </c>
      <c r="C251" s="5" t="s">
        <v>23</v>
      </c>
      <c r="D251" s="5" t="s">
        <v>78</v>
      </c>
      <c r="E251" s="6" t="s">
        <v>390</v>
      </c>
      <c r="F251" s="5" t="s">
        <v>19</v>
      </c>
      <c r="G251" s="5" t="s">
        <v>27</v>
      </c>
      <c r="H251" s="5">
        <v>33069.0</v>
      </c>
      <c r="I251" s="5">
        <v>140.0</v>
      </c>
      <c r="J251" s="5">
        <v>17744.0</v>
      </c>
      <c r="K251" s="5">
        <v>31192.0</v>
      </c>
      <c r="L251" s="5">
        <v>14.0</v>
      </c>
      <c r="M251" s="5">
        <v>1543.310611</v>
      </c>
    </row>
    <row r="252">
      <c r="A252" s="4" t="s">
        <v>403</v>
      </c>
      <c r="B252" s="5" t="s">
        <v>22</v>
      </c>
      <c r="C252" s="5" t="s">
        <v>31</v>
      </c>
      <c r="D252" s="5" t="s">
        <v>84</v>
      </c>
      <c r="E252" s="6" t="s">
        <v>404</v>
      </c>
      <c r="F252" s="5" t="s">
        <v>19</v>
      </c>
      <c r="G252" s="5" t="s">
        <v>27</v>
      </c>
      <c r="H252" s="5">
        <v>54134.0</v>
      </c>
      <c r="I252" s="5">
        <v>155.0</v>
      </c>
      <c r="J252" s="5">
        <v>37418.0</v>
      </c>
      <c r="K252" s="5">
        <v>51299.0</v>
      </c>
      <c r="L252" s="5">
        <v>4.0</v>
      </c>
      <c r="M252" s="5">
        <v>1502.01775</v>
      </c>
    </row>
    <row r="253">
      <c r="A253" s="4" t="s">
        <v>405</v>
      </c>
      <c r="B253" s="5" t="s">
        <v>15</v>
      </c>
      <c r="C253" s="5" t="s">
        <v>16</v>
      </c>
      <c r="D253" s="5" t="s">
        <v>173</v>
      </c>
      <c r="E253" s="6" t="s">
        <v>406</v>
      </c>
      <c r="F253" s="5" t="s">
        <v>19</v>
      </c>
      <c r="G253" s="5" t="s">
        <v>27</v>
      </c>
      <c r="H253" s="5">
        <v>7583.0</v>
      </c>
      <c r="I253" s="5">
        <v>45.0</v>
      </c>
      <c r="J253" s="5">
        <v>4608.0</v>
      </c>
      <c r="K253" s="5">
        <v>5881.0</v>
      </c>
      <c r="L253" s="5">
        <v>1.0</v>
      </c>
      <c r="M253" s="5">
        <v>5033.482578</v>
      </c>
    </row>
    <row r="254">
      <c r="A254" s="4" t="s">
        <v>407</v>
      </c>
      <c r="B254" s="5" t="s">
        <v>15</v>
      </c>
      <c r="C254" s="5" t="s">
        <v>42</v>
      </c>
      <c r="D254" s="5" t="s">
        <v>39</v>
      </c>
      <c r="E254" s="6" t="s">
        <v>408</v>
      </c>
      <c r="F254" s="5" t="s">
        <v>19</v>
      </c>
      <c r="G254" s="5" t="s">
        <v>20</v>
      </c>
      <c r="H254" s="5">
        <v>12436.0</v>
      </c>
      <c r="I254" s="5">
        <v>84.0</v>
      </c>
      <c r="J254" s="5">
        <v>7055.0</v>
      </c>
      <c r="K254" s="5">
        <v>11497.0</v>
      </c>
      <c r="L254" s="5">
        <v>9.0</v>
      </c>
      <c r="M254" s="5">
        <v>1720.870126</v>
      </c>
    </row>
    <row r="255">
      <c r="A255" s="4" t="s">
        <v>409</v>
      </c>
      <c r="B255" s="5" t="s">
        <v>22</v>
      </c>
      <c r="C255" s="5" t="s">
        <v>31</v>
      </c>
      <c r="D255" s="5" t="s">
        <v>35</v>
      </c>
      <c r="E255" s="6" t="s">
        <v>410</v>
      </c>
      <c r="F255" s="5" t="s">
        <v>36</v>
      </c>
      <c r="G255" s="5" t="s">
        <v>27</v>
      </c>
      <c r="H255" s="5">
        <v>122086.0</v>
      </c>
      <c r="I255" s="5">
        <v>299.0</v>
      </c>
      <c r="J255" s="5">
        <v>82898.0</v>
      </c>
      <c r="K255" s="5">
        <v>116235.0</v>
      </c>
      <c r="L255" s="5">
        <v>16.0</v>
      </c>
      <c r="M255" s="5">
        <v>7663.695294</v>
      </c>
    </row>
    <row r="256">
      <c r="A256" s="4" t="s">
        <v>411</v>
      </c>
      <c r="B256" s="5" t="s">
        <v>22</v>
      </c>
      <c r="C256" s="5" t="s">
        <v>16</v>
      </c>
      <c r="D256" s="5" t="s">
        <v>66</v>
      </c>
      <c r="E256" s="6" t="s">
        <v>410</v>
      </c>
      <c r="F256" s="5" t="s">
        <v>46</v>
      </c>
      <c r="G256" s="5" t="s">
        <v>27</v>
      </c>
      <c r="H256" s="5">
        <v>63794.0</v>
      </c>
      <c r="I256" s="5">
        <v>200.0</v>
      </c>
      <c r="J256" s="5">
        <v>46557.0</v>
      </c>
      <c r="K256" s="5">
        <v>60868.0</v>
      </c>
      <c r="L256" s="5">
        <v>9.0</v>
      </c>
      <c r="M256" s="5">
        <v>6832.940067</v>
      </c>
    </row>
    <row r="257">
      <c r="A257" s="4" t="s">
        <v>412</v>
      </c>
      <c r="B257" s="5" t="s">
        <v>15</v>
      </c>
      <c r="C257" s="5" t="s">
        <v>42</v>
      </c>
      <c r="D257" s="5" t="s">
        <v>39</v>
      </c>
      <c r="E257" s="6" t="s">
        <v>410</v>
      </c>
      <c r="F257" s="5" t="s">
        <v>46</v>
      </c>
      <c r="G257" s="5" t="s">
        <v>20</v>
      </c>
      <c r="H257" s="5">
        <v>29323.0</v>
      </c>
      <c r="I257" s="5">
        <v>88.0</v>
      </c>
      <c r="J257" s="5">
        <v>13822.0</v>
      </c>
      <c r="K257" s="5">
        <v>26934.0</v>
      </c>
      <c r="L257" s="5">
        <v>9.0</v>
      </c>
      <c r="M257" s="5">
        <v>6096.045521</v>
      </c>
    </row>
    <row r="258">
      <c r="A258" s="4" t="s">
        <v>413</v>
      </c>
      <c r="B258" s="5" t="s">
        <v>22</v>
      </c>
      <c r="C258" s="5" t="s">
        <v>23</v>
      </c>
      <c r="D258" s="5" t="s">
        <v>45</v>
      </c>
      <c r="E258" s="6" t="s">
        <v>410</v>
      </c>
      <c r="F258" s="5" t="s">
        <v>46</v>
      </c>
      <c r="G258" s="5" t="s">
        <v>27</v>
      </c>
      <c r="H258" s="5">
        <v>38408.0</v>
      </c>
      <c r="I258" s="5">
        <v>101.0</v>
      </c>
      <c r="J258" s="5">
        <v>23557.0</v>
      </c>
      <c r="K258" s="5">
        <v>35247.0</v>
      </c>
      <c r="L258" s="5">
        <v>7.0</v>
      </c>
      <c r="M258" s="5">
        <v>5343.459431</v>
      </c>
    </row>
    <row r="259">
      <c r="A259" s="4" t="s">
        <v>414</v>
      </c>
      <c r="B259" s="5" t="s">
        <v>22</v>
      </c>
      <c r="C259" s="5" t="s">
        <v>23</v>
      </c>
      <c r="D259" s="5" t="s">
        <v>173</v>
      </c>
      <c r="E259" s="6" t="s">
        <v>410</v>
      </c>
      <c r="F259" s="5" t="s">
        <v>19</v>
      </c>
      <c r="G259" s="5" t="s">
        <v>27</v>
      </c>
      <c r="H259" s="5">
        <v>70134.0</v>
      </c>
      <c r="I259" s="5">
        <v>169.0</v>
      </c>
      <c r="J259" s="5">
        <v>48862.0</v>
      </c>
      <c r="K259" s="5">
        <v>66739.0</v>
      </c>
      <c r="L259" s="5">
        <v>14.0</v>
      </c>
      <c r="M259" s="5">
        <v>2514.868116</v>
      </c>
    </row>
    <row r="260">
      <c r="A260" s="4" t="s">
        <v>415</v>
      </c>
      <c r="B260" s="5" t="s">
        <v>15</v>
      </c>
      <c r="C260" s="5" t="s">
        <v>23</v>
      </c>
      <c r="D260" s="5" t="s">
        <v>17</v>
      </c>
      <c r="E260" s="6" t="s">
        <v>410</v>
      </c>
      <c r="F260" s="5" t="s">
        <v>19</v>
      </c>
      <c r="G260" s="5" t="s">
        <v>52</v>
      </c>
      <c r="H260" s="5">
        <v>51889.0</v>
      </c>
      <c r="I260" s="5">
        <v>174.0</v>
      </c>
      <c r="J260" s="5">
        <v>33879.0</v>
      </c>
      <c r="K260" s="5">
        <v>49382.0</v>
      </c>
      <c r="L260" s="5">
        <v>5.0</v>
      </c>
      <c r="M260" s="5">
        <v>2172.841747</v>
      </c>
    </row>
    <row r="261">
      <c r="A261" s="4" t="s">
        <v>416</v>
      </c>
      <c r="B261" s="5" t="s">
        <v>15</v>
      </c>
      <c r="C261" s="5" t="s">
        <v>23</v>
      </c>
      <c r="D261" s="5" t="s">
        <v>66</v>
      </c>
      <c r="E261" s="6" t="s">
        <v>410</v>
      </c>
      <c r="F261" s="5" t="s">
        <v>19</v>
      </c>
      <c r="G261" s="5" t="s">
        <v>52</v>
      </c>
      <c r="H261" s="5">
        <v>19951.0</v>
      </c>
      <c r="I261" s="5">
        <v>81.0</v>
      </c>
      <c r="J261" s="5">
        <v>10511.0</v>
      </c>
      <c r="K261" s="5">
        <v>18132.0</v>
      </c>
      <c r="L261" s="5">
        <v>15.0</v>
      </c>
      <c r="M261" s="5">
        <v>1801.14885</v>
      </c>
    </row>
    <row r="262">
      <c r="A262" s="4" t="s">
        <v>417</v>
      </c>
      <c r="B262" s="5" t="s">
        <v>22</v>
      </c>
      <c r="C262" s="5" t="s">
        <v>23</v>
      </c>
      <c r="D262" s="5" t="s">
        <v>240</v>
      </c>
      <c r="E262" s="6" t="s">
        <v>410</v>
      </c>
      <c r="F262" s="5" t="s">
        <v>19</v>
      </c>
      <c r="G262" s="5" t="s">
        <v>27</v>
      </c>
      <c r="H262" s="5">
        <v>91593.0</v>
      </c>
      <c r="I262" s="5">
        <v>40.0</v>
      </c>
      <c r="J262" s="5">
        <v>51004.0</v>
      </c>
      <c r="K262" s="5">
        <v>82985.0</v>
      </c>
      <c r="L262" s="5">
        <v>18.0</v>
      </c>
      <c r="M262" s="5">
        <v>1731.584862</v>
      </c>
    </row>
    <row r="263">
      <c r="A263" s="4" t="s">
        <v>418</v>
      </c>
      <c r="B263" s="5" t="s">
        <v>61</v>
      </c>
      <c r="C263" s="5" t="s">
        <v>31</v>
      </c>
      <c r="D263" s="5" t="s">
        <v>95</v>
      </c>
      <c r="E263" s="6" t="s">
        <v>410</v>
      </c>
      <c r="F263" s="5" t="s">
        <v>46</v>
      </c>
      <c r="G263" s="5" t="s">
        <v>27</v>
      </c>
      <c r="H263" s="5">
        <v>69722.0</v>
      </c>
      <c r="I263" s="5">
        <v>194.0</v>
      </c>
      <c r="J263" s="5">
        <v>40640.0</v>
      </c>
      <c r="K263" s="5">
        <v>64819.0</v>
      </c>
      <c r="L263" s="5">
        <v>10.0</v>
      </c>
      <c r="M263" s="5">
        <v>1667.655895</v>
      </c>
    </row>
    <row r="264">
      <c r="A264" s="4" t="s">
        <v>419</v>
      </c>
      <c r="B264" s="5" t="s">
        <v>15</v>
      </c>
      <c r="C264" s="5" t="s">
        <v>23</v>
      </c>
      <c r="D264" s="5" t="s">
        <v>95</v>
      </c>
      <c r="E264" s="6" t="s">
        <v>410</v>
      </c>
      <c r="F264" s="5" t="s">
        <v>48</v>
      </c>
      <c r="G264" s="5" t="s">
        <v>52</v>
      </c>
      <c r="H264" s="5">
        <v>76724.0</v>
      </c>
      <c r="I264" s="5">
        <v>187.0</v>
      </c>
      <c r="J264" s="5">
        <v>43209.0</v>
      </c>
      <c r="K264" s="5">
        <v>69530.0</v>
      </c>
      <c r="L264" s="5">
        <v>9.0</v>
      </c>
      <c r="M264" s="5">
        <v>1493.204528</v>
      </c>
    </row>
    <row r="265">
      <c r="A265" s="4" t="s">
        <v>420</v>
      </c>
      <c r="B265" s="5" t="s">
        <v>22</v>
      </c>
      <c r="C265" s="5" t="s">
        <v>16</v>
      </c>
      <c r="D265" s="5" t="s">
        <v>78</v>
      </c>
      <c r="E265" s="6" t="s">
        <v>410</v>
      </c>
      <c r="F265" s="5" t="s">
        <v>231</v>
      </c>
      <c r="G265" s="5" t="s">
        <v>27</v>
      </c>
      <c r="H265" s="5">
        <v>34959.0</v>
      </c>
      <c r="I265" s="5">
        <v>122.0</v>
      </c>
      <c r="J265" s="5">
        <v>17511.0</v>
      </c>
      <c r="K265" s="5">
        <v>31974.0</v>
      </c>
      <c r="L265" s="5">
        <v>5.0</v>
      </c>
      <c r="M265" s="5">
        <v>1477.493357</v>
      </c>
    </row>
    <row r="266">
      <c r="A266" s="4" t="s">
        <v>421</v>
      </c>
      <c r="B266" s="5" t="s">
        <v>15</v>
      </c>
      <c r="C266" s="5" t="s">
        <v>42</v>
      </c>
      <c r="D266" s="5" t="s">
        <v>39</v>
      </c>
      <c r="E266" s="6" t="s">
        <v>422</v>
      </c>
      <c r="F266" s="5" t="s">
        <v>19</v>
      </c>
      <c r="G266" s="5" t="s">
        <v>27</v>
      </c>
      <c r="H266" s="5">
        <v>9273.0</v>
      </c>
      <c r="I266" s="5">
        <v>70.0</v>
      </c>
      <c r="J266" s="5">
        <v>4648.0</v>
      </c>
      <c r="K266" s="5">
        <v>8751.0</v>
      </c>
      <c r="L266" s="5">
        <v>5.0</v>
      </c>
      <c r="M266" s="5">
        <v>4986.51937</v>
      </c>
    </row>
    <row r="267">
      <c r="A267" s="4" t="s">
        <v>423</v>
      </c>
      <c r="B267" s="5" t="s">
        <v>15</v>
      </c>
      <c r="C267" s="5" t="s">
        <v>23</v>
      </c>
      <c r="D267" s="5" t="s">
        <v>35</v>
      </c>
      <c r="E267" s="6" t="s">
        <v>424</v>
      </c>
      <c r="F267" s="5" t="s">
        <v>46</v>
      </c>
      <c r="G267" s="5" t="s">
        <v>27</v>
      </c>
      <c r="H267" s="5">
        <v>11681.0</v>
      </c>
      <c r="I267" s="5">
        <v>88.0</v>
      </c>
      <c r="J267" s="5">
        <v>4713.0</v>
      </c>
      <c r="K267" s="5">
        <v>8230.0</v>
      </c>
      <c r="L267" s="5">
        <v>4.0</v>
      </c>
      <c r="M267" s="5">
        <v>5216.648879</v>
      </c>
    </row>
    <row r="268">
      <c r="A268" s="4" t="s">
        <v>425</v>
      </c>
      <c r="B268" s="5" t="s">
        <v>15</v>
      </c>
      <c r="C268" s="5" t="s">
        <v>31</v>
      </c>
      <c r="D268" s="5" t="s">
        <v>78</v>
      </c>
      <c r="E268" s="6" t="s">
        <v>426</v>
      </c>
      <c r="F268" s="5" t="s">
        <v>19</v>
      </c>
      <c r="G268" s="5" t="s">
        <v>27</v>
      </c>
      <c r="H268" s="5">
        <v>17770.0</v>
      </c>
      <c r="I268" s="5">
        <v>70.0</v>
      </c>
      <c r="J268" s="5">
        <v>12771.0</v>
      </c>
      <c r="K268" s="5">
        <v>16749.0</v>
      </c>
      <c r="L268" s="5">
        <v>9.0</v>
      </c>
      <c r="M268" s="5">
        <v>5195.234677</v>
      </c>
    </row>
    <row r="269">
      <c r="A269" s="4" t="s">
        <v>427</v>
      </c>
      <c r="B269" s="5" t="s">
        <v>15</v>
      </c>
      <c r="C269" s="5" t="s">
        <v>42</v>
      </c>
      <c r="D269" s="5" t="s">
        <v>35</v>
      </c>
      <c r="E269" s="6" t="s">
        <v>426</v>
      </c>
      <c r="F269" s="5" t="s">
        <v>19</v>
      </c>
      <c r="G269" s="5" t="s">
        <v>52</v>
      </c>
      <c r="H269" s="5">
        <v>16202.0</v>
      </c>
      <c r="I269" s="5">
        <v>80.0</v>
      </c>
      <c r="J269" s="5">
        <v>11786.0</v>
      </c>
      <c r="K269" s="5">
        <v>15365.0</v>
      </c>
      <c r="L269" s="5">
        <v>2.0</v>
      </c>
      <c r="M269" s="5">
        <v>1570.34276</v>
      </c>
    </row>
    <row r="270">
      <c r="A270" s="4" t="s">
        <v>428</v>
      </c>
      <c r="B270" s="5" t="s">
        <v>22</v>
      </c>
      <c r="C270" s="5" t="s">
        <v>31</v>
      </c>
      <c r="D270" s="5" t="s">
        <v>17</v>
      </c>
      <c r="E270" s="6" t="s">
        <v>429</v>
      </c>
      <c r="F270" s="5" t="s">
        <v>46</v>
      </c>
      <c r="G270" s="5" t="s">
        <v>27</v>
      </c>
      <c r="H270" s="5">
        <v>13779.0</v>
      </c>
      <c r="I270" s="5">
        <v>96.0</v>
      </c>
      <c r="J270" s="5">
        <v>3482.0</v>
      </c>
      <c r="K270" s="5">
        <v>12487.0</v>
      </c>
      <c r="L270" s="5">
        <v>4.0</v>
      </c>
      <c r="M270" s="5">
        <v>1530.041892</v>
      </c>
    </row>
    <row r="271">
      <c r="A271" s="4" t="s">
        <v>430</v>
      </c>
      <c r="B271" s="5" t="s">
        <v>15</v>
      </c>
      <c r="C271" s="5" t="s">
        <v>16</v>
      </c>
      <c r="D271" s="5" t="s">
        <v>43</v>
      </c>
      <c r="E271" s="6" t="s">
        <v>431</v>
      </c>
      <c r="F271" s="5" t="s">
        <v>19</v>
      </c>
      <c r="G271" s="5" t="s">
        <v>27</v>
      </c>
      <c r="H271" s="5">
        <v>13183.0</v>
      </c>
      <c r="I271" s="5">
        <v>100.0</v>
      </c>
      <c r="J271" s="5">
        <v>4337.0</v>
      </c>
      <c r="K271" s="5">
        <v>10596.0</v>
      </c>
      <c r="L271" s="5">
        <v>1.0</v>
      </c>
      <c r="M271" s="5">
        <v>2430.243664</v>
      </c>
    </row>
    <row r="272">
      <c r="A272" s="4" t="s">
        <v>432</v>
      </c>
      <c r="B272" s="5" t="s">
        <v>22</v>
      </c>
      <c r="C272" s="5" t="s">
        <v>42</v>
      </c>
      <c r="D272" s="5" t="s">
        <v>433</v>
      </c>
      <c r="E272" s="6" t="s">
        <v>434</v>
      </c>
      <c r="F272" s="5" t="s">
        <v>19</v>
      </c>
      <c r="G272" s="5" t="s">
        <v>27</v>
      </c>
      <c r="H272" s="5">
        <v>109709.0</v>
      </c>
      <c r="I272" s="5">
        <v>278.0</v>
      </c>
      <c r="J272" s="5">
        <v>3064.0</v>
      </c>
      <c r="K272" s="5">
        <v>15428.0</v>
      </c>
      <c r="L272" s="5">
        <v>20.0</v>
      </c>
      <c r="M272" s="5">
        <v>5409.083955</v>
      </c>
    </row>
    <row r="273">
      <c r="A273" s="4" t="s">
        <v>435</v>
      </c>
      <c r="B273" s="5" t="s">
        <v>15</v>
      </c>
      <c r="C273" s="5" t="s">
        <v>16</v>
      </c>
      <c r="D273" s="5" t="s">
        <v>17</v>
      </c>
      <c r="E273" s="6" t="s">
        <v>434</v>
      </c>
      <c r="F273" s="5" t="s">
        <v>46</v>
      </c>
      <c r="G273" s="5" t="s">
        <v>20</v>
      </c>
      <c r="H273" s="5">
        <v>120902.0</v>
      </c>
      <c r="I273" s="5">
        <v>333.0</v>
      </c>
      <c r="J273" s="5">
        <v>9964.0</v>
      </c>
      <c r="K273" s="5">
        <v>70015.0</v>
      </c>
      <c r="L273" s="5">
        <v>15.0</v>
      </c>
      <c r="M273" s="5">
        <v>4669.013669</v>
      </c>
    </row>
    <row r="274">
      <c r="A274" s="4" t="s">
        <v>436</v>
      </c>
      <c r="B274" s="5" t="s">
        <v>22</v>
      </c>
      <c r="C274" s="5" t="s">
        <v>42</v>
      </c>
      <c r="D274" s="5" t="s">
        <v>78</v>
      </c>
      <c r="E274" s="6" t="s">
        <v>434</v>
      </c>
      <c r="F274" s="5" t="s">
        <v>46</v>
      </c>
      <c r="G274" s="5" t="s">
        <v>27</v>
      </c>
      <c r="H274" s="5">
        <v>45397.0</v>
      </c>
      <c r="I274" s="5">
        <v>114.0</v>
      </c>
      <c r="J274" s="5">
        <v>716.0</v>
      </c>
      <c r="K274" s="5">
        <v>6867.0</v>
      </c>
      <c r="L274" s="5">
        <v>15.0</v>
      </c>
      <c r="M274" s="5">
        <v>4582.453291</v>
      </c>
    </row>
    <row r="275">
      <c r="A275" s="4" t="s">
        <v>437</v>
      </c>
      <c r="B275" s="5" t="s">
        <v>22</v>
      </c>
      <c r="C275" s="5" t="s">
        <v>16</v>
      </c>
      <c r="D275" s="5" t="s">
        <v>84</v>
      </c>
      <c r="E275" s="6" t="s">
        <v>434</v>
      </c>
      <c r="F275" s="5" t="s">
        <v>117</v>
      </c>
      <c r="G275" s="5" t="s">
        <v>27</v>
      </c>
      <c r="H275" s="5">
        <v>13293.0</v>
      </c>
      <c r="I275" s="5">
        <v>74.0</v>
      </c>
      <c r="J275" s="5">
        <v>9054.0</v>
      </c>
      <c r="K275" s="5">
        <v>12676.0</v>
      </c>
      <c r="L275" s="5">
        <v>5.0</v>
      </c>
      <c r="M275" s="5">
        <v>2901.209509</v>
      </c>
    </row>
    <row r="276">
      <c r="A276" s="4" t="s">
        <v>438</v>
      </c>
      <c r="B276" s="5" t="s">
        <v>15</v>
      </c>
      <c r="C276" s="5" t="s">
        <v>42</v>
      </c>
      <c r="D276" s="5" t="s">
        <v>17</v>
      </c>
      <c r="E276" s="6" t="s">
        <v>439</v>
      </c>
      <c r="F276" s="5" t="s">
        <v>46</v>
      </c>
      <c r="G276" s="5" t="s">
        <v>20</v>
      </c>
      <c r="H276" s="5">
        <v>12001.0</v>
      </c>
      <c r="I276" s="5">
        <v>40.0</v>
      </c>
      <c r="J276" s="5">
        <v>7173.0</v>
      </c>
      <c r="K276" s="5">
        <v>11432.0</v>
      </c>
      <c r="L276" s="5">
        <v>2.0</v>
      </c>
      <c r="M276" s="5">
        <v>1659.932713</v>
      </c>
    </row>
    <row r="277">
      <c r="A277" s="4" t="s">
        <v>440</v>
      </c>
      <c r="B277" s="5" t="s">
        <v>61</v>
      </c>
      <c r="C277" s="5" t="s">
        <v>31</v>
      </c>
      <c r="D277" s="5" t="s">
        <v>17</v>
      </c>
      <c r="E277" s="6" t="s">
        <v>441</v>
      </c>
      <c r="F277" s="5" t="s">
        <v>19</v>
      </c>
      <c r="G277" s="5" t="s">
        <v>27</v>
      </c>
      <c r="H277" s="5">
        <v>20537.0</v>
      </c>
      <c r="I277" s="5">
        <v>84.0</v>
      </c>
      <c r="J277" s="5">
        <v>15587.0</v>
      </c>
      <c r="K277" s="5">
        <v>19288.0</v>
      </c>
      <c r="L277" s="5">
        <v>10.0</v>
      </c>
      <c r="M277" s="5">
        <v>1609.880674</v>
      </c>
    </row>
    <row r="278">
      <c r="A278" s="4" t="s">
        <v>442</v>
      </c>
      <c r="B278" s="5" t="s">
        <v>15</v>
      </c>
      <c r="C278" s="5" t="s">
        <v>31</v>
      </c>
      <c r="D278" s="5" t="s">
        <v>304</v>
      </c>
      <c r="E278" s="6" t="s">
        <v>443</v>
      </c>
      <c r="F278" s="5" t="s">
        <v>19</v>
      </c>
      <c r="G278" s="5" t="s">
        <v>27</v>
      </c>
      <c r="H278" s="5">
        <v>8730.0</v>
      </c>
      <c r="I278" s="5">
        <v>22.0</v>
      </c>
      <c r="J278" s="5">
        <v>3725.0</v>
      </c>
      <c r="K278" s="5">
        <v>7413.0</v>
      </c>
      <c r="L278" s="5">
        <v>3.0</v>
      </c>
      <c r="M278" s="5">
        <v>3268.007134</v>
      </c>
    </row>
    <row r="279">
      <c r="A279" s="4" t="s">
        <v>444</v>
      </c>
      <c r="B279" s="5" t="s">
        <v>22</v>
      </c>
      <c r="C279" s="5" t="s">
        <v>31</v>
      </c>
      <c r="D279" s="5" t="s">
        <v>95</v>
      </c>
      <c r="E279" s="6" t="s">
        <v>445</v>
      </c>
      <c r="F279" s="5" t="s">
        <v>19</v>
      </c>
      <c r="G279" s="5" t="s">
        <v>27</v>
      </c>
      <c r="H279" s="5">
        <v>26820.0</v>
      </c>
      <c r="I279" s="5">
        <v>80.0</v>
      </c>
      <c r="J279" s="5">
        <v>13553.0</v>
      </c>
      <c r="K279" s="5">
        <v>21192.0</v>
      </c>
      <c r="L279" s="5">
        <v>12.0</v>
      </c>
      <c r="M279" s="5">
        <v>6745.10344</v>
      </c>
    </row>
    <row r="280">
      <c r="A280" s="4" t="s">
        <v>446</v>
      </c>
      <c r="B280" s="5" t="s">
        <v>15</v>
      </c>
      <c r="C280" s="5" t="s">
        <v>42</v>
      </c>
      <c r="D280" s="5" t="s">
        <v>17</v>
      </c>
      <c r="E280" s="6" t="s">
        <v>447</v>
      </c>
      <c r="F280" s="5" t="s">
        <v>167</v>
      </c>
      <c r="G280" s="5" t="s">
        <v>27</v>
      </c>
      <c r="H280" s="5">
        <v>9149.0</v>
      </c>
      <c r="I280" s="5">
        <v>40.0</v>
      </c>
      <c r="J280" s="5">
        <v>4568.0</v>
      </c>
      <c r="K280" s="5">
        <v>8648.0</v>
      </c>
      <c r="L280" s="5">
        <v>4.0</v>
      </c>
      <c r="M280" s="5">
        <v>1758.098365</v>
      </c>
    </row>
    <row r="281">
      <c r="A281" s="4" t="s">
        <v>448</v>
      </c>
      <c r="B281" s="5" t="s">
        <v>22</v>
      </c>
      <c r="C281" s="5" t="s">
        <v>42</v>
      </c>
      <c r="D281" s="5" t="s">
        <v>78</v>
      </c>
      <c r="E281" s="6" t="s">
        <v>449</v>
      </c>
      <c r="F281" s="5" t="s">
        <v>184</v>
      </c>
      <c r="G281" s="5" t="s">
        <v>27</v>
      </c>
      <c r="H281" s="5">
        <v>13655.0</v>
      </c>
      <c r="I281" s="5">
        <v>66.0</v>
      </c>
      <c r="J281" s="5">
        <v>9519.0</v>
      </c>
      <c r="K281" s="5">
        <v>13041.0</v>
      </c>
      <c r="L281" s="5">
        <v>3.0</v>
      </c>
      <c r="M281" s="5">
        <v>1475.245119</v>
      </c>
    </row>
    <row r="282">
      <c r="A282" s="4" t="s">
        <v>450</v>
      </c>
      <c r="B282" s="5" t="s">
        <v>61</v>
      </c>
      <c r="C282" s="5" t="s">
        <v>31</v>
      </c>
      <c r="D282" s="5" t="s">
        <v>78</v>
      </c>
      <c r="E282" s="6" t="s">
        <v>451</v>
      </c>
      <c r="F282" s="5" t="s">
        <v>19</v>
      </c>
      <c r="G282" s="5" t="s">
        <v>27</v>
      </c>
      <c r="H282" s="5">
        <v>17518.0</v>
      </c>
      <c r="I282" s="5">
        <v>60.0</v>
      </c>
      <c r="J282" s="5">
        <v>11513.0</v>
      </c>
      <c r="K282" s="5">
        <v>16192.0</v>
      </c>
      <c r="L282" s="5">
        <v>12.0</v>
      </c>
      <c r="M282" s="5">
        <v>6765.0004</v>
      </c>
    </row>
    <row r="283">
      <c r="A283" s="4" t="s">
        <v>452</v>
      </c>
      <c r="B283" s="5" t="s">
        <v>22</v>
      </c>
      <c r="C283" s="5" t="s">
        <v>16</v>
      </c>
      <c r="D283" s="5" t="s">
        <v>55</v>
      </c>
      <c r="E283" s="6" t="s">
        <v>451</v>
      </c>
      <c r="F283" s="5" t="s">
        <v>19</v>
      </c>
      <c r="G283" s="5" t="s">
        <v>27</v>
      </c>
      <c r="H283" s="5">
        <v>16580.0</v>
      </c>
      <c r="I283" s="5">
        <v>84.0</v>
      </c>
      <c r="J283" s="5">
        <v>11928.0</v>
      </c>
      <c r="K283" s="5">
        <v>14527.0</v>
      </c>
      <c r="L283" s="5">
        <v>6.0</v>
      </c>
      <c r="M283" s="5">
        <v>1965.738947</v>
      </c>
    </row>
    <row r="284">
      <c r="A284" s="4" t="s">
        <v>453</v>
      </c>
      <c r="B284" s="5" t="s">
        <v>22</v>
      </c>
      <c r="C284" s="5" t="s">
        <v>23</v>
      </c>
      <c r="D284" s="5" t="s">
        <v>55</v>
      </c>
      <c r="E284" s="6" t="s">
        <v>454</v>
      </c>
      <c r="F284" s="5" t="s">
        <v>46</v>
      </c>
      <c r="G284" s="5" t="s">
        <v>27</v>
      </c>
      <c r="H284" s="5">
        <v>14379.0</v>
      </c>
      <c r="I284" s="5">
        <v>30.0</v>
      </c>
      <c r="J284" s="5">
        <v>6272.0</v>
      </c>
      <c r="K284" s="5">
        <v>11886.0</v>
      </c>
      <c r="L284" s="5">
        <v>18.0</v>
      </c>
      <c r="M284" s="5">
        <v>1973.562233</v>
      </c>
    </row>
    <row r="285">
      <c r="A285" s="4" t="s">
        <v>455</v>
      </c>
      <c r="B285" s="5" t="s">
        <v>22</v>
      </c>
      <c r="C285" s="5" t="s">
        <v>16</v>
      </c>
      <c r="D285" s="5" t="s">
        <v>43</v>
      </c>
      <c r="E285" s="6" t="s">
        <v>456</v>
      </c>
      <c r="F285" s="5" t="s">
        <v>19</v>
      </c>
      <c r="G285" s="5" t="s">
        <v>27</v>
      </c>
      <c r="H285" s="5">
        <v>138904.0</v>
      </c>
      <c r="I285" s="5">
        <v>399.0</v>
      </c>
      <c r="J285" s="5">
        <v>98952.0</v>
      </c>
      <c r="K285" s="5">
        <v>120688.0</v>
      </c>
      <c r="L285" s="5">
        <v>25.0</v>
      </c>
      <c r="M285" s="5">
        <v>5038.644724</v>
      </c>
    </row>
    <row r="286">
      <c r="A286" s="4" t="s">
        <v>457</v>
      </c>
      <c r="B286" s="5" t="s">
        <v>15</v>
      </c>
      <c r="C286" s="5" t="s">
        <v>23</v>
      </c>
      <c r="D286" s="5" t="s">
        <v>78</v>
      </c>
      <c r="E286" s="6" t="s">
        <v>458</v>
      </c>
      <c r="F286" s="5" t="s">
        <v>46</v>
      </c>
      <c r="G286" s="5" t="s">
        <v>52</v>
      </c>
      <c r="H286" s="5">
        <v>99205.0</v>
      </c>
      <c r="I286" s="5">
        <v>230.0</v>
      </c>
      <c r="J286" s="5">
        <v>49240.0</v>
      </c>
      <c r="K286" s="5">
        <v>72687.0</v>
      </c>
      <c r="L286" s="5">
        <v>21.0</v>
      </c>
      <c r="M286" s="5">
        <v>6185.002486</v>
      </c>
    </row>
    <row r="287">
      <c r="A287" s="4" t="s">
        <v>459</v>
      </c>
      <c r="B287" s="5" t="s">
        <v>15</v>
      </c>
      <c r="C287" s="5" t="s">
        <v>42</v>
      </c>
      <c r="D287" s="5" t="s">
        <v>29</v>
      </c>
      <c r="E287" s="6" t="s">
        <v>460</v>
      </c>
      <c r="F287" s="5" t="s">
        <v>19</v>
      </c>
      <c r="G287" s="5" t="s">
        <v>52</v>
      </c>
      <c r="H287" s="5">
        <v>27473.0</v>
      </c>
      <c r="I287" s="5">
        <v>69.0</v>
      </c>
      <c r="J287" s="5">
        <v>11306.0</v>
      </c>
      <c r="K287" s="5">
        <v>20625.0</v>
      </c>
      <c r="L287" s="5">
        <v>2.0</v>
      </c>
      <c r="M287" s="5">
        <v>2922.286102</v>
      </c>
    </row>
    <row r="288">
      <c r="A288" s="4" t="s">
        <v>461</v>
      </c>
      <c r="B288" s="5" t="s">
        <v>15</v>
      </c>
      <c r="C288" s="5" t="s">
        <v>16</v>
      </c>
      <c r="D288" s="5" t="s">
        <v>78</v>
      </c>
      <c r="E288" s="6" t="s">
        <v>462</v>
      </c>
      <c r="F288" s="5" t="s">
        <v>46</v>
      </c>
      <c r="G288" s="5" t="s">
        <v>27</v>
      </c>
      <c r="H288" s="5">
        <v>7356.0</v>
      </c>
      <c r="I288" s="5">
        <v>10.0</v>
      </c>
      <c r="J288" s="5">
        <v>1588.0</v>
      </c>
      <c r="K288" s="5">
        <v>7088.0</v>
      </c>
      <c r="L288" s="5">
        <v>1.0</v>
      </c>
      <c r="M288" s="5">
        <v>1730.37357</v>
      </c>
    </row>
    <row r="289">
      <c r="A289" s="4" t="s">
        <v>463</v>
      </c>
      <c r="B289" s="5" t="s">
        <v>22</v>
      </c>
      <c r="C289" s="5" t="s">
        <v>42</v>
      </c>
      <c r="D289" s="5" t="s">
        <v>24</v>
      </c>
      <c r="E289" s="6" t="s">
        <v>464</v>
      </c>
      <c r="F289" s="5" t="s">
        <v>19</v>
      </c>
      <c r="G289" s="5" t="s">
        <v>27</v>
      </c>
      <c r="H289" s="5">
        <v>9261.0</v>
      </c>
      <c r="I289" s="5">
        <v>66.0</v>
      </c>
      <c r="J289" s="5">
        <v>3852.0</v>
      </c>
      <c r="K289" s="5">
        <v>8526.0</v>
      </c>
      <c r="L289" s="5">
        <v>9.0</v>
      </c>
      <c r="M289" s="5">
        <v>6511.029576</v>
      </c>
    </row>
    <row r="290">
      <c r="A290" s="4" t="s">
        <v>465</v>
      </c>
      <c r="B290" s="5" t="s">
        <v>22</v>
      </c>
      <c r="C290" s="5" t="s">
        <v>16</v>
      </c>
      <c r="D290" s="5" t="s">
        <v>131</v>
      </c>
      <c r="E290" s="6" t="s">
        <v>464</v>
      </c>
      <c r="F290" s="5" t="s">
        <v>26</v>
      </c>
      <c r="G290" s="5" t="s">
        <v>27</v>
      </c>
      <c r="H290" s="5">
        <v>19344.0</v>
      </c>
      <c r="I290" s="5">
        <v>68.0</v>
      </c>
      <c r="J290" s="5">
        <v>2353.0</v>
      </c>
      <c r="K290" s="5">
        <v>18261.0</v>
      </c>
      <c r="L290" s="5">
        <v>10.0</v>
      </c>
      <c r="M290" s="5">
        <v>1500.722291</v>
      </c>
    </row>
    <row r="291">
      <c r="A291" s="4" t="s">
        <v>466</v>
      </c>
      <c r="B291" s="5" t="s">
        <v>15</v>
      </c>
      <c r="C291" s="5" t="s">
        <v>42</v>
      </c>
      <c r="D291" s="5" t="s">
        <v>55</v>
      </c>
      <c r="E291" s="6" t="s">
        <v>467</v>
      </c>
      <c r="F291" s="5" t="s">
        <v>19</v>
      </c>
      <c r="G291" s="5" t="s">
        <v>27</v>
      </c>
      <c r="H291" s="5">
        <v>11672.0</v>
      </c>
      <c r="I291" s="5">
        <v>84.0</v>
      </c>
      <c r="J291" s="5">
        <v>7619.0</v>
      </c>
      <c r="K291" s="5">
        <v>9999.0</v>
      </c>
      <c r="L291" s="5">
        <v>7.0</v>
      </c>
      <c r="M291" s="5">
        <v>5284.27704</v>
      </c>
    </row>
    <row r="292">
      <c r="A292" s="4" t="s">
        <v>468</v>
      </c>
      <c r="B292" s="5" t="s">
        <v>15</v>
      </c>
      <c r="C292" s="5" t="s">
        <v>42</v>
      </c>
      <c r="D292" s="5" t="s">
        <v>17</v>
      </c>
      <c r="E292" s="6" t="s">
        <v>469</v>
      </c>
      <c r="F292" s="5" t="s">
        <v>117</v>
      </c>
      <c r="G292" s="5" t="s">
        <v>27</v>
      </c>
      <c r="H292" s="5">
        <v>8273.0</v>
      </c>
      <c r="I292" s="5">
        <v>24.0</v>
      </c>
      <c r="J292" s="5">
        <v>1929.0</v>
      </c>
      <c r="K292" s="5">
        <v>7441.0</v>
      </c>
      <c r="L292" s="5">
        <v>3.0</v>
      </c>
      <c r="M292" s="5">
        <v>4689.521024</v>
      </c>
    </row>
    <row r="293">
      <c r="A293" s="4" t="s">
        <v>470</v>
      </c>
      <c r="B293" s="5" t="s">
        <v>15</v>
      </c>
      <c r="C293" s="5" t="s">
        <v>16</v>
      </c>
      <c r="D293" s="5" t="s">
        <v>471</v>
      </c>
      <c r="E293" s="6" t="s">
        <v>469</v>
      </c>
      <c r="F293" s="5" t="s">
        <v>48</v>
      </c>
      <c r="G293" s="5" t="s">
        <v>27</v>
      </c>
      <c r="H293" s="5">
        <v>13833.0</v>
      </c>
      <c r="I293" s="5">
        <v>84.0</v>
      </c>
      <c r="J293" s="5">
        <v>7693.0</v>
      </c>
      <c r="K293" s="5">
        <v>13237.0</v>
      </c>
      <c r="L293" s="5">
        <v>6.0</v>
      </c>
      <c r="M293" s="5">
        <v>1526.787066</v>
      </c>
    </row>
    <row r="294">
      <c r="A294" s="4" t="s">
        <v>472</v>
      </c>
      <c r="B294" s="5" t="s">
        <v>22</v>
      </c>
      <c r="C294" s="5" t="s">
        <v>23</v>
      </c>
      <c r="D294" s="5" t="s">
        <v>356</v>
      </c>
      <c r="E294" s="6" t="s">
        <v>469</v>
      </c>
      <c r="F294" s="5" t="s">
        <v>19</v>
      </c>
      <c r="G294" s="5" t="s">
        <v>27</v>
      </c>
      <c r="H294" s="5">
        <v>22180.0</v>
      </c>
      <c r="I294" s="5">
        <v>60.0</v>
      </c>
      <c r="J294" s="5">
        <v>4835.0</v>
      </c>
      <c r="K294" s="5">
        <v>19291.0</v>
      </c>
      <c r="L294" s="5">
        <v>9.0</v>
      </c>
      <c r="M294" s="5">
        <v>1441.631095</v>
      </c>
    </row>
    <row r="295">
      <c r="A295" s="4" t="s">
        <v>473</v>
      </c>
      <c r="B295" s="5" t="s">
        <v>22</v>
      </c>
      <c r="C295" s="5" t="s">
        <v>16</v>
      </c>
      <c r="D295" s="5" t="s">
        <v>95</v>
      </c>
      <c r="E295" s="6" t="s">
        <v>474</v>
      </c>
      <c r="F295" s="5" t="s">
        <v>19</v>
      </c>
      <c r="G295" s="5" t="s">
        <v>27</v>
      </c>
      <c r="H295" s="5">
        <v>102905.0</v>
      </c>
      <c r="I295" s="5">
        <v>421.0</v>
      </c>
      <c r="J295" s="5">
        <v>45324.0</v>
      </c>
      <c r="K295" s="5">
        <v>99065.0</v>
      </c>
      <c r="L295" s="5">
        <v>1.0</v>
      </c>
      <c r="M295" s="5">
        <v>6407.581828</v>
      </c>
    </row>
    <row r="296">
      <c r="A296" s="4" t="s">
        <v>475</v>
      </c>
      <c r="B296" s="5" t="s">
        <v>61</v>
      </c>
      <c r="C296" s="5" t="s">
        <v>23</v>
      </c>
      <c r="D296" s="5" t="s">
        <v>78</v>
      </c>
      <c r="E296" s="6" t="s">
        <v>474</v>
      </c>
      <c r="F296" s="5" t="s">
        <v>19</v>
      </c>
      <c r="G296" s="5" t="s">
        <v>27</v>
      </c>
      <c r="H296" s="5">
        <v>89744.0</v>
      </c>
      <c r="I296" s="5">
        <v>311.0</v>
      </c>
      <c r="J296" s="5">
        <v>48786.0</v>
      </c>
      <c r="K296" s="5">
        <v>85900.0</v>
      </c>
      <c r="L296" s="5">
        <v>3.0</v>
      </c>
      <c r="M296" s="5">
        <v>6369.811226</v>
      </c>
    </row>
    <row r="297">
      <c r="A297" s="4" t="s">
        <v>476</v>
      </c>
      <c r="B297" s="5" t="s">
        <v>15</v>
      </c>
      <c r="C297" s="5" t="s">
        <v>23</v>
      </c>
      <c r="D297" s="5" t="s">
        <v>43</v>
      </c>
      <c r="E297" s="6" t="s">
        <v>474</v>
      </c>
      <c r="F297" s="5" t="s">
        <v>26</v>
      </c>
      <c r="G297" s="5" t="s">
        <v>27</v>
      </c>
      <c r="H297" s="5">
        <v>39705.0</v>
      </c>
      <c r="I297" s="5">
        <v>190.0</v>
      </c>
      <c r="J297" s="5">
        <v>12950.0</v>
      </c>
      <c r="K297" s="5">
        <v>38030.0</v>
      </c>
      <c r="L297" s="5">
        <v>3.0</v>
      </c>
      <c r="M297" s="5">
        <v>1476.419509</v>
      </c>
    </row>
    <row r="298">
      <c r="A298" s="4" t="s">
        <v>477</v>
      </c>
      <c r="B298" s="5" t="s">
        <v>22</v>
      </c>
      <c r="C298" s="5" t="s">
        <v>23</v>
      </c>
      <c r="D298" s="5" t="s">
        <v>55</v>
      </c>
      <c r="E298" s="6" t="s">
        <v>478</v>
      </c>
      <c r="F298" s="5" t="s">
        <v>36</v>
      </c>
      <c r="G298" s="5" t="s">
        <v>27</v>
      </c>
      <c r="H298" s="5">
        <v>23941.0</v>
      </c>
      <c r="I298" s="5">
        <v>150.0</v>
      </c>
      <c r="J298" s="5">
        <v>13054.0</v>
      </c>
      <c r="K298" s="5">
        <v>22276.0</v>
      </c>
      <c r="L298" s="5">
        <v>6.0</v>
      </c>
      <c r="M298" s="5">
        <v>2856.165425</v>
      </c>
    </row>
    <row r="299">
      <c r="A299" s="4" t="s">
        <v>479</v>
      </c>
      <c r="B299" s="5" t="s">
        <v>22</v>
      </c>
      <c r="C299" s="5" t="s">
        <v>16</v>
      </c>
      <c r="D299" s="5" t="s">
        <v>35</v>
      </c>
      <c r="E299" s="6" t="s">
        <v>480</v>
      </c>
      <c r="F299" s="5" t="s">
        <v>19</v>
      </c>
      <c r="G299" s="5" t="s">
        <v>27</v>
      </c>
      <c r="H299" s="5">
        <v>42759.0</v>
      </c>
      <c r="I299" s="5">
        <v>177.0</v>
      </c>
      <c r="J299" s="5">
        <v>17744.0</v>
      </c>
      <c r="K299" s="5">
        <v>34812.0</v>
      </c>
      <c r="L299" s="5">
        <v>12.0</v>
      </c>
      <c r="M299" s="5">
        <v>6316.488054</v>
      </c>
    </row>
    <row r="300">
      <c r="A300" s="4" t="s">
        <v>481</v>
      </c>
      <c r="B300" s="5" t="s">
        <v>22</v>
      </c>
      <c r="C300" s="5" t="s">
        <v>23</v>
      </c>
      <c r="D300" s="5" t="s">
        <v>35</v>
      </c>
      <c r="E300" s="6" t="s">
        <v>480</v>
      </c>
      <c r="F300" s="5" t="s">
        <v>117</v>
      </c>
      <c r="G300" s="5" t="s">
        <v>27</v>
      </c>
      <c r="H300" s="5">
        <v>115673.0</v>
      </c>
      <c r="I300" s="5">
        <v>410.0</v>
      </c>
      <c r="J300" s="5">
        <v>52475.0</v>
      </c>
      <c r="K300" s="5">
        <v>97166.0</v>
      </c>
      <c r="L300" s="5">
        <v>22.0</v>
      </c>
      <c r="M300" s="5">
        <v>5045.93793</v>
      </c>
    </row>
    <row r="301">
      <c r="A301" s="4" t="s">
        <v>482</v>
      </c>
      <c r="B301" s="5" t="s">
        <v>15</v>
      </c>
      <c r="C301" s="5" t="s">
        <v>31</v>
      </c>
      <c r="D301" s="5" t="s">
        <v>29</v>
      </c>
      <c r="E301" s="6" t="s">
        <v>480</v>
      </c>
      <c r="F301" s="5" t="s">
        <v>36</v>
      </c>
      <c r="G301" s="5" t="s">
        <v>20</v>
      </c>
      <c r="H301" s="5">
        <v>81486.0</v>
      </c>
      <c r="I301" s="5">
        <v>193.0</v>
      </c>
      <c r="J301" s="5">
        <v>57653.0</v>
      </c>
      <c r="K301" s="5">
        <v>76803.0</v>
      </c>
      <c r="L301" s="5">
        <v>6.0</v>
      </c>
      <c r="M301" s="5">
        <v>1463.842874</v>
      </c>
    </row>
    <row r="302">
      <c r="A302" s="4" t="s">
        <v>483</v>
      </c>
      <c r="B302" s="5" t="s">
        <v>15</v>
      </c>
      <c r="C302" s="5" t="s">
        <v>31</v>
      </c>
      <c r="D302" s="5" t="s">
        <v>55</v>
      </c>
      <c r="E302" s="6" t="s">
        <v>484</v>
      </c>
      <c r="F302" s="5" t="s">
        <v>48</v>
      </c>
      <c r="G302" s="5" t="s">
        <v>52</v>
      </c>
      <c r="H302" s="5">
        <v>31813.0</v>
      </c>
      <c r="I302" s="5">
        <v>84.0</v>
      </c>
      <c r="J302" s="5">
        <v>14149.0</v>
      </c>
      <c r="K302" s="5">
        <v>21281.0</v>
      </c>
      <c r="L302" s="5">
        <v>13.0</v>
      </c>
      <c r="M302" s="5">
        <v>2060.993882</v>
      </c>
    </row>
    <row r="303">
      <c r="A303" s="4" t="s">
        <v>485</v>
      </c>
      <c r="B303" s="5" t="s">
        <v>22</v>
      </c>
      <c r="C303" s="5" t="s">
        <v>31</v>
      </c>
      <c r="D303" s="5" t="s">
        <v>84</v>
      </c>
      <c r="E303" s="6" t="s">
        <v>486</v>
      </c>
      <c r="F303" s="5" t="s">
        <v>19</v>
      </c>
      <c r="G303" s="5" t="s">
        <v>27</v>
      </c>
      <c r="H303" s="5">
        <v>7687.0</v>
      </c>
      <c r="I303" s="5">
        <v>10.0</v>
      </c>
      <c r="J303" s="5">
        <v>5311.0</v>
      </c>
      <c r="K303" s="5">
        <v>7266.0</v>
      </c>
      <c r="L303" s="5">
        <v>6.0</v>
      </c>
      <c r="M303" s="5">
        <v>6486.853909</v>
      </c>
    </row>
    <row r="304">
      <c r="A304" s="4" t="s">
        <v>487</v>
      </c>
      <c r="B304" s="5" t="s">
        <v>15</v>
      </c>
      <c r="C304" s="5" t="s">
        <v>31</v>
      </c>
      <c r="D304" s="5" t="s">
        <v>24</v>
      </c>
      <c r="E304" s="6" t="s">
        <v>486</v>
      </c>
      <c r="F304" s="5" t="s">
        <v>46</v>
      </c>
      <c r="G304" s="5" t="s">
        <v>20</v>
      </c>
      <c r="H304" s="5">
        <v>17228.0</v>
      </c>
      <c r="I304" s="5">
        <v>30.0</v>
      </c>
      <c r="J304" s="5">
        <v>11116.0</v>
      </c>
      <c r="K304" s="5">
        <v>16044.0</v>
      </c>
      <c r="L304" s="5">
        <v>3.0</v>
      </c>
      <c r="M304" s="5">
        <v>1547.513459</v>
      </c>
    </row>
    <row r="305">
      <c r="A305" s="4" t="s">
        <v>488</v>
      </c>
      <c r="B305" s="5" t="s">
        <v>22</v>
      </c>
      <c r="C305" s="5" t="s">
        <v>42</v>
      </c>
      <c r="D305" s="5" t="s">
        <v>78</v>
      </c>
      <c r="E305" s="6" t="s">
        <v>489</v>
      </c>
      <c r="F305" s="5" t="s">
        <v>48</v>
      </c>
      <c r="G305" s="5" t="s">
        <v>27</v>
      </c>
      <c r="H305" s="5">
        <v>21482.0</v>
      </c>
      <c r="I305" s="5">
        <v>67.0</v>
      </c>
      <c r="J305" s="5">
        <v>10473.0</v>
      </c>
      <c r="K305" s="5">
        <v>19679.0</v>
      </c>
      <c r="L305" s="5">
        <v>3.0</v>
      </c>
      <c r="M305" s="5">
        <v>3563.098841</v>
      </c>
    </row>
    <row r="306">
      <c r="A306" s="4" t="s">
        <v>490</v>
      </c>
      <c r="B306" s="5" t="s">
        <v>61</v>
      </c>
      <c r="C306" s="5" t="s">
        <v>16</v>
      </c>
      <c r="D306" s="5" t="s">
        <v>17</v>
      </c>
      <c r="E306" s="6" t="s">
        <v>489</v>
      </c>
      <c r="F306" s="5" t="s">
        <v>19</v>
      </c>
      <c r="G306" s="5" t="s">
        <v>27</v>
      </c>
      <c r="H306" s="5">
        <v>9178.0</v>
      </c>
      <c r="I306" s="5">
        <v>25.0</v>
      </c>
      <c r="J306" s="5">
        <v>4644.0</v>
      </c>
      <c r="K306" s="5">
        <v>8462.0</v>
      </c>
      <c r="L306" s="5">
        <v>2.0</v>
      </c>
      <c r="M306" s="5">
        <v>1503.205183</v>
      </c>
    </row>
    <row r="307">
      <c r="A307" s="4" t="s">
        <v>491</v>
      </c>
      <c r="B307" s="5" t="s">
        <v>22</v>
      </c>
      <c r="C307" s="5" t="s">
        <v>16</v>
      </c>
      <c r="D307" s="5" t="s">
        <v>24</v>
      </c>
      <c r="E307" s="6" t="s">
        <v>489</v>
      </c>
      <c r="F307" s="5" t="s">
        <v>36</v>
      </c>
      <c r="G307" s="5" t="s">
        <v>27</v>
      </c>
      <c r="H307" s="5">
        <v>9040.0</v>
      </c>
      <c r="I307" s="5">
        <v>21.0</v>
      </c>
      <c r="J307" s="5">
        <v>3585.0</v>
      </c>
      <c r="K307" s="5">
        <v>8450.0</v>
      </c>
      <c r="L307" s="5">
        <v>3.0</v>
      </c>
      <c r="M307" s="5">
        <v>1473.192464</v>
      </c>
    </row>
    <row r="308">
      <c r="A308" s="4" t="s">
        <v>492</v>
      </c>
      <c r="B308" s="5" t="s">
        <v>22</v>
      </c>
      <c r="C308" s="5" t="s">
        <v>16</v>
      </c>
      <c r="D308" s="5" t="s">
        <v>78</v>
      </c>
      <c r="E308" s="6" t="s">
        <v>493</v>
      </c>
      <c r="F308" s="5" t="s">
        <v>36</v>
      </c>
      <c r="G308" s="5" t="s">
        <v>27</v>
      </c>
      <c r="H308" s="5">
        <v>96728.0</v>
      </c>
      <c r="I308" s="5">
        <v>341.0</v>
      </c>
      <c r="J308" s="5">
        <v>69700.0</v>
      </c>
      <c r="K308" s="5">
        <v>91910.0</v>
      </c>
      <c r="L308" s="5">
        <v>15.0</v>
      </c>
      <c r="M308" s="5">
        <v>6587.243331</v>
      </c>
    </row>
    <row r="309">
      <c r="A309" s="4" t="s">
        <v>494</v>
      </c>
      <c r="B309" s="5" t="s">
        <v>22</v>
      </c>
      <c r="C309" s="5" t="s">
        <v>23</v>
      </c>
      <c r="D309" s="5" t="s">
        <v>29</v>
      </c>
      <c r="E309" s="6" t="s">
        <v>493</v>
      </c>
      <c r="F309" s="5" t="s">
        <v>19</v>
      </c>
      <c r="G309" s="5" t="s">
        <v>27</v>
      </c>
      <c r="H309" s="5">
        <v>48947.0</v>
      </c>
      <c r="I309" s="5">
        <v>230.0</v>
      </c>
      <c r="J309" s="5">
        <v>32089.0</v>
      </c>
      <c r="K309" s="5">
        <v>45597.0</v>
      </c>
      <c r="L309" s="5">
        <v>21.0</v>
      </c>
      <c r="M309" s="5">
        <v>5702.290265</v>
      </c>
    </row>
    <row r="310">
      <c r="A310" s="4" t="s">
        <v>495</v>
      </c>
      <c r="B310" s="5" t="s">
        <v>61</v>
      </c>
      <c r="C310" s="5" t="s">
        <v>42</v>
      </c>
      <c r="D310" s="5" t="s">
        <v>78</v>
      </c>
      <c r="E310" s="6" t="s">
        <v>493</v>
      </c>
      <c r="F310" s="5" t="s">
        <v>19</v>
      </c>
      <c r="G310" s="5" t="s">
        <v>27</v>
      </c>
      <c r="H310" s="5">
        <v>58938.0</v>
      </c>
      <c r="I310" s="5">
        <v>175.0</v>
      </c>
      <c r="J310" s="5">
        <v>41861.0</v>
      </c>
      <c r="K310" s="5">
        <v>55929.0</v>
      </c>
      <c r="L310" s="5">
        <v>9.0</v>
      </c>
      <c r="M310" s="5">
        <v>4881.198269</v>
      </c>
    </row>
    <row r="311">
      <c r="A311" s="4" t="s">
        <v>496</v>
      </c>
      <c r="B311" s="5" t="s">
        <v>15</v>
      </c>
      <c r="C311" s="5" t="s">
        <v>23</v>
      </c>
      <c r="D311" s="5" t="s">
        <v>35</v>
      </c>
      <c r="E311" s="6" t="s">
        <v>493</v>
      </c>
      <c r="F311" s="5" t="s">
        <v>48</v>
      </c>
      <c r="G311" s="5" t="s">
        <v>27</v>
      </c>
      <c r="H311" s="5">
        <v>49014.0</v>
      </c>
      <c r="I311" s="5">
        <v>100.0</v>
      </c>
      <c r="J311" s="5">
        <v>30349.0</v>
      </c>
      <c r="K311" s="5">
        <v>46446.0</v>
      </c>
      <c r="L311" s="5">
        <v>6.0</v>
      </c>
      <c r="M311" s="5">
        <v>3628.34617</v>
      </c>
    </row>
    <row r="312">
      <c r="A312" s="4" t="s">
        <v>497</v>
      </c>
      <c r="B312" s="5" t="s">
        <v>22</v>
      </c>
      <c r="C312" s="5" t="s">
        <v>42</v>
      </c>
      <c r="D312" s="5" t="s">
        <v>433</v>
      </c>
      <c r="E312" s="6" t="s">
        <v>493</v>
      </c>
      <c r="F312" s="5" t="s">
        <v>46</v>
      </c>
      <c r="G312" s="5" t="s">
        <v>27</v>
      </c>
      <c r="H312" s="5">
        <v>69523.0</v>
      </c>
      <c r="I312" s="5">
        <v>174.0</v>
      </c>
      <c r="J312" s="5">
        <v>48273.0</v>
      </c>
      <c r="K312" s="5">
        <v>65800.0</v>
      </c>
      <c r="L312" s="5">
        <v>9.0</v>
      </c>
      <c r="M312" s="5">
        <v>2649.997803</v>
      </c>
    </row>
    <row r="313">
      <c r="A313" s="4" t="s">
        <v>498</v>
      </c>
      <c r="B313" s="5" t="s">
        <v>61</v>
      </c>
      <c r="C313" s="5" t="s">
        <v>31</v>
      </c>
      <c r="D313" s="5" t="s">
        <v>95</v>
      </c>
      <c r="E313" s="6" t="s">
        <v>493</v>
      </c>
      <c r="F313" s="5" t="s">
        <v>46</v>
      </c>
      <c r="G313" s="5" t="s">
        <v>27</v>
      </c>
      <c r="H313" s="5">
        <v>37717.0</v>
      </c>
      <c r="I313" s="5">
        <v>69.0</v>
      </c>
      <c r="J313" s="5">
        <v>26541.0</v>
      </c>
      <c r="K313" s="5">
        <v>35126.0</v>
      </c>
      <c r="L313" s="5">
        <v>5.0</v>
      </c>
      <c r="M313" s="5">
        <v>1725.271363</v>
      </c>
    </row>
    <row r="314">
      <c r="A314" s="4" t="s">
        <v>499</v>
      </c>
      <c r="B314" s="5" t="s">
        <v>15</v>
      </c>
      <c r="C314" s="5" t="s">
        <v>42</v>
      </c>
      <c r="D314" s="5" t="s">
        <v>131</v>
      </c>
      <c r="E314" s="6" t="s">
        <v>493</v>
      </c>
      <c r="F314" s="5" t="s">
        <v>19</v>
      </c>
      <c r="G314" s="5" t="s">
        <v>20</v>
      </c>
      <c r="H314" s="5">
        <v>16236.0</v>
      </c>
      <c r="I314" s="5">
        <v>50.0</v>
      </c>
      <c r="J314" s="5">
        <v>8669.0</v>
      </c>
      <c r="K314" s="5">
        <v>15208.0</v>
      </c>
      <c r="L314" s="5">
        <v>11.0</v>
      </c>
      <c r="M314" s="5">
        <v>1639.813696</v>
      </c>
    </row>
    <row r="315">
      <c r="A315" s="4" t="s">
        <v>500</v>
      </c>
      <c r="B315" s="5" t="s">
        <v>22</v>
      </c>
      <c r="C315" s="5" t="s">
        <v>16</v>
      </c>
      <c r="D315" s="5" t="s">
        <v>35</v>
      </c>
      <c r="E315" s="6" t="s">
        <v>493</v>
      </c>
      <c r="F315" s="5" t="s">
        <v>19</v>
      </c>
      <c r="G315" s="5" t="s">
        <v>27</v>
      </c>
      <c r="H315" s="5">
        <v>9222.0</v>
      </c>
      <c r="I315" s="5">
        <v>33.0</v>
      </c>
      <c r="J315" s="5">
        <v>5352.0</v>
      </c>
      <c r="K315" s="5">
        <v>8141.0</v>
      </c>
      <c r="L315" s="5">
        <v>2.0</v>
      </c>
      <c r="M315" s="5">
        <v>1583.164302</v>
      </c>
    </row>
    <row r="316">
      <c r="A316" s="4" t="s">
        <v>501</v>
      </c>
      <c r="B316" s="5" t="s">
        <v>22</v>
      </c>
      <c r="C316" s="5" t="s">
        <v>42</v>
      </c>
      <c r="D316" s="5" t="s">
        <v>240</v>
      </c>
      <c r="E316" s="6" t="s">
        <v>502</v>
      </c>
      <c r="F316" s="5" t="s">
        <v>48</v>
      </c>
      <c r="G316" s="5" t="s">
        <v>27</v>
      </c>
      <c r="H316" s="5">
        <v>8233.0</v>
      </c>
      <c r="I316" s="5">
        <v>65.0</v>
      </c>
      <c r="J316" s="5">
        <v>5361.0</v>
      </c>
      <c r="K316" s="5">
        <v>7643.0</v>
      </c>
      <c r="L316" s="5">
        <v>4.0</v>
      </c>
      <c r="M316" s="5">
        <v>6381.006576</v>
      </c>
    </row>
    <row r="317">
      <c r="A317" s="4" t="s">
        <v>503</v>
      </c>
      <c r="B317" s="5" t="s">
        <v>22</v>
      </c>
      <c r="C317" s="5" t="s">
        <v>23</v>
      </c>
      <c r="D317" s="5" t="s">
        <v>173</v>
      </c>
      <c r="E317" s="6" t="s">
        <v>504</v>
      </c>
      <c r="F317" s="5" t="s">
        <v>167</v>
      </c>
      <c r="G317" s="5" t="s">
        <v>27</v>
      </c>
      <c r="H317" s="5">
        <v>9014.0</v>
      </c>
      <c r="I317" s="5">
        <v>26.0</v>
      </c>
      <c r="J317" s="5">
        <v>5054.0</v>
      </c>
      <c r="K317" s="5">
        <v>7227.0</v>
      </c>
      <c r="L317" s="5">
        <v>4.0</v>
      </c>
      <c r="M317" s="5">
        <v>1539.60069</v>
      </c>
    </row>
    <row r="318">
      <c r="A318" s="4" t="s">
        <v>505</v>
      </c>
      <c r="B318" s="5" t="s">
        <v>15</v>
      </c>
      <c r="C318" s="5" t="s">
        <v>23</v>
      </c>
      <c r="D318" s="5" t="s">
        <v>84</v>
      </c>
      <c r="E318" s="6" t="s">
        <v>506</v>
      </c>
      <c r="F318" s="5" t="s">
        <v>46</v>
      </c>
      <c r="G318" s="5" t="s">
        <v>27</v>
      </c>
      <c r="H318" s="5">
        <v>9702.0</v>
      </c>
      <c r="I318" s="5">
        <v>40.0</v>
      </c>
      <c r="J318" s="5">
        <v>5564.0</v>
      </c>
      <c r="K318" s="5">
        <v>8210.0</v>
      </c>
      <c r="L318" s="5">
        <v>1.0</v>
      </c>
      <c r="M318" s="5">
        <v>5711.39201</v>
      </c>
    </row>
    <row r="319">
      <c r="A319" s="4" t="s">
        <v>507</v>
      </c>
      <c r="B319" s="5" t="s">
        <v>15</v>
      </c>
      <c r="C319" s="5" t="s">
        <v>23</v>
      </c>
      <c r="D319" s="5" t="s">
        <v>173</v>
      </c>
      <c r="E319" s="6" t="s">
        <v>508</v>
      </c>
      <c r="F319" s="5" t="s">
        <v>36</v>
      </c>
      <c r="G319" s="5" t="s">
        <v>27</v>
      </c>
      <c r="H319" s="5">
        <v>150457.0</v>
      </c>
      <c r="I319" s="5">
        <v>420.0</v>
      </c>
      <c r="J319" s="5">
        <v>58372.0</v>
      </c>
      <c r="K319" s="5">
        <v>135099.0</v>
      </c>
      <c r="L319" s="5">
        <v>14.0</v>
      </c>
      <c r="M319" s="5">
        <v>5906.830006</v>
      </c>
    </row>
    <row r="320">
      <c r="A320" s="4" t="s">
        <v>509</v>
      </c>
      <c r="B320" s="5" t="s">
        <v>22</v>
      </c>
      <c r="C320" s="5" t="s">
        <v>42</v>
      </c>
      <c r="D320" s="5" t="s">
        <v>471</v>
      </c>
      <c r="E320" s="6" t="s">
        <v>508</v>
      </c>
      <c r="F320" s="5" t="s">
        <v>48</v>
      </c>
      <c r="G320" s="5" t="s">
        <v>27</v>
      </c>
      <c r="H320" s="5">
        <v>190592.0</v>
      </c>
      <c r="I320" s="5">
        <v>601.0</v>
      </c>
      <c r="J320" s="5">
        <v>28906.0</v>
      </c>
      <c r="K320" s="5">
        <v>172515.0</v>
      </c>
      <c r="L320" s="5">
        <v>25.0</v>
      </c>
      <c r="M320" s="5">
        <v>4742.047766</v>
      </c>
    </row>
    <row r="321">
      <c r="A321" s="4" t="s">
        <v>510</v>
      </c>
      <c r="B321" s="5" t="s">
        <v>22</v>
      </c>
      <c r="C321" s="5" t="s">
        <v>23</v>
      </c>
      <c r="D321" s="5" t="s">
        <v>35</v>
      </c>
      <c r="E321" s="6" t="s">
        <v>511</v>
      </c>
      <c r="F321" s="5" t="s">
        <v>46</v>
      </c>
      <c r="G321" s="5" t="s">
        <v>27</v>
      </c>
      <c r="H321" s="5">
        <v>12868.0</v>
      </c>
      <c r="I321" s="5">
        <v>80.0</v>
      </c>
      <c r="J321" s="5">
        <v>6472.0</v>
      </c>
      <c r="K321" s="5">
        <v>11922.0</v>
      </c>
      <c r="L321" s="5">
        <v>6.0</v>
      </c>
      <c r="M321" s="5">
        <v>3137.143043</v>
      </c>
    </row>
    <row r="322">
      <c r="A322" s="4" t="s">
        <v>512</v>
      </c>
      <c r="B322" s="5" t="s">
        <v>22</v>
      </c>
      <c r="C322" s="5" t="s">
        <v>16</v>
      </c>
      <c r="D322" s="5" t="s">
        <v>29</v>
      </c>
      <c r="E322" s="6" t="s">
        <v>511</v>
      </c>
      <c r="F322" s="5" t="s">
        <v>19</v>
      </c>
      <c r="G322" s="5" t="s">
        <v>27</v>
      </c>
      <c r="H322" s="5">
        <v>9059.0</v>
      </c>
      <c r="I322" s="5">
        <v>22.0</v>
      </c>
      <c r="J322" s="5">
        <v>589.0</v>
      </c>
      <c r="K322" s="5">
        <v>7480.0</v>
      </c>
      <c r="L322" s="5">
        <v>4.0</v>
      </c>
      <c r="M322" s="5">
        <v>1908.526117</v>
      </c>
    </row>
    <row r="323">
      <c r="A323" s="4" t="s">
        <v>513</v>
      </c>
      <c r="B323" s="5" t="s">
        <v>15</v>
      </c>
      <c r="C323" s="5" t="s">
        <v>23</v>
      </c>
      <c r="D323" s="5" t="s">
        <v>45</v>
      </c>
      <c r="E323" s="6" t="s">
        <v>511</v>
      </c>
      <c r="F323" s="5" t="s">
        <v>191</v>
      </c>
      <c r="G323" s="5" t="s">
        <v>52</v>
      </c>
      <c r="H323" s="5">
        <v>15904.0</v>
      </c>
      <c r="I323" s="5">
        <v>190.0</v>
      </c>
      <c r="J323" s="5">
        <v>7523.0</v>
      </c>
      <c r="K323" s="5">
        <v>14815.0</v>
      </c>
      <c r="L323" s="5">
        <v>2.0</v>
      </c>
      <c r="M323" s="5">
        <v>1825.725708</v>
      </c>
    </row>
    <row r="324">
      <c r="A324" s="4" t="s">
        <v>514</v>
      </c>
      <c r="B324" s="5" t="s">
        <v>61</v>
      </c>
      <c r="C324" s="5" t="s">
        <v>31</v>
      </c>
      <c r="D324" s="5" t="s">
        <v>35</v>
      </c>
      <c r="E324" s="6" t="s">
        <v>515</v>
      </c>
      <c r="F324" s="5" t="s">
        <v>19</v>
      </c>
      <c r="G324" s="5" t="s">
        <v>27</v>
      </c>
      <c r="H324" s="5">
        <v>7822.0</v>
      </c>
      <c r="I324" s="5">
        <v>25.0</v>
      </c>
      <c r="J324" s="5">
        <v>3786.0</v>
      </c>
      <c r="K324" s="5">
        <v>7232.0</v>
      </c>
      <c r="L324" s="5">
        <v>13.0</v>
      </c>
      <c r="M324" s="5">
        <v>6781.821647</v>
      </c>
    </row>
    <row r="325">
      <c r="A325" s="4" t="s">
        <v>516</v>
      </c>
      <c r="B325" s="5" t="s">
        <v>22</v>
      </c>
      <c r="C325" s="5" t="s">
        <v>42</v>
      </c>
      <c r="D325" s="5" t="s">
        <v>173</v>
      </c>
      <c r="E325" s="6" t="s">
        <v>515</v>
      </c>
      <c r="F325" s="5" t="s">
        <v>26</v>
      </c>
      <c r="G325" s="5" t="s">
        <v>27</v>
      </c>
      <c r="H325" s="5">
        <v>12214.0</v>
      </c>
      <c r="I325" s="5">
        <v>50.0</v>
      </c>
      <c r="J325" s="5">
        <v>5376.0</v>
      </c>
      <c r="K325" s="5">
        <v>11490.0</v>
      </c>
      <c r="L325" s="5">
        <v>7.0</v>
      </c>
      <c r="M325" s="5">
        <v>5616.309402</v>
      </c>
    </row>
    <row r="326">
      <c r="A326" s="4" t="s">
        <v>517</v>
      </c>
      <c r="B326" s="5" t="s">
        <v>15</v>
      </c>
      <c r="C326" s="5" t="s">
        <v>16</v>
      </c>
      <c r="D326" s="5" t="s">
        <v>55</v>
      </c>
      <c r="E326" s="6" t="s">
        <v>518</v>
      </c>
      <c r="F326" s="5" t="s">
        <v>19</v>
      </c>
      <c r="G326" s="5" t="s">
        <v>52</v>
      </c>
      <c r="H326" s="5">
        <v>141165.0</v>
      </c>
      <c r="I326" s="5">
        <v>250.0</v>
      </c>
      <c r="J326" s="5">
        <v>102776.0</v>
      </c>
      <c r="K326" s="5">
        <v>128004.0</v>
      </c>
      <c r="L326" s="5">
        <v>28.0</v>
      </c>
      <c r="M326" s="5">
        <v>7222.211408</v>
      </c>
    </row>
    <row r="327">
      <c r="A327" s="4" t="s">
        <v>519</v>
      </c>
      <c r="B327" s="5" t="s">
        <v>22</v>
      </c>
      <c r="C327" s="5" t="s">
        <v>31</v>
      </c>
      <c r="D327" s="5" t="s">
        <v>35</v>
      </c>
      <c r="E327" s="6" t="s">
        <v>518</v>
      </c>
      <c r="F327" s="5" t="s">
        <v>19</v>
      </c>
      <c r="G327" s="5" t="s">
        <v>27</v>
      </c>
      <c r="H327" s="5">
        <v>7514.0</v>
      </c>
      <c r="I327" s="5">
        <v>20.0</v>
      </c>
      <c r="J327" s="5">
        <v>2646.0</v>
      </c>
      <c r="K327" s="5">
        <v>3373.0</v>
      </c>
      <c r="L327" s="5">
        <v>3.0</v>
      </c>
      <c r="M327" s="5">
        <v>6756.295179</v>
      </c>
    </row>
    <row r="328">
      <c r="A328" s="4" t="s">
        <v>520</v>
      </c>
      <c r="B328" s="5" t="s">
        <v>15</v>
      </c>
      <c r="C328" s="5" t="s">
        <v>23</v>
      </c>
      <c r="D328" s="5" t="s">
        <v>32</v>
      </c>
      <c r="E328" s="6" t="s">
        <v>518</v>
      </c>
      <c r="F328" s="5" t="s">
        <v>136</v>
      </c>
      <c r="G328" s="5" t="s">
        <v>52</v>
      </c>
      <c r="H328" s="5">
        <v>30460.0</v>
      </c>
      <c r="I328" s="5">
        <v>95.0</v>
      </c>
      <c r="J328" s="5">
        <v>21830.0</v>
      </c>
      <c r="K328" s="5">
        <v>27750.0</v>
      </c>
      <c r="L328" s="5">
        <v>25.0</v>
      </c>
      <c r="M328" s="5">
        <v>6643.966542</v>
      </c>
    </row>
    <row r="329">
      <c r="A329" s="4" t="s">
        <v>521</v>
      </c>
      <c r="B329" s="5" t="s">
        <v>15</v>
      </c>
      <c r="C329" s="5" t="s">
        <v>31</v>
      </c>
      <c r="D329" s="5" t="s">
        <v>35</v>
      </c>
      <c r="E329" s="6" t="s">
        <v>518</v>
      </c>
      <c r="F329" s="5" t="s">
        <v>46</v>
      </c>
      <c r="G329" s="5" t="s">
        <v>27</v>
      </c>
      <c r="H329" s="5">
        <v>14083.0</v>
      </c>
      <c r="I329" s="5">
        <v>97.0</v>
      </c>
      <c r="J329" s="5">
        <v>9945.0</v>
      </c>
      <c r="K329" s="5">
        <v>12878.0</v>
      </c>
      <c r="L329" s="5">
        <v>11.0</v>
      </c>
      <c r="M329" s="5">
        <v>5979.67</v>
      </c>
    </row>
    <row r="330">
      <c r="A330" s="4" t="s">
        <v>522</v>
      </c>
      <c r="B330" s="5" t="s">
        <v>61</v>
      </c>
      <c r="C330" s="5" t="s">
        <v>42</v>
      </c>
      <c r="D330" s="5" t="s">
        <v>35</v>
      </c>
      <c r="E330" s="6" t="s">
        <v>518</v>
      </c>
      <c r="F330" s="5" t="s">
        <v>19</v>
      </c>
      <c r="G330" s="5" t="s">
        <v>27</v>
      </c>
      <c r="H330" s="5">
        <v>100058.0</v>
      </c>
      <c r="I330" s="5">
        <v>435.0</v>
      </c>
      <c r="J330" s="5">
        <v>73422.0</v>
      </c>
      <c r="K330" s="5">
        <v>91976.0</v>
      </c>
      <c r="L330" s="5">
        <v>8.0</v>
      </c>
      <c r="M330" s="5">
        <v>5831.225793</v>
      </c>
    </row>
    <row r="331">
      <c r="A331" s="4" t="s">
        <v>523</v>
      </c>
      <c r="B331" s="5" t="s">
        <v>15</v>
      </c>
      <c r="C331" s="5" t="s">
        <v>16</v>
      </c>
      <c r="D331" s="5" t="s">
        <v>78</v>
      </c>
      <c r="E331" s="6" t="s">
        <v>518</v>
      </c>
      <c r="F331" s="5" t="s">
        <v>19</v>
      </c>
      <c r="G331" s="5" t="s">
        <v>52</v>
      </c>
      <c r="H331" s="5">
        <v>83854.0</v>
      </c>
      <c r="I331" s="5">
        <v>197.0</v>
      </c>
      <c r="J331" s="5">
        <v>60626.0</v>
      </c>
      <c r="K331" s="5">
        <v>76071.0</v>
      </c>
      <c r="L331" s="5">
        <v>15.0</v>
      </c>
      <c r="M331" s="5">
        <v>5783.843758</v>
      </c>
    </row>
    <row r="332">
      <c r="A332" s="4" t="s">
        <v>524</v>
      </c>
      <c r="B332" s="5" t="s">
        <v>15</v>
      </c>
      <c r="C332" s="5" t="s">
        <v>16</v>
      </c>
      <c r="D332" s="5" t="s">
        <v>17</v>
      </c>
      <c r="E332" s="6" t="s">
        <v>518</v>
      </c>
      <c r="F332" s="5" t="s">
        <v>26</v>
      </c>
      <c r="G332" s="5" t="s">
        <v>27</v>
      </c>
      <c r="H332" s="5">
        <v>103665.0</v>
      </c>
      <c r="I332" s="5">
        <v>270.0</v>
      </c>
      <c r="J332" s="5">
        <v>77283.0</v>
      </c>
      <c r="K332" s="5">
        <v>94019.0</v>
      </c>
      <c r="L332" s="5">
        <v>4.0</v>
      </c>
      <c r="M332" s="5">
        <v>5284.685565</v>
      </c>
    </row>
    <row r="333">
      <c r="A333" s="4" t="s">
        <v>525</v>
      </c>
      <c r="B333" s="5" t="s">
        <v>15</v>
      </c>
      <c r="C333" s="5" t="s">
        <v>23</v>
      </c>
      <c r="D333" s="5" t="s">
        <v>35</v>
      </c>
      <c r="E333" s="6" t="s">
        <v>518</v>
      </c>
      <c r="F333" s="5" t="s">
        <v>117</v>
      </c>
      <c r="G333" s="5" t="s">
        <v>52</v>
      </c>
      <c r="H333" s="5">
        <v>25889.0</v>
      </c>
      <c r="I333" s="5">
        <v>110.0</v>
      </c>
      <c r="J333" s="5">
        <v>18382.0</v>
      </c>
      <c r="K333" s="5">
        <v>23328.0</v>
      </c>
      <c r="L333" s="5">
        <v>15.0</v>
      </c>
      <c r="M333" s="5">
        <v>4977.784794</v>
      </c>
    </row>
    <row r="334">
      <c r="A334" s="4" t="s">
        <v>526</v>
      </c>
      <c r="B334" s="5" t="s">
        <v>61</v>
      </c>
      <c r="C334" s="5" t="s">
        <v>42</v>
      </c>
      <c r="D334" s="5" t="s">
        <v>24</v>
      </c>
      <c r="E334" s="6" t="s">
        <v>518</v>
      </c>
      <c r="F334" s="5" t="s">
        <v>19</v>
      </c>
      <c r="G334" s="5" t="s">
        <v>27</v>
      </c>
      <c r="H334" s="5">
        <v>39844.0</v>
      </c>
      <c r="I334" s="5">
        <v>101.0</v>
      </c>
      <c r="J334" s="5">
        <v>28001.0</v>
      </c>
      <c r="K334" s="5">
        <v>36335.0</v>
      </c>
      <c r="L334" s="5">
        <v>3.0</v>
      </c>
      <c r="M334" s="5">
        <v>4439.368082</v>
      </c>
    </row>
    <row r="335">
      <c r="A335" s="4" t="s">
        <v>527</v>
      </c>
      <c r="B335" s="5" t="s">
        <v>15</v>
      </c>
      <c r="C335" s="5" t="s">
        <v>23</v>
      </c>
      <c r="D335" s="5" t="s">
        <v>17</v>
      </c>
      <c r="E335" s="6" t="s">
        <v>518</v>
      </c>
      <c r="F335" s="5" t="s">
        <v>19</v>
      </c>
      <c r="G335" s="5" t="s">
        <v>27</v>
      </c>
      <c r="H335" s="5">
        <v>224359.0</v>
      </c>
      <c r="I335" s="5">
        <v>480.0</v>
      </c>
      <c r="J335" s="5">
        <v>163149.0</v>
      </c>
      <c r="K335" s="5">
        <v>200859.0</v>
      </c>
      <c r="L335" s="5">
        <v>5.0</v>
      </c>
      <c r="M335" s="5">
        <v>4196.936777</v>
      </c>
    </row>
    <row r="336">
      <c r="A336" s="4" t="s">
        <v>528</v>
      </c>
      <c r="B336" s="5" t="s">
        <v>22</v>
      </c>
      <c r="C336" s="5" t="s">
        <v>16</v>
      </c>
      <c r="D336" s="5" t="s">
        <v>240</v>
      </c>
      <c r="E336" s="6" t="s">
        <v>518</v>
      </c>
      <c r="F336" s="5" t="s">
        <v>36</v>
      </c>
      <c r="G336" s="5" t="s">
        <v>27</v>
      </c>
      <c r="H336" s="5">
        <v>15399.0</v>
      </c>
      <c r="I336" s="5">
        <v>35.0</v>
      </c>
      <c r="J336" s="5">
        <v>3398.0</v>
      </c>
      <c r="K336" s="5">
        <v>4324.0</v>
      </c>
      <c r="L336" s="5">
        <v>3.0</v>
      </c>
      <c r="M336" s="5">
        <v>3434.731153</v>
      </c>
    </row>
    <row r="337">
      <c r="A337" s="4" t="s">
        <v>529</v>
      </c>
      <c r="B337" s="5" t="s">
        <v>15</v>
      </c>
      <c r="C337" s="5" t="s">
        <v>16</v>
      </c>
      <c r="D337" s="5" t="s">
        <v>17</v>
      </c>
      <c r="E337" s="6" t="s">
        <v>518</v>
      </c>
      <c r="F337" s="5" t="s">
        <v>46</v>
      </c>
      <c r="G337" s="5" t="s">
        <v>27</v>
      </c>
      <c r="H337" s="5">
        <v>136733.0</v>
      </c>
      <c r="I337" s="5">
        <v>110.0</v>
      </c>
      <c r="J337" s="5">
        <v>102728.0</v>
      </c>
      <c r="K337" s="5">
        <v>127130.0</v>
      </c>
      <c r="L337" s="5">
        <v>4.0</v>
      </c>
      <c r="M337" s="5">
        <v>1946.050447</v>
      </c>
    </row>
    <row r="338">
      <c r="A338" s="4" t="s">
        <v>530</v>
      </c>
      <c r="B338" s="5" t="s">
        <v>22</v>
      </c>
      <c r="C338" s="5" t="s">
        <v>31</v>
      </c>
      <c r="D338" s="5" t="s">
        <v>531</v>
      </c>
      <c r="E338" s="6" t="s">
        <v>518</v>
      </c>
      <c r="F338" s="5" t="s">
        <v>19</v>
      </c>
      <c r="G338" s="5" t="s">
        <v>27</v>
      </c>
      <c r="H338" s="5">
        <v>198754.0</v>
      </c>
      <c r="I338" s="5">
        <v>480.0</v>
      </c>
      <c r="J338" s="5">
        <v>137649.0</v>
      </c>
      <c r="K338" s="5">
        <v>178415.0</v>
      </c>
      <c r="L338" s="5">
        <v>4.0</v>
      </c>
      <c r="M338" s="5">
        <v>1803.081497</v>
      </c>
    </row>
    <row r="339">
      <c r="A339" s="4" t="s">
        <v>532</v>
      </c>
      <c r="B339" s="5" t="s">
        <v>15</v>
      </c>
      <c r="C339" s="5" t="s">
        <v>16</v>
      </c>
      <c r="D339" s="5" t="s">
        <v>84</v>
      </c>
      <c r="E339" s="6" t="s">
        <v>518</v>
      </c>
      <c r="F339" s="5" t="s">
        <v>117</v>
      </c>
      <c r="G339" s="5" t="s">
        <v>27</v>
      </c>
      <c r="H339" s="5">
        <v>15033.0</v>
      </c>
      <c r="I339" s="5">
        <v>76.0</v>
      </c>
      <c r="J339" s="5">
        <v>5495.0</v>
      </c>
      <c r="K339" s="5">
        <v>7050.0</v>
      </c>
      <c r="L339" s="5">
        <v>3.0</v>
      </c>
      <c r="M339" s="5">
        <v>1650.72301</v>
      </c>
    </row>
    <row r="340">
      <c r="A340" s="4" t="s">
        <v>533</v>
      </c>
      <c r="B340" s="5" t="s">
        <v>15</v>
      </c>
      <c r="C340" s="5" t="s">
        <v>16</v>
      </c>
      <c r="D340" s="5" t="s">
        <v>78</v>
      </c>
      <c r="E340" s="6" t="s">
        <v>518</v>
      </c>
      <c r="F340" s="5" t="s">
        <v>19</v>
      </c>
      <c r="G340" s="5" t="s">
        <v>27</v>
      </c>
      <c r="H340" s="5">
        <v>92806.0</v>
      </c>
      <c r="I340" s="5">
        <v>212.0</v>
      </c>
      <c r="J340" s="5">
        <v>67534.0</v>
      </c>
      <c r="K340" s="5">
        <v>85013.0</v>
      </c>
      <c r="L340" s="5">
        <v>11.0</v>
      </c>
      <c r="M340" s="5">
        <v>1579.379602</v>
      </c>
    </row>
    <row r="341">
      <c r="A341" s="4" t="s">
        <v>534</v>
      </c>
      <c r="B341" s="5" t="s">
        <v>22</v>
      </c>
      <c r="C341" s="5" t="s">
        <v>16</v>
      </c>
      <c r="D341" s="5" t="s">
        <v>29</v>
      </c>
      <c r="E341" s="6" t="s">
        <v>518</v>
      </c>
      <c r="F341" s="5" t="s">
        <v>46</v>
      </c>
      <c r="G341" s="5" t="s">
        <v>27</v>
      </c>
      <c r="H341" s="5">
        <v>186702.0</v>
      </c>
      <c r="I341" s="5">
        <v>370.0</v>
      </c>
      <c r="J341" s="5">
        <v>132038.0</v>
      </c>
      <c r="K341" s="5">
        <v>167406.0</v>
      </c>
      <c r="L341" s="5">
        <v>4.0</v>
      </c>
      <c r="M341" s="5">
        <v>1568.73602</v>
      </c>
    </row>
    <row r="342">
      <c r="A342" s="4" t="s">
        <v>535</v>
      </c>
      <c r="B342" s="5" t="s">
        <v>22</v>
      </c>
      <c r="C342" s="5" t="s">
        <v>23</v>
      </c>
      <c r="D342" s="5" t="s">
        <v>29</v>
      </c>
      <c r="E342" s="6" t="s">
        <v>518</v>
      </c>
      <c r="F342" s="5" t="s">
        <v>46</v>
      </c>
      <c r="G342" s="5" t="s">
        <v>27</v>
      </c>
      <c r="H342" s="5">
        <v>69136.0</v>
      </c>
      <c r="I342" s="5">
        <v>190.0</v>
      </c>
      <c r="J342" s="5">
        <v>40571.0</v>
      </c>
      <c r="K342" s="5">
        <v>63614.0</v>
      </c>
      <c r="L342" s="5">
        <v>3.0</v>
      </c>
      <c r="M342" s="5">
        <v>1507.946851</v>
      </c>
    </row>
    <row r="343">
      <c r="A343" s="4" t="s">
        <v>536</v>
      </c>
      <c r="B343" s="5" t="s">
        <v>15</v>
      </c>
      <c r="C343" s="5" t="s">
        <v>42</v>
      </c>
      <c r="D343" s="5" t="s">
        <v>95</v>
      </c>
      <c r="E343" s="6" t="s">
        <v>518</v>
      </c>
      <c r="F343" s="5" t="s">
        <v>26</v>
      </c>
      <c r="G343" s="5" t="s">
        <v>52</v>
      </c>
      <c r="H343" s="5">
        <v>32173.0</v>
      </c>
      <c r="I343" s="5">
        <v>104.0</v>
      </c>
      <c r="J343" s="5">
        <v>24427.0</v>
      </c>
      <c r="K343" s="5">
        <v>30084.0</v>
      </c>
      <c r="L343" s="5">
        <v>11.0</v>
      </c>
      <c r="M343" s="5">
        <v>1498.29154</v>
      </c>
    </row>
    <row r="344">
      <c r="A344" s="4" t="s">
        <v>537</v>
      </c>
      <c r="B344" s="5" t="s">
        <v>22</v>
      </c>
      <c r="C344" s="5" t="s">
        <v>23</v>
      </c>
      <c r="D344" s="5" t="s">
        <v>24</v>
      </c>
      <c r="E344" s="6" t="s">
        <v>518</v>
      </c>
      <c r="F344" s="5" t="s">
        <v>36</v>
      </c>
      <c r="G344" s="5" t="s">
        <v>27</v>
      </c>
      <c r="H344" s="5">
        <v>88819.0</v>
      </c>
      <c r="I344" s="5">
        <v>200.0</v>
      </c>
      <c r="J344" s="5">
        <v>65488.0</v>
      </c>
      <c r="K344" s="5">
        <v>80451.0</v>
      </c>
      <c r="L344" s="5">
        <v>6.0</v>
      </c>
      <c r="M344" s="5">
        <v>1442.22799</v>
      </c>
    </row>
    <row r="345">
      <c r="A345" s="4" t="s">
        <v>538</v>
      </c>
      <c r="B345" s="5" t="s">
        <v>22</v>
      </c>
      <c r="C345" s="5" t="s">
        <v>42</v>
      </c>
      <c r="D345" s="5" t="s">
        <v>35</v>
      </c>
      <c r="E345" s="6" t="s">
        <v>539</v>
      </c>
      <c r="F345" s="5" t="s">
        <v>33</v>
      </c>
      <c r="G345" s="5" t="s">
        <v>27</v>
      </c>
      <c r="H345" s="5">
        <v>1323451.0</v>
      </c>
      <c r="I345" s="5">
        <v>3414.0</v>
      </c>
      <c r="J345" s="5">
        <v>737990.0</v>
      </c>
      <c r="K345" s="5">
        <v>1177859.0</v>
      </c>
      <c r="L345" s="5">
        <v>123.0</v>
      </c>
      <c r="M345" s="5">
        <v>8187.114541</v>
      </c>
    </row>
    <row r="346">
      <c r="A346" s="4" t="s">
        <v>540</v>
      </c>
      <c r="B346" s="5" t="s">
        <v>15</v>
      </c>
      <c r="C346" s="5" t="s">
        <v>42</v>
      </c>
      <c r="D346" s="5" t="s">
        <v>35</v>
      </c>
      <c r="E346" s="6" t="s">
        <v>539</v>
      </c>
      <c r="F346" s="5" t="s">
        <v>46</v>
      </c>
      <c r="G346" s="5" t="s">
        <v>27</v>
      </c>
      <c r="H346" s="5">
        <v>728841.0</v>
      </c>
      <c r="I346" s="5">
        <v>2174.0</v>
      </c>
      <c r="J346" s="5">
        <v>424340.0</v>
      </c>
      <c r="K346" s="5">
        <v>634059.0</v>
      </c>
      <c r="L346" s="5">
        <v>37.0</v>
      </c>
      <c r="M346" s="5">
        <v>8054.141368</v>
      </c>
    </row>
    <row r="347">
      <c r="A347" s="4" t="s">
        <v>541</v>
      </c>
      <c r="B347" s="5" t="s">
        <v>22</v>
      </c>
      <c r="C347" s="5" t="s">
        <v>31</v>
      </c>
      <c r="D347" s="5" t="s">
        <v>78</v>
      </c>
      <c r="E347" s="6" t="s">
        <v>539</v>
      </c>
      <c r="F347" s="5" t="s">
        <v>36</v>
      </c>
      <c r="G347" s="5" t="s">
        <v>27</v>
      </c>
      <c r="H347" s="5">
        <v>1010148.0</v>
      </c>
      <c r="I347" s="5">
        <v>2874.0</v>
      </c>
      <c r="J347" s="5">
        <v>699834.0</v>
      </c>
      <c r="K347" s="5">
        <v>955905.0</v>
      </c>
      <c r="L347" s="5">
        <v>31.0</v>
      </c>
      <c r="M347" s="5">
        <v>7788.701621</v>
      </c>
    </row>
    <row r="348">
      <c r="A348" s="4" t="s">
        <v>542</v>
      </c>
      <c r="B348" s="5" t="s">
        <v>15</v>
      </c>
      <c r="C348" s="5" t="s">
        <v>42</v>
      </c>
      <c r="D348" s="5" t="s">
        <v>78</v>
      </c>
      <c r="E348" s="6" t="s">
        <v>539</v>
      </c>
      <c r="F348" s="5" t="s">
        <v>46</v>
      </c>
      <c r="G348" s="5" t="s">
        <v>27</v>
      </c>
      <c r="H348" s="5">
        <v>1956642.0</v>
      </c>
      <c r="I348" s="5">
        <v>4563.0</v>
      </c>
      <c r="J348" s="5">
        <v>981461.0</v>
      </c>
      <c r="K348" s="5">
        <v>1731673.0</v>
      </c>
      <c r="L348" s="5">
        <v>106.0</v>
      </c>
      <c r="M348" s="5">
        <v>7730.240616</v>
      </c>
    </row>
    <row r="349">
      <c r="A349" s="4" t="s">
        <v>543</v>
      </c>
      <c r="B349" s="5" t="s">
        <v>15</v>
      </c>
      <c r="C349" s="5" t="s">
        <v>31</v>
      </c>
      <c r="D349" s="5" t="s">
        <v>55</v>
      </c>
      <c r="E349" s="6" t="s">
        <v>539</v>
      </c>
      <c r="F349" s="5" t="s">
        <v>19</v>
      </c>
      <c r="G349" s="5" t="s">
        <v>27</v>
      </c>
      <c r="H349" s="5">
        <v>23774.0</v>
      </c>
      <c r="I349" s="5">
        <v>60.0</v>
      </c>
      <c r="J349" s="5">
        <v>10735.0</v>
      </c>
      <c r="K349" s="5">
        <v>21076.0</v>
      </c>
      <c r="L349" s="5">
        <v>24.0</v>
      </c>
      <c r="M349" s="5">
        <v>7657.108034</v>
      </c>
    </row>
    <row r="350">
      <c r="A350" s="4" t="s">
        <v>544</v>
      </c>
      <c r="B350" s="5" t="s">
        <v>61</v>
      </c>
      <c r="C350" s="5" t="s">
        <v>31</v>
      </c>
      <c r="D350" s="5" t="s">
        <v>35</v>
      </c>
      <c r="E350" s="6" t="s">
        <v>539</v>
      </c>
      <c r="F350" s="5" t="s">
        <v>36</v>
      </c>
      <c r="G350" s="5" t="s">
        <v>27</v>
      </c>
      <c r="H350" s="5">
        <v>1083050.0</v>
      </c>
      <c r="I350" s="5">
        <v>3984.0</v>
      </c>
      <c r="J350" s="5">
        <v>590156.0</v>
      </c>
      <c r="K350" s="5">
        <v>953556.0</v>
      </c>
      <c r="L350" s="5">
        <v>19.0</v>
      </c>
      <c r="M350" s="5">
        <v>7495.749847</v>
      </c>
    </row>
    <row r="351">
      <c r="A351" s="4" t="s">
        <v>545</v>
      </c>
      <c r="B351" s="5" t="s">
        <v>61</v>
      </c>
      <c r="C351" s="5" t="s">
        <v>16</v>
      </c>
      <c r="D351" s="5" t="s">
        <v>78</v>
      </c>
      <c r="E351" s="6" t="s">
        <v>539</v>
      </c>
      <c r="F351" s="5" t="s">
        <v>19</v>
      </c>
      <c r="G351" s="5" t="s">
        <v>27</v>
      </c>
      <c r="H351" s="5">
        <v>184622.0</v>
      </c>
      <c r="I351" s="5">
        <v>180.0</v>
      </c>
      <c r="J351" s="5">
        <v>98938.0</v>
      </c>
      <c r="K351" s="5">
        <v>161848.0</v>
      </c>
      <c r="L351" s="5">
        <v>13.0</v>
      </c>
      <c r="M351" s="5">
        <v>7149.816075</v>
      </c>
    </row>
    <row r="352">
      <c r="A352" s="4" t="s">
        <v>546</v>
      </c>
      <c r="B352" s="5" t="s">
        <v>22</v>
      </c>
      <c r="C352" s="5" t="s">
        <v>31</v>
      </c>
      <c r="D352" s="5" t="s">
        <v>35</v>
      </c>
      <c r="E352" s="6" t="s">
        <v>539</v>
      </c>
      <c r="F352" s="5" t="s">
        <v>50</v>
      </c>
      <c r="G352" s="5" t="s">
        <v>27</v>
      </c>
      <c r="H352" s="5">
        <v>742281.0</v>
      </c>
      <c r="I352" s="5">
        <v>1999.0</v>
      </c>
      <c r="J352" s="5">
        <v>432673.0</v>
      </c>
      <c r="K352" s="5">
        <v>642404.0</v>
      </c>
      <c r="L352" s="5">
        <v>11.0</v>
      </c>
      <c r="M352" s="5">
        <v>6024.422487</v>
      </c>
    </row>
    <row r="353">
      <c r="A353" s="4" t="s">
        <v>547</v>
      </c>
      <c r="B353" s="5" t="s">
        <v>15</v>
      </c>
      <c r="C353" s="5" t="s">
        <v>16</v>
      </c>
      <c r="D353" s="5" t="s">
        <v>17</v>
      </c>
      <c r="E353" s="6" t="s">
        <v>539</v>
      </c>
      <c r="F353" s="5" t="s">
        <v>26</v>
      </c>
      <c r="G353" s="5" t="s">
        <v>27</v>
      </c>
      <c r="H353" s="5">
        <v>1720462.0</v>
      </c>
      <c r="I353" s="5">
        <v>4865.0</v>
      </c>
      <c r="J353" s="5">
        <v>940296.0</v>
      </c>
      <c r="K353" s="5">
        <v>1516537.0</v>
      </c>
      <c r="L353" s="5">
        <v>20.0</v>
      </c>
      <c r="M353" s="5">
        <v>5906.464967</v>
      </c>
    </row>
    <row r="354">
      <c r="A354" s="4" t="s">
        <v>548</v>
      </c>
      <c r="B354" s="5" t="s">
        <v>15</v>
      </c>
      <c r="C354" s="5" t="s">
        <v>16</v>
      </c>
      <c r="D354" s="5" t="s">
        <v>45</v>
      </c>
      <c r="E354" s="6" t="s">
        <v>539</v>
      </c>
      <c r="F354" s="5" t="s">
        <v>19</v>
      </c>
      <c r="G354" s="5" t="s">
        <v>27</v>
      </c>
      <c r="H354" s="5">
        <v>766674.0</v>
      </c>
      <c r="I354" s="5">
        <v>1984.0</v>
      </c>
      <c r="J354" s="5">
        <v>344201.0</v>
      </c>
      <c r="K354" s="5">
        <v>720606.0</v>
      </c>
      <c r="L354" s="5">
        <v>17.0</v>
      </c>
      <c r="M354" s="5">
        <v>5816.234619</v>
      </c>
    </row>
    <row r="355">
      <c r="A355" s="4" t="s">
        <v>549</v>
      </c>
      <c r="B355" s="5" t="s">
        <v>15</v>
      </c>
      <c r="C355" s="5" t="s">
        <v>23</v>
      </c>
      <c r="D355" s="5" t="s">
        <v>131</v>
      </c>
      <c r="E355" s="6" t="s">
        <v>539</v>
      </c>
      <c r="F355" s="5" t="s">
        <v>19</v>
      </c>
      <c r="G355" s="5" t="s">
        <v>27</v>
      </c>
      <c r="H355" s="5">
        <v>14730.0</v>
      </c>
      <c r="I355" s="5">
        <v>86.0</v>
      </c>
      <c r="J355" s="5">
        <v>6410.0</v>
      </c>
      <c r="K355" s="5">
        <v>10860.0</v>
      </c>
      <c r="L355" s="5">
        <v>6.0</v>
      </c>
      <c r="M355" s="5">
        <v>5287.567528</v>
      </c>
    </row>
    <row r="356">
      <c r="A356" s="4" t="s">
        <v>550</v>
      </c>
      <c r="B356" s="5" t="s">
        <v>22</v>
      </c>
      <c r="C356" s="5" t="s">
        <v>42</v>
      </c>
      <c r="D356" s="5" t="s">
        <v>121</v>
      </c>
      <c r="E356" s="6" t="s">
        <v>539</v>
      </c>
      <c r="F356" s="5" t="s">
        <v>26</v>
      </c>
      <c r="G356" s="5" t="s">
        <v>27</v>
      </c>
      <c r="H356" s="5">
        <v>207685.0</v>
      </c>
      <c r="I356" s="5">
        <v>512.0</v>
      </c>
      <c r="J356" s="5">
        <v>20134.0</v>
      </c>
      <c r="K356" s="5">
        <v>30708.0</v>
      </c>
      <c r="L356" s="5">
        <v>34.0</v>
      </c>
      <c r="M356" s="5">
        <v>5239.204787</v>
      </c>
    </row>
    <row r="357">
      <c r="A357" s="4" t="s">
        <v>551</v>
      </c>
      <c r="B357" s="5" t="s">
        <v>15</v>
      </c>
      <c r="C357" s="5" t="s">
        <v>23</v>
      </c>
      <c r="D357" s="5" t="s">
        <v>17</v>
      </c>
      <c r="E357" s="6" t="s">
        <v>539</v>
      </c>
      <c r="F357" s="5" t="s">
        <v>80</v>
      </c>
      <c r="G357" s="5" t="s">
        <v>27</v>
      </c>
      <c r="H357" s="5">
        <v>908899.0</v>
      </c>
      <c r="I357" s="5">
        <v>1984.0</v>
      </c>
      <c r="J357" s="5">
        <v>644697.0</v>
      </c>
      <c r="K357" s="5">
        <v>853964.0</v>
      </c>
      <c r="L357" s="5">
        <v>32.0</v>
      </c>
      <c r="M357" s="5">
        <v>5181.087383</v>
      </c>
    </row>
    <row r="358">
      <c r="A358" s="4" t="s">
        <v>552</v>
      </c>
      <c r="B358" s="5" t="s">
        <v>15</v>
      </c>
      <c r="C358" s="5" t="s">
        <v>31</v>
      </c>
      <c r="D358" s="5" t="s">
        <v>35</v>
      </c>
      <c r="E358" s="6" t="s">
        <v>539</v>
      </c>
      <c r="F358" s="5" t="s">
        <v>19</v>
      </c>
      <c r="G358" s="5" t="s">
        <v>27</v>
      </c>
      <c r="H358" s="5">
        <v>470192.0</v>
      </c>
      <c r="I358" s="5">
        <v>940.0</v>
      </c>
      <c r="J358" s="5">
        <v>336480.0</v>
      </c>
      <c r="K358" s="5">
        <v>443202.0</v>
      </c>
      <c r="L358" s="5">
        <v>3.0</v>
      </c>
      <c r="M358" s="5">
        <v>4963.966251</v>
      </c>
    </row>
    <row r="359">
      <c r="A359" s="4" t="s">
        <v>553</v>
      </c>
      <c r="B359" s="5" t="s">
        <v>22</v>
      </c>
      <c r="C359" s="5" t="s">
        <v>31</v>
      </c>
      <c r="D359" s="5" t="s">
        <v>78</v>
      </c>
      <c r="E359" s="6" t="s">
        <v>539</v>
      </c>
      <c r="F359" s="5" t="s">
        <v>26</v>
      </c>
      <c r="G359" s="5" t="s">
        <v>27</v>
      </c>
      <c r="H359" s="5">
        <v>65257.0</v>
      </c>
      <c r="I359" s="5">
        <v>201.0</v>
      </c>
      <c r="J359" s="5">
        <v>12749.0</v>
      </c>
      <c r="K359" s="5">
        <v>19274.0</v>
      </c>
      <c r="L359" s="5">
        <v>3.0</v>
      </c>
      <c r="M359" s="5">
        <v>2468.135837</v>
      </c>
    </row>
    <row r="360">
      <c r="A360" s="4" t="s">
        <v>554</v>
      </c>
      <c r="B360" s="5" t="s">
        <v>22</v>
      </c>
      <c r="C360" s="5" t="s">
        <v>23</v>
      </c>
      <c r="D360" s="5" t="s">
        <v>66</v>
      </c>
      <c r="E360" s="6" t="s">
        <v>539</v>
      </c>
      <c r="F360" s="5" t="s">
        <v>19</v>
      </c>
      <c r="G360" s="5" t="s">
        <v>27</v>
      </c>
      <c r="H360" s="5">
        <v>31003.0</v>
      </c>
      <c r="I360" s="5">
        <v>87.0</v>
      </c>
      <c r="J360" s="5">
        <v>12591.0</v>
      </c>
      <c r="K360" s="5">
        <v>22656.0</v>
      </c>
      <c r="L360" s="5">
        <v>8.0</v>
      </c>
      <c r="M360" s="5">
        <v>2294.003778</v>
      </c>
    </row>
    <row r="361">
      <c r="A361" s="4" t="s">
        <v>555</v>
      </c>
      <c r="B361" s="5" t="s">
        <v>15</v>
      </c>
      <c r="C361" s="5" t="s">
        <v>31</v>
      </c>
      <c r="D361" s="5" t="s">
        <v>55</v>
      </c>
      <c r="E361" s="6" t="s">
        <v>539</v>
      </c>
      <c r="F361" s="5" t="s">
        <v>19</v>
      </c>
      <c r="G361" s="5" t="s">
        <v>27</v>
      </c>
      <c r="H361" s="5">
        <v>12988.0</v>
      </c>
      <c r="I361" s="5">
        <v>69.0</v>
      </c>
      <c r="J361" s="5">
        <v>6514.0</v>
      </c>
      <c r="K361" s="5">
        <v>9378.0</v>
      </c>
      <c r="L361" s="5">
        <v>4.0</v>
      </c>
      <c r="M361" s="5">
        <v>2236.485099</v>
      </c>
    </row>
    <row r="362">
      <c r="A362" s="4" t="s">
        <v>556</v>
      </c>
      <c r="B362" s="5" t="s">
        <v>61</v>
      </c>
      <c r="C362" s="5" t="s">
        <v>23</v>
      </c>
      <c r="D362" s="5" t="s">
        <v>35</v>
      </c>
      <c r="E362" s="6" t="s">
        <v>539</v>
      </c>
      <c r="F362" s="5" t="s">
        <v>19</v>
      </c>
      <c r="G362" s="5" t="s">
        <v>27</v>
      </c>
      <c r="H362" s="5">
        <v>562103.0</v>
      </c>
      <c r="I362" s="5">
        <v>1450.0</v>
      </c>
      <c r="J362" s="5">
        <v>340616.0</v>
      </c>
      <c r="K362" s="5">
        <v>488921.0</v>
      </c>
      <c r="L362" s="5">
        <v>8.0</v>
      </c>
      <c r="M362" s="5">
        <v>1733.830172</v>
      </c>
    </row>
    <row r="363">
      <c r="A363" s="4" t="s">
        <v>557</v>
      </c>
      <c r="B363" s="5" t="s">
        <v>22</v>
      </c>
      <c r="C363" s="5" t="s">
        <v>23</v>
      </c>
      <c r="D363" s="5" t="s">
        <v>29</v>
      </c>
      <c r="E363" s="6" t="s">
        <v>539</v>
      </c>
      <c r="F363" s="5" t="s">
        <v>19</v>
      </c>
      <c r="G363" s="5" t="s">
        <v>27</v>
      </c>
      <c r="H363" s="5">
        <v>780475.0</v>
      </c>
      <c r="I363" s="5">
        <v>2186.0</v>
      </c>
      <c r="J363" s="5">
        <v>453974.0</v>
      </c>
      <c r="K363" s="5">
        <v>691696.0</v>
      </c>
      <c r="L363" s="5">
        <v>11.0</v>
      </c>
      <c r="M363" s="5">
        <v>1726.249457</v>
      </c>
    </row>
    <row r="364">
      <c r="A364" s="4" t="s">
        <v>558</v>
      </c>
      <c r="B364" s="5" t="s">
        <v>15</v>
      </c>
      <c r="C364" s="5" t="s">
        <v>16</v>
      </c>
      <c r="D364" s="5" t="s">
        <v>78</v>
      </c>
      <c r="E364" s="6" t="s">
        <v>539</v>
      </c>
      <c r="F364" s="5" t="s">
        <v>46</v>
      </c>
      <c r="G364" s="5" t="s">
        <v>27</v>
      </c>
      <c r="H364" s="5">
        <v>7540.0</v>
      </c>
      <c r="I364" s="5">
        <v>10.0</v>
      </c>
      <c r="J364" s="5">
        <v>1475.0</v>
      </c>
      <c r="K364" s="5">
        <v>2054.0</v>
      </c>
      <c r="L364" s="5">
        <v>1.0</v>
      </c>
      <c r="M364" s="5">
        <v>1713.978863</v>
      </c>
    </row>
    <row r="365">
      <c r="A365" s="4" t="s">
        <v>559</v>
      </c>
      <c r="B365" s="5" t="s">
        <v>15</v>
      </c>
      <c r="C365" s="5" t="s">
        <v>23</v>
      </c>
      <c r="D365" s="5" t="s">
        <v>39</v>
      </c>
      <c r="E365" s="6" t="s">
        <v>539</v>
      </c>
      <c r="F365" s="5" t="s">
        <v>19</v>
      </c>
      <c r="G365" s="5" t="s">
        <v>27</v>
      </c>
      <c r="H365" s="5">
        <v>482834.0</v>
      </c>
      <c r="I365" s="5">
        <v>1269.0</v>
      </c>
      <c r="J365" s="5">
        <v>292059.0</v>
      </c>
      <c r="K365" s="5">
        <v>428761.0</v>
      </c>
      <c r="L365" s="5">
        <v>7.0</v>
      </c>
      <c r="M365" s="5">
        <v>1594.463397</v>
      </c>
    </row>
    <row r="366">
      <c r="A366" s="4" t="s">
        <v>560</v>
      </c>
      <c r="B366" s="5" t="s">
        <v>15</v>
      </c>
      <c r="C366" s="5" t="s">
        <v>16</v>
      </c>
      <c r="D366" s="5" t="s">
        <v>39</v>
      </c>
      <c r="E366" s="6" t="s">
        <v>539</v>
      </c>
      <c r="F366" s="5" t="s">
        <v>117</v>
      </c>
      <c r="G366" s="5" t="s">
        <v>27</v>
      </c>
      <c r="H366" s="5">
        <v>19464.0</v>
      </c>
      <c r="I366" s="5">
        <v>68.0</v>
      </c>
      <c r="J366" s="5">
        <v>11814.0</v>
      </c>
      <c r="K366" s="5">
        <v>17040.0</v>
      </c>
      <c r="L366" s="5">
        <v>9.0</v>
      </c>
      <c r="M366" s="5">
        <v>1540.46935</v>
      </c>
    </row>
    <row r="367">
      <c r="A367" s="4" t="s">
        <v>561</v>
      </c>
      <c r="B367" s="5" t="s">
        <v>22</v>
      </c>
      <c r="C367" s="5" t="s">
        <v>16</v>
      </c>
      <c r="D367" s="5" t="s">
        <v>17</v>
      </c>
      <c r="E367" s="6" t="s">
        <v>539</v>
      </c>
      <c r="F367" s="5" t="s">
        <v>26</v>
      </c>
      <c r="G367" s="5" t="s">
        <v>27</v>
      </c>
      <c r="H367" s="5">
        <v>50838.0</v>
      </c>
      <c r="I367" s="5">
        <v>130.0</v>
      </c>
      <c r="J367" s="5">
        <v>23274.0</v>
      </c>
      <c r="K367" s="5">
        <v>35934.0</v>
      </c>
      <c r="L367" s="5">
        <v>11.0</v>
      </c>
      <c r="M367" s="5">
        <v>1521.372273</v>
      </c>
    </row>
    <row r="368">
      <c r="A368" s="4" t="s">
        <v>562</v>
      </c>
      <c r="B368" s="5" t="s">
        <v>15</v>
      </c>
      <c r="C368" s="5" t="s">
        <v>23</v>
      </c>
      <c r="D368" s="5" t="s">
        <v>55</v>
      </c>
      <c r="E368" s="6" t="s">
        <v>539</v>
      </c>
      <c r="F368" s="5" t="s">
        <v>136</v>
      </c>
      <c r="G368" s="5" t="s">
        <v>27</v>
      </c>
      <c r="H368" s="5">
        <v>679098.0</v>
      </c>
      <c r="I368" s="5">
        <v>1984.0</v>
      </c>
      <c r="J368" s="5">
        <v>467726.0</v>
      </c>
      <c r="K368" s="5">
        <v>634589.0</v>
      </c>
      <c r="L368" s="5">
        <v>9.0</v>
      </c>
      <c r="M368" s="5">
        <v>1477.424856</v>
      </c>
    </row>
    <row r="369">
      <c r="A369" s="4" t="s">
        <v>563</v>
      </c>
      <c r="B369" s="5" t="s">
        <v>15</v>
      </c>
      <c r="C369" s="5" t="s">
        <v>42</v>
      </c>
      <c r="D369" s="5" t="s">
        <v>29</v>
      </c>
      <c r="E369" s="6" t="s">
        <v>539</v>
      </c>
      <c r="F369" s="5" t="s">
        <v>19</v>
      </c>
      <c r="G369" s="5" t="s">
        <v>52</v>
      </c>
      <c r="H369" s="5">
        <v>32436.0</v>
      </c>
      <c r="I369" s="5">
        <v>56.0</v>
      </c>
      <c r="J369" s="5">
        <v>17531.0</v>
      </c>
      <c r="K369" s="5">
        <v>28429.0</v>
      </c>
      <c r="L369" s="5">
        <v>6.0</v>
      </c>
      <c r="M369" s="5">
        <v>1470.670167</v>
      </c>
    </row>
    <row r="370">
      <c r="A370" s="4" t="s">
        <v>564</v>
      </c>
      <c r="B370" s="5" t="s">
        <v>61</v>
      </c>
      <c r="C370" s="5" t="s">
        <v>23</v>
      </c>
      <c r="D370" s="5" t="s">
        <v>78</v>
      </c>
      <c r="E370" s="6" t="s">
        <v>565</v>
      </c>
      <c r="F370" s="5" t="s">
        <v>117</v>
      </c>
      <c r="G370" s="5" t="s">
        <v>27</v>
      </c>
      <c r="H370" s="5">
        <v>11734.0</v>
      </c>
      <c r="I370" s="5">
        <v>78.0</v>
      </c>
      <c r="J370" s="5">
        <v>8741.0</v>
      </c>
      <c r="K370" s="5">
        <v>10606.0</v>
      </c>
      <c r="L370" s="5">
        <v>5.0</v>
      </c>
      <c r="M370" s="5">
        <v>6439.283498</v>
      </c>
    </row>
    <row r="371">
      <c r="A371" s="4" t="s">
        <v>566</v>
      </c>
      <c r="B371" s="5" t="s">
        <v>22</v>
      </c>
      <c r="C371" s="5" t="s">
        <v>23</v>
      </c>
      <c r="D371" s="5" t="s">
        <v>147</v>
      </c>
      <c r="E371" s="6" t="s">
        <v>565</v>
      </c>
      <c r="F371" s="5" t="s">
        <v>36</v>
      </c>
      <c r="G371" s="5" t="s">
        <v>27</v>
      </c>
      <c r="H371" s="5">
        <v>27371.0</v>
      </c>
      <c r="I371" s="5">
        <v>60.0</v>
      </c>
      <c r="J371" s="5">
        <v>22256.0</v>
      </c>
      <c r="K371" s="5">
        <v>25986.0</v>
      </c>
      <c r="L371" s="5">
        <v>5.0</v>
      </c>
      <c r="M371" s="5">
        <v>4984.485583</v>
      </c>
    </row>
    <row r="372">
      <c r="A372" s="4" t="s">
        <v>567</v>
      </c>
      <c r="B372" s="5" t="s">
        <v>22</v>
      </c>
      <c r="C372" s="5" t="s">
        <v>23</v>
      </c>
      <c r="D372" s="5" t="s">
        <v>84</v>
      </c>
      <c r="E372" s="6" t="s">
        <v>565</v>
      </c>
      <c r="F372" s="5" t="s">
        <v>117</v>
      </c>
      <c r="G372" s="5" t="s">
        <v>27</v>
      </c>
      <c r="H372" s="5">
        <v>21903.0</v>
      </c>
      <c r="I372" s="5">
        <v>124.0</v>
      </c>
      <c r="J372" s="5">
        <v>18831.0</v>
      </c>
      <c r="K372" s="5">
        <v>20922.0</v>
      </c>
      <c r="L372" s="5">
        <v>4.0</v>
      </c>
      <c r="M372" s="5">
        <v>1661.167909</v>
      </c>
    </row>
    <row r="373">
      <c r="A373" s="4" t="s">
        <v>568</v>
      </c>
      <c r="B373" s="5" t="s">
        <v>15</v>
      </c>
      <c r="C373" s="5" t="s">
        <v>16</v>
      </c>
      <c r="D373" s="5" t="s">
        <v>35</v>
      </c>
      <c r="E373" s="6" t="s">
        <v>569</v>
      </c>
      <c r="F373" s="5" t="s">
        <v>184</v>
      </c>
      <c r="G373" s="5" t="s">
        <v>27</v>
      </c>
      <c r="H373" s="5">
        <v>9725.0</v>
      </c>
      <c r="I373" s="5">
        <v>80.0</v>
      </c>
      <c r="J373" s="5">
        <v>6616.0</v>
      </c>
      <c r="K373" s="5">
        <v>8778.0</v>
      </c>
      <c r="L373" s="5">
        <v>1.0</v>
      </c>
      <c r="M373" s="5">
        <v>4942.283987</v>
      </c>
    </row>
    <row r="374">
      <c r="A374" s="4" t="s">
        <v>570</v>
      </c>
      <c r="B374" s="5" t="s">
        <v>22</v>
      </c>
      <c r="C374" s="5" t="s">
        <v>23</v>
      </c>
      <c r="D374" s="5" t="s">
        <v>35</v>
      </c>
      <c r="E374" s="6" t="s">
        <v>569</v>
      </c>
      <c r="F374" s="5" t="s">
        <v>19</v>
      </c>
      <c r="G374" s="5" t="s">
        <v>27</v>
      </c>
      <c r="H374" s="5">
        <v>45965.0</v>
      </c>
      <c r="I374" s="5">
        <v>190.0</v>
      </c>
      <c r="J374" s="5">
        <v>10028.0</v>
      </c>
      <c r="K374" s="5">
        <v>37295.0</v>
      </c>
      <c r="L374" s="5">
        <v>1.0</v>
      </c>
      <c r="M374" s="5">
        <v>4718.836114</v>
      </c>
    </row>
    <row r="375">
      <c r="A375" s="4" t="s">
        <v>571</v>
      </c>
      <c r="B375" s="5" t="s">
        <v>15</v>
      </c>
      <c r="C375" s="5" t="s">
        <v>31</v>
      </c>
      <c r="D375" s="5" t="s">
        <v>17</v>
      </c>
      <c r="E375" s="6" t="s">
        <v>572</v>
      </c>
      <c r="F375" s="5" t="s">
        <v>19</v>
      </c>
      <c r="G375" s="5" t="s">
        <v>27</v>
      </c>
      <c r="H375" s="5">
        <v>8944.0</v>
      </c>
      <c r="I375" s="5">
        <v>45.0</v>
      </c>
      <c r="J375" s="5">
        <v>3002.0</v>
      </c>
      <c r="K375" s="5">
        <v>6361.0</v>
      </c>
      <c r="L375" s="5">
        <v>6.0</v>
      </c>
      <c r="M375" s="5">
        <v>1755.484542</v>
      </c>
    </row>
    <row r="376">
      <c r="A376" s="4" t="s">
        <v>573</v>
      </c>
      <c r="B376" s="5" t="s">
        <v>15</v>
      </c>
      <c r="C376" s="5" t="s">
        <v>42</v>
      </c>
      <c r="D376" s="5" t="s">
        <v>29</v>
      </c>
      <c r="E376" s="6" t="s">
        <v>574</v>
      </c>
      <c r="F376" s="5" t="s">
        <v>117</v>
      </c>
      <c r="G376" s="5" t="s">
        <v>27</v>
      </c>
      <c r="H376" s="5">
        <v>14398.0</v>
      </c>
      <c r="I376" s="5">
        <v>30.0</v>
      </c>
      <c r="J376" s="5">
        <v>2807.0</v>
      </c>
      <c r="K376" s="5">
        <v>13393.0</v>
      </c>
      <c r="L376" s="5">
        <v>7.0</v>
      </c>
      <c r="M376" s="5">
        <v>5154.644555</v>
      </c>
    </row>
    <row r="377">
      <c r="A377" s="4" t="s">
        <v>575</v>
      </c>
      <c r="B377" s="5" t="s">
        <v>22</v>
      </c>
      <c r="C377" s="5" t="s">
        <v>23</v>
      </c>
      <c r="D377" s="5" t="s">
        <v>214</v>
      </c>
      <c r="E377" s="6" t="s">
        <v>576</v>
      </c>
      <c r="F377" s="5" t="s">
        <v>50</v>
      </c>
      <c r="G377" s="5" t="s">
        <v>27</v>
      </c>
      <c r="H377" s="5">
        <v>117879.0</v>
      </c>
      <c r="I377" s="5">
        <v>390.0</v>
      </c>
      <c r="J377" s="5">
        <v>52098.0</v>
      </c>
      <c r="K377" s="5">
        <v>86127.0</v>
      </c>
      <c r="L377" s="5">
        <v>1.0</v>
      </c>
      <c r="M377" s="5">
        <v>5102.706729</v>
      </c>
    </row>
    <row r="378">
      <c r="A378" s="4" t="s">
        <v>577</v>
      </c>
      <c r="B378" s="5" t="s">
        <v>15</v>
      </c>
      <c r="C378" s="5" t="s">
        <v>31</v>
      </c>
      <c r="D378" s="5" t="s">
        <v>32</v>
      </c>
      <c r="E378" s="6" t="s">
        <v>578</v>
      </c>
      <c r="F378" s="5" t="s">
        <v>19</v>
      </c>
      <c r="G378" s="5" t="s">
        <v>27</v>
      </c>
      <c r="H378" s="5">
        <v>22444.0</v>
      </c>
      <c r="I378" s="5">
        <v>160.0</v>
      </c>
      <c r="J378" s="5">
        <v>12672.0</v>
      </c>
      <c r="K378" s="5">
        <v>21345.0</v>
      </c>
      <c r="L378" s="5">
        <v>5.0</v>
      </c>
      <c r="M378" s="5">
        <v>2539.200563</v>
      </c>
    </row>
    <row r="379">
      <c r="A379" s="4" t="s">
        <v>579</v>
      </c>
      <c r="B379" s="5" t="s">
        <v>15</v>
      </c>
      <c r="C379" s="5" t="s">
        <v>31</v>
      </c>
      <c r="D379" s="5" t="s">
        <v>173</v>
      </c>
      <c r="E379" s="6" t="s">
        <v>578</v>
      </c>
      <c r="F379" s="5" t="s">
        <v>46</v>
      </c>
      <c r="G379" s="5" t="s">
        <v>20</v>
      </c>
      <c r="H379" s="5">
        <v>17645.0</v>
      </c>
      <c r="I379" s="5">
        <v>40.0</v>
      </c>
      <c r="J379" s="5">
        <v>9673.0</v>
      </c>
      <c r="K379" s="5">
        <v>15088.0</v>
      </c>
      <c r="L379" s="5">
        <v>15.0</v>
      </c>
      <c r="M379" s="5">
        <v>1591.772246</v>
      </c>
    </row>
    <row r="380">
      <c r="A380" s="4" t="s">
        <v>580</v>
      </c>
      <c r="B380" s="5" t="s">
        <v>22</v>
      </c>
      <c r="C380" s="5" t="s">
        <v>23</v>
      </c>
      <c r="D380" s="5" t="s">
        <v>35</v>
      </c>
      <c r="E380" s="6" t="s">
        <v>578</v>
      </c>
      <c r="F380" s="5" t="s">
        <v>36</v>
      </c>
      <c r="G380" s="5" t="s">
        <v>27</v>
      </c>
      <c r="H380" s="5">
        <v>9881.0</v>
      </c>
      <c r="I380" s="5">
        <v>15.0</v>
      </c>
      <c r="J380" s="5">
        <v>2344.0</v>
      </c>
      <c r="K380" s="5">
        <v>7324.0</v>
      </c>
      <c r="L380" s="5">
        <v>1.0</v>
      </c>
      <c r="M380" s="5">
        <v>1505.01155</v>
      </c>
    </row>
    <row r="381">
      <c r="A381" s="4" t="s">
        <v>581</v>
      </c>
      <c r="B381" s="5" t="s">
        <v>22</v>
      </c>
      <c r="C381" s="5" t="s">
        <v>23</v>
      </c>
      <c r="D381" s="5" t="s">
        <v>273</v>
      </c>
      <c r="E381" s="6" t="s">
        <v>582</v>
      </c>
      <c r="F381" s="5" t="s">
        <v>167</v>
      </c>
      <c r="G381" s="5" t="s">
        <v>27</v>
      </c>
      <c r="H381" s="5">
        <v>12148.0</v>
      </c>
      <c r="I381" s="5">
        <v>40.0</v>
      </c>
      <c r="J381" s="5">
        <v>7950.0</v>
      </c>
      <c r="K381" s="5">
        <v>11360.0</v>
      </c>
      <c r="L381" s="5">
        <v>9.0</v>
      </c>
      <c r="M381" s="5">
        <v>1936.008049</v>
      </c>
    </row>
    <row r="382">
      <c r="A382" s="4" t="s">
        <v>583</v>
      </c>
      <c r="B382" s="5" t="s">
        <v>22</v>
      </c>
      <c r="C382" s="5" t="s">
        <v>23</v>
      </c>
      <c r="D382" s="5" t="s">
        <v>29</v>
      </c>
      <c r="E382" s="6" t="s">
        <v>584</v>
      </c>
      <c r="F382" s="5" t="s">
        <v>19</v>
      </c>
      <c r="G382" s="5" t="s">
        <v>27</v>
      </c>
      <c r="H382" s="5">
        <v>18771.0</v>
      </c>
      <c r="I382" s="5">
        <v>69.0</v>
      </c>
      <c r="J382" s="5">
        <v>10871.0</v>
      </c>
      <c r="K382" s="5">
        <v>17138.0</v>
      </c>
      <c r="L382" s="5">
        <v>6.0</v>
      </c>
      <c r="M382" s="5">
        <v>3827.366381</v>
      </c>
    </row>
    <row r="383">
      <c r="A383" s="4" t="s">
        <v>585</v>
      </c>
      <c r="B383" s="5" t="s">
        <v>15</v>
      </c>
      <c r="C383" s="5" t="s">
        <v>23</v>
      </c>
      <c r="D383" s="5" t="s">
        <v>39</v>
      </c>
      <c r="E383" s="6" t="s">
        <v>584</v>
      </c>
      <c r="F383" s="5" t="s">
        <v>46</v>
      </c>
      <c r="G383" s="5" t="s">
        <v>27</v>
      </c>
      <c r="H383" s="5">
        <v>7402.0</v>
      </c>
      <c r="I383" s="5">
        <v>9.0</v>
      </c>
      <c r="J383" s="5">
        <v>3860.0</v>
      </c>
      <c r="K383" s="5">
        <v>6406.0</v>
      </c>
      <c r="L383" s="5">
        <v>1.0</v>
      </c>
      <c r="M383" s="5">
        <v>1560.449936</v>
      </c>
    </row>
    <row r="384">
      <c r="A384" s="4" t="s">
        <v>586</v>
      </c>
      <c r="B384" s="5" t="s">
        <v>22</v>
      </c>
      <c r="C384" s="5" t="s">
        <v>23</v>
      </c>
      <c r="D384" s="5" t="s">
        <v>35</v>
      </c>
      <c r="E384" s="6" t="s">
        <v>587</v>
      </c>
      <c r="F384" s="5" t="s">
        <v>19</v>
      </c>
      <c r="G384" s="5" t="s">
        <v>27</v>
      </c>
      <c r="H384" s="5">
        <v>38735.0</v>
      </c>
      <c r="I384" s="5">
        <v>114.0</v>
      </c>
      <c r="J384" s="5">
        <v>28719.0</v>
      </c>
      <c r="K384" s="5">
        <v>36629.0</v>
      </c>
      <c r="L384" s="5">
        <v>4.0</v>
      </c>
      <c r="M384" s="5">
        <v>2127.824066</v>
      </c>
    </row>
    <row r="385">
      <c r="A385" s="4" t="s">
        <v>588</v>
      </c>
      <c r="B385" s="5" t="s">
        <v>22</v>
      </c>
      <c r="C385" s="5" t="s">
        <v>42</v>
      </c>
      <c r="D385" s="5" t="s">
        <v>55</v>
      </c>
      <c r="E385" s="6" t="s">
        <v>587</v>
      </c>
      <c r="F385" s="5" t="s">
        <v>33</v>
      </c>
      <c r="G385" s="5" t="s">
        <v>27</v>
      </c>
      <c r="H385" s="5">
        <v>7320.0</v>
      </c>
      <c r="I385" s="5">
        <v>33.0</v>
      </c>
      <c r="J385" s="5">
        <v>4020.0</v>
      </c>
      <c r="K385" s="5">
        <v>6692.0</v>
      </c>
      <c r="L385" s="5">
        <v>15.0</v>
      </c>
      <c r="M385" s="5">
        <v>1730.37357</v>
      </c>
    </row>
    <row r="386">
      <c r="A386" s="4" t="s">
        <v>589</v>
      </c>
      <c r="B386" s="5" t="s">
        <v>22</v>
      </c>
      <c r="C386" s="5" t="s">
        <v>42</v>
      </c>
      <c r="D386" s="5" t="s">
        <v>356</v>
      </c>
      <c r="E386" s="6" t="s">
        <v>590</v>
      </c>
      <c r="F386" s="5" t="s">
        <v>26</v>
      </c>
      <c r="G386" s="5" t="s">
        <v>27</v>
      </c>
      <c r="H386" s="5">
        <v>90463.0</v>
      </c>
      <c r="I386" s="5">
        <v>204.0</v>
      </c>
      <c r="J386" s="5">
        <v>803.0</v>
      </c>
      <c r="K386" s="5">
        <v>2465.0</v>
      </c>
      <c r="L386" s="5">
        <v>9.0</v>
      </c>
      <c r="M386" s="5">
        <v>6120.602514</v>
      </c>
    </row>
    <row r="387">
      <c r="A387" s="4" t="s">
        <v>591</v>
      </c>
      <c r="B387" s="5" t="s">
        <v>22</v>
      </c>
      <c r="C387" s="5" t="s">
        <v>31</v>
      </c>
      <c r="D387" s="5" t="s">
        <v>304</v>
      </c>
      <c r="E387" s="6" t="s">
        <v>590</v>
      </c>
      <c r="F387" s="5" t="s">
        <v>36</v>
      </c>
      <c r="G387" s="5" t="s">
        <v>27</v>
      </c>
      <c r="H387" s="5">
        <v>252170.0</v>
      </c>
      <c r="I387" s="5">
        <v>650.0</v>
      </c>
      <c r="J387" s="5">
        <v>9248.0</v>
      </c>
      <c r="K387" s="5">
        <v>14192.0</v>
      </c>
      <c r="L387" s="5">
        <v>1.0</v>
      </c>
      <c r="M387" s="5">
        <v>5874.00478</v>
      </c>
    </row>
    <row r="388">
      <c r="A388" s="4" t="s">
        <v>592</v>
      </c>
      <c r="B388" s="5" t="s">
        <v>22</v>
      </c>
      <c r="C388" s="5" t="s">
        <v>16</v>
      </c>
      <c r="D388" s="5" t="s">
        <v>593</v>
      </c>
      <c r="E388" s="6" t="s">
        <v>590</v>
      </c>
      <c r="F388" s="5" t="s">
        <v>26</v>
      </c>
      <c r="G388" s="5" t="s">
        <v>27</v>
      </c>
      <c r="H388" s="5">
        <v>68114.0</v>
      </c>
      <c r="I388" s="5">
        <v>174.0</v>
      </c>
      <c r="J388" s="5">
        <v>569.0</v>
      </c>
      <c r="K388" s="5">
        <v>2059.0</v>
      </c>
      <c r="L388" s="5">
        <v>15.0</v>
      </c>
      <c r="M388" s="5">
        <v>2753.711986</v>
      </c>
    </row>
    <row r="389">
      <c r="A389" s="4" t="s">
        <v>594</v>
      </c>
      <c r="B389" s="5" t="s">
        <v>15</v>
      </c>
      <c r="C389" s="5" t="s">
        <v>42</v>
      </c>
      <c r="D389" s="5" t="s">
        <v>29</v>
      </c>
      <c r="E389" s="6" t="s">
        <v>590</v>
      </c>
      <c r="F389" s="5" t="s">
        <v>231</v>
      </c>
      <c r="G389" s="5" t="s">
        <v>27</v>
      </c>
      <c r="H389" s="5">
        <v>292578.0</v>
      </c>
      <c r="I389" s="5">
        <v>812.0</v>
      </c>
      <c r="J389" s="5">
        <v>6474.0</v>
      </c>
      <c r="K389" s="5">
        <v>12323.0</v>
      </c>
      <c r="L389" s="5">
        <v>4.0</v>
      </c>
      <c r="M389" s="5">
        <v>1826.318738</v>
      </c>
    </row>
    <row r="390">
      <c r="A390" s="4" t="s">
        <v>595</v>
      </c>
      <c r="B390" s="5" t="s">
        <v>15</v>
      </c>
      <c r="C390" s="5" t="s">
        <v>42</v>
      </c>
      <c r="D390" s="5" t="s">
        <v>17</v>
      </c>
      <c r="E390" s="6" t="s">
        <v>596</v>
      </c>
      <c r="F390" s="5" t="s">
        <v>19</v>
      </c>
      <c r="G390" s="5" t="s">
        <v>20</v>
      </c>
      <c r="H390" s="5">
        <v>39725.0</v>
      </c>
      <c r="I390" s="5">
        <v>144.0</v>
      </c>
      <c r="J390" s="5">
        <v>5402.0</v>
      </c>
      <c r="K390" s="5">
        <v>36080.0</v>
      </c>
      <c r="L390" s="5">
        <v>12.0</v>
      </c>
      <c r="M390" s="5">
        <v>6431.555152</v>
      </c>
    </row>
    <row r="391">
      <c r="A391" s="4" t="s">
        <v>597</v>
      </c>
      <c r="B391" s="5" t="s">
        <v>15</v>
      </c>
      <c r="C391" s="5" t="s">
        <v>23</v>
      </c>
      <c r="D391" s="5" t="s">
        <v>78</v>
      </c>
      <c r="E391" s="6" t="s">
        <v>598</v>
      </c>
      <c r="F391" s="5" t="s">
        <v>26</v>
      </c>
      <c r="G391" s="5" t="s">
        <v>52</v>
      </c>
      <c r="H391" s="5">
        <v>25206.0</v>
      </c>
      <c r="I391" s="5">
        <v>75.0</v>
      </c>
      <c r="J391" s="5">
        <v>3588.0</v>
      </c>
      <c r="K391" s="5">
        <v>23556.0</v>
      </c>
      <c r="L391" s="5">
        <v>19.0</v>
      </c>
      <c r="M391" s="5">
        <v>6846.356434</v>
      </c>
    </row>
    <row r="392">
      <c r="A392" s="4" t="s">
        <v>599</v>
      </c>
      <c r="B392" s="5" t="s">
        <v>15</v>
      </c>
      <c r="C392" s="5" t="s">
        <v>16</v>
      </c>
      <c r="D392" s="5" t="s">
        <v>45</v>
      </c>
      <c r="E392" s="6" t="s">
        <v>598</v>
      </c>
      <c r="F392" s="5" t="s">
        <v>19</v>
      </c>
      <c r="G392" s="5" t="s">
        <v>27</v>
      </c>
      <c r="H392" s="5">
        <v>7789.0</v>
      </c>
      <c r="I392" s="5">
        <v>30.0</v>
      </c>
      <c r="J392" s="5">
        <v>4655.0</v>
      </c>
      <c r="K392" s="5">
        <v>7434.0</v>
      </c>
      <c r="L392" s="5">
        <v>1.0</v>
      </c>
      <c r="M392" s="5">
        <v>6396.868763</v>
      </c>
    </row>
    <row r="393">
      <c r="A393" s="4" t="s">
        <v>600</v>
      </c>
      <c r="B393" s="5" t="s">
        <v>22</v>
      </c>
      <c r="C393" s="5" t="s">
        <v>31</v>
      </c>
      <c r="D393" s="5" t="s">
        <v>35</v>
      </c>
      <c r="E393" s="6" t="s">
        <v>598</v>
      </c>
      <c r="F393" s="5" t="s">
        <v>19</v>
      </c>
      <c r="G393" s="5" t="s">
        <v>27</v>
      </c>
      <c r="H393" s="5">
        <v>38396.0</v>
      </c>
      <c r="I393" s="5">
        <v>87.0</v>
      </c>
      <c r="J393" s="5">
        <v>6305.0</v>
      </c>
      <c r="K393" s="5">
        <v>35118.0</v>
      </c>
      <c r="L393" s="5">
        <v>9.0</v>
      </c>
      <c r="M393" s="5">
        <v>5740.164546</v>
      </c>
    </row>
    <row r="394">
      <c r="A394" s="4" t="s">
        <v>601</v>
      </c>
      <c r="B394" s="5" t="s">
        <v>22</v>
      </c>
      <c r="C394" s="5" t="s">
        <v>16</v>
      </c>
      <c r="D394" s="5" t="s">
        <v>78</v>
      </c>
      <c r="E394" s="6" t="s">
        <v>598</v>
      </c>
      <c r="F394" s="5" t="s">
        <v>19</v>
      </c>
      <c r="G394" s="5" t="s">
        <v>27</v>
      </c>
      <c r="H394" s="5">
        <v>10012.0</v>
      </c>
      <c r="I394" s="5">
        <v>25.0</v>
      </c>
      <c r="J394" s="5">
        <v>5734.0</v>
      </c>
      <c r="K394" s="5">
        <v>9413.0</v>
      </c>
      <c r="L394" s="5">
        <v>4.0</v>
      </c>
      <c r="M394" s="5">
        <v>1805.926086</v>
      </c>
    </row>
    <row r="395">
      <c r="A395" s="4" t="s">
        <v>602</v>
      </c>
      <c r="B395" s="5" t="s">
        <v>61</v>
      </c>
      <c r="C395" s="5" t="s">
        <v>23</v>
      </c>
      <c r="D395" s="5" t="s">
        <v>45</v>
      </c>
      <c r="E395" s="6" t="s">
        <v>598</v>
      </c>
      <c r="F395" s="5" t="s">
        <v>603</v>
      </c>
      <c r="G395" s="5" t="s">
        <v>27</v>
      </c>
      <c r="H395" s="5">
        <v>12459.0</v>
      </c>
      <c r="I395" s="5">
        <v>84.0</v>
      </c>
      <c r="J395" s="5">
        <v>7290.0</v>
      </c>
      <c r="K395" s="5">
        <v>11731.0</v>
      </c>
      <c r="L395" s="5">
        <v>14.0</v>
      </c>
      <c r="M395" s="5">
        <v>1593.010399</v>
      </c>
    </row>
    <row r="396">
      <c r="A396" s="4" t="s">
        <v>604</v>
      </c>
      <c r="B396" s="5" t="s">
        <v>22</v>
      </c>
      <c r="C396" s="5" t="s">
        <v>23</v>
      </c>
      <c r="D396" s="5" t="s">
        <v>183</v>
      </c>
      <c r="E396" s="6" t="s">
        <v>598</v>
      </c>
      <c r="F396" s="5" t="s">
        <v>46</v>
      </c>
      <c r="G396" s="5" t="s">
        <v>27</v>
      </c>
      <c r="H396" s="5">
        <v>32714.0</v>
      </c>
      <c r="I396" s="5">
        <v>69.0</v>
      </c>
      <c r="J396" s="5">
        <v>3756.0</v>
      </c>
      <c r="K396" s="5">
        <v>30764.0</v>
      </c>
      <c r="L396" s="5">
        <v>15.0</v>
      </c>
      <c r="M396" s="5">
        <v>1506.624304</v>
      </c>
    </row>
    <row r="397">
      <c r="A397" s="4" t="s">
        <v>605</v>
      </c>
      <c r="B397" s="5" t="s">
        <v>22</v>
      </c>
      <c r="C397" s="5" t="s">
        <v>23</v>
      </c>
      <c r="D397" s="5" t="s">
        <v>84</v>
      </c>
      <c r="E397" s="6" t="s">
        <v>606</v>
      </c>
      <c r="F397" s="5" t="s">
        <v>19</v>
      </c>
      <c r="G397" s="5" t="s">
        <v>27</v>
      </c>
      <c r="H397" s="5">
        <v>98509.0</v>
      </c>
      <c r="I397" s="5">
        <v>299.0</v>
      </c>
      <c r="J397" s="5">
        <v>30688.0</v>
      </c>
      <c r="K397" s="5">
        <v>109518.0</v>
      </c>
      <c r="L397" s="5">
        <v>15.0</v>
      </c>
      <c r="M397" s="5">
        <v>2059.270294</v>
      </c>
    </row>
    <row r="398">
      <c r="A398" s="4" t="s">
        <v>607</v>
      </c>
      <c r="B398" s="5" t="s">
        <v>15</v>
      </c>
      <c r="C398" s="5" t="s">
        <v>23</v>
      </c>
      <c r="D398" s="5" t="s">
        <v>29</v>
      </c>
      <c r="E398" s="6" t="s">
        <v>608</v>
      </c>
      <c r="F398" s="5" t="s">
        <v>33</v>
      </c>
      <c r="G398" s="5" t="s">
        <v>52</v>
      </c>
      <c r="H398" s="5">
        <v>37076.0</v>
      </c>
      <c r="I398" s="5">
        <v>113.0</v>
      </c>
      <c r="J398" s="5">
        <v>9246.0</v>
      </c>
      <c r="K398" s="5">
        <v>22565.0</v>
      </c>
      <c r="L398" s="5">
        <v>12.0</v>
      </c>
      <c r="M398" s="5">
        <v>1487.996078</v>
      </c>
    </row>
    <row r="399">
      <c r="A399" s="4" t="s">
        <v>609</v>
      </c>
      <c r="B399" s="5" t="s">
        <v>15</v>
      </c>
      <c r="C399" s="5" t="s">
        <v>42</v>
      </c>
      <c r="D399" s="5" t="s">
        <v>131</v>
      </c>
      <c r="E399" s="6" t="s">
        <v>610</v>
      </c>
      <c r="F399" s="5" t="s">
        <v>26</v>
      </c>
      <c r="G399" s="5" t="s">
        <v>52</v>
      </c>
      <c r="H399" s="5">
        <v>70506.0</v>
      </c>
      <c r="I399" s="5">
        <v>270.0</v>
      </c>
      <c r="J399" s="5">
        <v>26779.0</v>
      </c>
      <c r="K399" s="5">
        <v>48902.0</v>
      </c>
      <c r="L399" s="5">
        <v>3.0</v>
      </c>
      <c r="M399" s="5">
        <v>1912.966882</v>
      </c>
    </row>
    <row r="400">
      <c r="A400" s="4" t="s">
        <v>611</v>
      </c>
      <c r="B400" s="5" t="s">
        <v>22</v>
      </c>
      <c r="C400" s="5" t="s">
        <v>42</v>
      </c>
      <c r="D400" s="5" t="s">
        <v>17</v>
      </c>
      <c r="E400" s="6" t="s">
        <v>612</v>
      </c>
      <c r="F400" s="5" t="s">
        <v>19</v>
      </c>
      <c r="G400" s="5" t="s">
        <v>27</v>
      </c>
      <c r="H400" s="5">
        <v>921791.0</v>
      </c>
      <c r="I400" s="5">
        <v>2150.0</v>
      </c>
      <c r="J400" s="5">
        <v>668449.0</v>
      </c>
      <c r="K400" s="5">
        <v>852442.0</v>
      </c>
      <c r="L400" s="5">
        <v>69.0</v>
      </c>
      <c r="M400" s="5">
        <v>8042.897949</v>
      </c>
    </row>
    <row r="401">
      <c r="A401" s="4" t="s">
        <v>613</v>
      </c>
      <c r="B401" s="5" t="s">
        <v>22</v>
      </c>
      <c r="C401" s="5" t="s">
        <v>42</v>
      </c>
      <c r="D401" s="5" t="s">
        <v>35</v>
      </c>
      <c r="E401" s="6" t="s">
        <v>612</v>
      </c>
      <c r="F401" s="5" t="s">
        <v>26</v>
      </c>
      <c r="G401" s="5" t="s">
        <v>27</v>
      </c>
      <c r="H401" s="5">
        <v>4154911.0</v>
      </c>
      <c r="I401" s="5">
        <v>1254.0</v>
      </c>
      <c r="J401" s="5">
        <v>2338732.0</v>
      </c>
      <c r="K401" s="5">
        <v>3445626.0</v>
      </c>
      <c r="L401" s="5">
        <v>154.0</v>
      </c>
      <c r="M401" s="5">
        <v>8038.570371</v>
      </c>
    </row>
    <row r="402">
      <c r="A402" s="4" t="s">
        <v>614</v>
      </c>
      <c r="B402" s="5" t="s">
        <v>22</v>
      </c>
      <c r="C402" s="5" t="s">
        <v>16</v>
      </c>
      <c r="D402" s="5" t="s">
        <v>55</v>
      </c>
      <c r="E402" s="6" t="s">
        <v>612</v>
      </c>
      <c r="F402" s="5" t="s">
        <v>19</v>
      </c>
      <c r="G402" s="5" t="s">
        <v>27</v>
      </c>
      <c r="H402" s="5">
        <v>1222302.0</v>
      </c>
      <c r="I402" s="5">
        <v>3142.0</v>
      </c>
      <c r="J402" s="5">
        <v>553773.0</v>
      </c>
      <c r="K402" s="5">
        <v>1120128.0</v>
      </c>
      <c r="L402" s="5">
        <v>42.0</v>
      </c>
      <c r="M402" s="5">
        <v>7880.770406</v>
      </c>
    </row>
    <row r="403">
      <c r="A403" s="4" t="s">
        <v>615</v>
      </c>
      <c r="B403" s="5" t="s">
        <v>22</v>
      </c>
      <c r="C403" s="5" t="s">
        <v>23</v>
      </c>
      <c r="D403" s="5" t="s">
        <v>29</v>
      </c>
      <c r="E403" s="6" t="s">
        <v>612</v>
      </c>
      <c r="F403" s="5" t="s">
        <v>19</v>
      </c>
      <c r="G403" s="5" t="s">
        <v>27</v>
      </c>
      <c r="H403" s="5">
        <v>999915.0</v>
      </c>
      <c r="I403" s="5">
        <v>2748.0</v>
      </c>
      <c r="J403" s="5">
        <v>618816.0</v>
      </c>
      <c r="K403" s="5">
        <v>829942.0</v>
      </c>
      <c r="L403" s="5">
        <v>23.0</v>
      </c>
      <c r="M403" s="5">
        <v>7879.316787</v>
      </c>
    </row>
    <row r="404">
      <c r="A404" s="4" t="s">
        <v>616</v>
      </c>
      <c r="B404" s="5" t="s">
        <v>22</v>
      </c>
      <c r="C404" s="5" t="s">
        <v>42</v>
      </c>
      <c r="D404" s="5" t="s">
        <v>17</v>
      </c>
      <c r="E404" s="6" t="s">
        <v>612</v>
      </c>
      <c r="F404" s="5" t="s">
        <v>19</v>
      </c>
      <c r="G404" s="5" t="s">
        <v>27</v>
      </c>
      <c r="H404" s="5">
        <v>1515751.0</v>
      </c>
      <c r="I404" s="5">
        <v>3874.0</v>
      </c>
      <c r="J404" s="5">
        <v>1151776.0</v>
      </c>
      <c r="K404" s="5">
        <v>1396230.0</v>
      </c>
      <c r="L404" s="5">
        <v>49.0</v>
      </c>
      <c r="M404" s="5">
        <v>7850.644244</v>
      </c>
    </row>
    <row r="405">
      <c r="A405" s="4" t="s">
        <v>617</v>
      </c>
      <c r="B405" s="5" t="s">
        <v>15</v>
      </c>
      <c r="C405" s="5" t="s">
        <v>31</v>
      </c>
      <c r="D405" s="5" t="s">
        <v>17</v>
      </c>
      <c r="E405" s="6" t="s">
        <v>612</v>
      </c>
      <c r="F405" s="5" t="s">
        <v>117</v>
      </c>
      <c r="G405" s="5" t="s">
        <v>27</v>
      </c>
      <c r="H405" s="5">
        <v>1575592.0</v>
      </c>
      <c r="I405" s="5">
        <v>3874.0</v>
      </c>
      <c r="J405" s="5">
        <v>1155869.0</v>
      </c>
      <c r="K405" s="5">
        <v>1447900.0</v>
      </c>
      <c r="L405" s="5">
        <v>88.0</v>
      </c>
      <c r="M405" s="5">
        <v>7818.648297</v>
      </c>
    </row>
    <row r="406">
      <c r="A406" s="4" t="s">
        <v>618</v>
      </c>
      <c r="B406" s="5" t="s">
        <v>22</v>
      </c>
      <c r="C406" s="5" t="s">
        <v>23</v>
      </c>
      <c r="D406" s="5" t="s">
        <v>39</v>
      </c>
      <c r="E406" s="6" t="s">
        <v>612</v>
      </c>
      <c r="F406" s="5" t="s">
        <v>26</v>
      </c>
      <c r="G406" s="5" t="s">
        <v>27</v>
      </c>
      <c r="H406" s="5">
        <v>458931.0</v>
      </c>
      <c r="I406" s="5">
        <v>974.0</v>
      </c>
      <c r="J406" s="5">
        <v>264325.0</v>
      </c>
      <c r="K406" s="5">
        <v>378011.0</v>
      </c>
      <c r="L406" s="5">
        <v>30.0</v>
      </c>
      <c r="M406" s="5">
        <v>7462.677935</v>
      </c>
    </row>
    <row r="407">
      <c r="A407" s="4" t="s">
        <v>619</v>
      </c>
      <c r="B407" s="5" t="s">
        <v>22</v>
      </c>
      <c r="C407" s="5" t="s">
        <v>42</v>
      </c>
      <c r="D407" s="5" t="s">
        <v>29</v>
      </c>
      <c r="E407" s="6" t="s">
        <v>612</v>
      </c>
      <c r="F407" s="5" t="s">
        <v>26</v>
      </c>
      <c r="G407" s="5" t="s">
        <v>27</v>
      </c>
      <c r="H407" s="5">
        <v>1601933.0</v>
      </c>
      <c r="I407" s="5">
        <v>4265.0</v>
      </c>
      <c r="J407" s="5">
        <v>1135085.0</v>
      </c>
      <c r="K407" s="5">
        <v>1487426.0</v>
      </c>
      <c r="L407" s="5">
        <v>29.0</v>
      </c>
      <c r="M407" s="5">
        <v>6785.70979</v>
      </c>
    </row>
    <row r="408">
      <c r="A408" s="4" t="s">
        <v>620</v>
      </c>
      <c r="B408" s="5" t="s">
        <v>22</v>
      </c>
      <c r="C408" s="5" t="s">
        <v>23</v>
      </c>
      <c r="D408" s="5" t="s">
        <v>45</v>
      </c>
      <c r="E408" s="6" t="s">
        <v>612</v>
      </c>
      <c r="F408" s="5" t="s">
        <v>19</v>
      </c>
      <c r="G408" s="5" t="s">
        <v>27</v>
      </c>
      <c r="H408" s="5">
        <v>26270.0</v>
      </c>
      <c r="I408" s="5">
        <v>63.0</v>
      </c>
      <c r="J408" s="5">
        <v>12813.0</v>
      </c>
      <c r="K408" s="5">
        <v>21893.0</v>
      </c>
      <c r="L408" s="5">
        <v>12.0</v>
      </c>
      <c r="M408" s="5">
        <v>6417.264564</v>
      </c>
    </row>
    <row r="409">
      <c r="A409" s="4" t="s">
        <v>621</v>
      </c>
      <c r="B409" s="5" t="s">
        <v>15</v>
      </c>
      <c r="C409" s="5" t="s">
        <v>31</v>
      </c>
      <c r="D409" s="5" t="s">
        <v>66</v>
      </c>
      <c r="E409" s="6" t="s">
        <v>612</v>
      </c>
      <c r="F409" s="5" t="s">
        <v>46</v>
      </c>
      <c r="G409" s="5" t="s">
        <v>27</v>
      </c>
      <c r="H409" s="5">
        <v>12974.0</v>
      </c>
      <c r="I409" s="5">
        <v>84.0</v>
      </c>
      <c r="J409" s="5">
        <v>7521.0</v>
      </c>
      <c r="K409" s="5">
        <v>10959.0</v>
      </c>
      <c r="L409" s="5">
        <v>7.0</v>
      </c>
      <c r="M409" s="5">
        <v>6301.868847</v>
      </c>
    </row>
    <row r="410">
      <c r="A410" s="4" t="s">
        <v>622</v>
      </c>
      <c r="B410" s="5" t="s">
        <v>22</v>
      </c>
      <c r="C410" s="5" t="s">
        <v>16</v>
      </c>
      <c r="D410" s="5" t="s">
        <v>35</v>
      </c>
      <c r="E410" s="6" t="s">
        <v>612</v>
      </c>
      <c r="F410" s="5" t="s">
        <v>26</v>
      </c>
      <c r="G410" s="5" t="s">
        <v>27</v>
      </c>
      <c r="H410" s="5">
        <v>192201.0</v>
      </c>
      <c r="I410" s="5">
        <v>489.0</v>
      </c>
      <c r="J410" s="5">
        <v>113707.0</v>
      </c>
      <c r="K410" s="5">
        <v>157940.0</v>
      </c>
      <c r="L410" s="5">
        <v>3.0</v>
      </c>
      <c r="M410" s="5">
        <v>6176.004154</v>
      </c>
    </row>
    <row r="411">
      <c r="A411" s="4" t="s">
        <v>623</v>
      </c>
      <c r="B411" s="5" t="s">
        <v>15</v>
      </c>
      <c r="C411" s="5" t="s">
        <v>23</v>
      </c>
      <c r="D411" s="5" t="s">
        <v>35</v>
      </c>
      <c r="E411" s="6" t="s">
        <v>612</v>
      </c>
      <c r="F411" s="5" t="s">
        <v>19</v>
      </c>
      <c r="G411" s="5" t="s">
        <v>20</v>
      </c>
      <c r="H411" s="5">
        <v>29834.0</v>
      </c>
      <c r="I411" s="5">
        <v>99.0</v>
      </c>
      <c r="J411" s="5">
        <v>14599.0</v>
      </c>
      <c r="K411" s="5">
        <v>24656.0</v>
      </c>
      <c r="L411" s="5">
        <v>14.0</v>
      </c>
      <c r="M411" s="5">
        <v>6032.837114</v>
      </c>
    </row>
    <row r="412">
      <c r="A412" s="4" t="s">
        <v>624</v>
      </c>
      <c r="B412" s="5" t="s">
        <v>15</v>
      </c>
      <c r="C412" s="5" t="s">
        <v>42</v>
      </c>
      <c r="D412" s="5" t="s">
        <v>183</v>
      </c>
      <c r="E412" s="6" t="s">
        <v>612</v>
      </c>
      <c r="F412" s="5" t="s">
        <v>161</v>
      </c>
      <c r="G412" s="5" t="s">
        <v>52</v>
      </c>
      <c r="H412" s="5">
        <v>117518.0</v>
      </c>
      <c r="I412" s="5">
        <v>299.0</v>
      </c>
      <c r="J412" s="5">
        <v>66458.0</v>
      </c>
      <c r="K412" s="5">
        <v>86571.0</v>
      </c>
      <c r="L412" s="5">
        <v>1.0</v>
      </c>
      <c r="M412" s="5">
        <v>5999.993781</v>
      </c>
    </row>
    <row r="413">
      <c r="A413" s="4" t="s">
        <v>625</v>
      </c>
      <c r="B413" s="5" t="s">
        <v>22</v>
      </c>
      <c r="C413" s="5" t="s">
        <v>23</v>
      </c>
      <c r="D413" s="5" t="s">
        <v>35</v>
      </c>
      <c r="E413" s="6" t="s">
        <v>612</v>
      </c>
      <c r="F413" s="5" t="s">
        <v>48</v>
      </c>
      <c r="G413" s="5" t="s">
        <v>27</v>
      </c>
      <c r="H413" s="5">
        <v>3196231.0</v>
      </c>
      <c r="I413" s="5">
        <v>8745.0</v>
      </c>
      <c r="J413" s="5">
        <v>2013324.0</v>
      </c>
      <c r="K413" s="5">
        <v>2669103.0</v>
      </c>
      <c r="L413" s="5">
        <v>70.0</v>
      </c>
      <c r="M413" s="5">
        <v>5756.271172</v>
      </c>
    </row>
    <row r="414">
      <c r="A414" s="4" t="s">
        <v>626</v>
      </c>
      <c r="B414" s="5" t="s">
        <v>15</v>
      </c>
      <c r="C414" s="5" t="s">
        <v>42</v>
      </c>
      <c r="D414" s="5" t="s">
        <v>29</v>
      </c>
      <c r="E414" s="6" t="s">
        <v>612</v>
      </c>
      <c r="F414" s="5" t="s">
        <v>19</v>
      </c>
      <c r="G414" s="5" t="s">
        <v>27</v>
      </c>
      <c r="H414" s="5">
        <v>109128.0</v>
      </c>
      <c r="I414" s="5">
        <v>470.0</v>
      </c>
      <c r="J414" s="5">
        <v>38487.0</v>
      </c>
      <c r="K414" s="5">
        <v>90615.0</v>
      </c>
      <c r="L414" s="5">
        <v>3.0</v>
      </c>
      <c r="M414" s="5">
        <v>5153.117204</v>
      </c>
    </row>
    <row r="415">
      <c r="A415" s="4" t="s">
        <v>627</v>
      </c>
      <c r="B415" s="5" t="s">
        <v>61</v>
      </c>
      <c r="C415" s="5" t="s">
        <v>16</v>
      </c>
      <c r="D415" s="5" t="s">
        <v>78</v>
      </c>
      <c r="E415" s="6" t="s">
        <v>612</v>
      </c>
      <c r="F415" s="5" t="s">
        <v>46</v>
      </c>
      <c r="G415" s="5" t="s">
        <v>27</v>
      </c>
      <c r="H415" s="5">
        <v>13946.0</v>
      </c>
      <c r="I415" s="5">
        <v>40.0</v>
      </c>
      <c r="J415" s="5">
        <v>3142.0</v>
      </c>
      <c r="K415" s="5">
        <v>8823.0</v>
      </c>
      <c r="L415" s="5">
        <v>8.0</v>
      </c>
      <c r="M415" s="5">
        <v>4920.23463</v>
      </c>
    </row>
    <row r="416">
      <c r="A416" s="4" t="s">
        <v>628</v>
      </c>
      <c r="B416" s="5" t="s">
        <v>15</v>
      </c>
      <c r="C416" s="5" t="s">
        <v>23</v>
      </c>
      <c r="D416" s="5" t="s">
        <v>29</v>
      </c>
      <c r="E416" s="6" t="s">
        <v>612</v>
      </c>
      <c r="F416" s="5" t="s">
        <v>136</v>
      </c>
      <c r="G416" s="5" t="s">
        <v>27</v>
      </c>
      <c r="H416" s="5">
        <v>335461.0</v>
      </c>
      <c r="I416" s="5">
        <v>963.0</v>
      </c>
      <c r="J416" s="5">
        <v>171464.0</v>
      </c>
      <c r="K416" s="5">
        <v>247450.0</v>
      </c>
      <c r="L416" s="5">
        <v>5.0</v>
      </c>
      <c r="M416" s="5">
        <v>4445.874629</v>
      </c>
    </row>
    <row r="417">
      <c r="A417" s="4" t="s">
        <v>629</v>
      </c>
      <c r="B417" s="5" t="s">
        <v>22</v>
      </c>
      <c r="C417" s="5" t="s">
        <v>31</v>
      </c>
      <c r="D417" s="5" t="s">
        <v>155</v>
      </c>
      <c r="E417" s="6" t="s">
        <v>612</v>
      </c>
      <c r="F417" s="5" t="s">
        <v>19</v>
      </c>
      <c r="G417" s="5" t="s">
        <v>27</v>
      </c>
      <c r="H417" s="5">
        <v>48436.0</v>
      </c>
      <c r="I417" s="5">
        <v>171.0</v>
      </c>
      <c r="J417" s="5">
        <v>16543.0</v>
      </c>
      <c r="K417" s="5">
        <v>42427.0</v>
      </c>
      <c r="L417" s="5">
        <v>6.0</v>
      </c>
      <c r="M417" s="5">
        <v>4386.648215</v>
      </c>
    </row>
    <row r="418">
      <c r="A418" s="4" t="s">
        <v>630</v>
      </c>
      <c r="B418" s="5" t="s">
        <v>22</v>
      </c>
      <c r="C418" s="5" t="s">
        <v>31</v>
      </c>
      <c r="D418" s="5" t="s">
        <v>39</v>
      </c>
      <c r="E418" s="6" t="s">
        <v>612</v>
      </c>
      <c r="F418" s="5" t="s">
        <v>19</v>
      </c>
      <c r="G418" s="5" t="s">
        <v>27</v>
      </c>
      <c r="H418" s="5">
        <v>58738.0</v>
      </c>
      <c r="I418" s="5">
        <v>165.0</v>
      </c>
      <c r="J418" s="5">
        <v>33538.0</v>
      </c>
      <c r="K418" s="5">
        <v>47535.0</v>
      </c>
      <c r="L418" s="5">
        <v>14.0</v>
      </c>
      <c r="M418" s="5">
        <v>2801.584386</v>
      </c>
    </row>
    <row r="419">
      <c r="A419" s="4" t="s">
        <v>631</v>
      </c>
      <c r="B419" s="5" t="s">
        <v>22</v>
      </c>
      <c r="C419" s="5" t="s">
        <v>31</v>
      </c>
      <c r="D419" s="5" t="s">
        <v>35</v>
      </c>
      <c r="E419" s="6" t="s">
        <v>612</v>
      </c>
      <c r="F419" s="5" t="s">
        <v>19</v>
      </c>
      <c r="G419" s="5" t="s">
        <v>27</v>
      </c>
      <c r="H419" s="5">
        <v>297347.0</v>
      </c>
      <c r="I419" s="5">
        <v>751.0</v>
      </c>
      <c r="J419" s="5">
        <v>166412.0</v>
      </c>
      <c r="K419" s="5">
        <v>251319.0</v>
      </c>
      <c r="L419" s="5">
        <v>4.0</v>
      </c>
      <c r="M419" s="5">
        <v>2255.522409</v>
      </c>
    </row>
    <row r="420">
      <c r="A420" s="4" t="s">
        <v>632</v>
      </c>
      <c r="B420" s="5" t="s">
        <v>22</v>
      </c>
      <c r="C420" s="5" t="s">
        <v>31</v>
      </c>
      <c r="D420" s="5" t="s">
        <v>35</v>
      </c>
      <c r="E420" s="6" t="s">
        <v>612</v>
      </c>
      <c r="F420" s="5" t="s">
        <v>19</v>
      </c>
      <c r="G420" s="5" t="s">
        <v>27</v>
      </c>
      <c r="H420" s="5">
        <v>80456.0</v>
      </c>
      <c r="I420" s="5">
        <v>204.0</v>
      </c>
      <c r="J420" s="5">
        <v>46039.0</v>
      </c>
      <c r="K420" s="5">
        <v>65383.0</v>
      </c>
      <c r="L420" s="5">
        <v>3.0</v>
      </c>
      <c r="M420" s="5">
        <v>2039.848792</v>
      </c>
    </row>
    <row r="421">
      <c r="A421" s="4" t="s">
        <v>633</v>
      </c>
      <c r="B421" s="5" t="s">
        <v>15</v>
      </c>
      <c r="C421" s="5" t="s">
        <v>42</v>
      </c>
      <c r="D421" s="5" t="s">
        <v>39</v>
      </c>
      <c r="E421" s="6" t="s">
        <v>612</v>
      </c>
      <c r="F421" s="5" t="s">
        <v>19</v>
      </c>
      <c r="G421" s="5" t="s">
        <v>52</v>
      </c>
      <c r="H421" s="5">
        <v>60412.0</v>
      </c>
      <c r="I421" s="5">
        <v>169.0</v>
      </c>
      <c r="J421" s="5">
        <v>33457.0</v>
      </c>
      <c r="K421" s="5">
        <v>52172.0</v>
      </c>
      <c r="L421" s="5">
        <v>24.0</v>
      </c>
      <c r="M421" s="5">
        <v>1679.572708</v>
      </c>
    </row>
    <row r="422">
      <c r="A422" s="4" t="s">
        <v>634</v>
      </c>
      <c r="B422" s="5" t="s">
        <v>22</v>
      </c>
      <c r="C422" s="5" t="s">
        <v>16</v>
      </c>
      <c r="D422" s="5" t="s">
        <v>433</v>
      </c>
      <c r="E422" s="6" t="s">
        <v>612</v>
      </c>
      <c r="F422" s="5" t="s">
        <v>33</v>
      </c>
      <c r="G422" s="5" t="s">
        <v>27</v>
      </c>
      <c r="H422" s="5">
        <v>171575.0</v>
      </c>
      <c r="I422" s="5">
        <v>499.0</v>
      </c>
      <c r="J422" s="5">
        <v>101487.0</v>
      </c>
      <c r="K422" s="5">
        <v>136036.0</v>
      </c>
      <c r="L422" s="5">
        <v>8.0</v>
      </c>
      <c r="M422" s="5">
        <v>1658.332426</v>
      </c>
    </row>
    <row r="423">
      <c r="A423" s="4" t="s">
        <v>635</v>
      </c>
      <c r="B423" s="5" t="s">
        <v>15</v>
      </c>
      <c r="C423" s="5" t="s">
        <v>31</v>
      </c>
      <c r="D423" s="5" t="s">
        <v>35</v>
      </c>
      <c r="E423" s="6" t="s">
        <v>612</v>
      </c>
      <c r="F423" s="5" t="s">
        <v>19</v>
      </c>
      <c r="G423" s="5" t="s">
        <v>27</v>
      </c>
      <c r="H423" s="5">
        <v>554980.0</v>
      </c>
      <c r="I423" s="5">
        <v>1542.0</v>
      </c>
      <c r="J423" s="5">
        <v>323498.0</v>
      </c>
      <c r="K423" s="5">
        <v>467646.0</v>
      </c>
      <c r="L423" s="5">
        <v>8.0</v>
      </c>
      <c r="M423" s="5">
        <v>1600.769588</v>
      </c>
    </row>
    <row r="424">
      <c r="A424" s="4" t="s">
        <v>636</v>
      </c>
      <c r="B424" s="5" t="s">
        <v>15</v>
      </c>
      <c r="C424" s="5" t="s">
        <v>31</v>
      </c>
      <c r="D424" s="5" t="s">
        <v>17</v>
      </c>
      <c r="E424" s="6" t="s">
        <v>612</v>
      </c>
      <c r="F424" s="5" t="s">
        <v>19</v>
      </c>
      <c r="G424" s="5" t="s">
        <v>27</v>
      </c>
      <c r="H424" s="5">
        <v>321263.0</v>
      </c>
      <c r="I424" s="5">
        <v>852.0</v>
      </c>
      <c r="J424" s="5">
        <v>172887.0</v>
      </c>
      <c r="K424" s="5">
        <v>263424.0</v>
      </c>
      <c r="L424" s="5">
        <v>6.0</v>
      </c>
      <c r="M424" s="5">
        <v>1576.051434</v>
      </c>
    </row>
    <row r="425">
      <c r="A425" s="4" t="s">
        <v>637</v>
      </c>
      <c r="B425" s="5" t="s">
        <v>15</v>
      </c>
      <c r="C425" s="5" t="s">
        <v>23</v>
      </c>
      <c r="D425" s="5" t="s">
        <v>147</v>
      </c>
      <c r="E425" s="6" t="s">
        <v>612</v>
      </c>
      <c r="F425" s="5" t="s">
        <v>19</v>
      </c>
      <c r="G425" s="5" t="s">
        <v>27</v>
      </c>
      <c r="H425" s="5">
        <v>311753.0</v>
      </c>
      <c r="I425" s="5">
        <v>763.0</v>
      </c>
      <c r="J425" s="5">
        <v>170122.0</v>
      </c>
      <c r="K425" s="5">
        <v>256841.0</v>
      </c>
      <c r="L425" s="5">
        <v>6.0</v>
      </c>
      <c r="M425" s="5">
        <v>1543.612655</v>
      </c>
    </row>
    <row r="426">
      <c r="A426" s="4" t="s">
        <v>638</v>
      </c>
      <c r="B426" s="5" t="s">
        <v>15</v>
      </c>
      <c r="C426" s="5" t="s">
        <v>16</v>
      </c>
      <c r="D426" s="5" t="s">
        <v>35</v>
      </c>
      <c r="E426" s="6" t="s">
        <v>612</v>
      </c>
      <c r="F426" s="5" t="s">
        <v>46</v>
      </c>
      <c r="G426" s="5" t="s">
        <v>20</v>
      </c>
      <c r="H426" s="5">
        <v>96031.0</v>
      </c>
      <c r="I426" s="5">
        <v>311.0</v>
      </c>
      <c r="J426" s="5">
        <v>57187.0</v>
      </c>
      <c r="K426" s="5">
        <v>78396.0</v>
      </c>
      <c r="L426" s="5">
        <v>21.0</v>
      </c>
      <c r="M426" s="5">
        <v>1508.90767</v>
      </c>
    </row>
    <row r="427">
      <c r="A427" s="4" t="s">
        <v>639</v>
      </c>
      <c r="B427" s="5" t="s">
        <v>22</v>
      </c>
      <c r="C427" s="5" t="s">
        <v>16</v>
      </c>
      <c r="D427" s="5" t="s">
        <v>142</v>
      </c>
      <c r="E427" s="6" t="s">
        <v>612</v>
      </c>
      <c r="F427" s="5" t="s">
        <v>19</v>
      </c>
      <c r="G427" s="5" t="s">
        <v>27</v>
      </c>
      <c r="H427" s="5">
        <v>47931.0</v>
      </c>
      <c r="I427" s="5">
        <v>170.0</v>
      </c>
      <c r="J427" s="5">
        <v>15989.0</v>
      </c>
      <c r="K427" s="5">
        <v>38916.0</v>
      </c>
      <c r="L427" s="5">
        <v>4.0</v>
      </c>
      <c r="M427" s="5">
        <v>1487.228625</v>
      </c>
    </row>
    <row r="428">
      <c r="A428" s="4" t="s">
        <v>640</v>
      </c>
      <c r="B428" s="5" t="s">
        <v>15</v>
      </c>
      <c r="C428" s="5" t="s">
        <v>23</v>
      </c>
      <c r="D428" s="5" t="s">
        <v>641</v>
      </c>
      <c r="E428" s="6" t="s">
        <v>612</v>
      </c>
      <c r="F428" s="5" t="s">
        <v>36</v>
      </c>
      <c r="G428" s="5" t="s">
        <v>27</v>
      </c>
      <c r="H428" s="5">
        <v>177632.0</v>
      </c>
      <c r="I428" s="5">
        <v>485.0</v>
      </c>
      <c r="J428" s="5">
        <v>70865.0</v>
      </c>
      <c r="K428" s="5">
        <v>95871.0</v>
      </c>
      <c r="L428" s="5">
        <v>5.0</v>
      </c>
      <c r="M428" s="5">
        <v>1483.384404</v>
      </c>
    </row>
    <row r="429">
      <c r="A429" s="4" t="s">
        <v>642</v>
      </c>
      <c r="B429" s="5" t="s">
        <v>15</v>
      </c>
      <c r="C429" s="5" t="s">
        <v>31</v>
      </c>
      <c r="D429" s="5" t="s">
        <v>84</v>
      </c>
      <c r="E429" s="6" t="s">
        <v>643</v>
      </c>
      <c r="F429" s="5" t="s">
        <v>19</v>
      </c>
      <c r="G429" s="5" t="s">
        <v>20</v>
      </c>
      <c r="H429" s="5">
        <v>7470.0</v>
      </c>
      <c r="I429" s="5">
        <v>0.0</v>
      </c>
      <c r="J429" s="5">
        <v>6753.0</v>
      </c>
      <c r="K429" s="5">
        <v>7229.0</v>
      </c>
      <c r="L429" s="5">
        <v>1.0</v>
      </c>
      <c r="M429" s="5">
        <v>1738.995282</v>
      </c>
    </row>
    <row r="430">
      <c r="A430" s="4" t="s">
        <v>644</v>
      </c>
      <c r="B430" s="5" t="s">
        <v>22</v>
      </c>
      <c r="C430" s="5" t="s">
        <v>16</v>
      </c>
      <c r="D430" s="5" t="s">
        <v>131</v>
      </c>
      <c r="E430" s="6" t="s">
        <v>645</v>
      </c>
      <c r="F430" s="5" t="s">
        <v>46</v>
      </c>
      <c r="G430" s="5" t="s">
        <v>27</v>
      </c>
      <c r="H430" s="5">
        <v>26784.0</v>
      </c>
      <c r="I430" s="5">
        <v>85.0</v>
      </c>
      <c r="J430" s="5">
        <v>12708.0</v>
      </c>
      <c r="K430" s="5">
        <v>22261.0</v>
      </c>
      <c r="L430" s="5">
        <v>9.0</v>
      </c>
      <c r="M430" s="5">
        <v>6643.161647</v>
      </c>
    </row>
    <row r="431">
      <c r="A431" s="4" t="s">
        <v>646</v>
      </c>
      <c r="B431" s="5" t="s">
        <v>22</v>
      </c>
      <c r="C431" s="5" t="s">
        <v>16</v>
      </c>
      <c r="D431" s="5" t="s">
        <v>35</v>
      </c>
      <c r="E431" s="6" t="s">
        <v>645</v>
      </c>
      <c r="F431" s="5" t="s">
        <v>19</v>
      </c>
      <c r="G431" s="5" t="s">
        <v>27</v>
      </c>
      <c r="H431" s="5">
        <v>21028.0</v>
      </c>
      <c r="I431" s="5">
        <v>10.0</v>
      </c>
      <c r="J431" s="5">
        <v>5781.0</v>
      </c>
      <c r="K431" s="5">
        <v>16134.0</v>
      </c>
      <c r="L431" s="5">
        <v>11.0</v>
      </c>
      <c r="M431" s="5">
        <v>5101.321655</v>
      </c>
    </row>
    <row r="432">
      <c r="A432" s="4" t="s">
        <v>647</v>
      </c>
      <c r="B432" s="5" t="s">
        <v>61</v>
      </c>
      <c r="C432" s="5" t="s">
        <v>16</v>
      </c>
      <c r="D432" s="5" t="s">
        <v>29</v>
      </c>
      <c r="E432" s="6" t="s">
        <v>648</v>
      </c>
      <c r="F432" s="5" t="s">
        <v>19</v>
      </c>
      <c r="G432" s="5" t="s">
        <v>27</v>
      </c>
      <c r="H432" s="5">
        <v>9238.0</v>
      </c>
      <c r="I432" s="5">
        <v>84.0</v>
      </c>
      <c r="J432" s="5">
        <v>4626.0</v>
      </c>
      <c r="K432" s="5">
        <v>8264.0</v>
      </c>
      <c r="L432" s="5">
        <v>15.0</v>
      </c>
      <c r="M432" s="5">
        <v>6683.225487</v>
      </c>
    </row>
    <row r="433">
      <c r="A433" s="4" t="s">
        <v>649</v>
      </c>
      <c r="B433" s="5" t="s">
        <v>22</v>
      </c>
      <c r="C433" s="5" t="s">
        <v>23</v>
      </c>
      <c r="D433" s="5" t="s">
        <v>29</v>
      </c>
      <c r="E433" s="6" t="s">
        <v>650</v>
      </c>
      <c r="F433" s="5" t="s">
        <v>26</v>
      </c>
      <c r="G433" s="5" t="s">
        <v>27</v>
      </c>
      <c r="H433" s="5">
        <v>39881.0</v>
      </c>
      <c r="I433" s="5">
        <v>125.0</v>
      </c>
      <c r="J433" s="5">
        <v>6331.0</v>
      </c>
      <c r="K433" s="5">
        <v>36245.0</v>
      </c>
      <c r="L433" s="5">
        <v>10.0</v>
      </c>
      <c r="M433" s="5">
        <v>7098.889706</v>
      </c>
    </row>
    <row r="434">
      <c r="A434" s="4" t="s">
        <v>651</v>
      </c>
      <c r="B434" s="5" t="s">
        <v>15</v>
      </c>
      <c r="C434" s="5" t="s">
        <v>16</v>
      </c>
      <c r="D434" s="5" t="s">
        <v>471</v>
      </c>
      <c r="E434" s="6" t="s">
        <v>652</v>
      </c>
      <c r="F434" s="5" t="s">
        <v>19</v>
      </c>
      <c r="G434" s="5" t="s">
        <v>27</v>
      </c>
      <c r="H434" s="5">
        <v>10883.0</v>
      </c>
      <c r="I434" s="5">
        <v>46.0</v>
      </c>
      <c r="J434" s="5">
        <v>1652.0</v>
      </c>
      <c r="K434" s="5">
        <v>8869.0</v>
      </c>
      <c r="L434" s="5">
        <v>16.0</v>
      </c>
      <c r="M434" s="5">
        <v>1942.482395</v>
      </c>
    </row>
    <row r="435">
      <c r="A435" s="4" t="s">
        <v>653</v>
      </c>
      <c r="B435" s="5" t="s">
        <v>15</v>
      </c>
      <c r="C435" s="5" t="s">
        <v>16</v>
      </c>
      <c r="D435" s="5" t="s">
        <v>78</v>
      </c>
      <c r="E435" s="6" t="s">
        <v>654</v>
      </c>
      <c r="F435" s="5" t="s">
        <v>19</v>
      </c>
      <c r="G435" s="5" t="s">
        <v>20</v>
      </c>
      <c r="H435" s="5">
        <v>50517.0</v>
      </c>
      <c r="I435" s="5">
        <v>270.0</v>
      </c>
      <c r="J435" s="5">
        <v>17179.0</v>
      </c>
      <c r="K435" s="5">
        <v>48389.0</v>
      </c>
      <c r="L435" s="5">
        <v>2.0</v>
      </c>
      <c r="M435" s="5">
        <v>1718.471077</v>
      </c>
    </row>
    <row r="436">
      <c r="A436" s="4" t="s">
        <v>655</v>
      </c>
      <c r="B436" s="5" t="s">
        <v>22</v>
      </c>
      <c r="C436" s="5" t="s">
        <v>16</v>
      </c>
      <c r="D436" s="5" t="s">
        <v>24</v>
      </c>
      <c r="E436" s="6" t="s">
        <v>654</v>
      </c>
      <c r="F436" s="5" t="s">
        <v>19</v>
      </c>
      <c r="G436" s="5" t="s">
        <v>27</v>
      </c>
      <c r="H436" s="5">
        <v>7248.0</v>
      </c>
      <c r="I436" s="5">
        <v>10.0</v>
      </c>
      <c r="J436" s="5">
        <v>3988.0</v>
      </c>
      <c r="K436" s="5">
        <v>6863.0</v>
      </c>
      <c r="L436" s="5">
        <v>7.0</v>
      </c>
      <c r="M436" s="5">
        <v>1247.0</v>
      </c>
    </row>
    <row r="437">
      <c r="A437" s="4" t="s">
        <v>656</v>
      </c>
      <c r="B437" s="5" t="s">
        <v>22</v>
      </c>
      <c r="C437" s="5" t="s">
        <v>42</v>
      </c>
      <c r="D437" s="5" t="s">
        <v>29</v>
      </c>
      <c r="E437" s="6" t="s">
        <v>657</v>
      </c>
      <c r="F437" s="5" t="s">
        <v>46</v>
      </c>
      <c r="G437" s="5" t="s">
        <v>27</v>
      </c>
      <c r="H437" s="5">
        <v>10835.0</v>
      </c>
      <c r="I437" s="5">
        <v>25.0</v>
      </c>
      <c r="J437" s="5">
        <v>2888.0</v>
      </c>
      <c r="K437" s="5">
        <v>10487.0</v>
      </c>
      <c r="L437" s="5">
        <v>3.0</v>
      </c>
      <c r="M437" s="5">
        <v>4704.249956</v>
      </c>
    </row>
    <row r="438">
      <c r="A438" s="4" t="s">
        <v>658</v>
      </c>
      <c r="B438" s="5" t="s">
        <v>15</v>
      </c>
      <c r="C438" s="5" t="s">
        <v>31</v>
      </c>
      <c r="D438" s="5" t="s">
        <v>17</v>
      </c>
      <c r="E438" s="6" t="s">
        <v>659</v>
      </c>
      <c r="F438" s="5" t="s">
        <v>19</v>
      </c>
      <c r="G438" s="5" t="s">
        <v>27</v>
      </c>
      <c r="H438" s="5">
        <v>11476.0</v>
      </c>
      <c r="I438" s="5">
        <v>45.0</v>
      </c>
      <c r="J438" s="5">
        <v>4963.0</v>
      </c>
      <c r="K438" s="5">
        <v>10991.0</v>
      </c>
      <c r="L438" s="5">
        <v>8.0</v>
      </c>
      <c r="M438" s="5">
        <v>7227.417349</v>
      </c>
    </row>
    <row r="439">
      <c r="A439" s="4" t="s">
        <v>660</v>
      </c>
      <c r="B439" s="5" t="s">
        <v>22</v>
      </c>
      <c r="C439" s="5" t="s">
        <v>23</v>
      </c>
      <c r="D439" s="5" t="s">
        <v>78</v>
      </c>
      <c r="E439" s="6" t="s">
        <v>661</v>
      </c>
      <c r="F439" s="5" t="s">
        <v>19</v>
      </c>
      <c r="G439" s="5" t="s">
        <v>27</v>
      </c>
      <c r="H439" s="5">
        <v>92764.0</v>
      </c>
      <c r="I439" s="5">
        <v>320.0</v>
      </c>
      <c r="J439" s="5">
        <v>19625.0</v>
      </c>
      <c r="K439" s="5">
        <v>76531.0</v>
      </c>
      <c r="L439" s="5">
        <v>14.0</v>
      </c>
      <c r="M439" s="5">
        <v>6730.012549</v>
      </c>
    </row>
    <row r="440">
      <c r="A440" s="4" t="s">
        <v>662</v>
      </c>
      <c r="B440" s="5" t="s">
        <v>22</v>
      </c>
      <c r="C440" s="5" t="s">
        <v>23</v>
      </c>
      <c r="D440" s="5" t="s">
        <v>273</v>
      </c>
      <c r="E440" s="6" t="s">
        <v>661</v>
      </c>
      <c r="F440" s="5" t="s">
        <v>36</v>
      </c>
      <c r="G440" s="5" t="s">
        <v>27</v>
      </c>
      <c r="H440" s="5">
        <v>189571.0</v>
      </c>
      <c r="I440" s="5">
        <v>500.0</v>
      </c>
      <c r="J440" s="5">
        <v>130676.0</v>
      </c>
      <c r="K440" s="5">
        <v>183688.0</v>
      </c>
      <c r="L440" s="5">
        <v>39.0</v>
      </c>
      <c r="M440" s="5">
        <v>6335.948388</v>
      </c>
    </row>
    <row r="441">
      <c r="A441" s="4" t="s">
        <v>663</v>
      </c>
      <c r="B441" s="5" t="s">
        <v>15</v>
      </c>
      <c r="C441" s="5" t="s">
        <v>42</v>
      </c>
      <c r="D441" s="5" t="s">
        <v>24</v>
      </c>
      <c r="E441" s="6" t="s">
        <v>661</v>
      </c>
      <c r="F441" s="5" t="s">
        <v>50</v>
      </c>
      <c r="G441" s="5" t="s">
        <v>27</v>
      </c>
      <c r="H441" s="5">
        <v>14224.0</v>
      </c>
      <c r="I441" s="5">
        <v>30.0</v>
      </c>
      <c r="J441" s="5">
        <v>2549.0</v>
      </c>
      <c r="K441" s="5">
        <v>11974.0</v>
      </c>
      <c r="L441" s="5">
        <v>7.0</v>
      </c>
      <c r="M441" s="5">
        <v>5637.303497</v>
      </c>
    </row>
    <row r="442">
      <c r="A442" s="4" t="s">
        <v>664</v>
      </c>
      <c r="B442" s="5" t="s">
        <v>15</v>
      </c>
      <c r="C442" s="5" t="s">
        <v>31</v>
      </c>
      <c r="D442" s="5" t="s">
        <v>17</v>
      </c>
      <c r="E442" s="6" t="s">
        <v>661</v>
      </c>
      <c r="F442" s="5" t="s">
        <v>19</v>
      </c>
      <c r="G442" s="5" t="s">
        <v>27</v>
      </c>
      <c r="H442" s="5">
        <v>183208.0</v>
      </c>
      <c r="I442" s="5">
        <v>620.0</v>
      </c>
      <c r="J442" s="5">
        <v>131164.0</v>
      </c>
      <c r="K442" s="5">
        <v>177952.0</v>
      </c>
      <c r="L442" s="5">
        <v>43.0</v>
      </c>
      <c r="M442" s="5">
        <v>2682.436623</v>
      </c>
    </row>
    <row r="443">
      <c r="A443" s="4" t="s">
        <v>665</v>
      </c>
      <c r="B443" s="5" t="s">
        <v>22</v>
      </c>
      <c r="C443" s="5" t="s">
        <v>42</v>
      </c>
      <c r="D443" s="5" t="s">
        <v>78</v>
      </c>
      <c r="E443" s="6" t="s">
        <v>661</v>
      </c>
      <c r="F443" s="5" t="s">
        <v>46</v>
      </c>
      <c r="G443" s="5" t="s">
        <v>27</v>
      </c>
      <c r="H443" s="5">
        <v>20486.0</v>
      </c>
      <c r="I443" s="5">
        <v>42.0</v>
      </c>
      <c r="J443" s="5">
        <v>14583.0</v>
      </c>
      <c r="K443" s="5">
        <v>19860.0</v>
      </c>
      <c r="L443" s="5">
        <v>2.0</v>
      </c>
      <c r="M443" s="5">
        <v>1718.513762</v>
      </c>
    </row>
    <row r="444">
      <c r="A444" s="4" t="s">
        <v>666</v>
      </c>
      <c r="B444" s="5" t="s">
        <v>15</v>
      </c>
      <c r="C444" s="5" t="s">
        <v>42</v>
      </c>
      <c r="D444" s="5" t="s">
        <v>35</v>
      </c>
      <c r="E444" s="6" t="s">
        <v>667</v>
      </c>
      <c r="F444" s="5" t="s">
        <v>117</v>
      </c>
      <c r="G444" s="5" t="s">
        <v>27</v>
      </c>
      <c r="H444" s="5">
        <v>15047.0</v>
      </c>
      <c r="I444" s="5">
        <v>84.0</v>
      </c>
      <c r="J444" s="5">
        <v>5653.0</v>
      </c>
      <c r="K444" s="5">
        <v>14459.0</v>
      </c>
      <c r="L444" s="5">
        <v>4.0</v>
      </c>
      <c r="M444" s="5">
        <v>2127.495962</v>
      </c>
    </row>
    <row r="445">
      <c r="A445" s="4" t="s">
        <v>668</v>
      </c>
      <c r="B445" s="5" t="s">
        <v>22</v>
      </c>
      <c r="C445" s="5" t="s">
        <v>16</v>
      </c>
      <c r="D445" s="5" t="s">
        <v>32</v>
      </c>
      <c r="E445" s="6" t="s">
        <v>669</v>
      </c>
      <c r="F445" s="5" t="s">
        <v>161</v>
      </c>
      <c r="G445" s="5" t="s">
        <v>27</v>
      </c>
      <c r="H445" s="5">
        <v>41513.0</v>
      </c>
      <c r="I445" s="5">
        <v>113.0</v>
      </c>
      <c r="J445" s="5">
        <v>20872.0</v>
      </c>
      <c r="K445" s="5">
        <v>39250.0</v>
      </c>
      <c r="L445" s="5">
        <v>9.0</v>
      </c>
      <c r="M445" s="5">
        <v>6789.533401</v>
      </c>
    </row>
    <row r="446">
      <c r="A446" s="4" t="s">
        <v>670</v>
      </c>
      <c r="B446" s="5" t="s">
        <v>15</v>
      </c>
      <c r="C446" s="5" t="s">
        <v>31</v>
      </c>
      <c r="D446" s="5" t="s">
        <v>35</v>
      </c>
      <c r="E446" s="6" t="s">
        <v>669</v>
      </c>
      <c r="F446" s="5" t="s">
        <v>46</v>
      </c>
      <c r="G446" s="5" t="s">
        <v>27</v>
      </c>
      <c r="H446" s="5">
        <v>16503.0</v>
      </c>
      <c r="I446" s="5">
        <v>69.0</v>
      </c>
      <c r="J446" s="5">
        <v>8595.0</v>
      </c>
      <c r="K446" s="5">
        <v>14466.0</v>
      </c>
      <c r="L446" s="5">
        <v>7.0</v>
      </c>
      <c r="M446" s="5">
        <v>5714.523867</v>
      </c>
    </row>
    <row r="447">
      <c r="A447" s="4" t="s">
        <v>671</v>
      </c>
      <c r="B447" s="5" t="s">
        <v>15</v>
      </c>
      <c r="C447" s="5" t="s">
        <v>16</v>
      </c>
      <c r="D447" s="5" t="s">
        <v>17</v>
      </c>
      <c r="E447" s="6" t="s">
        <v>669</v>
      </c>
      <c r="F447" s="5" t="s">
        <v>19</v>
      </c>
      <c r="G447" s="5" t="s">
        <v>27</v>
      </c>
      <c r="H447" s="5">
        <v>52006.0</v>
      </c>
      <c r="I447" s="5">
        <v>160.0</v>
      </c>
      <c r="J447" s="5">
        <v>24711.0</v>
      </c>
      <c r="K447" s="5">
        <v>48019.0</v>
      </c>
      <c r="L447" s="5">
        <v>12.0</v>
      </c>
      <c r="M447" s="5">
        <v>5200.010118</v>
      </c>
    </row>
    <row r="448">
      <c r="A448" s="4" t="s">
        <v>672</v>
      </c>
      <c r="B448" s="5" t="s">
        <v>15</v>
      </c>
      <c r="C448" s="5" t="s">
        <v>42</v>
      </c>
      <c r="D448" s="5" t="s">
        <v>66</v>
      </c>
      <c r="E448" s="6" t="s">
        <v>669</v>
      </c>
      <c r="F448" s="5" t="s">
        <v>46</v>
      </c>
      <c r="G448" s="5" t="s">
        <v>27</v>
      </c>
      <c r="H448" s="5">
        <v>8420.0</v>
      </c>
      <c r="I448" s="5">
        <v>80.0</v>
      </c>
      <c r="J448" s="5">
        <v>4430.0</v>
      </c>
      <c r="K448" s="5">
        <v>7869.0</v>
      </c>
      <c r="L448" s="5">
        <v>8.0</v>
      </c>
      <c r="M448" s="5">
        <v>5184.585424</v>
      </c>
    </row>
    <row r="449">
      <c r="A449" s="4" t="s">
        <v>673</v>
      </c>
      <c r="B449" s="5" t="s">
        <v>61</v>
      </c>
      <c r="C449" s="5" t="s">
        <v>16</v>
      </c>
      <c r="D449" s="5" t="s">
        <v>45</v>
      </c>
      <c r="E449" s="6" t="s">
        <v>669</v>
      </c>
      <c r="F449" s="5" t="s">
        <v>19</v>
      </c>
      <c r="G449" s="5" t="s">
        <v>27</v>
      </c>
      <c r="H449" s="5">
        <v>63415.0</v>
      </c>
      <c r="I449" s="5">
        <v>185.0</v>
      </c>
      <c r="J449" s="5">
        <v>28161.0</v>
      </c>
      <c r="K449" s="5">
        <v>59169.0</v>
      </c>
      <c r="L449" s="5">
        <v>9.0</v>
      </c>
      <c r="M449" s="5">
        <v>1924.162675</v>
      </c>
    </row>
    <row r="450">
      <c r="A450" s="4" t="s">
        <v>674</v>
      </c>
      <c r="B450" s="5" t="s">
        <v>22</v>
      </c>
      <c r="C450" s="5" t="s">
        <v>31</v>
      </c>
      <c r="D450" s="5" t="s">
        <v>17</v>
      </c>
      <c r="E450" s="6" t="s">
        <v>669</v>
      </c>
      <c r="F450" s="5" t="s">
        <v>26</v>
      </c>
      <c r="G450" s="5" t="s">
        <v>27</v>
      </c>
      <c r="H450" s="5">
        <v>73544.0</v>
      </c>
      <c r="I450" s="5">
        <v>223.0</v>
      </c>
      <c r="J450" s="5">
        <v>40405.0</v>
      </c>
      <c r="K450" s="5">
        <v>67406.0</v>
      </c>
      <c r="L450" s="5">
        <v>1.0</v>
      </c>
      <c r="M450" s="5">
        <v>1465.872266</v>
      </c>
    </row>
    <row r="451">
      <c r="A451" s="4" t="s">
        <v>675</v>
      </c>
      <c r="B451" s="5" t="s">
        <v>22</v>
      </c>
      <c r="C451" s="5" t="s">
        <v>31</v>
      </c>
      <c r="D451" s="5" t="s">
        <v>32</v>
      </c>
      <c r="E451" s="6" t="s">
        <v>676</v>
      </c>
      <c r="F451" s="5" t="s">
        <v>161</v>
      </c>
      <c r="G451" s="5" t="s">
        <v>27</v>
      </c>
      <c r="H451" s="5">
        <v>16288.0</v>
      </c>
      <c r="I451" s="5">
        <v>56.0</v>
      </c>
      <c r="J451" s="5">
        <v>5304.0</v>
      </c>
      <c r="K451" s="5">
        <v>10731.0</v>
      </c>
      <c r="L451" s="5">
        <v>3.0</v>
      </c>
      <c r="M451" s="5">
        <v>2030.142709</v>
      </c>
    </row>
    <row r="452">
      <c r="A452" s="4" t="s">
        <v>677</v>
      </c>
      <c r="B452" s="5" t="s">
        <v>15</v>
      </c>
      <c r="C452" s="5" t="s">
        <v>42</v>
      </c>
      <c r="D452" s="5" t="s">
        <v>183</v>
      </c>
      <c r="E452" s="6" t="s">
        <v>678</v>
      </c>
      <c r="F452" s="5" t="s">
        <v>19</v>
      </c>
      <c r="G452" s="5" t="s">
        <v>20</v>
      </c>
      <c r="H452" s="5">
        <v>7695.0</v>
      </c>
      <c r="I452" s="5">
        <v>20.0</v>
      </c>
      <c r="J452" s="5">
        <v>3481.0</v>
      </c>
      <c r="K452" s="5">
        <v>7050.0</v>
      </c>
      <c r="L452" s="5">
        <v>14.0</v>
      </c>
      <c r="M452" s="5">
        <v>6727.440499</v>
      </c>
    </row>
    <row r="453">
      <c r="A453" s="4" t="s">
        <v>679</v>
      </c>
      <c r="B453" s="5" t="s">
        <v>61</v>
      </c>
      <c r="C453" s="5" t="s">
        <v>16</v>
      </c>
      <c r="D453" s="5" t="s">
        <v>183</v>
      </c>
      <c r="E453" s="6" t="s">
        <v>678</v>
      </c>
      <c r="F453" s="5" t="s">
        <v>19</v>
      </c>
      <c r="G453" s="5" t="s">
        <v>27</v>
      </c>
      <c r="H453" s="5">
        <v>15602.0</v>
      </c>
      <c r="I453" s="5">
        <v>50.0</v>
      </c>
      <c r="J453" s="5">
        <v>7676.0</v>
      </c>
      <c r="K453" s="5">
        <v>13775.0</v>
      </c>
      <c r="L453" s="5">
        <v>1.0</v>
      </c>
      <c r="M453" s="5">
        <v>2600.894327</v>
      </c>
    </row>
    <row r="454">
      <c r="A454" s="4" t="s">
        <v>680</v>
      </c>
      <c r="B454" s="5" t="s">
        <v>15</v>
      </c>
      <c r="C454" s="5" t="s">
        <v>16</v>
      </c>
      <c r="D454" s="5" t="s">
        <v>39</v>
      </c>
      <c r="E454" s="6" t="s">
        <v>681</v>
      </c>
      <c r="F454" s="5" t="s">
        <v>50</v>
      </c>
      <c r="G454" s="5" t="s">
        <v>27</v>
      </c>
      <c r="H454" s="5">
        <v>8000.0</v>
      </c>
      <c r="I454" s="5">
        <v>10.0</v>
      </c>
      <c r="J454" s="5">
        <v>4400.0</v>
      </c>
      <c r="K454" s="5">
        <v>6379.0</v>
      </c>
      <c r="L454" s="5">
        <v>1.0</v>
      </c>
      <c r="M454" s="5">
        <v>6159.366902</v>
      </c>
    </row>
    <row r="455">
      <c r="A455" s="4" t="s">
        <v>682</v>
      </c>
      <c r="B455" s="5" t="s">
        <v>22</v>
      </c>
      <c r="C455" s="5" t="s">
        <v>31</v>
      </c>
      <c r="D455" s="5" t="s">
        <v>17</v>
      </c>
      <c r="E455" s="6" t="s">
        <v>681</v>
      </c>
      <c r="F455" s="5" t="s">
        <v>136</v>
      </c>
      <c r="G455" s="5" t="s">
        <v>27</v>
      </c>
      <c r="H455" s="5">
        <v>13592.0</v>
      </c>
      <c r="I455" s="5">
        <v>85.0</v>
      </c>
      <c r="J455" s="5">
        <v>7747.0</v>
      </c>
      <c r="K455" s="5">
        <v>10690.0</v>
      </c>
      <c r="L455" s="5">
        <v>1.0</v>
      </c>
      <c r="M455" s="5">
        <v>1555.112078</v>
      </c>
    </row>
    <row r="456">
      <c r="A456" s="4" t="s">
        <v>683</v>
      </c>
      <c r="B456" s="5" t="s">
        <v>22</v>
      </c>
      <c r="C456" s="5" t="s">
        <v>42</v>
      </c>
      <c r="D456" s="5" t="s">
        <v>78</v>
      </c>
      <c r="E456" s="6" t="s">
        <v>684</v>
      </c>
      <c r="F456" s="5" t="s">
        <v>26</v>
      </c>
      <c r="G456" s="5" t="s">
        <v>27</v>
      </c>
      <c r="H456" s="5">
        <v>15588.0</v>
      </c>
      <c r="I456" s="5">
        <v>80.0</v>
      </c>
      <c r="J456" s="5">
        <v>2089.0</v>
      </c>
      <c r="K456" s="5">
        <v>14526.0</v>
      </c>
      <c r="L456" s="5">
        <v>9.0</v>
      </c>
      <c r="M456" s="5">
        <v>3518.533482</v>
      </c>
    </row>
    <row r="457">
      <c r="A457" s="4" t="s">
        <v>685</v>
      </c>
      <c r="B457" s="5" t="s">
        <v>22</v>
      </c>
      <c r="C457" s="5" t="s">
        <v>31</v>
      </c>
      <c r="D457" s="5" t="s">
        <v>29</v>
      </c>
      <c r="E457" s="6" t="s">
        <v>686</v>
      </c>
      <c r="F457" s="5" t="s">
        <v>19</v>
      </c>
      <c r="G457" s="5" t="s">
        <v>27</v>
      </c>
      <c r="H457" s="5">
        <v>14038.0</v>
      </c>
      <c r="I457" s="5">
        <v>63.0</v>
      </c>
      <c r="J457" s="5">
        <v>1600.0</v>
      </c>
      <c r="K457" s="5">
        <v>11345.0</v>
      </c>
      <c r="L457" s="5">
        <v>8.0</v>
      </c>
      <c r="M457" s="5">
        <v>6368.862913</v>
      </c>
    </row>
    <row r="458">
      <c r="A458" s="4" t="s">
        <v>687</v>
      </c>
      <c r="B458" s="5" t="s">
        <v>61</v>
      </c>
      <c r="C458" s="5" t="s">
        <v>31</v>
      </c>
      <c r="D458" s="5" t="s">
        <v>55</v>
      </c>
      <c r="E458" s="6" t="s">
        <v>686</v>
      </c>
      <c r="F458" s="5" t="s">
        <v>33</v>
      </c>
      <c r="G458" s="5" t="s">
        <v>27</v>
      </c>
      <c r="H458" s="5">
        <v>140359.0</v>
      </c>
      <c r="I458" s="5">
        <v>352.0</v>
      </c>
      <c r="J458" s="5">
        <v>76130.0</v>
      </c>
      <c r="K458" s="5">
        <v>133578.0</v>
      </c>
      <c r="L458" s="5">
        <v>26.0</v>
      </c>
      <c r="M458" s="5">
        <v>6094.666799</v>
      </c>
    </row>
    <row r="459">
      <c r="A459" s="4" t="s">
        <v>688</v>
      </c>
      <c r="B459" s="5" t="s">
        <v>22</v>
      </c>
      <c r="C459" s="5" t="s">
        <v>31</v>
      </c>
      <c r="D459" s="5" t="s">
        <v>35</v>
      </c>
      <c r="E459" s="6" t="s">
        <v>686</v>
      </c>
      <c r="F459" s="5" t="s">
        <v>19</v>
      </c>
      <c r="G459" s="5" t="s">
        <v>27</v>
      </c>
      <c r="H459" s="5">
        <v>25377.0</v>
      </c>
      <c r="I459" s="5">
        <v>101.0</v>
      </c>
      <c r="J459" s="5">
        <v>16698.0</v>
      </c>
      <c r="K459" s="5">
        <v>23798.0</v>
      </c>
      <c r="L459" s="5">
        <v>2.0</v>
      </c>
      <c r="M459" s="5">
        <v>5175.142919</v>
      </c>
    </row>
    <row r="460">
      <c r="A460" s="4" t="s">
        <v>689</v>
      </c>
      <c r="B460" s="5" t="s">
        <v>22</v>
      </c>
      <c r="C460" s="5" t="s">
        <v>23</v>
      </c>
      <c r="D460" s="5" t="s">
        <v>55</v>
      </c>
      <c r="E460" s="6" t="s">
        <v>686</v>
      </c>
      <c r="F460" s="5" t="s">
        <v>19</v>
      </c>
      <c r="G460" s="5" t="s">
        <v>27</v>
      </c>
      <c r="H460" s="5">
        <v>29092.0</v>
      </c>
      <c r="I460" s="5">
        <v>75.0</v>
      </c>
      <c r="J460" s="5">
        <v>16986.0</v>
      </c>
      <c r="K460" s="5">
        <v>26606.0</v>
      </c>
      <c r="L460" s="5">
        <v>15.0</v>
      </c>
      <c r="M460" s="5">
        <v>1801.058111</v>
      </c>
    </row>
    <row r="461">
      <c r="A461" s="4" t="s">
        <v>690</v>
      </c>
      <c r="B461" s="5" t="s">
        <v>15</v>
      </c>
      <c r="C461" s="5" t="s">
        <v>16</v>
      </c>
      <c r="D461" s="5" t="s">
        <v>95</v>
      </c>
      <c r="E461" s="6" t="s">
        <v>686</v>
      </c>
      <c r="F461" s="5" t="s">
        <v>26</v>
      </c>
      <c r="G461" s="5" t="s">
        <v>20</v>
      </c>
      <c r="H461" s="5">
        <v>73567.0</v>
      </c>
      <c r="I461" s="5">
        <v>197.0</v>
      </c>
      <c r="J461" s="5">
        <v>28800.0</v>
      </c>
      <c r="K461" s="5">
        <v>68566.0</v>
      </c>
      <c r="L461" s="5">
        <v>2.0</v>
      </c>
      <c r="M461" s="5">
        <v>1567.366071</v>
      </c>
    </row>
    <row r="462">
      <c r="A462" s="4" t="s">
        <v>691</v>
      </c>
      <c r="B462" s="5" t="s">
        <v>22</v>
      </c>
      <c r="C462" s="5" t="s">
        <v>16</v>
      </c>
      <c r="D462" s="5" t="s">
        <v>35</v>
      </c>
      <c r="E462" s="6" t="s">
        <v>686</v>
      </c>
      <c r="F462" s="5" t="s">
        <v>19</v>
      </c>
      <c r="G462" s="5" t="s">
        <v>27</v>
      </c>
      <c r="H462" s="5">
        <v>152881.0</v>
      </c>
      <c r="I462" s="5">
        <v>426.0</v>
      </c>
      <c r="J462" s="5">
        <v>94895.0</v>
      </c>
      <c r="K462" s="5">
        <v>145113.0</v>
      </c>
      <c r="L462" s="5">
        <v>11.0</v>
      </c>
      <c r="M462" s="5">
        <v>1496.668524</v>
      </c>
    </row>
    <row r="463">
      <c r="A463" s="4" t="s">
        <v>692</v>
      </c>
      <c r="B463" s="5" t="s">
        <v>22</v>
      </c>
      <c r="C463" s="5" t="s">
        <v>23</v>
      </c>
      <c r="D463" s="5" t="s">
        <v>35</v>
      </c>
      <c r="E463" s="6" t="s">
        <v>693</v>
      </c>
      <c r="F463" s="5" t="s">
        <v>19</v>
      </c>
      <c r="G463" s="5" t="s">
        <v>27</v>
      </c>
      <c r="H463" s="5">
        <v>16239.0</v>
      </c>
      <c r="I463" s="5">
        <v>78.0</v>
      </c>
      <c r="J463" s="5">
        <v>9375.0</v>
      </c>
      <c r="K463" s="5">
        <v>15562.0</v>
      </c>
      <c r="L463" s="5">
        <v>5.0</v>
      </c>
      <c r="M463" s="5">
        <v>2387.686295</v>
      </c>
    </row>
    <row r="464">
      <c r="A464" s="4" t="s">
        <v>694</v>
      </c>
      <c r="B464" s="5" t="s">
        <v>15</v>
      </c>
      <c r="C464" s="5" t="s">
        <v>16</v>
      </c>
      <c r="D464" s="5" t="s">
        <v>35</v>
      </c>
      <c r="E464" s="6" t="s">
        <v>693</v>
      </c>
      <c r="F464" s="5" t="s">
        <v>36</v>
      </c>
      <c r="G464" s="5" t="s">
        <v>27</v>
      </c>
      <c r="H464" s="5">
        <v>14932.0</v>
      </c>
      <c r="I464" s="5">
        <v>90.0</v>
      </c>
      <c r="J464" s="5">
        <v>8947.0</v>
      </c>
      <c r="K464" s="5">
        <v>14256.0</v>
      </c>
      <c r="L464" s="5">
        <v>3.0</v>
      </c>
      <c r="M464" s="5">
        <v>1724.417704</v>
      </c>
    </row>
    <row r="465">
      <c r="A465" s="4" t="s">
        <v>695</v>
      </c>
      <c r="B465" s="5" t="s">
        <v>15</v>
      </c>
      <c r="C465" s="5" t="s">
        <v>23</v>
      </c>
      <c r="D465" s="5" t="s">
        <v>24</v>
      </c>
      <c r="E465" s="6" t="s">
        <v>696</v>
      </c>
      <c r="F465" s="5" t="s">
        <v>36</v>
      </c>
      <c r="G465" s="5" t="s">
        <v>27</v>
      </c>
      <c r="H465" s="5">
        <v>13823.0</v>
      </c>
      <c r="I465" s="5">
        <v>58.0</v>
      </c>
      <c r="J465" s="5">
        <v>10671.0</v>
      </c>
      <c r="K465" s="5">
        <v>12937.0</v>
      </c>
      <c r="L465" s="5">
        <v>3.0</v>
      </c>
      <c r="M465" s="5">
        <v>1574.709734</v>
      </c>
    </row>
    <row r="466">
      <c r="A466" s="4" t="s">
        <v>697</v>
      </c>
      <c r="B466" s="5" t="s">
        <v>15</v>
      </c>
      <c r="C466" s="5" t="s">
        <v>16</v>
      </c>
      <c r="D466" s="5" t="s">
        <v>32</v>
      </c>
      <c r="E466" s="6" t="s">
        <v>696</v>
      </c>
      <c r="F466" s="5" t="s">
        <v>19</v>
      </c>
      <c r="G466" s="5" t="s">
        <v>27</v>
      </c>
      <c r="H466" s="5">
        <v>11214.0</v>
      </c>
      <c r="I466" s="5">
        <v>49.0</v>
      </c>
      <c r="J466" s="5">
        <v>5523.0</v>
      </c>
      <c r="K466" s="5">
        <v>10267.0</v>
      </c>
      <c r="L466" s="5">
        <v>2.0</v>
      </c>
      <c r="M466" s="5">
        <v>1554.389215</v>
      </c>
    </row>
    <row r="467">
      <c r="A467" s="4" t="s">
        <v>698</v>
      </c>
      <c r="B467" s="5" t="s">
        <v>22</v>
      </c>
      <c r="C467" s="5" t="s">
        <v>42</v>
      </c>
      <c r="D467" s="5" t="s">
        <v>699</v>
      </c>
      <c r="E467" s="6" t="s">
        <v>700</v>
      </c>
      <c r="F467" s="5" t="s">
        <v>36</v>
      </c>
      <c r="G467" s="5" t="s">
        <v>27</v>
      </c>
      <c r="H467" s="5">
        <v>19829.0</v>
      </c>
      <c r="I467" s="5">
        <v>42.0</v>
      </c>
      <c r="J467" s="5">
        <v>15071.0</v>
      </c>
      <c r="K467" s="5">
        <v>19095.0</v>
      </c>
      <c r="L467" s="5">
        <v>2.0</v>
      </c>
      <c r="M467" s="5">
        <v>1952.463773</v>
      </c>
    </row>
    <row r="468">
      <c r="A468" s="4" t="s">
        <v>701</v>
      </c>
      <c r="B468" s="5" t="s">
        <v>22</v>
      </c>
      <c r="C468" s="5" t="s">
        <v>23</v>
      </c>
      <c r="D468" s="5" t="s">
        <v>39</v>
      </c>
      <c r="E468" s="6" t="s">
        <v>702</v>
      </c>
      <c r="F468" s="5" t="s">
        <v>33</v>
      </c>
      <c r="G468" s="5" t="s">
        <v>27</v>
      </c>
      <c r="H468" s="5">
        <v>183230.0</v>
      </c>
      <c r="I468" s="5">
        <v>666.0</v>
      </c>
      <c r="J468" s="5">
        <v>155260.0</v>
      </c>
      <c r="K468" s="5">
        <v>169583.0</v>
      </c>
      <c r="L468" s="5">
        <v>34.0</v>
      </c>
      <c r="M468" s="5">
        <v>7863.469709</v>
      </c>
    </row>
    <row r="469">
      <c r="A469" s="4" t="s">
        <v>703</v>
      </c>
      <c r="B469" s="5" t="s">
        <v>22</v>
      </c>
      <c r="C469" s="5" t="s">
        <v>42</v>
      </c>
      <c r="D469" s="5" t="s">
        <v>84</v>
      </c>
      <c r="E469" s="6" t="s">
        <v>702</v>
      </c>
      <c r="F469" s="5" t="s">
        <v>117</v>
      </c>
      <c r="G469" s="5" t="s">
        <v>27</v>
      </c>
      <c r="H469" s="5">
        <v>113262.0</v>
      </c>
      <c r="I469" s="5">
        <v>380.0</v>
      </c>
      <c r="J469" s="5">
        <v>95762.0</v>
      </c>
      <c r="K469" s="5">
        <v>104612.0</v>
      </c>
      <c r="L469" s="5">
        <v>4.0</v>
      </c>
      <c r="M469" s="5">
        <v>7443.483233</v>
      </c>
    </row>
    <row r="470">
      <c r="A470" s="4" t="s">
        <v>704</v>
      </c>
      <c r="B470" s="5" t="s">
        <v>15</v>
      </c>
      <c r="C470" s="5" t="s">
        <v>31</v>
      </c>
      <c r="D470" s="5" t="s">
        <v>29</v>
      </c>
      <c r="E470" s="6" t="s">
        <v>702</v>
      </c>
      <c r="F470" s="5" t="s">
        <v>19</v>
      </c>
      <c r="G470" s="5" t="s">
        <v>27</v>
      </c>
      <c r="H470" s="5">
        <v>75531.0</v>
      </c>
      <c r="I470" s="5">
        <v>200.0</v>
      </c>
      <c r="J470" s="5">
        <v>63816.0</v>
      </c>
      <c r="K470" s="5">
        <v>70011.0</v>
      </c>
      <c r="L470" s="5">
        <v>9.0</v>
      </c>
      <c r="M470" s="5">
        <v>7261.86504</v>
      </c>
    </row>
    <row r="471">
      <c r="A471" s="4" t="s">
        <v>705</v>
      </c>
      <c r="B471" s="5" t="s">
        <v>15</v>
      </c>
      <c r="C471" s="5" t="s">
        <v>42</v>
      </c>
      <c r="D471" s="5" t="s">
        <v>17</v>
      </c>
      <c r="E471" s="6" t="s">
        <v>702</v>
      </c>
      <c r="F471" s="5" t="s">
        <v>19</v>
      </c>
      <c r="G471" s="5" t="s">
        <v>52</v>
      </c>
      <c r="H471" s="5">
        <v>102958.0</v>
      </c>
      <c r="I471" s="5">
        <v>320.0</v>
      </c>
      <c r="J471" s="5">
        <v>86884.0</v>
      </c>
      <c r="K471" s="5">
        <v>94687.0</v>
      </c>
      <c r="L471" s="5">
        <v>12.0</v>
      </c>
      <c r="M471" s="5">
        <v>6624.221175</v>
      </c>
    </row>
    <row r="472">
      <c r="A472" s="4" t="s">
        <v>706</v>
      </c>
      <c r="B472" s="5" t="s">
        <v>15</v>
      </c>
      <c r="C472" s="5" t="s">
        <v>23</v>
      </c>
      <c r="D472" s="5" t="s">
        <v>35</v>
      </c>
      <c r="E472" s="6" t="s">
        <v>702</v>
      </c>
      <c r="F472" s="5" t="s">
        <v>50</v>
      </c>
      <c r="G472" s="5" t="s">
        <v>20</v>
      </c>
      <c r="H472" s="5">
        <v>42755.0</v>
      </c>
      <c r="I472" s="5">
        <v>117.0</v>
      </c>
      <c r="J472" s="5">
        <v>36503.0</v>
      </c>
      <c r="K472" s="5">
        <v>40051.0</v>
      </c>
      <c r="L472" s="5">
        <v>12.0</v>
      </c>
      <c r="M472" s="5">
        <v>6550.30297</v>
      </c>
    </row>
    <row r="473">
      <c r="A473" s="4" t="s">
        <v>707</v>
      </c>
      <c r="B473" s="5" t="s">
        <v>22</v>
      </c>
      <c r="C473" s="5" t="s">
        <v>31</v>
      </c>
      <c r="D473" s="5" t="s">
        <v>55</v>
      </c>
      <c r="E473" s="6" t="s">
        <v>702</v>
      </c>
      <c r="F473" s="5" t="s">
        <v>46</v>
      </c>
      <c r="G473" s="5" t="s">
        <v>27</v>
      </c>
      <c r="H473" s="5">
        <v>264580.0</v>
      </c>
      <c r="I473" s="5">
        <v>691.0</v>
      </c>
      <c r="J473" s="5">
        <v>217526.0</v>
      </c>
      <c r="K473" s="5">
        <v>240731.0</v>
      </c>
      <c r="L473" s="5">
        <v>9.0</v>
      </c>
      <c r="M473" s="5">
        <v>4874.651722</v>
      </c>
    </row>
    <row r="474">
      <c r="A474" s="4" t="s">
        <v>708</v>
      </c>
      <c r="B474" s="5" t="s">
        <v>22</v>
      </c>
      <c r="C474" s="5" t="s">
        <v>42</v>
      </c>
      <c r="D474" s="5" t="s">
        <v>32</v>
      </c>
      <c r="E474" s="6" t="s">
        <v>702</v>
      </c>
      <c r="F474" s="5" t="s">
        <v>19</v>
      </c>
      <c r="G474" s="5" t="s">
        <v>27</v>
      </c>
      <c r="H474" s="5">
        <v>42833.0</v>
      </c>
      <c r="I474" s="5">
        <v>120.0</v>
      </c>
      <c r="J474" s="5">
        <v>37438.0</v>
      </c>
      <c r="K474" s="5">
        <v>40447.0</v>
      </c>
      <c r="L474" s="5">
        <v>9.0</v>
      </c>
      <c r="M474" s="5">
        <v>2040.934819</v>
      </c>
    </row>
    <row r="475">
      <c r="A475" s="4" t="s">
        <v>709</v>
      </c>
      <c r="B475" s="5" t="s">
        <v>22</v>
      </c>
      <c r="C475" s="5" t="s">
        <v>16</v>
      </c>
      <c r="D475" s="5" t="s">
        <v>39</v>
      </c>
      <c r="E475" s="6" t="s">
        <v>702</v>
      </c>
      <c r="F475" s="5" t="s">
        <v>36</v>
      </c>
      <c r="G475" s="5" t="s">
        <v>27</v>
      </c>
      <c r="H475" s="5">
        <v>481526.0</v>
      </c>
      <c r="I475" s="5">
        <v>1235.0</v>
      </c>
      <c r="J475" s="5">
        <v>396802.0</v>
      </c>
      <c r="K475" s="5">
        <v>437639.0</v>
      </c>
      <c r="L475" s="5">
        <v>23.0</v>
      </c>
      <c r="M475" s="5">
        <v>2037.865594</v>
      </c>
    </row>
    <row r="476">
      <c r="A476" s="4" t="s">
        <v>710</v>
      </c>
      <c r="B476" s="5" t="s">
        <v>15</v>
      </c>
      <c r="C476" s="5" t="s">
        <v>42</v>
      </c>
      <c r="D476" s="5" t="s">
        <v>78</v>
      </c>
      <c r="E476" s="6" t="s">
        <v>702</v>
      </c>
      <c r="F476" s="5" t="s">
        <v>19</v>
      </c>
      <c r="G476" s="5" t="s">
        <v>20</v>
      </c>
      <c r="H476" s="5">
        <v>50183.0</v>
      </c>
      <c r="I476" s="5">
        <v>199.0</v>
      </c>
      <c r="J476" s="5">
        <v>41506.0</v>
      </c>
      <c r="K476" s="5">
        <v>46163.0</v>
      </c>
      <c r="L476" s="5">
        <v>15.0</v>
      </c>
      <c r="M476" s="5">
        <v>1628.882813</v>
      </c>
    </row>
    <row r="477">
      <c r="A477" s="4" t="s">
        <v>711</v>
      </c>
      <c r="B477" s="5" t="s">
        <v>15</v>
      </c>
      <c r="C477" s="5" t="s">
        <v>42</v>
      </c>
      <c r="D477" s="5" t="s">
        <v>17</v>
      </c>
      <c r="E477" s="6" t="s">
        <v>702</v>
      </c>
      <c r="F477" s="5" t="s">
        <v>19</v>
      </c>
      <c r="G477" s="5" t="s">
        <v>27</v>
      </c>
      <c r="H477" s="5">
        <v>21088.0</v>
      </c>
      <c r="I477" s="5">
        <v>60.0</v>
      </c>
      <c r="J477" s="5">
        <v>17930.0</v>
      </c>
      <c r="K477" s="5">
        <v>19822.0</v>
      </c>
      <c r="L477" s="5">
        <v>4.0</v>
      </c>
      <c r="M477" s="5">
        <v>1623.681601</v>
      </c>
    </row>
    <row r="478">
      <c r="A478" s="4" t="s">
        <v>712</v>
      </c>
      <c r="B478" s="5" t="s">
        <v>15</v>
      </c>
      <c r="C478" s="5" t="s">
        <v>23</v>
      </c>
      <c r="D478" s="5" t="s">
        <v>29</v>
      </c>
      <c r="E478" s="6" t="s">
        <v>702</v>
      </c>
      <c r="F478" s="5" t="s">
        <v>19</v>
      </c>
      <c r="G478" s="5" t="s">
        <v>27</v>
      </c>
      <c r="H478" s="5">
        <v>284783.0</v>
      </c>
      <c r="I478" s="5">
        <v>756.0</v>
      </c>
      <c r="J478" s="5">
        <v>239363.0</v>
      </c>
      <c r="K478" s="5">
        <v>261467.0</v>
      </c>
      <c r="L478" s="5">
        <v>9.0</v>
      </c>
      <c r="M478" s="5">
        <v>1605.538072</v>
      </c>
    </row>
    <row r="479">
      <c r="A479" s="4" t="s">
        <v>713</v>
      </c>
      <c r="B479" s="5" t="s">
        <v>22</v>
      </c>
      <c r="C479" s="5" t="s">
        <v>42</v>
      </c>
      <c r="D479" s="5" t="s">
        <v>531</v>
      </c>
      <c r="E479" s="6" t="s">
        <v>702</v>
      </c>
      <c r="F479" s="5" t="s">
        <v>19</v>
      </c>
      <c r="G479" s="5" t="s">
        <v>27</v>
      </c>
      <c r="H479" s="5">
        <v>21229.0</v>
      </c>
      <c r="I479" s="5">
        <v>80.0</v>
      </c>
      <c r="J479" s="5">
        <v>18073.0</v>
      </c>
      <c r="K479" s="5">
        <v>19655.0</v>
      </c>
      <c r="L479" s="5">
        <v>10.0</v>
      </c>
      <c r="M479" s="5">
        <v>1550.076655</v>
      </c>
    </row>
    <row r="480">
      <c r="A480" s="4" t="s">
        <v>714</v>
      </c>
      <c r="B480" s="5" t="s">
        <v>22</v>
      </c>
      <c r="C480" s="5" t="s">
        <v>42</v>
      </c>
      <c r="D480" s="5" t="s">
        <v>214</v>
      </c>
      <c r="E480" s="6" t="s">
        <v>702</v>
      </c>
      <c r="F480" s="5" t="s">
        <v>19</v>
      </c>
      <c r="G480" s="5" t="s">
        <v>27</v>
      </c>
      <c r="H480" s="5">
        <v>55274.0</v>
      </c>
      <c r="I480" s="5">
        <v>219.0</v>
      </c>
      <c r="J480" s="5">
        <v>47583.0</v>
      </c>
      <c r="K480" s="5">
        <v>51275.0</v>
      </c>
      <c r="L480" s="5">
        <v>3.0</v>
      </c>
      <c r="M480" s="5">
        <v>1532.757905</v>
      </c>
    </row>
    <row r="481">
      <c r="A481" s="4" t="s">
        <v>715</v>
      </c>
      <c r="B481" s="5" t="s">
        <v>22</v>
      </c>
      <c r="C481" s="5" t="s">
        <v>31</v>
      </c>
      <c r="D481" s="5" t="s">
        <v>55</v>
      </c>
      <c r="E481" s="6" t="s">
        <v>702</v>
      </c>
      <c r="F481" s="5" t="s">
        <v>36</v>
      </c>
      <c r="G481" s="5" t="s">
        <v>27</v>
      </c>
      <c r="H481" s="5">
        <v>8278.0</v>
      </c>
      <c r="I481" s="5">
        <v>40.0</v>
      </c>
      <c r="J481" s="5">
        <v>6758.0</v>
      </c>
      <c r="K481" s="5">
        <v>7537.0</v>
      </c>
      <c r="L481" s="5">
        <v>1.0</v>
      </c>
      <c r="M481" s="5">
        <v>1526.296619</v>
      </c>
    </row>
    <row r="482">
      <c r="A482" s="4" t="s">
        <v>716</v>
      </c>
      <c r="B482" s="5" t="s">
        <v>15</v>
      </c>
      <c r="C482" s="5" t="s">
        <v>31</v>
      </c>
      <c r="D482" s="5" t="s">
        <v>29</v>
      </c>
      <c r="E482" s="6" t="s">
        <v>702</v>
      </c>
      <c r="F482" s="5" t="s">
        <v>46</v>
      </c>
      <c r="G482" s="5" t="s">
        <v>20</v>
      </c>
      <c r="H482" s="5">
        <v>87245.0</v>
      </c>
      <c r="I482" s="5">
        <v>350.0</v>
      </c>
      <c r="J482" s="5">
        <v>71903.0</v>
      </c>
      <c r="K482" s="5">
        <v>80390.0</v>
      </c>
      <c r="L482" s="5">
        <v>2.0</v>
      </c>
      <c r="M482" s="5">
        <v>1500.838771</v>
      </c>
    </row>
    <row r="483">
      <c r="A483" s="4" t="s">
        <v>717</v>
      </c>
      <c r="B483" s="5" t="s">
        <v>15</v>
      </c>
      <c r="C483" s="5" t="s">
        <v>42</v>
      </c>
      <c r="D483" s="5" t="s">
        <v>35</v>
      </c>
      <c r="E483" s="6" t="s">
        <v>718</v>
      </c>
      <c r="F483" s="5" t="s">
        <v>19</v>
      </c>
      <c r="G483" s="5" t="s">
        <v>52</v>
      </c>
      <c r="H483" s="5">
        <v>24962.0</v>
      </c>
      <c r="I483" s="5">
        <v>75.0</v>
      </c>
      <c r="J483" s="5">
        <v>18450.0</v>
      </c>
      <c r="K483" s="5">
        <v>24128.0</v>
      </c>
      <c r="L483" s="5">
        <v>16.0</v>
      </c>
      <c r="M483" s="5">
        <v>6809.056051</v>
      </c>
    </row>
    <row r="484">
      <c r="A484" s="4" t="s">
        <v>719</v>
      </c>
      <c r="B484" s="5" t="s">
        <v>15</v>
      </c>
      <c r="C484" s="5" t="s">
        <v>42</v>
      </c>
      <c r="D484" s="5" t="s">
        <v>95</v>
      </c>
      <c r="E484" s="6" t="s">
        <v>718</v>
      </c>
      <c r="F484" s="5" t="s">
        <v>36</v>
      </c>
      <c r="G484" s="5" t="s">
        <v>27</v>
      </c>
      <c r="H484" s="5">
        <v>57168.0</v>
      </c>
      <c r="I484" s="5">
        <v>160.0</v>
      </c>
      <c r="J484" s="5">
        <v>43261.0</v>
      </c>
      <c r="K484" s="5">
        <v>55261.0</v>
      </c>
      <c r="L484" s="5">
        <v>12.0</v>
      </c>
      <c r="M484" s="5">
        <v>5841.15136</v>
      </c>
    </row>
    <row r="485">
      <c r="A485" s="4" t="s">
        <v>720</v>
      </c>
      <c r="B485" s="5" t="s">
        <v>15</v>
      </c>
      <c r="C485" s="5" t="s">
        <v>16</v>
      </c>
      <c r="D485" s="5" t="s">
        <v>55</v>
      </c>
      <c r="E485" s="6" t="s">
        <v>718</v>
      </c>
      <c r="F485" s="5" t="s">
        <v>33</v>
      </c>
      <c r="G485" s="5" t="s">
        <v>27</v>
      </c>
      <c r="H485" s="5">
        <v>58477.0</v>
      </c>
      <c r="I485" s="5">
        <v>135.0</v>
      </c>
      <c r="J485" s="5">
        <v>43554.0</v>
      </c>
      <c r="K485" s="5">
        <v>56558.0</v>
      </c>
      <c r="L485" s="5">
        <v>19.0</v>
      </c>
      <c r="M485" s="5">
        <v>5247.623883</v>
      </c>
    </row>
    <row r="486">
      <c r="A486" s="4" t="s">
        <v>721</v>
      </c>
      <c r="B486" s="5" t="s">
        <v>15</v>
      </c>
      <c r="C486" s="5" t="s">
        <v>31</v>
      </c>
      <c r="D486" s="5" t="s">
        <v>175</v>
      </c>
      <c r="E486" s="6" t="s">
        <v>718</v>
      </c>
      <c r="F486" s="5" t="s">
        <v>19</v>
      </c>
      <c r="G486" s="5" t="s">
        <v>27</v>
      </c>
      <c r="H486" s="5">
        <v>13202.0</v>
      </c>
      <c r="I486" s="5">
        <v>101.0</v>
      </c>
      <c r="J486" s="5">
        <v>10871.0</v>
      </c>
      <c r="K486" s="5">
        <v>12885.0</v>
      </c>
      <c r="L486" s="5">
        <v>3.0</v>
      </c>
      <c r="M486" s="5">
        <v>1699.060809</v>
      </c>
    </row>
    <row r="487">
      <c r="A487" s="4" t="s">
        <v>722</v>
      </c>
      <c r="B487" s="5" t="s">
        <v>15</v>
      </c>
      <c r="C487" s="5" t="s">
        <v>42</v>
      </c>
      <c r="D487" s="5" t="s">
        <v>55</v>
      </c>
      <c r="E487" s="6" t="s">
        <v>723</v>
      </c>
      <c r="F487" s="5" t="s">
        <v>48</v>
      </c>
      <c r="G487" s="5" t="s">
        <v>27</v>
      </c>
      <c r="H487" s="5">
        <v>8187.0</v>
      </c>
      <c r="I487" s="5">
        <v>20.0</v>
      </c>
      <c r="J487" s="5">
        <v>4888.0</v>
      </c>
      <c r="K487" s="5">
        <v>7510.0</v>
      </c>
      <c r="L487" s="5">
        <v>3.0</v>
      </c>
      <c r="M487" s="5">
        <v>6980.229304</v>
      </c>
    </row>
    <row r="488">
      <c r="A488" s="4" t="s">
        <v>724</v>
      </c>
      <c r="B488" s="5" t="s">
        <v>15</v>
      </c>
      <c r="C488" s="5" t="s">
        <v>23</v>
      </c>
      <c r="D488" s="5" t="s">
        <v>84</v>
      </c>
      <c r="E488" s="6" t="s">
        <v>723</v>
      </c>
      <c r="F488" s="5" t="s">
        <v>26</v>
      </c>
      <c r="G488" s="5" t="s">
        <v>27</v>
      </c>
      <c r="H488" s="5">
        <v>21280.0</v>
      </c>
      <c r="I488" s="5">
        <v>70.0</v>
      </c>
      <c r="J488" s="5">
        <v>15309.0</v>
      </c>
      <c r="K488" s="5">
        <v>20244.0</v>
      </c>
      <c r="L488" s="5">
        <v>6.0</v>
      </c>
      <c r="M488" s="5">
        <v>6837.510602</v>
      </c>
    </row>
    <row r="489">
      <c r="A489" s="4" t="s">
        <v>725</v>
      </c>
      <c r="B489" s="5" t="s">
        <v>22</v>
      </c>
      <c r="C489" s="5" t="s">
        <v>23</v>
      </c>
      <c r="D489" s="5" t="s">
        <v>121</v>
      </c>
      <c r="E489" s="6" t="s">
        <v>723</v>
      </c>
      <c r="F489" s="5" t="s">
        <v>19</v>
      </c>
      <c r="G489" s="5" t="s">
        <v>27</v>
      </c>
      <c r="H489" s="5">
        <v>81567.0</v>
      </c>
      <c r="I489" s="5">
        <v>440.0</v>
      </c>
      <c r="J489" s="5">
        <v>53264.0</v>
      </c>
      <c r="K489" s="5">
        <v>68123.0</v>
      </c>
      <c r="L489" s="5">
        <v>4.0</v>
      </c>
      <c r="M489" s="5">
        <v>6392.471955</v>
      </c>
    </row>
    <row r="490">
      <c r="A490" s="4" t="s">
        <v>726</v>
      </c>
      <c r="B490" s="5" t="s">
        <v>15</v>
      </c>
      <c r="C490" s="5" t="s">
        <v>16</v>
      </c>
      <c r="D490" s="5" t="s">
        <v>356</v>
      </c>
      <c r="E490" s="6" t="s">
        <v>723</v>
      </c>
      <c r="F490" s="5" t="s">
        <v>19</v>
      </c>
      <c r="G490" s="5" t="s">
        <v>27</v>
      </c>
      <c r="H490" s="5">
        <v>17620.0</v>
      </c>
      <c r="I490" s="5">
        <v>52.0</v>
      </c>
      <c r="J490" s="5">
        <v>11197.0</v>
      </c>
      <c r="K490" s="5">
        <v>16687.0</v>
      </c>
      <c r="L490" s="5">
        <v>9.0</v>
      </c>
      <c r="M490" s="5">
        <v>2407.794325</v>
      </c>
    </row>
    <row r="491">
      <c r="A491" s="4" t="s">
        <v>727</v>
      </c>
      <c r="B491" s="5" t="s">
        <v>15</v>
      </c>
      <c r="C491" s="5" t="s">
        <v>23</v>
      </c>
      <c r="D491" s="5" t="s">
        <v>17</v>
      </c>
      <c r="E491" s="6" t="s">
        <v>723</v>
      </c>
      <c r="F491" s="5" t="s">
        <v>19</v>
      </c>
      <c r="G491" s="5" t="s">
        <v>52</v>
      </c>
      <c r="H491" s="5">
        <v>31625.0</v>
      </c>
      <c r="I491" s="5">
        <v>99.0</v>
      </c>
      <c r="J491" s="5">
        <v>23764.0</v>
      </c>
      <c r="K491" s="5">
        <v>29364.0</v>
      </c>
      <c r="L491" s="5">
        <v>6.0</v>
      </c>
      <c r="M491" s="5">
        <v>2360.555244</v>
      </c>
    </row>
    <row r="492">
      <c r="A492" s="4" t="s">
        <v>728</v>
      </c>
      <c r="B492" s="5" t="s">
        <v>22</v>
      </c>
      <c r="C492" s="5" t="s">
        <v>31</v>
      </c>
      <c r="D492" s="5" t="s">
        <v>84</v>
      </c>
      <c r="E492" s="6" t="s">
        <v>723</v>
      </c>
      <c r="F492" s="5" t="s">
        <v>167</v>
      </c>
      <c r="G492" s="5" t="s">
        <v>27</v>
      </c>
      <c r="H492" s="5">
        <v>22175.0</v>
      </c>
      <c r="I492" s="5">
        <v>140.0</v>
      </c>
      <c r="J492" s="5">
        <v>14910.0</v>
      </c>
      <c r="K492" s="5">
        <v>20074.0</v>
      </c>
      <c r="L492" s="5">
        <v>6.0</v>
      </c>
      <c r="M492" s="5">
        <v>1909.277483</v>
      </c>
    </row>
    <row r="493">
      <c r="A493" s="4" t="s">
        <v>729</v>
      </c>
      <c r="B493" s="5" t="s">
        <v>22</v>
      </c>
      <c r="C493" s="5" t="s">
        <v>16</v>
      </c>
      <c r="D493" s="5" t="s">
        <v>35</v>
      </c>
      <c r="E493" s="6" t="s">
        <v>730</v>
      </c>
      <c r="F493" s="5" t="s">
        <v>327</v>
      </c>
      <c r="G493" s="5" t="s">
        <v>27</v>
      </c>
      <c r="H493" s="5">
        <v>56927.0</v>
      </c>
      <c r="I493" s="5">
        <v>165.0</v>
      </c>
      <c r="J493" s="5">
        <v>20980.0</v>
      </c>
      <c r="K493" s="5">
        <v>55050.0</v>
      </c>
      <c r="L493" s="5">
        <v>5.0</v>
      </c>
      <c r="M493" s="5">
        <v>2463.821917</v>
      </c>
    </row>
    <row r="494">
      <c r="A494" s="4" t="s">
        <v>731</v>
      </c>
      <c r="B494" s="5" t="s">
        <v>22</v>
      </c>
      <c r="C494" s="5" t="s">
        <v>23</v>
      </c>
      <c r="D494" s="5" t="s">
        <v>55</v>
      </c>
      <c r="E494" s="6" t="s">
        <v>732</v>
      </c>
      <c r="F494" s="5" t="s">
        <v>46</v>
      </c>
      <c r="G494" s="5" t="s">
        <v>27</v>
      </c>
      <c r="H494" s="5">
        <v>20165.0</v>
      </c>
      <c r="I494" s="5">
        <v>60.0</v>
      </c>
      <c r="J494" s="5">
        <v>6601.0</v>
      </c>
      <c r="K494" s="5">
        <v>18909.0</v>
      </c>
      <c r="L494" s="5">
        <v>10.0</v>
      </c>
      <c r="M494" s="5">
        <v>1743.078687</v>
      </c>
    </row>
    <row r="495">
      <c r="A495" s="4" t="s">
        <v>733</v>
      </c>
      <c r="B495" s="5" t="s">
        <v>15</v>
      </c>
      <c r="C495" s="5" t="s">
        <v>23</v>
      </c>
      <c r="D495" s="5" t="s">
        <v>55</v>
      </c>
      <c r="E495" s="6" t="s">
        <v>732</v>
      </c>
      <c r="F495" s="5" t="s">
        <v>19</v>
      </c>
      <c r="G495" s="5" t="s">
        <v>52</v>
      </c>
      <c r="H495" s="5">
        <v>22501.0</v>
      </c>
      <c r="I495" s="5">
        <v>120.0</v>
      </c>
      <c r="J495" s="5">
        <v>13003.0</v>
      </c>
      <c r="K495" s="5">
        <v>21286.0</v>
      </c>
      <c r="L495" s="5">
        <v>9.0</v>
      </c>
      <c r="M495" s="5">
        <v>1522.517949</v>
      </c>
    </row>
    <row r="496">
      <c r="A496" s="4" t="s">
        <v>734</v>
      </c>
      <c r="B496" s="5" t="s">
        <v>15</v>
      </c>
      <c r="C496" s="5" t="s">
        <v>16</v>
      </c>
      <c r="D496" s="5" t="s">
        <v>32</v>
      </c>
      <c r="E496" s="6" t="s">
        <v>735</v>
      </c>
      <c r="F496" s="5" t="s">
        <v>117</v>
      </c>
      <c r="G496" s="5" t="s">
        <v>20</v>
      </c>
      <c r="H496" s="5">
        <v>123430.0</v>
      </c>
      <c r="I496" s="5">
        <v>360.0</v>
      </c>
      <c r="J496" s="5">
        <v>45294.0</v>
      </c>
      <c r="K496" s="5">
        <v>77646.0</v>
      </c>
      <c r="L496" s="5">
        <v>15.0</v>
      </c>
      <c r="M496" s="5">
        <v>6808.562584</v>
      </c>
    </row>
    <row r="497">
      <c r="A497" s="4" t="s">
        <v>736</v>
      </c>
      <c r="B497" s="5" t="s">
        <v>22</v>
      </c>
      <c r="C497" s="5" t="s">
        <v>16</v>
      </c>
      <c r="D497" s="5" t="s">
        <v>131</v>
      </c>
      <c r="E497" s="6" t="s">
        <v>735</v>
      </c>
      <c r="F497" s="5" t="s">
        <v>19</v>
      </c>
      <c r="G497" s="5" t="s">
        <v>27</v>
      </c>
      <c r="H497" s="5">
        <v>268811.0</v>
      </c>
      <c r="I497" s="5">
        <v>799.0</v>
      </c>
      <c r="J497" s="5">
        <v>95989.0</v>
      </c>
      <c r="K497" s="5">
        <v>173923.0</v>
      </c>
      <c r="L497" s="5">
        <v>4.0</v>
      </c>
      <c r="M497" s="5">
        <v>2549.115158</v>
      </c>
    </row>
    <row r="498">
      <c r="A498" s="4" t="s">
        <v>737</v>
      </c>
      <c r="B498" s="5" t="s">
        <v>15</v>
      </c>
      <c r="C498" s="5" t="s">
        <v>42</v>
      </c>
      <c r="D498" s="5" t="s">
        <v>121</v>
      </c>
      <c r="E498" s="6" t="s">
        <v>735</v>
      </c>
      <c r="F498" s="5" t="s">
        <v>36</v>
      </c>
      <c r="G498" s="5" t="s">
        <v>52</v>
      </c>
      <c r="H498" s="5">
        <v>16669.0</v>
      </c>
      <c r="I498" s="5">
        <v>26.0</v>
      </c>
      <c r="J498" s="5">
        <v>10961.0</v>
      </c>
      <c r="K498" s="5">
        <v>15451.0</v>
      </c>
      <c r="L498" s="5">
        <v>5.0</v>
      </c>
      <c r="M498" s="5">
        <v>1658.358536</v>
      </c>
    </row>
    <row r="499">
      <c r="A499" s="4" t="s">
        <v>738</v>
      </c>
      <c r="B499" s="5" t="s">
        <v>15</v>
      </c>
      <c r="C499" s="5" t="s">
        <v>16</v>
      </c>
      <c r="D499" s="5" t="s">
        <v>32</v>
      </c>
      <c r="E499" s="6" t="s">
        <v>735</v>
      </c>
      <c r="F499" s="5" t="s">
        <v>19</v>
      </c>
      <c r="G499" s="5" t="s">
        <v>27</v>
      </c>
      <c r="H499" s="5">
        <v>9130.0</v>
      </c>
      <c r="I499" s="5">
        <v>33.0</v>
      </c>
      <c r="J499" s="5">
        <v>3721.0</v>
      </c>
      <c r="K499" s="5">
        <v>5564.0</v>
      </c>
      <c r="L499" s="5">
        <v>1.0</v>
      </c>
      <c r="M499" s="5">
        <v>1655.792857</v>
      </c>
    </row>
    <row r="500">
      <c r="A500" s="4" t="s">
        <v>739</v>
      </c>
      <c r="B500" s="5" t="s">
        <v>15</v>
      </c>
      <c r="C500" s="5" t="s">
        <v>42</v>
      </c>
      <c r="D500" s="5" t="s">
        <v>55</v>
      </c>
      <c r="E500" s="6" t="s">
        <v>740</v>
      </c>
      <c r="F500" s="5" t="s">
        <v>19</v>
      </c>
      <c r="G500" s="5" t="s">
        <v>27</v>
      </c>
      <c r="H500" s="5">
        <v>8097.0</v>
      </c>
      <c r="I500" s="5">
        <v>20.0</v>
      </c>
      <c r="J500" s="5">
        <v>4942.0</v>
      </c>
      <c r="K500" s="5">
        <v>6868.0</v>
      </c>
      <c r="L500" s="5">
        <v>1.0</v>
      </c>
      <c r="M500" s="5">
        <v>6177.464545</v>
      </c>
    </row>
    <row r="501">
      <c r="A501" s="4" t="s">
        <v>741</v>
      </c>
      <c r="B501" s="5" t="s">
        <v>15</v>
      </c>
      <c r="C501" s="5" t="s">
        <v>23</v>
      </c>
      <c r="D501" s="5" t="s">
        <v>17</v>
      </c>
      <c r="E501" s="6" t="s">
        <v>740</v>
      </c>
      <c r="F501" s="5" t="s">
        <v>46</v>
      </c>
      <c r="G501" s="5" t="s">
        <v>52</v>
      </c>
      <c r="H501" s="5">
        <v>65243.0</v>
      </c>
      <c r="I501" s="5">
        <v>120.0</v>
      </c>
      <c r="J501" s="5">
        <v>39543.0</v>
      </c>
      <c r="K501" s="5">
        <v>54290.0</v>
      </c>
      <c r="L501" s="5">
        <v>4.0</v>
      </c>
      <c r="M501" s="5">
        <v>3754.685247</v>
      </c>
    </row>
    <row r="502">
      <c r="A502" s="4" t="s">
        <v>742</v>
      </c>
      <c r="B502" s="5" t="s">
        <v>15</v>
      </c>
      <c r="C502" s="5" t="s">
        <v>16</v>
      </c>
      <c r="D502" s="5" t="s">
        <v>39</v>
      </c>
      <c r="E502" s="6" t="s">
        <v>743</v>
      </c>
      <c r="F502" s="5" t="s">
        <v>19</v>
      </c>
      <c r="G502" s="5" t="s">
        <v>27</v>
      </c>
      <c r="H502" s="5">
        <v>224877.0</v>
      </c>
      <c r="I502" s="5">
        <v>805.0</v>
      </c>
      <c r="J502" s="5">
        <v>121175.0</v>
      </c>
      <c r="K502" s="5">
        <v>213280.0</v>
      </c>
      <c r="L502" s="5">
        <v>11.0</v>
      </c>
      <c r="M502" s="5">
        <v>7360.992969</v>
      </c>
    </row>
    <row r="503">
      <c r="A503" s="4" t="s">
        <v>744</v>
      </c>
      <c r="B503" s="5" t="s">
        <v>15</v>
      </c>
      <c r="C503" s="5" t="s">
        <v>23</v>
      </c>
      <c r="D503" s="5" t="s">
        <v>78</v>
      </c>
      <c r="E503" s="6" t="s">
        <v>743</v>
      </c>
      <c r="F503" s="5" t="s">
        <v>46</v>
      </c>
      <c r="G503" s="5" t="s">
        <v>52</v>
      </c>
      <c r="H503" s="5">
        <v>109372.0</v>
      </c>
      <c r="I503" s="5">
        <v>364.0</v>
      </c>
      <c r="J503" s="5">
        <v>58336.0</v>
      </c>
      <c r="K503" s="5">
        <v>103569.0</v>
      </c>
      <c r="L503" s="5">
        <v>21.0</v>
      </c>
      <c r="M503" s="5">
        <v>6928.006202</v>
      </c>
    </row>
    <row r="504">
      <c r="A504" s="4" t="s">
        <v>745</v>
      </c>
      <c r="B504" s="5" t="s">
        <v>22</v>
      </c>
      <c r="C504" s="5" t="s">
        <v>23</v>
      </c>
      <c r="D504" s="5" t="s">
        <v>183</v>
      </c>
      <c r="E504" s="6" t="s">
        <v>743</v>
      </c>
      <c r="F504" s="5" t="s">
        <v>50</v>
      </c>
      <c r="G504" s="5" t="s">
        <v>27</v>
      </c>
      <c r="H504" s="5">
        <v>44889.0</v>
      </c>
      <c r="I504" s="5">
        <v>125.0</v>
      </c>
      <c r="J504" s="5">
        <v>17477.0</v>
      </c>
      <c r="K504" s="5">
        <v>38621.0</v>
      </c>
      <c r="L504" s="5">
        <v>25.0</v>
      </c>
      <c r="M504" s="5">
        <v>6644.954146</v>
      </c>
    </row>
    <row r="505">
      <c r="A505" s="4" t="s">
        <v>746</v>
      </c>
      <c r="B505" s="5" t="s">
        <v>22</v>
      </c>
      <c r="C505" s="5" t="s">
        <v>16</v>
      </c>
      <c r="D505" s="5" t="s">
        <v>204</v>
      </c>
      <c r="E505" s="6" t="s">
        <v>743</v>
      </c>
      <c r="F505" s="5" t="s">
        <v>117</v>
      </c>
      <c r="G505" s="5" t="s">
        <v>27</v>
      </c>
      <c r="H505" s="5">
        <v>42459.0</v>
      </c>
      <c r="I505" s="5">
        <v>121.0</v>
      </c>
      <c r="J505" s="5">
        <v>15187.0</v>
      </c>
      <c r="K505" s="5">
        <v>37408.0</v>
      </c>
      <c r="L505" s="5">
        <v>11.0</v>
      </c>
      <c r="M505" s="5">
        <v>6321.491689</v>
      </c>
    </row>
    <row r="506">
      <c r="A506" s="4" t="s">
        <v>747</v>
      </c>
      <c r="B506" s="5" t="s">
        <v>15</v>
      </c>
      <c r="C506" s="5" t="s">
        <v>23</v>
      </c>
      <c r="D506" s="5" t="s">
        <v>55</v>
      </c>
      <c r="E506" s="6" t="s">
        <v>743</v>
      </c>
      <c r="F506" s="5" t="s">
        <v>117</v>
      </c>
      <c r="G506" s="5" t="s">
        <v>27</v>
      </c>
      <c r="H506" s="5">
        <v>69928.0</v>
      </c>
      <c r="I506" s="5">
        <v>210.0</v>
      </c>
      <c r="J506" s="5">
        <v>30196.0</v>
      </c>
      <c r="K506" s="5">
        <v>62327.0</v>
      </c>
      <c r="L506" s="5">
        <v>9.0</v>
      </c>
      <c r="M506" s="5">
        <v>6318.413085</v>
      </c>
    </row>
    <row r="507">
      <c r="A507" s="4" t="s">
        <v>748</v>
      </c>
      <c r="B507" s="5" t="s">
        <v>22</v>
      </c>
      <c r="C507" s="5" t="s">
        <v>31</v>
      </c>
      <c r="D507" s="5" t="s">
        <v>17</v>
      </c>
      <c r="E507" s="6" t="s">
        <v>743</v>
      </c>
      <c r="F507" s="5" t="s">
        <v>19</v>
      </c>
      <c r="G507" s="5" t="s">
        <v>27</v>
      </c>
      <c r="H507" s="5">
        <v>40859.0</v>
      </c>
      <c r="I507" s="5">
        <v>144.0</v>
      </c>
      <c r="J507" s="5">
        <v>17695.0</v>
      </c>
      <c r="K507" s="5">
        <v>37108.0</v>
      </c>
      <c r="L507" s="5">
        <v>4.0</v>
      </c>
      <c r="M507" s="5">
        <v>6130.368425</v>
      </c>
    </row>
    <row r="508">
      <c r="A508" s="4" t="s">
        <v>749</v>
      </c>
      <c r="B508" s="5" t="s">
        <v>15</v>
      </c>
      <c r="C508" s="5" t="s">
        <v>42</v>
      </c>
      <c r="D508" s="5" t="s">
        <v>35</v>
      </c>
      <c r="E508" s="6" t="s">
        <v>743</v>
      </c>
      <c r="F508" s="5" t="s">
        <v>117</v>
      </c>
      <c r="G508" s="5" t="s">
        <v>52</v>
      </c>
      <c r="H508" s="5">
        <v>16978.0</v>
      </c>
      <c r="I508" s="5">
        <v>30.0</v>
      </c>
      <c r="J508" s="5">
        <v>8367.0</v>
      </c>
      <c r="K508" s="5">
        <v>15731.0</v>
      </c>
      <c r="L508" s="5">
        <v>9.0</v>
      </c>
      <c r="M508" s="5">
        <v>5886.071146</v>
      </c>
    </row>
    <row r="509">
      <c r="A509" s="4" t="s">
        <v>750</v>
      </c>
      <c r="B509" s="5" t="s">
        <v>22</v>
      </c>
      <c r="C509" s="5" t="s">
        <v>16</v>
      </c>
      <c r="D509" s="5" t="s">
        <v>55</v>
      </c>
      <c r="E509" s="6" t="s">
        <v>743</v>
      </c>
      <c r="F509" s="5" t="s">
        <v>36</v>
      </c>
      <c r="G509" s="5" t="s">
        <v>27</v>
      </c>
      <c r="H509" s="5">
        <v>14581.0</v>
      </c>
      <c r="I509" s="5">
        <v>45.0</v>
      </c>
      <c r="J509" s="5">
        <v>3821.0</v>
      </c>
      <c r="K509" s="5">
        <v>12741.0</v>
      </c>
      <c r="L509" s="5">
        <v>6.0</v>
      </c>
      <c r="M509" s="5">
        <v>5296.970091</v>
      </c>
    </row>
    <row r="510">
      <c r="A510" s="4" t="s">
        <v>751</v>
      </c>
      <c r="B510" s="5" t="s">
        <v>15</v>
      </c>
      <c r="C510" s="5" t="s">
        <v>42</v>
      </c>
      <c r="D510" s="5" t="s">
        <v>35</v>
      </c>
      <c r="E510" s="6" t="s">
        <v>743</v>
      </c>
      <c r="F510" s="5" t="s">
        <v>46</v>
      </c>
      <c r="G510" s="5" t="s">
        <v>20</v>
      </c>
      <c r="H510" s="5">
        <v>10815.0</v>
      </c>
      <c r="I510" s="5">
        <v>25.0</v>
      </c>
      <c r="J510" s="5">
        <v>4321.0</v>
      </c>
      <c r="K510" s="5">
        <v>9646.0</v>
      </c>
      <c r="L510" s="5">
        <v>2.0</v>
      </c>
      <c r="M510" s="5">
        <v>4921.594843</v>
      </c>
    </row>
    <row r="511">
      <c r="A511" s="4" t="s">
        <v>752</v>
      </c>
      <c r="B511" s="5" t="s">
        <v>15</v>
      </c>
      <c r="C511" s="5" t="s">
        <v>42</v>
      </c>
      <c r="D511" s="5" t="s">
        <v>240</v>
      </c>
      <c r="E511" s="6" t="s">
        <v>743</v>
      </c>
      <c r="F511" s="5" t="s">
        <v>50</v>
      </c>
      <c r="G511" s="5" t="s">
        <v>20</v>
      </c>
      <c r="H511" s="5">
        <v>114194.0</v>
      </c>
      <c r="I511" s="5">
        <v>380.0</v>
      </c>
      <c r="J511" s="5">
        <v>50923.0</v>
      </c>
      <c r="K511" s="5">
        <v>104074.0</v>
      </c>
      <c r="L511" s="5">
        <v>2.0</v>
      </c>
      <c r="M511" s="5">
        <v>4036.089376</v>
      </c>
    </row>
    <row r="512">
      <c r="A512" s="4" t="s">
        <v>753</v>
      </c>
      <c r="B512" s="5" t="s">
        <v>15</v>
      </c>
      <c r="C512" s="5" t="s">
        <v>16</v>
      </c>
      <c r="D512" s="5" t="s">
        <v>356</v>
      </c>
      <c r="E512" s="6" t="s">
        <v>743</v>
      </c>
      <c r="F512" s="5" t="s">
        <v>19</v>
      </c>
      <c r="G512" s="5" t="s">
        <v>27</v>
      </c>
      <c r="H512" s="5">
        <v>15449.0</v>
      </c>
      <c r="I512" s="5">
        <v>50.0</v>
      </c>
      <c r="J512" s="5">
        <v>4595.0</v>
      </c>
      <c r="K512" s="5">
        <v>13765.0</v>
      </c>
      <c r="L512" s="5">
        <v>1.0</v>
      </c>
      <c r="M512" s="5">
        <v>3122.942574</v>
      </c>
    </row>
    <row r="513">
      <c r="A513" s="4" t="s">
        <v>754</v>
      </c>
      <c r="B513" s="5" t="s">
        <v>15</v>
      </c>
      <c r="C513" s="5" t="s">
        <v>31</v>
      </c>
      <c r="D513" s="5" t="s">
        <v>78</v>
      </c>
      <c r="E513" s="6" t="s">
        <v>743</v>
      </c>
      <c r="F513" s="5" t="s">
        <v>191</v>
      </c>
      <c r="G513" s="5" t="s">
        <v>27</v>
      </c>
      <c r="H513" s="5">
        <v>114267.0</v>
      </c>
      <c r="I513" s="5">
        <v>110.0</v>
      </c>
      <c r="J513" s="5">
        <v>60964.0</v>
      </c>
      <c r="K513" s="5">
        <v>108301.0</v>
      </c>
      <c r="L513" s="5">
        <v>5.0</v>
      </c>
      <c r="M513" s="5">
        <v>2679.154068</v>
      </c>
    </row>
    <row r="514">
      <c r="A514" s="4" t="s">
        <v>755</v>
      </c>
      <c r="B514" s="5" t="s">
        <v>15</v>
      </c>
      <c r="C514" s="5" t="s">
        <v>16</v>
      </c>
      <c r="D514" s="5" t="s">
        <v>173</v>
      </c>
      <c r="E514" s="6" t="s">
        <v>743</v>
      </c>
      <c r="F514" s="5" t="s">
        <v>26</v>
      </c>
      <c r="G514" s="5" t="s">
        <v>20</v>
      </c>
      <c r="H514" s="5">
        <v>65043.0</v>
      </c>
      <c r="I514" s="5">
        <v>160.0</v>
      </c>
      <c r="J514" s="5">
        <v>25871.0</v>
      </c>
      <c r="K514" s="5">
        <v>53969.0</v>
      </c>
      <c r="L514" s="5">
        <v>4.0</v>
      </c>
      <c r="M514" s="5">
        <v>2347.918531</v>
      </c>
    </row>
    <row r="515">
      <c r="A515" s="4" t="s">
        <v>756</v>
      </c>
      <c r="B515" s="5" t="s">
        <v>22</v>
      </c>
      <c r="C515" s="5" t="s">
        <v>23</v>
      </c>
      <c r="D515" s="5" t="s">
        <v>35</v>
      </c>
      <c r="E515" s="6" t="s">
        <v>743</v>
      </c>
      <c r="F515" s="5" t="s">
        <v>19</v>
      </c>
      <c r="G515" s="5" t="s">
        <v>27</v>
      </c>
      <c r="H515" s="5">
        <v>85280.0</v>
      </c>
      <c r="I515" s="5">
        <v>211.0</v>
      </c>
      <c r="J515" s="5">
        <v>35860.0</v>
      </c>
      <c r="K515" s="5">
        <v>79837.0</v>
      </c>
      <c r="L515" s="5">
        <v>5.0</v>
      </c>
      <c r="M515" s="5">
        <v>2217.932092</v>
      </c>
    </row>
    <row r="516">
      <c r="A516" s="4" t="s">
        <v>757</v>
      </c>
      <c r="B516" s="5" t="s">
        <v>22</v>
      </c>
      <c r="C516" s="5" t="s">
        <v>16</v>
      </c>
      <c r="D516" s="5" t="s">
        <v>35</v>
      </c>
      <c r="E516" s="6" t="s">
        <v>743</v>
      </c>
      <c r="F516" s="5" t="s">
        <v>36</v>
      </c>
      <c r="G516" s="5" t="s">
        <v>27</v>
      </c>
      <c r="H516" s="5">
        <v>51515.0</v>
      </c>
      <c r="I516" s="5">
        <v>144.0</v>
      </c>
      <c r="J516" s="5">
        <v>18304.0</v>
      </c>
      <c r="K516" s="5">
        <v>44891.0</v>
      </c>
      <c r="L516" s="5">
        <v>14.0</v>
      </c>
      <c r="M516" s="5">
        <v>2160.307325</v>
      </c>
    </row>
    <row r="517">
      <c r="A517" s="4" t="s">
        <v>758</v>
      </c>
      <c r="B517" s="5" t="s">
        <v>22</v>
      </c>
      <c r="C517" s="5" t="s">
        <v>42</v>
      </c>
      <c r="D517" s="5" t="s">
        <v>66</v>
      </c>
      <c r="E517" s="6" t="s">
        <v>743</v>
      </c>
      <c r="F517" s="5" t="s">
        <v>46</v>
      </c>
      <c r="G517" s="5" t="s">
        <v>27</v>
      </c>
      <c r="H517" s="5">
        <v>43666.0</v>
      </c>
      <c r="I517" s="5">
        <v>133.0</v>
      </c>
      <c r="J517" s="5">
        <v>18513.0</v>
      </c>
      <c r="K517" s="5">
        <v>40506.0</v>
      </c>
      <c r="L517" s="5">
        <v>18.0</v>
      </c>
      <c r="M517" s="5">
        <v>1980.393834</v>
      </c>
    </row>
    <row r="518">
      <c r="A518" s="4" t="s">
        <v>759</v>
      </c>
      <c r="B518" s="5" t="s">
        <v>15</v>
      </c>
      <c r="C518" s="5" t="s">
        <v>31</v>
      </c>
      <c r="D518" s="5" t="s">
        <v>35</v>
      </c>
      <c r="E518" s="6" t="s">
        <v>743</v>
      </c>
      <c r="F518" s="5" t="s">
        <v>19</v>
      </c>
      <c r="G518" s="5" t="s">
        <v>20</v>
      </c>
      <c r="H518" s="5">
        <v>48892.0</v>
      </c>
      <c r="I518" s="5">
        <v>110.0</v>
      </c>
      <c r="J518" s="5">
        <v>32060.0</v>
      </c>
      <c r="K518" s="5">
        <v>45251.0</v>
      </c>
      <c r="L518" s="5">
        <v>9.0</v>
      </c>
      <c r="M518" s="5">
        <v>1978.609661</v>
      </c>
    </row>
    <row r="519">
      <c r="A519" s="4" t="s">
        <v>760</v>
      </c>
      <c r="B519" s="5" t="s">
        <v>22</v>
      </c>
      <c r="C519" s="5" t="s">
        <v>16</v>
      </c>
      <c r="D519" s="5" t="s">
        <v>55</v>
      </c>
      <c r="E519" s="6" t="s">
        <v>743</v>
      </c>
      <c r="F519" s="5" t="s">
        <v>19</v>
      </c>
      <c r="G519" s="5" t="s">
        <v>27</v>
      </c>
      <c r="H519" s="5">
        <v>104814.0</v>
      </c>
      <c r="I519" s="5">
        <v>369.0</v>
      </c>
      <c r="J519" s="5">
        <v>55984.0</v>
      </c>
      <c r="K519" s="5">
        <v>99432.0</v>
      </c>
      <c r="L519" s="5">
        <v>5.0</v>
      </c>
      <c r="M519" s="5">
        <v>1942.847513</v>
      </c>
    </row>
    <row r="520">
      <c r="A520" s="4" t="s">
        <v>761</v>
      </c>
      <c r="B520" s="5" t="s">
        <v>22</v>
      </c>
      <c r="C520" s="5" t="s">
        <v>42</v>
      </c>
      <c r="D520" s="5" t="s">
        <v>29</v>
      </c>
      <c r="E520" s="6" t="s">
        <v>743</v>
      </c>
      <c r="F520" s="5" t="s">
        <v>46</v>
      </c>
      <c r="G520" s="5" t="s">
        <v>27</v>
      </c>
      <c r="H520" s="5">
        <v>64577.0</v>
      </c>
      <c r="I520" s="5">
        <v>240.0</v>
      </c>
      <c r="J520" s="5">
        <v>37732.0</v>
      </c>
      <c r="K520" s="5">
        <v>60357.0</v>
      </c>
      <c r="L520" s="5">
        <v>11.0</v>
      </c>
      <c r="M520" s="5">
        <v>1801.349131</v>
      </c>
    </row>
    <row r="521">
      <c r="A521" s="4" t="s">
        <v>762</v>
      </c>
      <c r="B521" s="5" t="s">
        <v>15</v>
      </c>
      <c r="C521" s="5" t="s">
        <v>23</v>
      </c>
      <c r="D521" s="5" t="s">
        <v>39</v>
      </c>
      <c r="E521" s="6" t="s">
        <v>743</v>
      </c>
      <c r="F521" s="5" t="s">
        <v>46</v>
      </c>
      <c r="G521" s="5" t="s">
        <v>20</v>
      </c>
      <c r="H521" s="5">
        <v>49412.0</v>
      </c>
      <c r="I521" s="5">
        <v>170.0</v>
      </c>
      <c r="J521" s="5">
        <v>22155.0</v>
      </c>
      <c r="K521" s="5">
        <v>43802.0</v>
      </c>
      <c r="L521" s="5">
        <v>3.0</v>
      </c>
      <c r="M521" s="5">
        <v>1595.659466</v>
      </c>
    </row>
    <row r="522">
      <c r="A522" s="4" t="s">
        <v>763</v>
      </c>
      <c r="B522" s="5" t="s">
        <v>15</v>
      </c>
      <c r="C522" s="5" t="s">
        <v>16</v>
      </c>
      <c r="D522" s="5" t="s">
        <v>32</v>
      </c>
      <c r="E522" s="6" t="s">
        <v>743</v>
      </c>
      <c r="F522" s="5" t="s">
        <v>26</v>
      </c>
      <c r="G522" s="5" t="s">
        <v>20</v>
      </c>
      <c r="H522" s="5">
        <v>11269.0</v>
      </c>
      <c r="I522" s="5">
        <v>63.0</v>
      </c>
      <c r="J522" s="5">
        <v>4992.0</v>
      </c>
      <c r="K522" s="5">
        <v>10245.0</v>
      </c>
      <c r="L522" s="5">
        <v>3.0</v>
      </c>
      <c r="M522" s="5">
        <v>1576.38921</v>
      </c>
    </row>
    <row r="523">
      <c r="A523" s="4" t="s">
        <v>764</v>
      </c>
      <c r="B523" s="5" t="s">
        <v>22</v>
      </c>
      <c r="C523" s="5" t="s">
        <v>16</v>
      </c>
      <c r="D523" s="5" t="s">
        <v>78</v>
      </c>
      <c r="E523" s="6" t="s">
        <v>743</v>
      </c>
      <c r="F523" s="5" t="s">
        <v>46</v>
      </c>
      <c r="G523" s="5" t="s">
        <v>27</v>
      </c>
      <c r="H523" s="5">
        <v>15318.0</v>
      </c>
      <c r="I523" s="5">
        <v>30.0</v>
      </c>
      <c r="J523" s="5">
        <v>5928.0</v>
      </c>
      <c r="K523" s="5">
        <v>13298.0</v>
      </c>
      <c r="L523" s="5">
        <v>19.0</v>
      </c>
      <c r="M523" s="5">
        <v>1570.29739</v>
      </c>
    </row>
    <row r="524">
      <c r="A524" s="4" t="s">
        <v>765</v>
      </c>
      <c r="B524" s="5" t="s">
        <v>61</v>
      </c>
      <c r="C524" s="5" t="s">
        <v>42</v>
      </c>
      <c r="D524" s="5" t="s">
        <v>29</v>
      </c>
      <c r="E524" s="6" t="s">
        <v>743</v>
      </c>
      <c r="F524" s="5" t="s">
        <v>46</v>
      </c>
      <c r="G524" s="5" t="s">
        <v>27</v>
      </c>
      <c r="H524" s="5">
        <v>10819.0</v>
      </c>
      <c r="I524" s="5">
        <v>20.0</v>
      </c>
      <c r="J524" s="5">
        <v>4168.0</v>
      </c>
      <c r="K524" s="5">
        <v>9768.0</v>
      </c>
      <c r="L524" s="5">
        <v>2.0</v>
      </c>
      <c r="M524" s="5">
        <v>1504.329214</v>
      </c>
    </row>
    <row r="525">
      <c r="A525" s="4" t="s">
        <v>766</v>
      </c>
      <c r="B525" s="5" t="s">
        <v>15</v>
      </c>
      <c r="C525" s="5" t="s">
        <v>16</v>
      </c>
      <c r="D525" s="5" t="s">
        <v>32</v>
      </c>
      <c r="E525" s="6" t="s">
        <v>743</v>
      </c>
      <c r="F525" s="5" t="s">
        <v>46</v>
      </c>
      <c r="G525" s="5" t="s">
        <v>27</v>
      </c>
      <c r="H525" s="5">
        <v>30714.0</v>
      </c>
      <c r="I525" s="5">
        <v>111.0</v>
      </c>
      <c r="J525" s="5">
        <v>12531.0</v>
      </c>
      <c r="K525" s="5">
        <v>28461.0</v>
      </c>
      <c r="L525" s="5">
        <v>9.0</v>
      </c>
      <c r="M525" s="5">
        <v>1503.484311</v>
      </c>
    </row>
    <row r="526">
      <c r="A526" s="4" t="s">
        <v>767</v>
      </c>
      <c r="B526" s="5" t="s">
        <v>22</v>
      </c>
      <c r="C526" s="5" t="s">
        <v>16</v>
      </c>
      <c r="D526" s="5" t="s">
        <v>17</v>
      </c>
      <c r="E526" s="6" t="s">
        <v>768</v>
      </c>
      <c r="F526" s="5" t="s">
        <v>48</v>
      </c>
      <c r="G526" s="5" t="s">
        <v>27</v>
      </c>
      <c r="H526" s="5">
        <v>37617.0</v>
      </c>
      <c r="I526" s="5">
        <v>85.0</v>
      </c>
      <c r="J526" s="5">
        <v>5092.0</v>
      </c>
      <c r="K526" s="5">
        <v>34373.0</v>
      </c>
      <c r="L526" s="5">
        <v>6.0</v>
      </c>
      <c r="M526" s="5">
        <v>1608.882952</v>
      </c>
    </row>
    <row r="527">
      <c r="A527" s="4" t="s">
        <v>769</v>
      </c>
      <c r="B527" s="5" t="s">
        <v>15</v>
      </c>
      <c r="C527" s="5" t="s">
        <v>23</v>
      </c>
      <c r="D527" s="5" t="s">
        <v>55</v>
      </c>
      <c r="E527" s="6" t="s">
        <v>770</v>
      </c>
      <c r="F527" s="5" t="s">
        <v>19</v>
      </c>
      <c r="G527" s="5" t="s">
        <v>52</v>
      </c>
      <c r="H527" s="5">
        <v>219088.0</v>
      </c>
      <c r="I527" s="5">
        <v>541.0</v>
      </c>
      <c r="J527" s="5">
        <v>75638.0</v>
      </c>
      <c r="K527" s="5">
        <v>153987.0</v>
      </c>
      <c r="L527" s="5">
        <v>17.0</v>
      </c>
      <c r="M527" s="5">
        <v>6761.073824</v>
      </c>
    </row>
    <row r="528">
      <c r="A528" s="4" t="s">
        <v>771</v>
      </c>
      <c r="B528" s="5" t="s">
        <v>15</v>
      </c>
      <c r="C528" s="5" t="s">
        <v>31</v>
      </c>
      <c r="D528" s="5" t="s">
        <v>24</v>
      </c>
      <c r="E528" s="6" t="s">
        <v>772</v>
      </c>
      <c r="F528" s="5" t="s">
        <v>46</v>
      </c>
      <c r="G528" s="5" t="s">
        <v>27</v>
      </c>
      <c r="H528" s="5">
        <v>15277.0</v>
      </c>
      <c r="I528" s="5">
        <v>69.0</v>
      </c>
      <c r="J528" s="5">
        <v>3089.0</v>
      </c>
      <c r="K528" s="5">
        <v>13644.0</v>
      </c>
      <c r="L528" s="5">
        <v>4.0</v>
      </c>
      <c r="M528" s="5">
        <v>1904.564346</v>
      </c>
    </row>
    <row r="529">
      <c r="A529" s="4" t="s">
        <v>773</v>
      </c>
      <c r="B529" s="5" t="s">
        <v>15</v>
      </c>
      <c r="C529" s="5" t="s">
        <v>42</v>
      </c>
      <c r="D529" s="5" t="s">
        <v>204</v>
      </c>
      <c r="E529" s="6" t="s">
        <v>772</v>
      </c>
      <c r="F529" s="5" t="s">
        <v>19</v>
      </c>
      <c r="G529" s="5" t="s">
        <v>52</v>
      </c>
      <c r="H529" s="5">
        <v>34278.0</v>
      </c>
      <c r="I529" s="5">
        <v>100.0</v>
      </c>
      <c r="J529" s="5">
        <v>3704.0</v>
      </c>
      <c r="K529" s="5">
        <v>30227.0</v>
      </c>
      <c r="L529" s="5">
        <v>6.0</v>
      </c>
      <c r="M529" s="5">
        <v>1689.083186</v>
      </c>
    </row>
    <row r="530">
      <c r="A530" s="4" t="s">
        <v>774</v>
      </c>
      <c r="B530" s="5" t="s">
        <v>15</v>
      </c>
      <c r="C530" s="5" t="s">
        <v>31</v>
      </c>
      <c r="D530" s="5" t="s">
        <v>78</v>
      </c>
      <c r="E530" s="6" t="s">
        <v>775</v>
      </c>
      <c r="F530" s="5" t="s">
        <v>50</v>
      </c>
      <c r="G530" s="5" t="s">
        <v>27</v>
      </c>
      <c r="H530" s="5">
        <v>13382.0</v>
      </c>
      <c r="I530" s="5">
        <v>68.0</v>
      </c>
      <c r="J530" s="5">
        <v>3340.0</v>
      </c>
      <c r="K530" s="5">
        <v>11662.0</v>
      </c>
      <c r="L530" s="5">
        <v>1.0</v>
      </c>
      <c r="M530" s="5">
        <v>1447.927193</v>
      </c>
    </row>
    <row r="531">
      <c r="A531" s="4" t="s">
        <v>776</v>
      </c>
      <c r="B531" s="5" t="s">
        <v>22</v>
      </c>
      <c r="C531" s="5" t="s">
        <v>23</v>
      </c>
      <c r="D531" s="5" t="s">
        <v>777</v>
      </c>
      <c r="E531" s="6" t="s">
        <v>778</v>
      </c>
      <c r="F531" s="5" t="s">
        <v>36</v>
      </c>
      <c r="G531" s="5" t="s">
        <v>27</v>
      </c>
      <c r="H531" s="5">
        <v>9319.0</v>
      </c>
      <c r="I531" s="5">
        <v>30.0</v>
      </c>
      <c r="J531" s="5">
        <v>6193.0</v>
      </c>
      <c r="K531" s="5">
        <v>8682.0</v>
      </c>
      <c r="L531" s="5">
        <v>12.0</v>
      </c>
      <c r="M531" s="5">
        <v>4594.604003</v>
      </c>
    </row>
    <row r="532">
      <c r="A532" s="4" t="s">
        <v>779</v>
      </c>
      <c r="B532" s="5" t="s">
        <v>22</v>
      </c>
      <c r="C532" s="5" t="s">
        <v>31</v>
      </c>
      <c r="D532" s="5" t="s">
        <v>35</v>
      </c>
      <c r="E532" s="6" t="s">
        <v>778</v>
      </c>
      <c r="F532" s="5" t="s">
        <v>80</v>
      </c>
      <c r="G532" s="5" t="s">
        <v>27</v>
      </c>
      <c r="H532" s="5">
        <v>16791.0</v>
      </c>
      <c r="I532" s="5">
        <v>40.0</v>
      </c>
      <c r="J532" s="5">
        <v>11402.0</v>
      </c>
      <c r="K532" s="5">
        <v>14231.0</v>
      </c>
      <c r="L532" s="5">
        <v>3.0</v>
      </c>
      <c r="M532" s="5">
        <v>1522.512272</v>
      </c>
    </row>
    <row r="533">
      <c r="A533" s="4" t="s">
        <v>780</v>
      </c>
      <c r="B533" s="5" t="s">
        <v>22</v>
      </c>
      <c r="C533" s="5" t="s">
        <v>31</v>
      </c>
      <c r="D533" s="5" t="s">
        <v>78</v>
      </c>
      <c r="E533" s="6" t="s">
        <v>781</v>
      </c>
      <c r="F533" s="5" t="s">
        <v>136</v>
      </c>
      <c r="G533" s="5" t="s">
        <v>27</v>
      </c>
      <c r="H533" s="5">
        <v>19334.0</v>
      </c>
      <c r="I533" s="5">
        <v>40.0</v>
      </c>
      <c r="J533" s="5">
        <v>8673.0</v>
      </c>
      <c r="K533" s="5">
        <v>18578.0</v>
      </c>
      <c r="L533" s="5">
        <v>11.0</v>
      </c>
      <c r="M533" s="5">
        <v>7292.135059</v>
      </c>
    </row>
    <row r="534">
      <c r="A534" s="4" t="s">
        <v>782</v>
      </c>
      <c r="B534" s="5" t="s">
        <v>22</v>
      </c>
      <c r="C534" s="5" t="s">
        <v>23</v>
      </c>
      <c r="D534" s="5" t="s">
        <v>78</v>
      </c>
      <c r="E534" s="6" t="s">
        <v>781</v>
      </c>
      <c r="F534" s="5" t="s">
        <v>19</v>
      </c>
      <c r="G534" s="5" t="s">
        <v>27</v>
      </c>
      <c r="H534" s="5">
        <v>25835.0</v>
      </c>
      <c r="I534" s="5">
        <v>69.0</v>
      </c>
      <c r="J534" s="5">
        <v>3753.0</v>
      </c>
      <c r="K534" s="5">
        <v>20808.0</v>
      </c>
      <c r="L534" s="5">
        <v>11.0</v>
      </c>
      <c r="M534" s="5">
        <v>5751.912297</v>
      </c>
    </row>
    <row r="535">
      <c r="A535" s="4" t="s">
        <v>783</v>
      </c>
      <c r="B535" s="5" t="s">
        <v>15</v>
      </c>
      <c r="C535" s="5" t="s">
        <v>31</v>
      </c>
      <c r="D535" s="5" t="s">
        <v>78</v>
      </c>
      <c r="E535" s="6" t="s">
        <v>781</v>
      </c>
      <c r="F535" s="5" t="s">
        <v>19</v>
      </c>
      <c r="G535" s="5" t="s">
        <v>52</v>
      </c>
      <c r="H535" s="5">
        <v>33650.0</v>
      </c>
      <c r="I535" s="5">
        <v>100.0</v>
      </c>
      <c r="J535" s="5">
        <v>15621.0</v>
      </c>
      <c r="K535" s="5">
        <v>32539.0</v>
      </c>
      <c r="L535" s="5">
        <v>9.0</v>
      </c>
      <c r="M535" s="5">
        <v>3844.991165</v>
      </c>
    </row>
    <row r="536">
      <c r="A536" s="4" t="s">
        <v>784</v>
      </c>
      <c r="B536" s="5" t="s">
        <v>22</v>
      </c>
      <c r="C536" s="5" t="s">
        <v>16</v>
      </c>
      <c r="D536" s="5" t="s">
        <v>147</v>
      </c>
      <c r="E536" s="6" t="s">
        <v>785</v>
      </c>
      <c r="F536" s="5" t="s">
        <v>19</v>
      </c>
      <c r="G536" s="5" t="s">
        <v>27</v>
      </c>
      <c r="H536" s="5">
        <v>13168.0</v>
      </c>
      <c r="I536" s="5">
        <v>84.0</v>
      </c>
      <c r="J536" s="5">
        <v>8527.0</v>
      </c>
      <c r="K536" s="5">
        <v>12625.0</v>
      </c>
      <c r="L536" s="5">
        <v>4.0</v>
      </c>
      <c r="M536" s="5">
        <v>1639.72335</v>
      </c>
    </row>
    <row r="537">
      <c r="A537" s="4" t="s">
        <v>786</v>
      </c>
      <c r="B537" s="5" t="s">
        <v>15</v>
      </c>
      <c r="C537" s="5" t="s">
        <v>16</v>
      </c>
      <c r="D537" s="5" t="s">
        <v>35</v>
      </c>
      <c r="E537" s="6" t="s">
        <v>787</v>
      </c>
      <c r="F537" s="5" t="s">
        <v>19</v>
      </c>
      <c r="G537" s="5" t="s">
        <v>52</v>
      </c>
      <c r="H537" s="5">
        <v>26415.0</v>
      </c>
      <c r="I537" s="5">
        <v>60.0</v>
      </c>
      <c r="J537" s="5">
        <v>13791.0</v>
      </c>
      <c r="K537" s="5">
        <v>25315.0</v>
      </c>
      <c r="L537" s="5">
        <v>11.0</v>
      </c>
      <c r="M537" s="5">
        <v>6450.918637</v>
      </c>
    </row>
    <row r="538">
      <c r="A538" s="4" t="s">
        <v>788</v>
      </c>
      <c r="B538" s="5" t="s">
        <v>15</v>
      </c>
      <c r="C538" s="5" t="s">
        <v>23</v>
      </c>
      <c r="D538" s="5" t="s">
        <v>32</v>
      </c>
      <c r="E538" s="6" t="s">
        <v>789</v>
      </c>
      <c r="F538" s="5" t="s">
        <v>46</v>
      </c>
      <c r="G538" s="5" t="s">
        <v>27</v>
      </c>
      <c r="H538" s="5">
        <v>13347.0</v>
      </c>
      <c r="I538" s="5">
        <v>80.0</v>
      </c>
      <c r="J538" s="5">
        <v>8357.0</v>
      </c>
      <c r="K538" s="5">
        <v>11461.0</v>
      </c>
      <c r="L538" s="5">
        <v>10.0</v>
      </c>
      <c r="M538" s="5">
        <v>1543.66142</v>
      </c>
    </row>
    <row r="539">
      <c r="A539" s="4" t="s">
        <v>790</v>
      </c>
      <c r="B539" s="5" t="s">
        <v>22</v>
      </c>
      <c r="C539" s="5" t="s">
        <v>31</v>
      </c>
      <c r="D539" s="5" t="s">
        <v>78</v>
      </c>
      <c r="E539" s="6" t="s">
        <v>791</v>
      </c>
      <c r="F539" s="5" t="s">
        <v>48</v>
      </c>
      <c r="G539" s="5" t="s">
        <v>27</v>
      </c>
      <c r="H539" s="5">
        <v>20885.0</v>
      </c>
      <c r="I539" s="5">
        <v>99.0</v>
      </c>
      <c r="J539" s="5">
        <v>9901.0</v>
      </c>
      <c r="K539" s="5">
        <v>16266.0</v>
      </c>
      <c r="L539" s="5">
        <v>15.0</v>
      </c>
      <c r="M539" s="5">
        <v>2496.785436</v>
      </c>
    </row>
    <row r="540">
      <c r="A540" s="4" t="s">
        <v>792</v>
      </c>
      <c r="B540" s="5" t="s">
        <v>15</v>
      </c>
      <c r="C540" s="5" t="s">
        <v>42</v>
      </c>
      <c r="D540" s="5" t="s">
        <v>35</v>
      </c>
      <c r="E540" s="6" t="s">
        <v>793</v>
      </c>
      <c r="F540" s="5" t="s">
        <v>117</v>
      </c>
      <c r="G540" s="5" t="s">
        <v>27</v>
      </c>
      <c r="H540" s="5">
        <v>11289.0</v>
      </c>
      <c r="I540" s="5">
        <v>97.0</v>
      </c>
      <c r="J540" s="5">
        <v>1345.0</v>
      </c>
      <c r="K540" s="5">
        <v>8187.0</v>
      </c>
      <c r="L540" s="5">
        <v>3.0</v>
      </c>
      <c r="M540" s="5">
        <v>1665.160445</v>
      </c>
    </row>
    <row r="541">
      <c r="A541" s="4" t="s">
        <v>794</v>
      </c>
      <c r="B541" s="5" t="s">
        <v>15</v>
      </c>
      <c r="C541" s="5" t="s">
        <v>31</v>
      </c>
      <c r="D541" s="5" t="s">
        <v>24</v>
      </c>
      <c r="E541" s="6" t="s">
        <v>795</v>
      </c>
      <c r="F541" s="5" t="s">
        <v>36</v>
      </c>
      <c r="G541" s="5" t="s">
        <v>27</v>
      </c>
      <c r="H541" s="5">
        <v>10389.0</v>
      </c>
      <c r="I541" s="5">
        <v>55.0</v>
      </c>
      <c r="J541" s="5">
        <v>8161.0</v>
      </c>
      <c r="K541" s="5">
        <v>9951.0</v>
      </c>
      <c r="L541" s="5">
        <v>2.0</v>
      </c>
      <c r="M541" s="5">
        <v>2582.493847</v>
      </c>
    </row>
    <row r="542">
      <c r="A542" s="4" t="s">
        <v>796</v>
      </c>
      <c r="B542" s="5" t="s">
        <v>15</v>
      </c>
      <c r="C542" s="5" t="s">
        <v>42</v>
      </c>
      <c r="D542" s="5" t="s">
        <v>35</v>
      </c>
      <c r="E542" s="6" t="s">
        <v>795</v>
      </c>
      <c r="F542" s="5" t="s">
        <v>19</v>
      </c>
      <c r="G542" s="5" t="s">
        <v>52</v>
      </c>
      <c r="H542" s="5">
        <v>62040.0</v>
      </c>
      <c r="I542" s="5">
        <v>174.0</v>
      </c>
      <c r="J542" s="5">
        <v>43853.0</v>
      </c>
      <c r="K542" s="5">
        <v>58642.0</v>
      </c>
      <c r="L542" s="5">
        <v>15.0</v>
      </c>
      <c r="M542" s="5">
        <v>2139.065793</v>
      </c>
    </row>
    <row r="543">
      <c r="A543" s="4" t="s">
        <v>797</v>
      </c>
      <c r="B543" s="5" t="s">
        <v>15</v>
      </c>
      <c r="C543" s="5" t="s">
        <v>42</v>
      </c>
      <c r="D543" s="5" t="s">
        <v>78</v>
      </c>
      <c r="E543" s="6" t="s">
        <v>795</v>
      </c>
      <c r="F543" s="5" t="s">
        <v>46</v>
      </c>
      <c r="G543" s="5" t="s">
        <v>27</v>
      </c>
      <c r="H543" s="5">
        <v>83537.0</v>
      </c>
      <c r="I543" s="5">
        <v>222.0</v>
      </c>
      <c r="J543" s="5">
        <v>67987.0</v>
      </c>
      <c r="K543" s="5">
        <v>79409.0</v>
      </c>
      <c r="L543" s="5">
        <v>4.0</v>
      </c>
      <c r="M543" s="5">
        <v>1761.079323</v>
      </c>
    </row>
    <row r="544">
      <c r="A544" s="4" t="s">
        <v>798</v>
      </c>
      <c r="B544" s="5" t="s">
        <v>61</v>
      </c>
      <c r="C544" s="5" t="s">
        <v>23</v>
      </c>
      <c r="D544" s="5" t="s">
        <v>45</v>
      </c>
      <c r="E544" s="6" t="s">
        <v>795</v>
      </c>
      <c r="F544" s="5" t="s">
        <v>19</v>
      </c>
      <c r="G544" s="5" t="s">
        <v>27</v>
      </c>
      <c r="H544" s="5">
        <v>81054.0</v>
      </c>
      <c r="I544" s="5">
        <v>265.0</v>
      </c>
      <c r="J544" s="5">
        <v>56762.0</v>
      </c>
      <c r="K544" s="5">
        <v>76198.0</v>
      </c>
      <c r="L544" s="5">
        <v>16.0</v>
      </c>
      <c r="M544" s="5">
        <v>1532.357841</v>
      </c>
    </row>
    <row r="545">
      <c r="A545" s="4" t="s">
        <v>799</v>
      </c>
      <c r="B545" s="5" t="s">
        <v>15</v>
      </c>
      <c r="C545" s="5" t="s">
        <v>42</v>
      </c>
      <c r="D545" s="5" t="s">
        <v>173</v>
      </c>
      <c r="E545" s="6" t="s">
        <v>795</v>
      </c>
      <c r="F545" s="5" t="s">
        <v>191</v>
      </c>
      <c r="G545" s="5" t="s">
        <v>52</v>
      </c>
      <c r="H545" s="5">
        <v>35043.0</v>
      </c>
      <c r="I545" s="5">
        <v>140.0</v>
      </c>
      <c r="J545" s="5">
        <v>20942.0</v>
      </c>
      <c r="K545" s="5">
        <v>33479.0</v>
      </c>
      <c r="L545" s="5">
        <v>24.0</v>
      </c>
      <c r="M545" s="5">
        <v>1527.97628</v>
      </c>
    </row>
    <row r="546">
      <c r="A546" s="4" t="s">
        <v>800</v>
      </c>
      <c r="B546" s="5" t="s">
        <v>22</v>
      </c>
      <c r="C546" s="5" t="s">
        <v>23</v>
      </c>
      <c r="D546" s="5" t="s">
        <v>181</v>
      </c>
      <c r="E546" s="6" t="s">
        <v>801</v>
      </c>
      <c r="F546" s="5" t="s">
        <v>19</v>
      </c>
      <c r="G546" s="5" t="s">
        <v>27</v>
      </c>
      <c r="H546" s="5">
        <v>14509.0</v>
      </c>
      <c r="I546" s="5">
        <v>90.0</v>
      </c>
      <c r="J546" s="5">
        <v>866.0</v>
      </c>
      <c r="K546" s="5">
        <v>13268.0</v>
      </c>
      <c r="L546" s="5">
        <v>8.0</v>
      </c>
      <c r="M546" s="5">
        <v>5521.18913</v>
      </c>
    </row>
    <row r="547">
      <c r="A547" s="4" t="s">
        <v>802</v>
      </c>
      <c r="B547" s="5" t="s">
        <v>15</v>
      </c>
      <c r="C547" s="5" t="s">
        <v>23</v>
      </c>
      <c r="D547" s="5" t="s">
        <v>24</v>
      </c>
      <c r="E547" s="6" t="s">
        <v>803</v>
      </c>
      <c r="F547" s="5" t="s">
        <v>48</v>
      </c>
      <c r="G547" s="5" t="s">
        <v>52</v>
      </c>
      <c r="H547" s="5">
        <v>16325.0</v>
      </c>
      <c r="I547" s="5">
        <v>78.0</v>
      </c>
      <c r="J547" s="5">
        <v>9558.0</v>
      </c>
      <c r="K547" s="5">
        <v>15426.0</v>
      </c>
      <c r="L547" s="5">
        <v>21.0</v>
      </c>
      <c r="M547" s="5">
        <v>1814.098581</v>
      </c>
    </row>
    <row r="548">
      <c r="A548" s="4" t="s">
        <v>804</v>
      </c>
      <c r="B548" s="5" t="s">
        <v>15</v>
      </c>
      <c r="C548" s="5" t="s">
        <v>23</v>
      </c>
      <c r="D548" s="5" t="s">
        <v>183</v>
      </c>
      <c r="E548" s="6" t="s">
        <v>805</v>
      </c>
      <c r="F548" s="5" t="s">
        <v>19</v>
      </c>
      <c r="G548" s="5" t="s">
        <v>27</v>
      </c>
      <c r="H548" s="5">
        <v>10485.0</v>
      </c>
      <c r="I548" s="5">
        <v>84.0</v>
      </c>
      <c r="J548" s="5">
        <v>4255.0</v>
      </c>
      <c r="K548" s="5">
        <v>7669.0</v>
      </c>
      <c r="L548" s="5">
        <v>2.0</v>
      </c>
      <c r="M548" s="5">
        <v>2239.262819</v>
      </c>
    </row>
    <row r="549">
      <c r="A549" s="4" t="s">
        <v>806</v>
      </c>
      <c r="B549" s="5" t="s">
        <v>22</v>
      </c>
      <c r="C549" s="5" t="s">
        <v>16</v>
      </c>
      <c r="D549" s="5" t="s">
        <v>17</v>
      </c>
      <c r="E549" s="6" t="s">
        <v>807</v>
      </c>
      <c r="F549" s="5" t="s">
        <v>161</v>
      </c>
      <c r="G549" s="5" t="s">
        <v>27</v>
      </c>
      <c r="H549" s="5">
        <v>11561.0</v>
      </c>
      <c r="I549" s="5">
        <v>87.0</v>
      </c>
      <c r="J549" s="5">
        <v>4063.0</v>
      </c>
      <c r="K549" s="5">
        <v>9941.0</v>
      </c>
      <c r="L549" s="5">
        <v>5.0</v>
      </c>
      <c r="M549" s="5">
        <v>1911.931953</v>
      </c>
    </row>
    <row r="550">
      <c r="A550" s="4" t="s">
        <v>808</v>
      </c>
      <c r="B550" s="5" t="s">
        <v>22</v>
      </c>
      <c r="C550" s="5" t="s">
        <v>31</v>
      </c>
      <c r="D550" s="5" t="s">
        <v>84</v>
      </c>
      <c r="E550" s="6" t="s">
        <v>809</v>
      </c>
      <c r="F550" s="5" t="s">
        <v>50</v>
      </c>
      <c r="G550" s="5" t="s">
        <v>27</v>
      </c>
      <c r="H550" s="5">
        <v>18136.0</v>
      </c>
      <c r="I550" s="5">
        <v>69.0</v>
      </c>
      <c r="J550" s="5">
        <v>10842.0</v>
      </c>
      <c r="K550" s="5">
        <v>14953.0</v>
      </c>
      <c r="L550" s="5">
        <v>9.0</v>
      </c>
      <c r="M550" s="5">
        <v>6860.359597</v>
      </c>
    </row>
    <row r="551">
      <c r="A551" s="4" t="s">
        <v>810</v>
      </c>
      <c r="B551" s="5" t="s">
        <v>15</v>
      </c>
      <c r="C551" s="5" t="s">
        <v>23</v>
      </c>
      <c r="D551" s="5" t="s">
        <v>17</v>
      </c>
      <c r="E551" s="6" t="s">
        <v>809</v>
      </c>
      <c r="F551" s="5" t="s">
        <v>161</v>
      </c>
      <c r="G551" s="5" t="s">
        <v>27</v>
      </c>
      <c r="H551" s="5">
        <v>8437.0</v>
      </c>
      <c r="I551" s="5">
        <v>63.0</v>
      </c>
      <c r="J551" s="5">
        <v>5271.0</v>
      </c>
      <c r="K551" s="5">
        <v>7065.0</v>
      </c>
      <c r="L551" s="5">
        <v>2.0</v>
      </c>
      <c r="M551" s="5">
        <v>1880.533168</v>
      </c>
    </row>
    <row r="552">
      <c r="A552" s="4" t="s">
        <v>811</v>
      </c>
      <c r="B552" s="5" t="s">
        <v>15</v>
      </c>
      <c r="C552" s="5" t="s">
        <v>23</v>
      </c>
      <c r="D552" s="5" t="s">
        <v>17</v>
      </c>
      <c r="E552" s="6" t="s">
        <v>812</v>
      </c>
      <c r="F552" s="5" t="s">
        <v>36</v>
      </c>
      <c r="G552" s="5" t="s">
        <v>20</v>
      </c>
      <c r="H552" s="5">
        <v>7965.0</v>
      </c>
      <c r="I552" s="5">
        <v>50.0</v>
      </c>
      <c r="J552" s="5">
        <v>5230.0</v>
      </c>
      <c r="K552" s="5">
        <v>6923.0</v>
      </c>
      <c r="L552" s="5">
        <v>10.0</v>
      </c>
      <c r="M552" s="5">
        <v>6298.513929</v>
      </c>
    </row>
    <row r="553">
      <c r="A553" s="4" t="s">
        <v>813</v>
      </c>
      <c r="B553" s="5" t="s">
        <v>15</v>
      </c>
      <c r="C553" s="5" t="s">
        <v>16</v>
      </c>
      <c r="D553" s="5" t="s">
        <v>84</v>
      </c>
      <c r="E553" s="6" t="s">
        <v>812</v>
      </c>
      <c r="F553" s="5" t="s">
        <v>46</v>
      </c>
      <c r="G553" s="5" t="s">
        <v>27</v>
      </c>
      <c r="H553" s="5">
        <v>14350.0</v>
      </c>
      <c r="I553" s="5">
        <v>60.0</v>
      </c>
      <c r="J553" s="5">
        <v>8228.0</v>
      </c>
      <c r="K553" s="5">
        <v>13396.0</v>
      </c>
      <c r="L553" s="5">
        <v>6.0</v>
      </c>
      <c r="M553" s="5">
        <v>6114.034936</v>
      </c>
    </row>
    <row r="554">
      <c r="A554" s="4" t="s">
        <v>814</v>
      </c>
      <c r="B554" s="5" t="s">
        <v>22</v>
      </c>
      <c r="C554" s="5" t="s">
        <v>16</v>
      </c>
      <c r="D554" s="5" t="s">
        <v>131</v>
      </c>
      <c r="E554" s="6" t="s">
        <v>812</v>
      </c>
      <c r="F554" s="5" t="s">
        <v>26</v>
      </c>
      <c r="G554" s="5" t="s">
        <v>27</v>
      </c>
      <c r="H554" s="5">
        <v>24100.0</v>
      </c>
      <c r="I554" s="5">
        <v>110.0</v>
      </c>
      <c r="J554" s="5">
        <v>11355.0</v>
      </c>
      <c r="K554" s="5">
        <v>21740.0</v>
      </c>
      <c r="L554" s="5">
        <v>5.0</v>
      </c>
      <c r="M554" s="5">
        <v>5912.260975</v>
      </c>
    </row>
    <row r="555">
      <c r="A555" s="4" t="s">
        <v>815</v>
      </c>
      <c r="B555" s="5" t="s">
        <v>15</v>
      </c>
      <c r="C555" s="5" t="s">
        <v>16</v>
      </c>
      <c r="D555" s="5" t="s">
        <v>150</v>
      </c>
      <c r="E555" s="6" t="s">
        <v>812</v>
      </c>
      <c r="F555" s="5" t="s">
        <v>19</v>
      </c>
      <c r="G555" s="5" t="s">
        <v>20</v>
      </c>
      <c r="H555" s="5">
        <v>21599.0</v>
      </c>
      <c r="I555" s="5">
        <v>66.0</v>
      </c>
      <c r="J555" s="5">
        <v>13600.0</v>
      </c>
      <c r="K555" s="5">
        <v>20256.0</v>
      </c>
      <c r="L555" s="5">
        <v>9.0</v>
      </c>
      <c r="M555" s="5">
        <v>5551.387415</v>
      </c>
    </row>
    <row r="556">
      <c r="A556" s="4" t="s">
        <v>816</v>
      </c>
      <c r="B556" s="5" t="s">
        <v>15</v>
      </c>
      <c r="C556" s="5" t="s">
        <v>23</v>
      </c>
      <c r="D556" s="5" t="s">
        <v>35</v>
      </c>
      <c r="E556" s="6" t="s">
        <v>812</v>
      </c>
      <c r="F556" s="5" t="s">
        <v>36</v>
      </c>
      <c r="G556" s="5" t="s">
        <v>52</v>
      </c>
      <c r="H556" s="5">
        <v>35335.0</v>
      </c>
      <c r="I556" s="5">
        <v>120.0</v>
      </c>
      <c r="J556" s="5">
        <v>22566.0</v>
      </c>
      <c r="K556" s="5">
        <v>30685.0</v>
      </c>
      <c r="L556" s="5">
        <v>15.0</v>
      </c>
      <c r="M556" s="5">
        <v>1866.34747</v>
      </c>
    </row>
    <row r="557">
      <c r="A557" s="4" t="s">
        <v>817</v>
      </c>
      <c r="B557" s="5" t="s">
        <v>15</v>
      </c>
      <c r="C557" s="5" t="s">
        <v>42</v>
      </c>
      <c r="D557" s="5" t="s">
        <v>29</v>
      </c>
      <c r="E557" s="6" t="s">
        <v>812</v>
      </c>
      <c r="F557" s="5" t="s">
        <v>19</v>
      </c>
      <c r="G557" s="5" t="s">
        <v>27</v>
      </c>
      <c r="H557" s="5">
        <v>14763.0</v>
      </c>
      <c r="I557" s="5">
        <v>40.0</v>
      </c>
      <c r="J557" s="5">
        <v>8955.0</v>
      </c>
      <c r="K557" s="5">
        <v>13829.0</v>
      </c>
      <c r="L557" s="5">
        <v>2.0</v>
      </c>
      <c r="M557" s="5">
        <v>1531.926885</v>
      </c>
    </row>
    <row r="558">
      <c r="A558" s="4" t="s">
        <v>818</v>
      </c>
      <c r="B558" s="5" t="s">
        <v>22</v>
      </c>
      <c r="C558" s="5" t="s">
        <v>42</v>
      </c>
      <c r="D558" s="5" t="s">
        <v>29</v>
      </c>
      <c r="E558" s="6" t="s">
        <v>819</v>
      </c>
      <c r="F558" s="5" t="s">
        <v>117</v>
      </c>
      <c r="G558" s="5" t="s">
        <v>27</v>
      </c>
      <c r="H558" s="5">
        <v>47360.0</v>
      </c>
      <c r="I558" s="5">
        <v>126.0</v>
      </c>
      <c r="J558" s="5">
        <v>8047.0</v>
      </c>
      <c r="K558" s="5">
        <v>33641.0</v>
      </c>
      <c r="L558" s="5">
        <v>9.0</v>
      </c>
      <c r="M558" s="5">
        <v>6502.274933</v>
      </c>
    </row>
    <row r="559">
      <c r="A559" s="4" t="s">
        <v>820</v>
      </c>
      <c r="B559" s="5" t="s">
        <v>61</v>
      </c>
      <c r="C559" s="5" t="s">
        <v>23</v>
      </c>
      <c r="D559" s="5" t="s">
        <v>84</v>
      </c>
      <c r="E559" s="6" t="s">
        <v>819</v>
      </c>
      <c r="F559" s="5" t="s">
        <v>36</v>
      </c>
      <c r="G559" s="5" t="s">
        <v>27</v>
      </c>
      <c r="H559" s="5">
        <v>19408.0</v>
      </c>
      <c r="I559" s="5">
        <v>58.0</v>
      </c>
      <c r="J559" s="5">
        <v>6596.0</v>
      </c>
      <c r="K559" s="5">
        <v>13880.0</v>
      </c>
      <c r="L559" s="5">
        <v>2.0</v>
      </c>
      <c r="M559" s="5">
        <v>5492.821648</v>
      </c>
    </row>
    <row r="560">
      <c r="A560" s="4" t="s">
        <v>821</v>
      </c>
      <c r="B560" s="5" t="s">
        <v>61</v>
      </c>
      <c r="C560" s="5" t="s">
        <v>23</v>
      </c>
      <c r="D560" s="5" t="s">
        <v>55</v>
      </c>
      <c r="E560" s="6" t="s">
        <v>819</v>
      </c>
      <c r="F560" s="5" t="s">
        <v>26</v>
      </c>
      <c r="G560" s="5" t="s">
        <v>27</v>
      </c>
      <c r="H560" s="5">
        <v>46190.0</v>
      </c>
      <c r="I560" s="5">
        <v>130.0</v>
      </c>
      <c r="J560" s="5">
        <v>8618.0</v>
      </c>
      <c r="K560" s="5">
        <v>41618.0</v>
      </c>
      <c r="L560" s="5">
        <v>1.0</v>
      </c>
      <c r="M560" s="5">
        <v>5464.109817</v>
      </c>
    </row>
    <row r="561">
      <c r="A561" s="4" t="s">
        <v>822</v>
      </c>
      <c r="B561" s="5" t="s">
        <v>15</v>
      </c>
      <c r="C561" s="5" t="s">
        <v>23</v>
      </c>
      <c r="D561" s="5" t="s">
        <v>35</v>
      </c>
      <c r="E561" s="6" t="s">
        <v>819</v>
      </c>
      <c r="F561" s="5" t="s">
        <v>48</v>
      </c>
      <c r="G561" s="5" t="s">
        <v>52</v>
      </c>
      <c r="H561" s="5">
        <v>18537.0</v>
      </c>
      <c r="I561" s="5">
        <v>95.0</v>
      </c>
      <c r="J561" s="5">
        <v>6473.0</v>
      </c>
      <c r="K561" s="5">
        <v>17081.0</v>
      </c>
      <c r="L561" s="5">
        <v>4.0</v>
      </c>
      <c r="M561" s="5">
        <v>5206.238968</v>
      </c>
    </row>
    <row r="562">
      <c r="A562" s="4" t="s">
        <v>823</v>
      </c>
      <c r="B562" s="5" t="s">
        <v>22</v>
      </c>
      <c r="C562" s="5" t="s">
        <v>16</v>
      </c>
      <c r="D562" s="5" t="s">
        <v>39</v>
      </c>
      <c r="E562" s="6" t="s">
        <v>819</v>
      </c>
      <c r="F562" s="5" t="s">
        <v>26</v>
      </c>
      <c r="G562" s="5" t="s">
        <v>27</v>
      </c>
      <c r="H562" s="5">
        <v>12488.0</v>
      </c>
      <c r="I562" s="5">
        <v>99.0</v>
      </c>
      <c r="J562" s="5">
        <v>4021.0</v>
      </c>
      <c r="K562" s="5">
        <v>11403.0</v>
      </c>
      <c r="L562" s="5">
        <v>4.0</v>
      </c>
      <c r="M562" s="5">
        <v>2176.657469</v>
      </c>
    </row>
    <row r="563">
      <c r="A563" s="4" t="s">
        <v>824</v>
      </c>
      <c r="B563" s="5" t="s">
        <v>22</v>
      </c>
      <c r="C563" s="5" t="s">
        <v>42</v>
      </c>
      <c r="D563" s="5" t="s">
        <v>35</v>
      </c>
      <c r="E563" s="6" t="s">
        <v>819</v>
      </c>
      <c r="F563" s="5" t="s">
        <v>19</v>
      </c>
      <c r="G563" s="5" t="s">
        <v>27</v>
      </c>
      <c r="H563" s="5">
        <v>19212.0</v>
      </c>
      <c r="I563" s="5">
        <v>54.0</v>
      </c>
      <c r="J563" s="5">
        <v>6872.0</v>
      </c>
      <c r="K563" s="5">
        <v>14248.0</v>
      </c>
      <c r="L563" s="5">
        <v>10.0</v>
      </c>
      <c r="M563" s="5">
        <v>2133.077113</v>
      </c>
    </row>
    <row r="564">
      <c r="A564" s="4" t="s">
        <v>825</v>
      </c>
      <c r="B564" s="5" t="s">
        <v>15</v>
      </c>
      <c r="C564" s="5" t="s">
        <v>42</v>
      </c>
      <c r="D564" s="5" t="s">
        <v>183</v>
      </c>
      <c r="E564" s="6" t="s">
        <v>819</v>
      </c>
      <c r="F564" s="5" t="s">
        <v>19</v>
      </c>
      <c r="G564" s="5" t="s">
        <v>27</v>
      </c>
      <c r="H564" s="5">
        <v>37554.0</v>
      </c>
      <c r="I564" s="5">
        <v>92.0</v>
      </c>
      <c r="J564" s="5">
        <v>13128.0</v>
      </c>
      <c r="K564" s="5">
        <v>27596.0</v>
      </c>
      <c r="L564" s="5">
        <v>8.0</v>
      </c>
      <c r="M564" s="5">
        <v>1737.843485</v>
      </c>
    </row>
    <row r="565">
      <c r="A565" s="4" t="s">
        <v>826</v>
      </c>
      <c r="B565" s="5" t="s">
        <v>22</v>
      </c>
      <c r="C565" s="5" t="s">
        <v>31</v>
      </c>
      <c r="D565" s="5" t="s">
        <v>55</v>
      </c>
      <c r="E565" s="6" t="s">
        <v>819</v>
      </c>
      <c r="F565" s="5" t="s">
        <v>46</v>
      </c>
      <c r="G565" s="5" t="s">
        <v>27</v>
      </c>
      <c r="H565" s="5">
        <v>12510.0</v>
      </c>
      <c r="I565" s="5">
        <v>74.0</v>
      </c>
      <c r="J565" s="5">
        <v>4391.0</v>
      </c>
      <c r="K565" s="5">
        <v>9098.0</v>
      </c>
      <c r="L565" s="5">
        <v>6.0</v>
      </c>
      <c r="M565" s="5">
        <v>1524.470523</v>
      </c>
    </row>
    <row r="566">
      <c r="A566" s="4" t="s">
        <v>827</v>
      </c>
      <c r="B566" s="5" t="s">
        <v>61</v>
      </c>
      <c r="C566" s="5" t="s">
        <v>16</v>
      </c>
      <c r="D566" s="5" t="s">
        <v>29</v>
      </c>
      <c r="E566" s="6" t="s">
        <v>828</v>
      </c>
      <c r="F566" s="5" t="s">
        <v>26</v>
      </c>
      <c r="G566" s="5" t="s">
        <v>27</v>
      </c>
      <c r="H566" s="5">
        <v>15475.0</v>
      </c>
      <c r="I566" s="5">
        <v>110.0</v>
      </c>
      <c r="J566" s="5">
        <v>6019.0</v>
      </c>
      <c r="K566" s="5">
        <v>10952.0</v>
      </c>
      <c r="L566" s="5">
        <v>9.0</v>
      </c>
      <c r="M566" s="5">
        <v>4156.713383</v>
      </c>
    </row>
    <row r="567">
      <c r="A567" s="4" t="s">
        <v>829</v>
      </c>
      <c r="B567" s="5" t="s">
        <v>22</v>
      </c>
      <c r="C567" s="5" t="s">
        <v>23</v>
      </c>
      <c r="D567" s="5" t="s">
        <v>95</v>
      </c>
      <c r="E567" s="6" t="s">
        <v>830</v>
      </c>
      <c r="F567" s="5" t="s">
        <v>19</v>
      </c>
      <c r="G567" s="5" t="s">
        <v>27</v>
      </c>
      <c r="H567" s="5">
        <v>20572.0</v>
      </c>
      <c r="I567" s="5">
        <v>90.0</v>
      </c>
      <c r="J567" s="5">
        <v>2226.0</v>
      </c>
      <c r="K567" s="5">
        <v>16510.0</v>
      </c>
      <c r="L567" s="5">
        <v>10.0</v>
      </c>
      <c r="M567" s="5">
        <v>1529.307229</v>
      </c>
    </row>
    <row r="568">
      <c r="A568" s="4" t="s">
        <v>831</v>
      </c>
      <c r="B568" s="5" t="s">
        <v>22</v>
      </c>
      <c r="C568" s="5" t="s">
        <v>23</v>
      </c>
      <c r="D568" s="5" t="s">
        <v>84</v>
      </c>
      <c r="E568" s="6" t="s">
        <v>832</v>
      </c>
      <c r="F568" s="5" t="s">
        <v>327</v>
      </c>
      <c r="G568" s="5" t="s">
        <v>27</v>
      </c>
      <c r="H568" s="5">
        <v>16956.0</v>
      </c>
      <c r="I568" s="5">
        <v>65.0</v>
      </c>
      <c r="J568" s="5">
        <v>7553.0</v>
      </c>
      <c r="K568" s="5">
        <v>15201.0</v>
      </c>
      <c r="L568" s="5">
        <v>3.0</v>
      </c>
      <c r="M568" s="5">
        <v>1502.680139</v>
      </c>
    </row>
    <row r="569">
      <c r="A569" s="4" t="s">
        <v>833</v>
      </c>
      <c r="B569" s="5" t="s">
        <v>15</v>
      </c>
      <c r="C569" s="5" t="s">
        <v>16</v>
      </c>
      <c r="D569" s="5" t="s">
        <v>35</v>
      </c>
      <c r="E569" s="6" t="s">
        <v>834</v>
      </c>
      <c r="F569" s="5" t="s">
        <v>117</v>
      </c>
      <c r="G569" s="5" t="s">
        <v>52</v>
      </c>
      <c r="H569" s="5">
        <v>17075.0</v>
      </c>
      <c r="I569" s="5">
        <v>44.0</v>
      </c>
      <c r="J569" s="5">
        <v>5508.0</v>
      </c>
      <c r="K569" s="5">
        <v>11539.0</v>
      </c>
      <c r="L569" s="5">
        <v>10.0</v>
      </c>
      <c r="M569" s="5">
        <v>5086.08996</v>
      </c>
    </row>
    <row r="570">
      <c r="A570" s="4" t="s">
        <v>835</v>
      </c>
      <c r="B570" s="5" t="s">
        <v>22</v>
      </c>
      <c r="C570" s="5" t="s">
        <v>23</v>
      </c>
      <c r="D570" s="5" t="s">
        <v>84</v>
      </c>
      <c r="E570" s="6" t="s">
        <v>836</v>
      </c>
      <c r="F570" s="5" t="s">
        <v>19</v>
      </c>
      <c r="G570" s="5" t="s">
        <v>27</v>
      </c>
      <c r="H570" s="5">
        <v>9709.0</v>
      </c>
      <c r="I570" s="5">
        <v>58.0</v>
      </c>
      <c r="J570" s="5">
        <v>3339.0</v>
      </c>
      <c r="K570" s="5">
        <v>7891.0</v>
      </c>
      <c r="L570" s="5">
        <v>3.0</v>
      </c>
      <c r="M570" s="5">
        <v>6994.085353</v>
      </c>
    </row>
    <row r="571">
      <c r="A571" s="4" t="s">
        <v>837</v>
      </c>
      <c r="B571" s="5" t="s">
        <v>22</v>
      </c>
      <c r="C571" s="5" t="s">
        <v>16</v>
      </c>
      <c r="D571" s="5" t="s">
        <v>29</v>
      </c>
      <c r="E571" s="6" t="s">
        <v>836</v>
      </c>
      <c r="F571" s="5" t="s">
        <v>46</v>
      </c>
      <c r="G571" s="5" t="s">
        <v>27</v>
      </c>
      <c r="H571" s="5">
        <v>7769.0</v>
      </c>
      <c r="I571" s="5">
        <v>10.0</v>
      </c>
      <c r="J571" s="5">
        <v>3152.0</v>
      </c>
      <c r="K571" s="5">
        <v>6464.0</v>
      </c>
      <c r="L571" s="5">
        <v>1.0</v>
      </c>
      <c r="M571" s="5">
        <v>5603.048132</v>
      </c>
    </row>
    <row r="572">
      <c r="A572" s="4" t="s">
        <v>838</v>
      </c>
      <c r="B572" s="5" t="s">
        <v>15</v>
      </c>
      <c r="C572" s="5" t="s">
        <v>42</v>
      </c>
      <c r="D572" s="5" t="s">
        <v>17</v>
      </c>
      <c r="E572" s="6" t="s">
        <v>839</v>
      </c>
      <c r="F572" s="5" t="s">
        <v>19</v>
      </c>
      <c r="G572" s="5" t="s">
        <v>20</v>
      </c>
      <c r="H572" s="5">
        <v>28888.0</v>
      </c>
      <c r="I572" s="5">
        <v>85.0</v>
      </c>
      <c r="J572" s="5">
        <v>21437.0</v>
      </c>
      <c r="K572" s="5">
        <v>27586.0</v>
      </c>
      <c r="L572" s="5">
        <v>19.0</v>
      </c>
      <c r="M572" s="5">
        <v>6858.578118</v>
      </c>
    </row>
    <row r="573">
      <c r="A573" s="4" t="s">
        <v>840</v>
      </c>
      <c r="B573" s="5" t="s">
        <v>15</v>
      </c>
      <c r="C573" s="5" t="s">
        <v>23</v>
      </c>
      <c r="D573" s="5" t="s">
        <v>35</v>
      </c>
      <c r="E573" s="6" t="s">
        <v>839</v>
      </c>
      <c r="F573" s="5" t="s">
        <v>19</v>
      </c>
      <c r="G573" s="5" t="s">
        <v>27</v>
      </c>
      <c r="H573" s="5">
        <v>756687.0</v>
      </c>
      <c r="I573" s="5">
        <v>1984.0</v>
      </c>
      <c r="J573" s="5">
        <v>442979.0</v>
      </c>
      <c r="K573" s="5">
        <v>611813.0</v>
      </c>
      <c r="L573" s="5">
        <v>14.0</v>
      </c>
      <c r="M573" s="5">
        <v>2452.997504</v>
      </c>
    </row>
    <row r="574">
      <c r="A574" s="4" t="s">
        <v>841</v>
      </c>
      <c r="B574" s="5" t="s">
        <v>15</v>
      </c>
      <c r="C574" s="5" t="s">
        <v>16</v>
      </c>
      <c r="D574" s="5" t="s">
        <v>84</v>
      </c>
      <c r="E574" s="6" t="s">
        <v>839</v>
      </c>
      <c r="F574" s="5" t="s">
        <v>19</v>
      </c>
      <c r="G574" s="5" t="s">
        <v>52</v>
      </c>
      <c r="H574" s="5">
        <v>56737.0</v>
      </c>
      <c r="I574" s="5">
        <v>145.0</v>
      </c>
      <c r="J574" s="5">
        <v>41296.0</v>
      </c>
      <c r="K574" s="5">
        <v>53472.0</v>
      </c>
      <c r="L574" s="5">
        <v>5.0</v>
      </c>
      <c r="M574" s="5">
        <v>2028.370144</v>
      </c>
    </row>
    <row r="575">
      <c r="A575" s="4" t="s">
        <v>842</v>
      </c>
      <c r="B575" s="5" t="s">
        <v>15</v>
      </c>
      <c r="C575" s="5" t="s">
        <v>42</v>
      </c>
      <c r="D575" s="5" t="s">
        <v>95</v>
      </c>
      <c r="E575" s="6" t="s">
        <v>843</v>
      </c>
      <c r="F575" s="5" t="s">
        <v>161</v>
      </c>
      <c r="G575" s="5" t="s">
        <v>27</v>
      </c>
      <c r="H575" s="5">
        <v>217824.0</v>
      </c>
      <c r="I575" s="5">
        <v>560.0</v>
      </c>
      <c r="J575" s="5">
        <v>75089.0</v>
      </c>
      <c r="K575" s="5">
        <v>179723.0</v>
      </c>
      <c r="L575" s="5">
        <v>16.0</v>
      </c>
      <c r="M575" s="5">
        <v>1451.808544</v>
      </c>
    </row>
    <row r="576">
      <c r="A576" s="4" t="s">
        <v>844</v>
      </c>
      <c r="B576" s="5" t="s">
        <v>22</v>
      </c>
      <c r="C576" s="5" t="s">
        <v>23</v>
      </c>
      <c r="D576" s="5" t="s">
        <v>35</v>
      </c>
      <c r="E576" s="6" t="s">
        <v>845</v>
      </c>
      <c r="F576" s="5" t="s">
        <v>19</v>
      </c>
      <c r="G576" s="5" t="s">
        <v>27</v>
      </c>
      <c r="H576" s="5">
        <v>9153.0</v>
      </c>
      <c r="I576" s="5">
        <v>23.0</v>
      </c>
      <c r="J576" s="5">
        <v>4345.0</v>
      </c>
      <c r="K576" s="5">
        <v>8376.0</v>
      </c>
      <c r="L576" s="5">
        <v>14.0</v>
      </c>
      <c r="M576" s="5">
        <v>5007.525805</v>
      </c>
    </row>
    <row r="577">
      <c r="A577" s="4" t="s">
        <v>846</v>
      </c>
      <c r="B577" s="5" t="s">
        <v>22</v>
      </c>
      <c r="C577" s="5" t="s">
        <v>31</v>
      </c>
      <c r="D577" s="5" t="s">
        <v>43</v>
      </c>
      <c r="E577" s="6" t="s">
        <v>847</v>
      </c>
      <c r="F577" s="5" t="s">
        <v>46</v>
      </c>
      <c r="G577" s="5" t="s">
        <v>27</v>
      </c>
      <c r="H577" s="5">
        <v>21962.0</v>
      </c>
      <c r="I577" s="5">
        <v>120.0</v>
      </c>
      <c r="J577" s="5">
        <v>10702.0</v>
      </c>
      <c r="K577" s="5">
        <v>21034.0</v>
      </c>
      <c r="L577" s="5">
        <v>11.0</v>
      </c>
      <c r="M577" s="5">
        <v>6404.003128</v>
      </c>
    </row>
    <row r="578">
      <c r="A578" s="4" t="s">
        <v>848</v>
      </c>
      <c r="B578" s="5" t="s">
        <v>22</v>
      </c>
      <c r="C578" s="5" t="s">
        <v>23</v>
      </c>
      <c r="D578" s="5" t="s">
        <v>32</v>
      </c>
      <c r="E578" s="6" t="s">
        <v>849</v>
      </c>
      <c r="F578" s="5" t="s">
        <v>19</v>
      </c>
      <c r="G578" s="5" t="s">
        <v>27</v>
      </c>
      <c r="H578" s="5">
        <v>12161.0</v>
      </c>
      <c r="I578" s="5">
        <v>20.0</v>
      </c>
      <c r="J578" s="5">
        <v>6284.0</v>
      </c>
      <c r="K578" s="5">
        <v>10919.0</v>
      </c>
      <c r="L578" s="5">
        <v>4.0</v>
      </c>
      <c r="M578" s="5">
        <v>7273.265988</v>
      </c>
    </row>
    <row r="579">
      <c r="A579" s="4" t="s">
        <v>850</v>
      </c>
      <c r="B579" s="5" t="s">
        <v>15</v>
      </c>
      <c r="C579" s="5" t="s">
        <v>16</v>
      </c>
      <c r="D579" s="5" t="s">
        <v>29</v>
      </c>
      <c r="E579" s="6" t="s">
        <v>851</v>
      </c>
      <c r="F579" s="5" t="s">
        <v>46</v>
      </c>
      <c r="G579" s="5" t="s">
        <v>27</v>
      </c>
      <c r="H579" s="5">
        <v>10653.0</v>
      </c>
      <c r="I579" s="5">
        <v>68.0</v>
      </c>
      <c r="J579" s="5">
        <v>5263.0</v>
      </c>
      <c r="K579" s="5">
        <v>9921.0</v>
      </c>
      <c r="L579" s="5">
        <v>11.0</v>
      </c>
      <c r="M579" s="5">
        <v>2641.478397</v>
      </c>
    </row>
    <row r="580">
      <c r="A580" s="4" t="s">
        <v>852</v>
      </c>
      <c r="B580" s="5" t="s">
        <v>15</v>
      </c>
      <c r="C580" s="5" t="s">
        <v>23</v>
      </c>
      <c r="D580" s="5" t="s">
        <v>35</v>
      </c>
      <c r="E580" s="6" t="s">
        <v>853</v>
      </c>
      <c r="F580" s="5" t="s">
        <v>46</v>
      </c>
      <c r="G580" s="5" t="s">
        <v>27</v>
      </c>
      <c r="H580" s="5">
        <v>7691.0</v>
      </c>
      <c r="I580" s="5">
        <v>0.0</v>
      </c>
      <c r="J580" s="5">
        <v>3890.0</v>
      </c>
      <c r="K580" s="5">
        <v>5905.0</v>
      </c>
      <c r="L580" s="5">
        <v>1.0</v>
      </c>
      <c r="M580" s="5">
        <v>5927.806788</v>
      </c>
    </row>
    <row r="581">
      <c r="A581" s="4" t="s">
        <v>854</v>
      </c>
      <c r="B581" s="5" t="s">
        <v>15</v>
      </c>
      <c r="C581" s="5" t="s">
        <v>16</v>
      </c>
      <c r="D581" s="5" t="s">
        <v>35</v>
      </c>
      <c r="E581" s="6" t="s">
        <v>855</v>
      </c>
      <c r="F581" s="5" t="s">
        <v>46</v>
      </c>
      <c r="G581" s="5" t="s">
        <v>27</v>
      </c>
      <c r="H581" s="5">
        <v>8362.0</v>
      </c>
      <c r="I581" s="5">
        <v>31.0</v>
      </c>
      <c r="J581" s="5">
        <v>5959.0</v>
      </c>
      <c r="K581" s="5">
        <v>7947.0</v>
      </c>
      <c r="L581" s="5">
        <v>7.0</v>
      </c>
      <c r="M581" s="5">
        <v>6997.468963</v>
      </c>
    </row>
    <row r="582">
      <c r="A582" s="4" t="s">
        <v>856</v>
      </c>
      <c r="B582" s="5" t="s">
        <v>61</v>
      </c>
      <c r="C582" s="5" t="s">
        <v>16</v>
      </c>
      <c r="D582" s="5" t="s">
        <v>66</v>
      </c>
      <c r="E582" s="6" t="s">
        <v>857</v>
      </c>
      <c r="F582" s="5" t="s">
        <v>26</v>
      </c>
      <c r="G582" s="5" t="s">
        <v>27</v>
      </c>
      <c r="H582" s="5">
        <v>7531.0</v>
      </c>
      <c r="I582" s="5">
        <v>10.0</v>
      </c>
      <c r="J582" s="5">
        <v>3059.0</v>
      </c>
      <c r="K582" s="5">
        <v>6523.0</v>
      </c>
      <c r="L582" s="5">
        <v>1.0</v>
      </c>
      <c r="M582" s="5">
        <v>1937.058388</v>
      </c>
    </row>
    <row r="583">
      <c r="A583" s="4" t="s">
        <v>858</v>
      </c>
      <c r="B583" s="5" t="s">
        <v>15</v>
      </c>
      <c r="C583" s="5" t="s">
        <v>42</v>
      </c>
      <c r="D583" s="5" t="s">
        <v>35</v>
      </c>
      <c r="E583" s="6" t="s">
        <v>859</v>
      </c>
      <c r="F583" s="5" t="s">
        <v>36</v>
      </c>
      <c r="G583" s="5" t="s">
        <v>27</v>
      </c>
      <c r="H583" s="5">
        <v>11417.0</v>
      </c>
      <c r="I583" s="5">
        <v>78.0</v>
      </c>
      <c r="J583" s="5">
        <v>1387.0</v>
      </c>
      <c r="K583" s="5">
        <v>9924.0</v>
      </c>
      <c r="L583" s="5">
        <v>9.0</v>
      </c>
      <c r="M583" s="5">
        <v>6206.637108</v>
      </c>
    </row>
    <row r="584">
      <c r="A584" s="4" t="s">
        <v>860</v>
      </c>
      <c r="B584" s="5" t="s">
        <v>22</v>
      </c>
      <c r="C584" s="5" t="s">
        <v>16</v>
      </c>
      <c r="D584" s="5" t="s">
        <v>29</v>
      </c>
      <c r="E584" s="6" t="s">
        <v>861</v>
      </c>
      <c r="F584" s="5" t="s">
        <v>117</v>
      </c>
      <c r="G584" s="5" t="s">
        <v>27</v>
      </c>
      <c r="H584" s="5">
        <v>9157.0</v>
      </c>
      <c r="I584" s="5">
        <v>60.0</v>
      </c>
      <c r="J584" s="5">
        <v>4520.0</v>
      </c>
      <c r="K584" s="5">
        <v>8037.0</v>
      </c>
      <c r="L584" s="5">
        <v>2.0</v>
      </c>
      <c r="M584" s="5">
        <v>1449.177804</v>
      </c>
    </row>
    <row r="585">
      <c r="A585" s="4" t="s">
        <v>862</v>
      </c>
      <c r="B585" s="5" t="s">
        <v>15</v>
      </c>
      <c r="C585" s="5" t="s">
        <v>31</v>
      </c>
      <c r="D585" s="5" t="s">
        <v>35</v>
      </c>
      <c r="E585" s="6" t="s">
        <v>863</v>
      </c>
      <c r="F585" s="5" t="s">
        <v>19</v>
      </c>
      <c r="G585" s="5" t="s">
        <v>27</v>
      </c>
      <c r="H585" s="5">
        <v>15547.0</v>
      </c>
      <c r="I585" s="5">
        <v>70.0</v>
      </c>
      <c r="J585" s="5">
        <v>7615.0</v>
      </c>
      <c r="K585" s="5">
        <v>14939.0</v>
      </c>
      <c r="L585" s="5">
        <v>3.0</v>
      </c>
      <c r="M585" s="5">
        <v>1767.464456</v>
      </c>
    </row>
    <row r="586">
      <c r="A586" s="4" t="s">
        <v>864</v>
      </c>
      <c r="B586" s="5" t="s">
        <v>22</v>
      </c>
      <c r="C586" s="5" t="s">
        <v>23</v>
      </c>
      <c r="D586" s="5" t="s">
        <v>78</v>
      </c>
      <c r="E586" s="6" t="s">
        <v>865</v>
      </c>
      <c r="F586" s="5" t="s">
        <v>19</v>
      </c>
      <c r="G586" s="5" t="s">
        <v>27</v>
      </c>
      <c r="H586" s="5">
        <v>55445.0</v>
      </c>
      <c r="I586" s="5">
        <v>155.0</v>
      </c>
      <c r="J586" s="5">
        <v>4565.0</v>
      </c>
      <c r="K586" s="5">
        <v>53407.0</v>
      </c>
      <c r="L586" s="5">
        <v>36.0</v>
      </c>
      <c r="M586" s="5">
        <v>7948.480752</v>
      </c>
    </row>
    <row r="587">
      <c r="A587" s="4" t="s">
        <v>866</v>
      </c>
      <c r="B587" s="5" t="s">
        <v>22</v>
      </c>
      <c r="C587" s="5" t="s">
        <v>42</v>
      </c>
      <c r="D587" s="5" t="s">
        <v>78</v>
      </c>
      <c r="E587" s="6" t="s">
        <v>865</v>
      </c>
      <c r="F587" s="5" t="s">
        <v>19</v>
      </c>
      <c r="G587" s="5" t="s">
        <v>27</v>
      </c>
      <c r="H587" s="5">
        <v>18081.0</v>
      </c>
      <c r="I587" s="5">
        <v>44.0</v>
      </c>
      <c r="J587" s="5">
        <v>4545.0</v>
      </c>
      <c r="K587" s="5">
        <v>15617.0</v>
      </c>
      <c r="L587" s="5">
        <v>15.0</v>
      </c>
      <c r="M587" s="5">
        <v>6522.637526</v>
      </c>
    </row>
    <row r="588">
      <c r="A588" s="4" t="s">
        <v>867</v>
      </c>
      <c r="B588" s="5" t="s">
        <v>15</v>
      </c>
      <c r="C588" s="5" t="s">
        <v>31</v>
      </c>
      <c r="D588" s="5" t="s">
        <v>78</v>
      </c>
      <c r="E588" s="6" t="s">
        <v>865</v>
      </c>
      <c r="F588" s="5" t="s">
        <v>19</v>
      </c>
      <c r="G588" s="5" t="s">
        <v>52</v>
      </c>
      <c r="H588" s="5">
        <v>95655.0</v>
      </c>
      <c r="I588" s="5">
        <v>275.0</v>
      </c>
      <c r="J588" s="5">
        <v>9202.0</v>
      </c>
      <c r="K588" s="5">
        <v>85273.0</v>
      </c>
      <c r="L588" s="5">
        <v>24.0</v>
      </c>
      <c r="M588" s="5">
        <v>6189.416082</v>
      </c>
    </row>
    <row r="589">
      <c r="A589" s="4" t="s">
        <v>868</v>
      </c>
      <c r="B589" s="5" t="s">
        <v>15</v>
      </c>
      <c r="C589" s="5" t="s">
        <v>16</v>
      </c>
      <c r="D589" s="5" t="s">
        <v>641</v>
      </c>
      <c r="E589" s="6" t="s">
        <v>865</v>
      </c>
      <c r="F589" s="5" t="s">
        <v>26</v>
      </c>
      <c r="G589" s="5" t="s">
        <v>52</v>
      </c>
      <c r="H589" s="5">
        <v>57257.0</v>
      </c>
      <c r="I589" s="5">
        <v>167.0</v>
      </c>
      <c r="J589" s="5">
        <v>3797.0</v>
      </c>
      <c r="K589" s="5">
        <v>51520.0</v>
      </c>
      <c r="L589" s="5">
        <v>1.0</v>
      </c>
      <c r="M589" s="5">
        <v>1841.358126</v>
      </c>
    </row>
    <row r="590">
      <c r="A590" s="4" t="s">
        <v>869</v>
      </c>
      <c r="B590" s="5" t="s">
        <v>61</v>
      </c>
      <c r="C590" s="5" t="s">
        <v>42</v>
      </c>
      <c r="D590" s="5" t="s">
        <v>39</v>
      </c>
      <c r="E590" s="6" t="s">
        <v>865</v>
      </c>
      <c r="F590" s="5" t="s">
        <v>36</v>
      </c>
      <c r="G590" s="5" t="s">
        <v>27</v>
      </c>
      <c r="H590" s="5">
        <v>20417.0</v>
      </c>
      <c r="I590" s="5">
        <v>86.0</v>
      </c>
      <c r="J590" s="5">
        <v>1016.0</v>
      </c>
      <c r="K590" s="5">
        <v>13468.0</v>
      </c>
      <c r="L590" s="5">
        <v>5.0</v>
      </c>
      <c r="M590" s="5">
        <v>1805.600513</v>
      </c>
    </row>
    <row r="591">
      <c r="A591" s="4" t="s">
        <v>870</v>
      </c>
      <c r="B591" s="5" t="s">
        <v>15</v>
      </c>
      <c r="C591" s="5" t="s">
        <v>23</v>
      </c>
      <c r="D591" s="5" t="s">
        <v>35</v>
      </c>
      <c r="E591" s="6" t="s">
        <v>865</v>
      </c>
      <c r="F591" s="5" t="s">
        <v>46</v>
      </c>
      <c r="G591" s="5" t="s">
        <v>27</v>
      </c>
      <c r="H591" s="5">
        <v>57917.0</v>
      </c>
      <c r="I591" s="5">
        <v>212.0</v>
      </c>
      <c r="J591" s="5">
        <v>3650.0</v>
      </c>
      <c r="K591" s="5">
        <v>55128.0</v>
      </c>
      <c r="L591" s="5">
        <v>5.0</v>
      </c>
      <c r="M591" s="5">
        <v>1669.728905</v>
      </c>
    </row>
    <row r="592">
      <c r="A592" s="4" t="s">
        <v>871</v>
      </c>
      <c r="B592" s="5" t="s">
        <v>15</v>
      </c>
      <c r="C592" s="5" t="s">
        <v>16</v>
      </c>
      <c r="D592" s="5" t="s">
        <v>29</v>
      </c>
      <c r="E592" s="6" t="s">
        <v>865</v>
      </c>
      <c r="F592" s="5" t="s">
        <v>19</v>
      </c>
      <c r="G592" s="5" t="s">
        <v>27</v>
      </c>
      <c r="H592" s="5">
        <v>141157.0</v>
      </c>
      <c r="I592" s="5">
        <v>420.0</v>
      </c>
      <c r="J592" s="5">
        <v>8280.0</v>
      </c>
      <c r="K592" s="5">
        <v>107935.0</v>
      </c>
      <c r="L592" s="5">
        <v>4.0</v>
      </c>
      <c r="M592" s="5">
        <v>1631.782949</v>
      </c>
    </row>
    <row r="593">
      <c r="A593" s="4" t="s">
        <v>872</v>
      </c>
      <c r="B593" s="5" t="s">
        <v>15</v>
      </c>
      <c r="C593" s="5" t="s">
        <v>31</v>
      </c>
      <c r="D593" s="5" t="s">
        <v>35</v>
      </c>
      <c r="E593" s="6" t="s">
        <v>873</v>
      </c>
      <c r="F593" s="5" t="s">
        <v>48</v>
      </c>
      <c r="G593" s="5" t="s">
        <v>27</v>
      </c>
      <c r="H593" s="5">
        <v>247106.0</v>
      </c>
      <c r="I593" s="5">
        <v>750.0</v>
      </c>
      <c r="J593" s="5">
        <v>159618.0</v>
      </c>
      <c r="K593" s="5">
        <v>233150.0</v>
      </c>
      <c r="L593" s="5">
        <v>32.0</v>
      </c>
      <c r="M593" s="5">
        <v>7629.94427</v>
      </c>
    </row>
    <row r="594">
      <c r="A594" s="4" t="s">
        <v>874</v>
      </c>
      <c r="B594" s="5" t="s">
        <v>15</v>
      </c>
      <c r="C594" s="5" t="s">
        <v>16</v>
      </c>
      <c r="D594" s="5" t="s">
        <v>35</v>
      </c>
      <c r="E594" s="6" t="s">
        <v>873</v>
      </c>
      <c r="F594" s="5" t="s">
        <v>19</v>
      </c>
      <c r="G594" s="5" t="s">
        <v>27</v>
      </c>
      <c r="H594" s="5">
        <v>357707.0</v>
      </c>
      <c r="I594" s="5">
        <v>951.0</v>
      </c>
      <c r="J594" s="5">
        <v>203987.0</v>
      </c>
      <c r="K594" s="5">
        <v>338107.0</v>
      </c>
      <c r="L594" s="5">
        <v>74.0</v>
      </c>
      <c r="M594" s="5">
        <v>6749.202353</v>
      </c>
    </row>
    <row r="595">
      <c r="A595" s="4" t="s">
        <v>875</v>
      </c>
      <c r="B595" s="5" t="s">
        <v>15</v>
      </c>
      <c r="C595" s="5" t="s">
        <v>42</v>
      </c>
      <c r="D595" s="5" t="s">
        <v>35</v>
      </c>
      <c r="E595" s="6" t="s">
        <v>873</v>
      </c>
      <c r="F595" s="5" t="s">
        <v>117</v>
      </c>
      <c r="G595" s="5" t="s">
        <v>20</v>
      </c>
      <c r="H595" s="5">
        <v>48707.0</v>
      </c>
      <c r="I595" s="5">
        <v>185.0</v>
      </c>
      <c r="J595" s="5">
        <v>25182.0</v>
      </c>
      <c r="K595" s="5">
        <v>44696.0</v>
      </c>
      <c r="L595" s="5">
        <v>13.0</v>
      </c>
      <c r="M595" s="5">
        <v>5600.355643</v>
      </c>
    </row>
    <row r="596">
      <c r="A596" s="4" t="s">
        <v>876</v>
      </c>
      <c r="B596" s="5" t="s">
        <v>22</v>
      </c>
      <c r="C596" s="5" t="s">
        <v>16</v>
      </c>
      <c r="D596" s="5" t="s">
        <v>155</v>
      </c>
      <c r="E596" s="6" t="s">
        <v>873</v>
      </c>
      <c r="F596" s="5" t="s">
        <v>36</v>
      </c>
      <c r="G596" s="5" t="s">
        <v>27</v>
      </c>
      <c r="H596" s="5">
        <v>16372.0</v>
      </c>
      <c r="I596" s="5">
        <v>90.0</v>
      </c>
      <c r="J596" s="5">
        <v>4731.0</v>
      </c>
      <c r="K596" s="5">
        <v>15332.0</v>
      </c>
      <c r="L596" s="5">
        <v>9.0</v>
      </c>
      <c r="M596" s="5">
        <v>1704.511123</v>
      </c>
    </row>
    <row r="597">
      <c r="A597" s="4" t="s">
        <v>877</v>
      </c>
      <c r="B597" s="5" t="s">
        <v>15</v>
      </c>
      <c r="C597" s="5" t="s">
        <v>16</v>
      </c>
      <c r="D597" s="5" t="s">
        <v>55</v>
      </c>
      <c r="E597" s="6" t="s">
        <v>873</v>
      </c>
      <c r="F597" s="5" t="s">
        <v>19</v>
      </c>
      <c r="G597" s="5" t="s">
        <v>27</v>
      </c>
      <c r="H597" s="5">
        <v>14799.0</v>
      </c>
      <c r="I597" s="5">
        <v>59.0</v>
      </c>
      <c r="J597" s="5">
        <v>1403.0</v>
      </c>
      <c r="K597" s="5">
        <v>13410.0</v>
      </c>
      <c r="L597" s="5">
        <v>9.0</v>
      </c>
      <c r="M597" s="5">
        <v>1693.760435</v>
      </c>
    </row>
    <row r="598">
      <c r="A598" s="4" t="s">
        <v>878</v>
      </c>
      <c r="B598" s="5" t="s">
        <v>22</v>
      </c>
      <c r="C598" s="5" t="s">
        <v>42</v>
      </c>
      <c r="D598" s="5" t="s">
        <v>45</v>
      </c>
      <c r="E598" s="6" t="s">
        <v>873</v>
      </c>
      <c r="F598" s="5" t="s">
        <v>19</v>
      </c>
      <c r="G598" s="5" t="s">
        <v>27</v>
      </c>
      <c r="H598" s="5">
        <v>97346.0</v>
      </c>
      <c r="I598" s="5">
        <v>790.0</v>
      </c>
      <c r="J598" s="5">
        <v>44118.0</v>
      </c>
      <c r="K598" s="5">
        <v>91080.0</v>
      </c>
      <c r="L598" s="5">
        <v>19.0</v>
      </c>
      <c r="M598" s="5">
        <v>1657.56487</v>
      </c>
    </row>
    <row r="599">
      <c r="A599" s="4" t="s">
        <v>879</v>
      </c>
      <c r="B599" s="5" t="s">
        <v>22</v>
      </c>
      <c r="C599" s="5" t="s">
        <v>23</v>
      </c>
      <c r="D599" s="5" t="s">
        <v>78</v>
      </c>
      <c r="E599" s="6" t="s">
        <v>880</v>
      </c>
      <c r="F599" s="5" t="s">
        <v>50</v>
      </c>
      <c r="G599" s="5" t="s">
        <v>27</v>
      </c>
      <c r="H599" s="5">
        <v>44361.0</v>
      </c>
      <c r="I599" s="5">
        <v>166.0</v>
      </c>
      <c r="J599" s="5">
        <v>36040.0</v>
      </c>
      <c r="K599" s="5">
        <v>40684.0</v>
      </c>
      <c r="L599" s="5">
        <v>17.0</v>
      </c>
      <c r="M599" s="5">
        <v>5048.852553</v>
      </c>
    </row>
    <row r="600">
      <c r="A600" s="4" t="s">
        <v>881</v>
      </c>
      <c r="B600" s="5" t="s">
        <v>15</v>
      </c>
      <c r="C600" s="5" t="s">
        <v>42</v>
      </c>
      <c r="D600" s="5" t="s">
        <v>39</v>
      </c>
      <c r="E600" s="6" t="s">
        <v>880</v>
      </c>
      <c r="F600" s="5" t="s">
        <v>19</v>
      </c>
      <c r="G600" s="5" t="s">
        <v>27</v>
      </c>
      <c r="H600" s="5">
        <v>12280.0</v>
      </c>
      <c r="I600" s="5">
        <v>40.0</v>
      </c>
      <c r="J600" s="5">
        <v>9613.0</v>
      </c>
      <c r="K600" s="5">
        <v>11247.0</v>
      </c>
      <c r="L600" s="5">
        <v>4.0</v>
      </c>
      <c r="M600" s="5">
        <v>1765.39871</v>
      </c>
    </row>
    <row r="601">
      <c r="A601" s="4" t="s">
        <v>882</v>
      </c>
      <c r="B601" s="5" t="s">
        <v>15</v>
      </c>
      <c r="C601" s="5" t="s">
        <v>16</v>
      </c>
      <c r="D601" s="5" t="s">
        <v>17</v>
      </c>
      <c r="E601" s="6" t="s">
        <v>880</v>
      </c>
      <c r="F601" s="5" t="s">
        <v>36</v>
      </c>
      <c r="G601" s="5" t="s">
        <v>52</v>
      </c>
      <c r="H601" s="5">
        <v>22934.0</v>
      </c>
      <c r="I601" s="5">
        <v>81.0</v>
      </c>
      <c r="J601" s="5">
        <v>18536.0</v>
      </c>
      <c r="K601" s="5">
        <v>21019.0</v>
      </c>
      <c r="L601" s="5">
        <v>5.0</v>
      </c>
      <c r="M601" s="5">
        <v>1711.106338</v>
      </c>
    </row>
    <row r="602">
      <c r="A602" s="4" t="s">
        <v>883</v>
      </c>
      <c r="B602" s="5" t="s">
        <v>22</v>
      </c>
      <c r="C602" s="5" t="s">
        <v>42</v>
      </c>
      <c r="D602" s="5" t="s">
        <v>35</v>
      </c>
      <c r="E602" s="6" t="s">
        <v>884</v>
      </c>
      <c r="F602" s="5" t="s">
        <v>19</v>
      </c>
      <c r="G602" s="5" t="s">
        <v>27</v>
      </c>
      <c r="H602" s="5">
        <v>17317.0</v>
      </c>
      <c r="I602" s="5">
        <v>68.0</v>
      </c>
      <c r="J602" s="5">
        <v>8055.0</v>
      </c>
      <c r="K602" s="5">
        <v>12724.0</v>
      </c>
      <c r="L602" s="5">
        <v>12.0</v>
      </c>
      <c r="M602" s="5">
        <v>5668.857079</v>
      </c>
    </row>
    <row r="603">
      <c r="A603" s="4" t="s">
        <v>885</v>
      </c>
      <c r="B603" s="5" t="s">
        <v>15</v>
      </c>
      <c r="C603" s="5" t="s">
        <v>23</v>
      </c>
      <c r="D603" s="5" t="s">
        <v>78</v>
      </c>
      <c r="E603" s="6" t="s">
        <v>886</v>
      </c>
      <c r="F603" s="5" t="s">
        <v>36</v>
      </c>
      <c r="G603" s="5" t="s">
        <v>27</v>
      </c>
      <c r="H603" s="5">
        <v>11343.0</v>
      </c>
      <c r="I603" s="5">
        <v>69.0</v>
      </c>
      <c r="J603" s="5">
        <v>5900.0</v>
      </c>
      <c r="K603" s="5">
        <v>10175.0</v>
      </c>
      <c r="L603" s="5">
        <v>3.0</v>
      </c>
      <c r="M603" s="5">
        <v>2178.153775</v>
      </c>
    </row>
    <row r="604">
      <c r="A604" s="4" t="s">
        <v>887</v>
      </c>
      <c r="B604" s="5" t="s">
        <v>15</v>
      </c>
      <c r="C604" s="5" t="s">
        <v>42</v>
      </c>
      <c r="D604" s="5" t="s">
        <v>356</v>
      </c>
      <c r="E604" s="6" t="s">
        <v>886</v>
      </c>
      <c r="F604" s="5" t="s">
        <v>19</v>
      </c>
      <c r="G604" s="5" t="s">
        <v>20</v>
      </c>
      <c r="H604" s="5">
        <v>11043.0</v>
      </c>
      <c r="I604" s="5">
        <v>125.0</v>
      </c>
      <c r="J604" s="5">
        <v>4547.0</v>
      </c>
      <c r="K604" s="5">
        <v>9666.0</v>
      </c>
      <c r="L604" s="5">
        <v>13.0</v>
      </c>
      <c r="M604" s="5">
        <v>1858.132171</v>
      </c>
    </row>
    <row r="605">
      <c r="A605" s="4" t="s">
        <v>888</v>
      </c>
      <c r="B605" s="5" t="s">
        <v>22</v>
      </c>
      <c r="C605" s="5" t="s">
        <v>31</v>
      </c>
      <c r="D605" s="5" t="s">
        <v>17</v>
      </c>
      <c r="E605" s="6" t="s">
        <v>886</v>
      </c>
      <c r="F605" s="5" t="s">
        <v>48</v>
      </c>
      <c r="G605" s="5" t="s">
        <v>27</v>
      </c>
      <c r="H605" s="5">
        <v>21737.0</v>
      </c>
      <c r="I605" s="5">
        <v>80.0</v>
      </c>
      <c r="J605" s="5">
        <v>11206.0</v>
      </c>
      <c r="K605" s="5">
        <v>19459.0</v>
      </c>
      <c r="L605" s="5">
        <v>4.0</v>
      </c>
      <c r="M605" s="5">
        <v>1521.576648</v>
      </c>
    </row>
    <row r="606">
      <c r="A606" s="4" t="s">
        <v>889</v>
      </c>
      <c r="B606" s="5" t="s">
        <v>15</v>
      </c>
      <c r="C606" s="5" t="s">
        <v>16</v>
      </c>
      <c r="D606" s="5" t="s">
        <v>78</v>
      </c>
      <c r="E606" s="6" t="s">
        <v>890</v>
      </c>
      <c r="F606" s="5" t="s">
        <v>26</v>
      </c>
      <c r="G606" s="5" t="s">
        <v>27</v>
      </c>
      <c r="H606" s="5">
        <v>9362.0</v>
      </c>
      <c r="I606" s="5">
        <v>39.0</v>
      </c>
      <c r="J606" s="5">
        <v>5202.0</v>
      </c>
      <c r="K606" s="5">
        <v>8928.0</v>
      </c>
      <c r="L606" s="5">
        <v>6.0</v>
      </c>
      <c r="M606" s="5">
        <v>7312.492757</v>
      </c>
    </row>
    <row r="607">
      <c r="A607" s="4" t="s">
        <v>891</v>
      </c>
      <c r="B607" s="5" t="s">
        <v>15</v>
      </c>
      <c r="C607" s="5" t="s">
        <v>31</v>
      </c>
      <c r="D607" s="5" t="s">
        <v>183</v>
      </c>
      <c r="E607" s="6" t="s">
        <v>890</v>
      </c>
      <c r="F607" s="5" t="s">
        <v>117</v>
      </c>
      <c r="G607" s="5" t="s">
        <v>52</v>
      </c>
      <c r="H607" s="5">
        <v>16628.0</v>
      </c>
      <c r="I607" s="5">
        <v>70.0</v>
      </c>
      <c r="J607" s="5">
        <v>7974.0</v>
      </c>
      <c r="K607" s="5">
        <v>15969.0</v>
      </c>
      <c r="L607" s="5">
        <v>13.0</v>
      </c>
      <c r="M607" s="5">
        <v>1665.965851</v>
      </c>
    </row>
    <row r="608">
      <c r="A608" s="4" t="s">
        <v>892</v>
      </c>
      <c r="B608" s="5" t="s">
        <v>15</v>
      </c>
      <c r="C608" s="5" t="s">
        <v>31</v>
      </c>
      <c r="D608" s="5" t="s">
        <v>66</v>
      </c>
      <c r="E608" s="6" t="s">
        <v>893</v>
      </c>
      <c r="F608" s="5" t="s">
        <v>19</v>
      </c>
      <c r="G608" s="5" t="s">
        <v>52</v>
      </c>
      <c r="H608" s="5">
        <v>24875.0</v>
      </c>
      <c r="I608" s="5">
        <v>67.0</v>
      </c>
      <c r="J608" s="5">
        <v>14213.0</v>
      </c>
      <c r="K608" s="5">
        <v>23455.0</v>
      </c>
      <c r="L608" s="5">
        <v>8.0</v>
      </c>
      <c r="M608" s="5">
        <v>4652.242051</v>
      </c>
    </row>
    <row r="609">
      <c r="A609" s="4" t="s">
        <v>894</v>
      </c>
      <c r="B609" s="5" t="s">
        <v>22</v>
      </c>
      <c r="C609" s="5" t="s">
        <v>31</v>
      </c>
      <c r="D609" s="5" t="s">
        <v>32</v>
      </c>
      <c r="E609" s="6" t="s">
        <v>893</v>
      </c>
      <c r="F609" s="5" t="s">
        <v>46</v>
      </c>
      <c r="G609" s="5" t="s">
        <v>27</v>
      </c>
      <c r="H609" s="5">
        <v>10707.0</v>
      </c>
      <c r="I609" s="5">
        <v>57.0</v>
      </c>
      <c r="J609" s="5">
        <v>6300.0</v>
      </c>
      <c r="K609" s="5">
        <v>10089.0</v>
      </c>
      <c r="L609" s="5">
        <v>3.0</v>
      </c>
      <c r="M609" s="5">
        <v>1603.859264</v>
      </c>
    </row>
    <row r="610">
      <c r="A610" s="4" t="s">
        <v>895</v>
      </c>
      <c r="B610" s="5" t="s">
        <v>22</v>
      </c>
      <c r="C610" s="5" t="s">
        <v>42</v>
      </c>
      <c r="D610" s="5" t="s">
        <v>39</v>
      </c>
      <c r="E610" s="6" t="s">
        <v>896</v>
      </c>
      <c r="F610" s="5" t="s">
        <v>167</v>
      </c>
      <c r="G610" s="5" t="s">
        <v>27</v>
      </c>
      <c r="H610" s="5">
        <v>10386.0</v>
      </c>
      <c r="I610" s="5">
        <v>65.0</v>
      </c>
      <c r="J610" s="5">
        <v>5876.0</v>
      </c>
      <c r="K610" s="5">
        <v>10048.0</v>
      </c>
      <c r="L610" s="5">
        <v>15.0</v>
      </c>
      <c r="M610" s="5">
        <v>4439.838064</v>
      </c>
    </row>
    <row r="611">
      <c r="A611" s="4" t="s">
        <v>897</v>
      </c>
      <c r="B611" s="5" t="s">
        <v>22</v>
      </c>
      <c r="C611" s="5" t="s">
        <v>31</v>
      </c>
      <c r="D611" s="5" t="s">
        <v>78</v>
      </c>
      <c r="E611" s="6" t="s">
        <v>898</v>
      </c>
      <c r="F611" s="5" t="s">
        <v>26</v>
      </c>
      <c r="G611" s="5" t="s">
        <v>27</v>
      </c>
      <c r="H611" s="5">
        <v>16137.0</v>
      </c>
      <c r="I611" s="5">
        <v>40.0</v>
      </c>
      <c r="J611" s="5">
        <v>7938.0</v>
      </c>
      <c r="K611" s="5">
        <v>14030.0</v>
      </c>
      <c r="L611" s="5">
        <v>4.0</v>
      </c>
      <c r="M611" s="5">
        <v>1835.048738</v>
      </c>
    </row>
    <row r="612">
      <c r="A612" s="4" t="s">
        <v>899</v>
      </c>
      <c r="B612" s="5" t="s">
        <v>61</v>
      </c>
      <c r="C612" s="5" t="s">
        <v>16</v>
      </c>
      <c r="D612" s="5" t="s">
        <v>78</v>
      </c>
      <c r="E612" s="6" t="s">
        <v>900</v>
      </c>
      <c r="F612" s="5" t="s">
        <v>19</v>
      </c>
      <c r="G612" s="5" t="s">
        <v>27</v>
      </c>
      <c r="H612" s="5">
        <v>39373.0</v>
      </c>
      <c r="I612" s="5">
        <v>99.0</v>
      </c>
      <c r="J612" s="5">
        <v>23152.0</v>
      </c>
      <c r="K612" s="5">
        <v>35857.0</v>
      </c>
      <c r="L612" s="5">
        <v>17.0</v>
      </c>
      <c r="M612" s="5">
        <v>6342.885786</v>
      </c>
    </row>
    <row r="613">
      <c r="A613" s="4" t="s">
        <v>901</v>
      </c>
      <c r="B613" s="5" t="s">
        <v>22</v>
      </c>
      <c r="C613" s="5" t="s">
        <v>16</v>
      </c>
      <c r="D613" s="5" t="s">
        <v>35</v>
      </c>
      <c r="E613" s="6" t="s">
        <v>900</v>
      </c>
      <c r="F613" s="5" t="s">
        <v>48</v>
      </c>
      <c r="G613" s="5" t="s">
        <v>27</v>
      </c>
      <c r="H613" s="5">
        <v>47016.0</v>
      </c>
      <c r="I613" s="5">
        <v>199.0</v>
      </c>
      <c r="J613" s="5">
        <v>12210.0</v>
      </c>
      <c r="K613" s="5">
        <v>38039.0</v>
      </c>
      <c r="L613" s="5">
        <v>13.0</v>
      </c>
      <c r="M613" s="5">
        <v>5974.87508</v>
      </c>
    </row>
    <row r="614">
      <c r="A614" s="4" t="s">
        <v>902</v>
      </c>
      <c r="B614" s="5" t="s">
        <v>22</v>
      </c>
      <c r="C614" s="5" t="s">
        <v>31</v>
      </c>
      <c r="D614" s="5" t="s">
        <v>35</v>
      </c>
      <c r="E614" s="6" t="s">
        <v>900</v>
      </c>
      <c r="F614" s="5" t="s">
        <v>19</v>
      </c>
      <c r="G614" s="5" t="s">
        <v>27</v>
      </c>
      <c r="H614" s="5">
        <v>25539.0</v>
      </c>
      <c r="I614" s="5">
        <v>78.0</v>
      </c>
      <c r="J614" s="5">
        <v>12130.0</v>
      </c>
      <c r="K614" s="5">
        <v>24129.0</v>
      </c>
      <c r="L614" s="5">
        <v>15.0</v>
      </c>
      <c r="M614" s="5">
        <v>4804.493233</v>
      </c>
    </row>
    <row r="615">
      <c r="A615" s="4" t="s">
        <v>903</v>
      </c>
      <c r="B615" s="5" t="s">
        <v>15</v>
      </c>
      <c r="C615" s="5" t="s">
        <v>23</v>
      </c>
      <c r="D615" s="5" t="s">
        <v>78</v>
      </c>
      <c r="E615" s="6" t="s">
        <v>900</v>
      </c>
      <c r="F615" s="5" t="s">
        <v>19</v>
      </c>
      <c r="G615" s="5" t="s">
        <v>27</v>
      </c>
      <c r="H615" s="5">
        <v>186404.0</v>
      </c>
      <c r="I615" s="5">
        <v>940.0</v>
      </c>
      <c r="J615" s="5">
        <v>30885.0</v>
      </c>
      <c r="K615" s="5">
        <v>151358.0</v>
      </c>
      <c r="L615" s="5">
        <v>3.0</v>
      </c>
      <c r="M615" s="5">
        <v>4702.027505</v>
      </c>
    </row>
    <row r="616">
      <c r="A616" s="4" t="s">
        <v>904</v>
      </c>
      <c r="B616" s="5" t="s">
        <v>22</v>
      </c>
      <c r="C616" s="5" t="s">
        <v>16</v>
      </c>
      <c r="D616" s="5" t="s">
        <v>433</v>
      </c>
      <c r="E616" s="6" t="s">
        <v>900</v>
      </c>
      <c r="F616" s="5" t="s">
        <v>46</v>
      </c>
      <c r="G616" s="5" t="s">
        <v>27</v>
      </c>
      <c r="H616" s="5">
        <v>19549.0</v>
      </c>
      <c r="I616" s="5">
        <v>84.0</v>
      </c>
      <c r="J616" s="5">
        <v>6187.0</v>
      </c>
      <c r="K616" s="5">
        <v>17166.0</v>
      </c>
      <c r="L616" s="5">
        <v>2.0</v>
      </c>
      <c r="M616" s="5">
        <v>1844.986921</v>
      </c>
    </row>
    <row r="617">
      <c r="A617" s="4" t="s">
        <v>905</v>
      </c>
      <c r="B617" s="5" t="s">
        <v>22</v>
      </c>
      <c r="C617" s="5" t="s">
        <v>42</v>
      </c>
      <c r="D617" s="5" t="s">
        <v>39</v>
      </c>
      <c r="E617" s="6" t="s">
        <v>906</v>
      </c>
      <c r="F617" s="5" t="s">
        <v>46</v>
      </c>
      <c r="G617" s="5" t="s">
        <v>27</v>
      </c>
      <c r="H617" s="5">
        <v>17561.0</v>
      </c>
      <c r="I617" s="5">
        <v>50.0</v>
      </c>
      <c r="J617" s="5">
        <v>2960.0</v>
      </c>
      <c r="K617" s="5">
        <v>9953.0</v>
      </c>
      <c r="L617" s="5">
        <v>10.0</v>
      </c>
      <c r="M617" s="5">
        <v>1519.90401</v>
      </c>
    </row>
    <row r="618">
      <c r="A618" s="4" t="s">
        <v>907</v>
      </c>
      <c r="B618" s="5" t="s">
        <v>61</v>
      </c>
      <c r="C618" s="5" t="s">
        <v>42</v>
      </c>
      <c r="D618" s="5" t="s">
        <v>32</v>
      </c>
      <c r="E618" s="6" t="s">
        <v>908</v>
      </c>
      <c r="F618" s="5" t="s">
        <v>26</v>
      </c>
      <c r="G618" s="5" t="s">
        <v>27</v>
      </c>
      <c r="H618" s="5">
        <v>13608.0</v>
      </c>
      <c r="I618" s="5">
        <v>66.0</v>
      </c>
      <c r="J618" s="5">
        <v>2714.0</v>
      </c>
      <c r="K618" s="5">
        <v>9332.0</v>
      </c>
      <c r="L618" s="5">
        <v>1.0</v>
      </c>
      <c r="M618" s="5">
        <v>1762.663235</v>
      </c>
    </row>
    <row r="619">
      <c r="A619" s="4" t="s">
        <v>909</v>
      </c>
      <c r="B619" s="5" t="s">
        <v>61</v>
      </c>
      <c r="C619" s="5" t="s">
        <v>23</v>
      </c>
      <c r="D619" s="5" t="s">
        <v>35</v>
      </c>
      <c r="E619" s="6" t="s">
        <v>910</v>
      </c>
      <c r="F619" s="5" t="s">
        <v>19</v>
      </c>
      <c r="G619" s="5" t="s">
        <v>27</v>
      </c>
      <c r="H619" s="7">
        <v>446774.0</v>
      </c>
      <c r="I619" s="5">
        <v>951.0</v>
      </c>
      <c r="J619" s="7">
        <v>196581.0</v>
      </c>
      <c r="K619" s="7">
        <v>379758.0</v>
      </c>
      <c r="L619" s="5">
        <v>33.0</v>
      </c>
      <c r="M619" s="5">
        <v>6956.627366</v>
      </c>
    </row>
    <row r="620">
      <c r="A620" s="4" t="s">
        <v>911</v>
      </c>
      <c r="B620" s="5" t="s">
        <v>15</v>
      </c>
      <c r="C620" s="5" t="s">
        <v>16</v>
      </c>
      <c r="D620" s="5" t="s">
        <v>17</v>
      </c>
      <c r="E620" s="6" t="s">
        <v>912</v>
      </c>
      <c r="F620" s="5" t="s">
        <v>117</v>
      </c>
      <c r="G620" s="5" t="s">
        <v>27</v>
      </c>
      <c r="H620" s="5">
        <v>11607.0</v>
      </c>
      <c r="I620" s="5">
        <v>184.0</v>
      </c>
      <c r="J620" s="5">
        <v>5218.0</v>
      </c>
      <c r="K620" s="5">
        <v>10763.0</v>
      </c>
      <c r="L620" s="5">
        <v>12.0</v>
      </c>
      <c r="M620" s="5">
        <v>6909.732318</v>
      </c>
    </row>
    <row r="621">
      <c r="A621" s="4" t="s">
        <v>913</v>
      </c>
      <c r="B621" s="5" t="s">
        <v>61</v>
      </c>
      <c r="C621" s="5" t="s">
        <v>16</v>
      </c>
      <c r="D621" s="5" t="s">
        <v>78</v>
      </c>
      <c r="E621" s="6" t="s">
        <v>912</v>
      </c>
      <c r="F621" s="5" t="s">
        <v>117</v>
      </c>
      <c r="G621" s="5" t="s">
        <v>27</v>
      </c>
      <c r="H621" s="5">
        <v>72117.0</v>
      </c>
      <c r="I621" s="5">
        <v>187.0</v>
      </c>
      <c r="J621" s="5">
        <v>9807.0</v>
      </c>
      <c r="K621" s="5">
        <v>68568.0</v>
      </c>
      <c r="L621" s="5">
        <v>16.0</v>
      </c>
      <c r="M621" s="5">
        <v>1702.317206</v>
      </c>
    </row>
    <row r="622">
      <c r="A622" s="4" t="s">
        <v>914</v>
      </c>
      <c r="B622" s="5" t="s">
        <v>15</v>
      </c>
      <c r="C622" s="5" t="s">
        <v>42</v>
      </c>
      <c r="D622" s="5" t="s">
        <v>126</v>
      </c>
      <c r="E622" s="6" t="s">
        <v>912</v>
      </c>
      <c r="F622" s="5" t="s">
        <v>19</v>
      </c>
      <c r="G622" s="5" t="s">
        <v>52</v>
      </c>
      <c r="H622" s="5">
        <v>38070.0</v>
      </c>
      <c r="I622" s="5">
        <v>146.0</v>
      </c>
      <c r="J622" s="5">
        <v>15253.0</v>
      </c>
      <c r="K622" s="5">
        <v>35453.0</v>
      </c>
      <c r="L622" s="5">
        <v>8.0</v>
      </c>
      <c r="M622" s="5">
        <v>1653.510777</v>
      </c>
    </row>
    <row r="623">
      <c r="A623" s="4" t="s">
        <v>915</v>
      </c>
      <c r="B623" s="5" t="s">
        <v>61</v>
      </c>
      <c r="C623" s="5" t="s">
        <v>16</v>
      </c>
      <c r="D623" s="5" t="s">
        <v>78</v>
      </c>
      <c r="E623" s="6" t="s">
        <v>912</v>
      </c>
      <c r="F623" s="5" t="s">
        <v>46</v>
      </c>
      <c r="G623" s="5" t="s">
        <v>27</v>
      </c>
      <c r="H623" s="5">
        <v>32400.0</v>
      </c>
      <c r="I623" s="5">
        <v>87.0</v>
      </c>
      <c r="J623" s="5">
        <v>5152.0</v>
      </c>
      <c r="K623" s="5">
        <v>30383.0</v>
      </c>
      <c r="L623" s="5">
        <v>9.0</v>
      </c>
      <c r="M623" s="5">
        <v>1522.352623</v>
      </c>
    </row>
    <row r="624">
      <c r="A624" s="4" t="s">
        <v>916</v>
      </c>
      <c r="B624" s="5" t="s">
        <v>22</v>
      </c>
      <c r="C624" s="5" t="s">
        <v>42</v>
      </c>
      <c r="D624" s="5" t="s">
        <v>35</v>
      </c>
      <c r="E624" s="6" t="s">
        <v>917</v>
      </c>
      <c r="F624" s="5" t="s">
        <v>33</v>
      </c>
      <c r="G624" s="5" t="s">
        <v>27</v>
      </c>
      <c r="H624" s="5">
        <v>9867.0</v>
      </c>
      <c r="I624" s="5">
        <v>30.0</v>
      </c>
      <c r="J624" s="5">
        <v>6867.0</v>
      </c>
      <c r="K624" s="5">
        <v>9347.0</v>
      </c>
      <c r="L624" s="5">
        <v>12.0</v>
      </c>
      <c r="M624" s="5">
        <v>6839.569086</v>
      </c>
    </row>
    <row r="625">
      <c r="A625" s="4" t="s">
        <v>918</v>
      </c>
      <c r="B625" s="5" t="s">
        <v>15</v>
      </c>
      <c r="C625" s="5" t="s">
        <v>31</v>
      </c>
      <c r="D625" s="5" t="s">
        <v>17</v>
      </c>
      <c r="E625" s="6" t="s">
        <v>919</v>
      </c>
      <c r="F625" s="5" t="s">
        <v>36</v>
      </c>
      <c r="G625" s="5" t="s">
        <v>27</v>
      </c>
      <c r="H625" s="5">
        <v>1109184.0</v>
      </c>
      <c r="I625" s="5">
        <v>3142.0</v>
      </c>
      <c r="J625" s="5">
        <v>83035.0</v>
      </c>
      <c r="K625" s="5">
        <v>782482.0</v>
      </c>
      <c r="L625" s="5">
        <v>25.0</v>
      </c>
      <c r="M625" s="5">
        <v>7490.860779</v>
      </c>
    </row>
    <row r="626">
      <c r="A626" s="4" t="s">
        <v>920</v>
      </c>
      <c r="B626" s="5" t="s">
        <v>22</v>
      </c>
      <c r="C626" s="5" t="s">
        <v>42</v>
      </c>
      <c r="D626" s="5" t="s">
        <v>29</v>
      </c>
      <c r="E626" s="6" t="s">
        <v>919</v>
      </c>
      <c r="F626" s="5" t="s">
        <v>26</v>
      </c>
      <c r="G626" s="5" t="s">
        <v>27</v>
      </c>
      <c r="H626" s="5">
        <v>686858.0</v>
      </c>
      <c r="I626" s="5">
        <v>2085.0</v>
      </c>
      <c r="J626" s="5">
        <v>81956.0</v>
      </c>
      <c r="K626" s="5">
        <v>624118.0</v>
      </c>
      <c r="L626" s="5">
        <v>19.0</v>
      </c>
      <c r="M626" s="5">
        <v>7467.081487</v>
      </c>
    </row>
    <row r="627">
      <c r="A627" s="4" t="s">
        <v>921</v>
      </c>
      <c r="B627" s="5" t="s">
        <v>61</v>
      </c>
      <c r="C627" s="5" t="s">
        <v>23</v>
      </c>
      <c r="D627" s="5" t="s">
        <v>35</v>
      </c>
      <c r="E627" s="6" t="s">
        <v>919</v>
      </c>
      <c r="F627" s="5" t="s">
        <v>46</v>
      </c>
      <c r="G627" s="5" t="s">
        <v>27</v>
      </c>
      <c r="H627" s="5">
        <v>40929.0</v>
      </c>
      <c r="I627" s="5">
        <v>142.0</v>
      </c>
      <c r="J627" s="5">
        <v>9249.0</v>
      </c>
      <c r="K627" s="5">
        <v>31564.0</v>
      </c>
      <c r="L627" s="5">
        <v>8.0</v>
      </c>
      <c r="M627" s="5">
        <v>6764.520637</v>
      </c>
    </row>
    <row r="628">
      <c r="A628" s="4" t="s">
        <v>922</v>
      </c>
      <c r="B628" s="5" t="s">
        <v>22</v>
      </c>
      <c r="C628" s="5" t="s">
        <v>23</v>
      </c>
      <c r="D628" s="5" t="s">
        <v>39</v>
      </c>
      <c r="E628" s="6" t="s">
        <v>919</v>
      </c>
      <c r="F628" s="5" t="s">
        <v>19</v>
      </c>
      <c r="G628" s="5" t="s">
        <v>27</v>
      </c>
      <c r="H628" s="5">
        <v>39844.0</v>
      </c>
      <c r="I628" s="5">
        <v>99.0</v>
      </c>
      <c r="J628" s="5">
        <v>11077.0</v>
      </c>
      <c r="K628" s="5">
        <v>30190.0</v>
      </c>
      <c r="L628" s="5">
        <v>9.0</v>
      </c>
      <c r="M628" s="5">
        <v>6367.869929</v>
      </c>
    </row>
    <row r="629">
      <c r="A629" s="4" t="s">
        <v>923</v>
      </c>
      <c r="B629" s="5" t="s">
        <v>22</v>
      </c>
      <c r="C629" s="5" t="s">
        <v>16</v>
      </c>
      <c r="D629" s="5" t="s">
        <v>66</v>
      </c>
      <c r="E629" s="6" t="s">
        <v>919</v>
      </c>
      <c r="F629" s="5" t="s">
        <v>19</v>
      </c>
      <c r="G629" s="5" t="s">
        <v>27</v>
      </c>
      <c r="H629" s="5">
        <v>210700.0</v>
      </c>
      <c r="I629" s="5">
        <v>704.0</v>
      </c>
      <c r="J629" s="5">
        <v>94625.0</v>
      </c>
      <c r="K629" s="5">
        <v>180681.0</v>
      </c>
      <c r="L629" s="5">
        <v>3.0</v>
      </c>
      <c r="M629" s="5">
        <v>6341.879301</v>
      </c>
    </row>
    <row r="630">
      <c r="A630" s="4" t="s">
        <v>924</v>
      </c>
      <c r="B630" s="5" t="s">
        <v>22</v>
      </c>
      <c r="C630" s="5" t="s">
        <v>23</v>
      </c>
      <c r="D630" s="5" t="s">
        <v>142</v>
      </c>
      <c r="E630" s="6" t="s">
        <v>919</v>
      </c>
      <c r="F630" s="5" t="s">
        <v>26</v>
      </c>
      <c r="G630" s="5" t="s">
        <v>27</v>
      </c>
      <c r="H630" s="5">
        <v>42884.0</v>
      </c>
      <c r="I630" s="5">
        <v>104.0</v>
      </c>
      <c r="J630" s="5">
        <v>4345.0</v>
      </c>
      <c r="K630" s="5">
        <v>25153.0</v>
      </c>
      <c r="L630" s="5">
        <v>9.0</v>
      </c>
      <c r="M630" s="5">
        <v>6322.152655</v>
      </c>
    </row>
    <row r="631">
      <c r="A631" s="4" t="s">
        <v>925</v>
      </c>
      <c r="B631" s="5" t="s">
        <v>15</v>
      </c>
      <c r="C631" s="5" t="s">
        <v>23</v>
      </c>
      <c r="D631" s="5" t="s">
        <v>78</v>
      </c>
      <c r="E631" s="6" t="s">
        <v>919</v>
      </c>
      <c r="F631" s="5" t="s">
        <v>136</v>
      </c>
      <c r="G631" s="5" t="s">
        <v>52</v>
      </c>
      <c r="H631" s="5">
        <v>96779.0</v>
      </c>
      <c r="I631" s="5">
        <v>299.0</v>
      </c>
      <c r="J631" s="5">
        <v>9831.0</v>
      </c>
      <c r="K631" s="5">
        <v>63640.0</v>
      </c>
      <c r="L631" s="5">
        <v>12.0</v>
      </c>
      <c r="M631" s="5">
        <v>6317.510754</v>
      </c>
    </row>
    <row r="632">
      <c r="A632" s="4" t="s">
        <v>926</v>
      </c>
      <c r="B632" s="5" t="s">
        <v>15</v>
      </c>
      <c r="C632" s="5" t="s">
        <v>23</v>
      </c>
      <c r="D632" s="5" t="s">
        <v>35</v>
      </c>
      <c r="E632" s="6" t="s">
        <v>919</v>
      </c>
      <c r="F632" s="5" t="s">
        <v>19</v>
      </c>
      <c r="G632" s="5" t="s">
        <v>27</v>
      </c>
      <c r="H632" s="5">
        <v>182114.0</v>
      </c>
      <c r="I632" s="5">
        <v>500.0</v>
      </c>
      <c r="J632" s="5">
        <v>14477.0</v>
      </c>
      <c r="K632" s="5">
        <v>139167.0</v>
      </c>
      <c r="L632" s="5">
        <v>29.0</v>
      </c>
      <c r="M632" s="5">
        <v>6307.900751</v>
      </c>
    </row>
    <row r="633">
      <c r="A633" s="4" t="s">
        <v>927</v>
      </c>
      <c r="B633" s="5" t="s">
        <v>61</v>
      </c>
      <c r="C633" s="5" t="s">
        <v>16</v>
      </c>
      <c r="D633" s="5" t="s">
        <v>35</v>
      </c>
      <c r="E633" s="6" t="s">
        <v>919</v>
      </c>
      <c r="F633" s="5" t="s">
        <v>19</v>
      </c>
      <c r="G633" s="5" t="s">
        <v>27</v>
      </c>
      <c r="H633" s="5">
        <v>207823.0</v>
      </c>
      <c r="I633" s="5">
        <v>600.0</v>
      </c>
      <c r="J633" s="5">
        <v>33602.0</v>
      </c>
      <c r="K633" s="5">
        <v>167814.0</v>
      </c>
      <c r="L633" s="5">
        <v>13.0</v>
      </c>
      <c r="M633" s="5">
        <v>6048.955611</v>
      </c>
    </row>
    <row r="634">
      <c r="A634" s="4" t="s">
        <v>928</v>
      </c>
      <c r="B634" s="5" t="s">
        <v>61</v>
      </c>
      <c r="C634" s="5" t="s">
        <v>16</v>
      </c>
      <c r="D634" s="5" t="s">
        <v>29</v>
      </c>
      <c r="E634" s="6" t="s">
        <v>919</v>
      </c>
      <c r="F634" s="5" t="s">
        <v>19</v>
      </c>
      <c r="G634" s="5" t="s">
        <v>27</v>
      </c>
      <c r="H634" s="5">
        <v>257862.0</v>
      </c>
      <c r="I634" s="5">
        <v>700.0</v>
      </c>
      <c r="J634" s="5">
        <v>105048.0</v>
      </c>
      <c r="K634" s="5">
        <v>238629.0</v>
      </c>
      <c r="L634" s="5">
        <v>21.0</v>
      </c>
      <c r="M634" s="5">
        <v>5899.429483</v>
      </c>
    </row>
    <row r="635">
      <c r="A635" s="4" t="s">
        <v>929</v>
      </c>
      <c r="B635" s="5" t="s">
        <v>15</v>
      </c>
      <c r="C635" s="5" t="s">
        <v>42</v>
      </c>
      <c r="D635" s="5" t="s">
        <v>35</v>
      </c>
      <c r="E635" s="6" t="s">
        <v>919</v>
      </c>
      <c r="F635" s="5" t="s">
        <v>26</v>
      </c>
      <c r="G635" s="5" t="s">
        <v>52</v>
      </c>
      <c r="H635" s="5">
        <v>26439.0</v>
      </c>
      <c r="I635" s="5">
        <v>95.0</v>
      </c>
      <c r="J635" s="5">
        <v>7093.0</v>
      </c>
      <c r="K635" s="5">
        <v>19681.0</v>
      </c>
      <c r="L635" s="5">
        <v>7.0</v>
      </c>
      <c r="M635" s="5">
        <v>5330.781969</v>
      </c>
    </row>
    <row r="636">
      <c r="A636" s="4" t="s">
        <v>930</v>
      </c>
      <c r="B636" s="5" t="s">
        <v>22</v>
      </c>
      <c r="C636" s="5" t="s">
        <v>42</v>
      </c>
      <c r="D636" s="5" t="s">
        <v>204</v>
      </c>
      <c r="E636" s="6" t="s">
        <v>919</v>
      </c>
      <c r="F636" s="5" t="s">
        <v>19</v>
      </c>
      <c r="G636" s="5" t="s">
        <v>27</v>
      </c>
      <c r="H636" s="5">
        <v>96508.0</v>
      </c>
      <c r="I636" s="5">
        <v>351.0</v>
      </c>
      <c r="J636" s="5">
        <v>47065.0</v>
      </c>
      <c r="K636" s="5">
        <v>73640.0</v>
      </c>
      <c r="L636" s="5">
        <v>15.0</v>
      </c>
      <c r="M636" s="5">
        <v>5310.769572</v>
      </c>
    </row>
    <row r="637">
      <c r="A637" s="4" t="s">
        <v>931</v>
      </c>
      <c r="B637" s="5" t="s">
        <v>15</v>
      </c>
      <c r="C637" s="5" t="s">
        <v>16</v>
      </c>
      <c r="D637" s="5" t="s">
        <v>78</v>
      </c>
      <c r="E637" s="6" t="s">
        <v>919</v>
      </c>
      <c r="F637" s="5" t="s">
        <v>19</v>
      </c>
      <c r="G637" s="5" t="s">
        <v>27</v>
      </c>
      <c r="H637" s="5">
        <v>198163.0</v>
      </c>
      <c r="I637" s="5">
        <v>469.0</v>
      </c>
      <c r="J637" s="5">
        <v>76695.0</v>
      </c>
      <c r="K637" s="5">
        <v>183585.0</v>
      </c>
      <c r="L637" s="5">
        <v>31.0</v>
      </c>
      <c r="M637" s="5">
        <v>5204.313768</v>
      </c>
    </row>
    <row r="638">
      <c r="A638" s="4" t="s">
        <v>932</v>
      </c>
      <c r="B638" s="5" t="s">
        <v>22</v>
      </c>
      <c r="C638" s="5" t="s">
        <v>31</v>
      </c>
      <c r="D638" s="5" t="s">
        <v>214</v>
      </c>
      <c r="E638" s="6" t="s">
        <v>919</v>
      </c>
      <c r="F638" s="5" t="s">
        <v>19</v>
      </c>
      <c r="G638" s="5" t="s">
        <v>27</v>
      </c>
      <c r="H638" s="5">
        <v>156427.0</v>
      </c>
      <c r="I638" s="5">
        <v>512.0</v>
      </c>
      <c r="J638" s="5">
        <v>61821.0</v>
      </c>
      <c r="K638" s="5">
        <v>145505.0</v>
      </c>
      <c r="L638" s="5">
        <v>3.0</v>
      </c>
      <c r="M638" s="5">
        <v>5159.747494</v>
      </c>
    </row>
    <row r="639">
      <c r="A639" s="4" t="s">
        <v>933</v>
      </c>
      <c r="B639" s="5" t="s">
        <v>15</v>
      </c>
      <c r="C639" s="5" t="s">
        <v>42</v>
      </c>
      <c r="D639" s="5" t="s">
        <v>39</v>
      </c>
      <c r="E639" s="6" t="s">
        <v>919</v>
      </c>
      <c r="F639" s="5" t="s">
        <v>36</v>
      </c>
      <c r="G639" s="5" t="s">
        <v>27</v>
      </c>
      <c r="H639" s="5">
        <v>61574.0</v>
      </c>
      <c r="I639" s="5">
        <v>280.0</v>
      </c>
      <c r="J639" s="5">
        <v>18717.0</v>
      </c>
      <c r="K639" s="5">
        <v>46367.0</v>
      </c>
      <c r="L639" s="5">
        <v>8.0</v>
      </c>
      <c r="M639" s="5">
        <v>4999.665205</v>
      </c>
    </row>
    <row r="640">
      <c r="A640" s="4" t="s">
        <v>934</v>
      </c>
      <c r="B640" s="5" t="s">
        <v>15</v>
      </c>
      <c r="C640" s="5" t="s">
        <v>31</v>
      </c>
      <c r="D640" s="5" t="s">
        <v>29</v>
      </c>
      <c r="E640" s="6" t="s">
        <v>919</v>
      </c>
      <c r="F640" s="5" t="s">
        <v>19</v>
      </c>
      <c r="G640" s="5" t="s">
        <v>20</v>
      </c>
      <c r="H640" s="5">
        <v>29856.0</v>
      </c>
      <c r="I640" s="5">
        <v>111.0</v>
      </c>
      <c r="J640" s="5">
        <v>7664.0</v>
      </c>
      <c r="K640" s="5">
        <v>21698.0</v>
      </c>
      <c r="L640" s="5">
        <v>9.0</v>
      </c>
      <c r="M640" s="5">
        <v>4851.394446</v>
      </c>
    </row>
    <row r="641">
      <c r="A641" s="4" t="s">
        <v>935</v>
      </c>
      <c r="B641" s="5" t="s">
        <v>15</v>
      </c>
      <c r="C641" s="5" t="s">
        <v>31</v>
      </c>
      <c r="D641" s="5" t="s">
        <v>35</v>
      </c>
      <c r="E641" s="6" t="s">
        <v>919</v>
      </c>
      <c r="F641" s="5" t="s">
        <v>19</v>
      </c>
      <c r="G641" s="5" t="s">
        <v>27</v>
      </c>
      <c r="H641" s="5">
        <v>100991.0</v>
      </c>
      <c r="I641" s="5">
        <v>286.0</v>
      </c>
      <c r="J641" s="5">
        <v>56138.0</v>
      </c>
      <c r="K641" s="5">
        <v>88836.0</v>
      </c>
      <c r="L641" s="5">
        <v>9.0</v>
      </c>
      <c r="M641" s="5">
        <v>4652.367629</v>
      </c>
    </row>
    <row r="642">
      <c r="A642" s="4" t="s">
        <v>936</v>
      </c>
      <c r="B642" s="5" t="s">
        <v>22</v>
      </c>
      <c r="C642" s="5" t="s">
        <v>16</v>
      </c>
      <c r="D642" s="5" t="s">
        <v>35</v>
      </c>
      <c r="E642" s="6" t="s">
        <v>919</v>
      </c>
      <c r="F642" s="5" t="s">
        <v>19</v>
      </c>
      <c r="G642" s="5" t="s">
        <v>27</v>
      </c>
      <c r="H642" s="5">
        <v>43327.0</v>
      </c>
      <c r="I642" s="5">
        <v>140.0</v>
      </c>
      <c r="J642" s="5">
        <v>4689.0</v>
      </c>
      <c r="K642" s="5">
        <v>31363.0</v>
      </c>
      <c r="L642" s="5">
        <v>14.0</v>
      </c>
      <c r="M642" s="5">
        <v>4554.876884</v>
      </c>
    </row>
    <row r="643">
      <c r="A643" s="4" t="s">
        <v>937</v>
      </c>
      <c r="B643" s="5" t="s">
        <v>22</v>
      </c>
      <c r="C643" s="5" t="s">
        <v>16</v>
      </c>
      <c r="D643" s="5" t="s">
        <v>29</v>
      </c>
      <c r="E643" s="6" t="s">
        <v>919</v>
      </c>
      <c r="F643" s="5" t="s">
        <v>19</v>
      </c>
      <c r="G643" s="5" t="s">
        <v>27</v>
      </c>
      <c r="H643" s="5">
        <v>212009.0</v>
      </c>
      <c r="I643" s="5">
        <v>555.0</v>
      </c>
      <c r="J643" s="5">
        <v>16903.0</v>
      </c>
      <c r="K643" s="5">
        <v>149653.0</v>
      </c>
      <c r="L643" s="5">
        <v>15.0</v>
      </c>
      <c r="M643" s="5">
        <v>3983.621797</v>
      </c>
    </row>
    <row r="644">
      <c r="A644" s="4" t="s">
        <v>938</v>
      </c>
      <c r="B644" s="5" t="s">
        <v>15</v>
      </c>
      <c r="C644" s="5" t="s">
        <v>16</v>
      </c>
      <c r="D644" s="5" t="s">
        <v>66</v>
      </c>
      <c r="E644" s="6" t="s">
        <v>919</v>
      </c>
      <c r="F644" s="5" t="s">
        <v>19</v>
      </c>
      <c r="G644" s="5" t="s">
        <v>20</v>
      </c>
      <c r="H644" s="5">
        <v>45668.0</v>
      </c>
      <c r="I644" s="5">
        <v>130.0</v>
      </c>
      <c r="J644" s="5">
        <v>16872.0</v>
      </c>
      <c r="K644" s="5">
        <v>32085.0</v>
      </c>
      <c r="L644" s="5">
        <v>9.0</v>
      </c>
      <c r="M644" s="5">
        <v>3444.202946</v>
      </c>
    </row>
    <row r="645">
      <c r="A645" s="4" t="s">
        <v>939</v>
      </c>
      <c r="B645" s="5" t="s">
        <v>22</v>
      </c>
      <c r="C645" s="5" t="s">
        <v>42</v>
      </c>
      <c r="D645" s="5" t="s">
        <v>78</v>
      </c>
      <c r="E645" s="6" t="s">
        <v>919</v>
      </c>
      <c r="F645" s="5" t="s">
        <v>19</v>
      </c>
      <c r="G645" s="5" t="s">
        <v>27</v>
      </c>
      <c r="H645" s="5">
        <v>654902.0</v>
      </c>
      <c r="I645" s="5">
        <v>1874.0</v>
      </c>
      <c r="J645" s="5">
        <v>40733.0</v>
      </c>
      <c r="K645" s="5">
        <v>477114.0</v>
      </c>
      <c r="L645" s="5">
        <v>14.0</v>
      </c>
      <c r="M645" s="5">
        <v>3178.610315</v>
      </c>
    </row>
    <row r="646">
      <c r="A646" s="4" t="s">
        <v>940</v>
      </c>
      <c r="B646" s="5" t="s">
        <v>22</v>
      </c>
      <c r="C646" s="5" t="s">
        <v>23</v>
      </c>
      <c r="D646" s="5" t="s">
        <v>150</v>
      </c>
      <c r="E646" s="6" t="s">
        <v>919</v>
      </c>
      <c r="F646" s="5" t="s">
        <v>26</v>
      </c>
      <c r="G646" s="5" t="s">
        <v>27</v>
      </c>
      <c r="H646" s="5">
        <v>239164.0</v>
      </c>
      <c r="I646" s="5">
        <v>699.0</v>
      </c>
      <c r="J646" s="5">
        <v>86250.0</v>
      </c>
      <c r="K646" s="5">
        <v>198209.0</v>
      </c>
      <c r="L646" s="5">
        <v>41.0</v>
      </c>
      <c r="M646" s="5">
        <v>2819.935266</v>
      </c>
    </row>
    <row r="647">
      <c r="A647" s="4" t="s">
        <v>941</v>
      </c>
      <c r="B647" s="5" t="s">
        <v>15</v>
      </c>
      <c r="C647" s="5" t="s">
        <v>16</v>
      </c>
      <c r="D647" s="5" t="s">
        <v>35</v>
      </c>
      <c r="E647" s="6" t="s">
        <v>919</v>
      </c>
      <c r="F647" s="5" t="s">
        <v>36</v>
      </c>
      <c r="G647" s="5" t="s">
        <v>27</v>
      </c>
      <c r="H647" s="5">
        <v>564387.0</v>
      </c>
      <c r="I647" s="5">
        <v>1984.0</v>
      </c>
      <c r="J647" s="5">
        <v>78234.0</v>
      </c>
      <c r="K647" s="5">
        <v>438695.0</v>
      </c>
      <c r="L647" s="5">
        <v>6.0</v>
      </c>
      <c r="M647" s="5">
        <v>2712.379678</v>
      </c>
    </row>
    <row r="648">
      <c r="A648" s="4" t="s">
        <v>942</v>
      </c>
      <c r="B648" s="5" t="s">
        <v>22</v>
      </c>
      <c r="C648" s="5" t="s">
        <v>42</v>
      </c>
      <c r="D648" s="5" t="s">
        <v>78</v>
      </c>
      <c r="E648" s="6" t="s">
        <v>919</v>
      </c>
      <c r="F648" s="5" t="s">
        <v>19</v>
      </c>
      <c r="G648" s="5" t="s">
        <v>27</v>
      </c>
      <c r="H648" s="5">
        <v>12512.0</v>
      </c>
      <c r="I648" s="5">
        <v>69.0</v>
      </c>
      <c r="J648" s="5">
        <v>6240.0</v>
      </c>
      <c r="K648" s="5">
        <v>9672.0</v>
      </c>
      <c r="L648" s="5">
        <v>1.0</v>
      </c>
      <c r="M648" s="5">
        <v>2298.888965</v>
      </c>
    </row>
    <row r="649">
      <c r="A649" s="4" t="s">
        <v>943</v>
      </c>
      <c r="B649" s="5" t="s">
        <v>22</v>
      </c>
      <c r="C649" s="5" t="s">
        <v>16</v>
      </c>
      <c r="D649" s="5" t="s">
        <v>17</v>
      </c>
      <c r="E649" s="6" t="s">
        <v>919</v>
      </c>
      <c r="F649" s="5" t="s">
        <v>19</v>
      </c>
      <c r="G649" s="5" t="s">
        <v>27</v>
      </c>
      <c r="H649" s="5">
        <v>68008.0</v>
      </c>
      <c r="I649" s="5">
        <v>204.0</v>
      </c>
      <c r="J649" s="5">
        <v>2996.0</v>
      </c>
      <c r="K649" s="5">
        <v>49686.0</v>
      </c>
      <c r="L649" s="5">
        <v>9.0</v>
      </c>
      <c r="M649" s="5">
        <v>1923.808141</v>
      </c>
    </row>
    <row r="650">
      <c r="A650" s="4" t="s">
        <v>944</v>
      </c>
      <c r="B650" s="5" t="s">
        <v>22</v>
      </c>
      <c r="C650" s="5" t="s">
        <v>23</v>
      </c>
      <c r="D650" s="5" t="s">
        <v>78</v>
      </c>
      <c r="E650" s="6" t="s">
        <v>919</v>
      </c>
      <c r="F650" s="5" t="s">
        <v>26</v>
      </c>
      <c r="G650" s="5" t="s">
        <v>27</v>
      </c>
      <c r="H650" s="5">
        <v>61848.0</v>
      </c>
      <c r="I650" s="5">
        <v>213.0</v>
      </c>
      <c r="J650" s="5">
        <v>6581.0</v>
      </c>
      <c r="K650" s="5">
        <v>44917.0</v>
      </c>
      <c r="L650" s="5">
        <v>15.0</v>
      </c>
      <c r="M650" s="5">
        <v>1819.893602</v>
      </c>
    </row>
    <row r="651">
      <c r="A651" s="4" t="s">
        <v>945</v>
      </c>
      <c r="B651" s="5" t="s">
        <v>15</v>
      </c>
      <c r="C651" s="5" t="s">
        <v>31</v>
      </c>
      <c r="D651" s="5" t="s">
        <v>78</v>
      </c>
      <c r="E651" s="6" t="s">
        <v>919</v>
      </c>
      <c r="F651" s="5" t="s">
        <v>36</v>
      </c>
      <c r="G651" s="5" t="s">
        <v>27</v>
      </c>
      <c r="H651" s="5">
        <v>232635.0</v>
      </c>
      <c r="I651" s="5">
        <v>666.0</v>
      </c>
      <c r="J651" s="5">
        <v>34008.0</v>
      </c>
      <c r="K651" s="5">
        <v>195803.0</v>
      </c>
      <c r="L651" s="5">
        <v>39.0</v>
      </c>
      <c r="M651" s="5">
        <v>1773.991882</v>
      </c>
    </row>
    <row r="652">
      <c r="A652" s="4" t="s">
        <v>946</v>
      </c>
      <c r="B652" s="5" t="s">
        <v>15</v>
      </c>
      <c r="C652" s="5" t="s">
        <v>16</v>
      </c>
      <c r="D652" s="5" t="s">
        <v>35</v>
      </c>
      <c r="E652" s="6" t="s">
        <v>919</v>
      </c>
      <c r="F652" s="5" t="s">
        <v>26</v>
      </c>
      <c r="G652" s="5" t="s">
        <v>27</v>
      </c>
      <c r="H652" s="5">
        <v>180353.0</v>
      </c>
      <c r="I652" s="5">
        <v>471.0</v>
      </c>
      <c r="J652" s="5">
        <v>67637.0</v>
      </c>
      <c r="K652" s="5">
        <v>145416.0</v>
      </c>
      <c r="L652" s="5">
        <v>8.0</v>
      </c>
      <c r="M652" s="5">
        <v>1720.881985</v>
      </c>
    </row>
    <row r="653">
      <c r="A653" s="4" t="s">
        <v>947</v>
      </c>
      <c r="B653" s="5" t="s">
        <v>22</v>
      </c>
      <c r="C653" s="5" t="s">
        <v>16</v>
      </c>
      <c r="D653" s="5" t="s">
        <v>78</v>
      </c>
      <c r="E653" s="6" t="s">
        <v>919</v>
      </c>
      <c r="F653" s="5" t="s">
        <v>19</v>
      </c>
      <c r="G653" s="5" t="s">
        <v>27</v>
      </c>
      <c r="H653" s="5">
        <v>78433.0</v>
      </c>
      <c r="I653" s="5">
        <v>204.0</v>
      </c>
      <c r="J653" s="5">
        <v>24067.0</v>
      </c>
      <c r="K653" s="5">
        <v>58308.0</v>
      </c>
      <c r="L653" s="5">
        <v>16.0</v>
      </c>
      <c r="M653" s="5">
        <v>1612.549327</v>
      </c>
    </row>
    <row r="654">
      <c r="A654" s="4" t="s">
        <v>948</v>
      </c>
      <c r="B654" s="5" t="s">
        <v>22</v>
      </c>
      <c r="C654" s="5" t="s">
        <v>23</v>
      </c>
      <c r="D654" s="5" t="s">
        <v>35</v>
      </c>
      <c r="E654" s="6" t="s">
        <v>919</v>
      </c>
      <c r="F654" s="5" t="s">
        <v>117</v>
      </c>
      <c r="G654" s="5" t="s">
        <v>27</v>
      </c>
      <c r="H654" s="5">
        <v>194833.0</v>
      </c>
      <c r="I654" s="5">
        <v>499.0</v>
      </c>
      <c r="J654" s="5">
        <v>29091.0</v>
      </c>
      <c r="K654" s="5">
        <v>143813.0</v>
      </c>
      <c r="L654" s="5">
        <v>4.0</v>
      </c>
      <c r="M654" s="5">
        <v>1586.314519</v>
      </c>
    </row>
    <row r="655">
      <c r="A655" s="4" t="s">
        <v>949</v>
      </c>
      <c r="B655" s="5" t="s">
        <v>15</v>
      </c>
      <c r="C655" s="5" t="s">
        <v>31</v>
      </c>
      <c r="D655" s="5" t="s">
        <v>142</v>
      </c>
      <c r="E655" s="6" t="s">
        <v>919</v>
      </c>
      <c r="F655" s="5" t="s">
        <v>117</v>
      </c>
      <c r="G655" s="5" t="s">
        <v>27</v>
      </c>
      <c r="H655" s="5">
        <v>197192.0</v>
      </c>
      <c r="I655" s="5">
        <v>519.0</v>
      </c>
      <c r="J655" s="5">
        <v>80623.0</v>
      </c>
      <c r="K655" s="5">
        <v>181763.0</v>
      </c>
      <c r="L655" s="5">
        <v>5.0</v>
      </c>
      <c r="M655" s="5">
        <v>1584.731757</v>
      </c>
    </row>
    <row r="656">
      <c r="A656" s="4" t="s">
        <v>950</v>
      </c>
      <c r="B656" s="5" t="s">
        <v>15</v>
      </c>
      <c r="C656" s="5" t="s">
        <v>42</v>
      </c>
      <c r="D656" s="5" t="s">
        <v>55</v>
      </c>
      <c r="E656" s="6" t="s">
        <v>919</v>
      </c>
      <c r="F656" s="5" t="s">
        <v>26</v>
      </c>
      <c r="G656" s="5" t="s">
        <v>27</v>
      </c>
      <c r="H656" s="5">
        <v>40519.0</v>
      </c>
      <c r="I656" s="5">
        <v>111.0</v>
      </c>
      <c r="J656" s="5">
        <v>6105.0</v>
      </c>
      <c r="K656" s="5">
        <v>26283.0</v>
      </c>
      <c r="L656" s="5">
        <v>10.0</v>
      </c>
      <c r="M656" s="5">
        <v>1582.410977</v>
      </c>
    </row>
    <row r="657">
      <c r="A657" s="4" t="s">
        <v>951</v>
      </c>
      <c r="B657" s="5" t="s">
        <v>22</v>
      </c>
      <c r="C657" s="5" t="s">
        <v>23</v>
      </c>
      <c r="D657" s="5" t="s">
        <v>173</v>
      </c>
      <c r="E657" s="6" t="s">
        <v>919</v>
      </c>
      <c r="F657" s="5" t="s">
        <v>19</v>
      </c>
      <c r="G657" s="5" t="s">
        <v>27</v>
      </c>
      <c r="H657" s="5">
        <v>254780.0</v>
      </c>
      <c r="I657" s="5">
        <v>699.0</v>
      </c>
      <c r="J657" s="5">
        <v>19169.0</v>
      </c>
      <c r="K657" s="5">
        <v>182583.0</v>
      </c>
      <c r="L657" s="5">
        <v>4.0</v>
      </c>
      <c r="M657" s="5">
        <v>1561.021915</v>
      </c>
    </row>
    <row r="658">
      <c r="A658" s="4" t="s">
        <v>952</v>
      </c>
      <c r="B658" s="5" t="s">
        <v>22</v>
      </c>
      <c r="C658" s="5" t="s">
        <v>31</v>
      </c>
      <c r="D658" s="5" t="s">
        <v>953</v>
      </c>
      <c r="E658" s="6" t="s">
        <v>919</v>
      </c>
      <c r="F658" s="5" t="s">
        <v>19</v>
      </c>
      <c r="G658" s="5" t="s">
        <v>27</v>
      </c>
      <c r="H658" s="5">
        <v>36543.0</v>
      </c>
      <c r="I658" s="5">
        <v>147.0</v>
      </c>
      <c r="J658" s="5">
        <v>18046.0</v>
      </c>
      <c r="K658" s="5">
        <v>27358.0</v>
      </c>
      <c r="L658" s="5">
        <v>6.0</v>
      </c>
      <c r="M658" s="5">
        <v>1513.088728</v>
      </c>
    </row>
    <row r="659">
      <c r="A659" s="4" t="s">
        <v>954</v>
      </c>
      <c r="B659" s="5" t="s">
        <v>22</v>
      </c>
      <c r="C659" s="5" t="s">
        <v>23</v>
      </c>
      <c r="D659" s="5" t="s">
        <v>29</v>
      </c>
      <c r="E659" s="6" t="s">
        <v>919</v>
      </c>
      <c r="F659" s="5" t="s">
        <v>19</v>
      </c>
      <c r="G659" s="5" t="s">
        <v>27</v>
      </c>
      <c r="H659" s="5">
        <v>292885.0</v>
      </c>
      <c r="I659" s="5">
        <v>796.0</v>
      </c>
      <c r="J659" s="5">
        <v>12733.0</v>
      </c>
      <c r="K659" s="5">
        <v>203986.0</v>
      </c>
      <c r="L659" s="5">
        <v>4.0</v>
      </c>
      <c r="M659" s="5">
        <v>1503.913054</v>
      </c>
    </row>
    <row r="660">
      <c r="A660" s="4" t="s">
        <v>955</v>
      </c>
      <c r="B660" s="5" t="s">
        <v>15</v>
      </c>
      <c r="C660" s="5" t="s">
        <v>16</v>
      </c>
      <c r="D660" s="5" t="s">
        <v>55</v>
      </c>
      <c r="E660" s="6" t="s">
        <v>919</v>
      </c>
      <c r="F660" s="5" t="s">
        <v>136</v>
      </c>
      <c r="G660" s="5" t="s">
        <v>27</v>
      </c>
      <c r="H660" s="5">
        <v>253577.0</v>
      </c>
      <c r="I660" s="5">
        <v>890.0</v>
      </c>
      <c r="J660" s="5">
        <v>66972.0</v>
      </c>
      <c r="K660" s="5">
        <v>191183.0</v>
      </c>
      <c r="L660" s="5">
        <v>44.0</v>
      </c>
      <c r="M660" s="5">
        <v>1493.074494</v>
      </c>
    </row>
    <row r="661">
      <c r="A661" s="4" t="s">
        <v>956</v>
      </c>
      <c r="B661" s="5" t="s">
        <v>15</v>
      </c>
      <c r="C661" s="5" t="s">
        <v>16</v>
      </c>
      <c r="D661" s="5" t="s">
        <v>35</v>
      </c>
      <c r="E661" s="6" t="s">
        <v>919</v>
      </c>
      <c r="F661" s="5" t="s">
        <v>184</v>
      </c>
      <c r="G661" s="5" t="s">
        <v>27</v>
      </c>
      <c r="H661" s="5">
        <v>12280.0</v>
      </c>
      <c r="I661" s="5">
        <v>90.0</v>
      </c>
      <c r="J661" s="5">
        <v>7633.0</v>
      </c>
      <c r="K661" s="5">
        <v>11053.0</v>
      </c>
      <c r="L661" s="5">
        <v>5.0</v>
      </c>
      <c r="M661" s="5">
        <v>1452.207361</v>
      </c>
    </row>
    <row r="662">
      <c r="A662" s="4" t="s">
        <v>957</v>
      </c>
      <c r="B662" s="5" t="s">
        <v>15</v>
      </c>
      <c r="C662" s="5" t="s">
        <v>16</v>
      </c>
      <c r="D662" s="5" t="s">
        <v>55</v>
      </c>
      <c r="E662" s="6" t="s">
        <v>958</v>
      </c>
      <c r="F662" s="5" t="s">
        <v>50</v>
      </c>
      <c r="G662" s="5" t="s">
        <v>27</v>
      </c>
      <c r="H662" s="5">
        <v>14599.0</v>
      </c>
      <c r="I662" s="5">
        <v>33.0</v>
      </c>
      <c r="J662" s="5">
        <v>1779.0</v>
      </c>
      <c r="K662" s="5">
        <v>12458.0</v>
      </c>
      <c r="L662" s="5">
        <v>4.0</v>
      </c>
      <c r="M662" s="5">
        <v>5092.559215</v>
      </c>
    </row>
    <row r="663">
      <c r="A663" s="4" t="s">
        <v>959</v>
      </c>
      <c r="B663" s="5" t="s">
        <v>15</v>
      </c>
      <c r="C663" s="5" t="s">
        <v>16</v>
      </c>
      <c r="D663" s="5" t="s">
        <v>78</v>
      </c>
      <c r="E663" s="6" t="s">
        <v>958</v>
      </c>
      <c r="F663" s="5" t="s">
        <v>19</v>
      </c>
      <c r="G663" s="5" t="s">
        <v>52</v>
      </c>
      <c r="H663" s="5">
        <v>16175.0</v>
      </c>
      <c r="I663" s="5">
        <v>35.0</v>
      </c>
      <c r="J663" s="5">
        <v>1923.0</v>
      </c>
      <c r="K663" s="5">
        <v>15085.0</v>
      </c>
      <c r="L663" s="5">
        <v>2.0</v>
      </c>
      <c r="M663" s="5">
        <v>1649.069475</v>
      </c>
    </row>
    <row r="664">
      <c r="A664" s="4" t="s">
        <v>960</v>
      </c>
      <c r="B664" s="5" t="s">
        <v>22</v>
      </c>
      <c r="C664" s="5" t="s">
        <v>31</v>
      </c>
      <c r="D664" s="5" t="s">
        <v>17</v>
      </c>
      <c r="E664" s="6" t="s">
        <v>961</v>
      </c>
      <c r="F664" s="5" t="s">
        <v>19</v>
      </c>
      <c r="G664" s="5" t="s">
        <v>27</v>
      </c>
      <c r="H664" s="5">
        <v>42830.0</v>
      </c>
      <c r="I664" s="5">
        <v>160.0</v>
      </c>
      <c r="J664" s="5">
        <v>24499.0</v>
      </c>
      <c r="K664" s="5">
        <v>34496.0</v>
      </c>
      <c r="L664" s="5">
        <v>5.0</v>
      </c>
      <c r="M664" s="5">
        <v>6261.575724</v>
      </c>
    </row>
    <row r="665">
      <c r="A665" s="4" t="s">
        <v>962</v>
      </c>
      <c r="B665" s="5" t="s">
        <v>22</v>
      </c>
      <c r="C665" s="5" t="s">
        <v>31</v>
      </c>
      <c r="D665" s="5" t="s">
        <v>35</v>
      </c>
      <c r="E665" s="6" t="s">
        <v>961</v>
      </c>
      <c r="F665" s="5" t="s">
        <v>19</v>
      </c>
      <c r="G665" s="5" t="s">
        <v>27</v>
      </c>
      <c r="H665" s="5">
        <v>12209.0</v>
      </c>
      <c r="I665" s="5">
        <v>147.0</v>
      </c>
      <c r="J665" s="5">
        <v>3976.0</v>
      </c>
      <c r="K665" s="5">
        <v>5219.0</v>
      </c>
      <c r="L665" s="5">
        <v>4.0</v>
      </c>
      <c r="M665" s="5">
        <v>3818.955182</v>
      </c>
    </row>
    <row r="666">
      <c r="A666" s="4" t="s">
        <v>963</v>
      </c>
      <c r="B666" s="5" t="s">
        <v>15</v>
      </c>
      <c r="C666" s="5" t="s">
        <v>42</v>
      </c>
      <c r="D666" s="5" t="s">
        <v>35</v>
      </c>
      <c r="E666" s="6" t="s">
        <v>961</v>
      </c>
      <c r="F666" s="5" t="s">
        <v>19</v>
      </c>
      <c r="G666" s="5" t="s">
        <v>20</v>
      </c>
      <c r="H666" s="5">
        <v>7447.0</v>
      </c>
      <c r="I666" s="5">
        <v>10.0</v>
      </c>
      <c r="J666" s="5">
        <v>4163.0</v>
      </c>
      <c r="K666" s="5">
        <v>5586.0</v>
      </c>
      <c r="L666" s="5">
        <v>19.0</v>
      </c>
      <c r="M666" s="5">
        <v>3311.941246</v>
      </c>
    </row>
    <row r="667">
      <c r="A667" s="4" t="s">
        <v>964</v>
      </c>
      <c r="B667" s="5" t="s">
        <v>15</v>
      </c>
      <c r="C667" s="5" t="s">
        <v>42</v>
      </c>
      <c r="D667" s="5" t="s">
        <v>84</v>
      </c>
      <c r="E667" s="6" t="s">
        <v>961</v>
      </c>
      <c r="F667" s="5" t="s">
        <v>36</v>
      </c>
      <c r="G667" s="5" t="s">
        <v>27</v>
      </c>
      <c r="H667" s="5">
        <v>8545.0</v>
      </c>
      <c r="I667" s="5">
        <v>20.0</v>
      </c>
      <c r="J667" s="5">
        <v>3454.0</v>
      </c>
      <c r="K667" s="5">
        <v>5510.0</v>
      </c>
      <c r="L667" s="5">
        <v>2.0</v>
      </c>
      <c r="M667" s="5">
        <v>2181.247949</v>
      </c>
    </row>
    <row r="668">
      <c r="A668" s="4" t="s">
        <v>965</v>
      </c>
      <c r="B668" s="5" t="s">
        <v>15</v>
      </c>
      <c r="C668" s="5" t="s">
        <v>23</v>
      </c>
      <c r="D668" s="5" t="s">
        <v>55</v>
      </c>
      <c r="E668" s="6" t="s">
        <v>961</v>
      </c>
      <c r="F668" s="5" t="s">
        <v>46</v>
      </c>
      <c r="G668" s="5" t="s">
        <v>27</v>
      </c>
      <c r="H668" s="5">
        <v>12319.0</v>
      </c>
      <c r="I668" s="5">
        <v>40.0</v>
      </c>
      <c r="J668" s="5">
        <v>7028.0</v>
      </c>
      <c r="K668" s="5">
        <v>10191.0</v>
      </c>
      <c r="L668" s="5">
        <v>7.0</v>
      </c>
      <c r="M668" s="5">
        <v>1668.016</v>
      </c>
    </row>
    <row r="669">
      <c r="A669" s="4" t="s">
        <v>966</v>
      </c>
      <c r="B669" s="5" t="s">
        <v>22</v>
      </c>
      <c r="C669" s="5" t="s">
        <v>16</v>
      </c>
      <c r="D669" s="5" t="s">
        <v>32</v>
      </c>
      <c r="E669" s="6" t="s">
        <v>961</v>
      </c>
      <c r="F669" s="5" t="s">
        <v>117</v>
      </c>
      <c r="G669" s="5" t="s">
        <v>27</v>
      </c>
      <c r="H669" s="5">
        <v>31359.0</v>
      </c>
      <c r="I669" s="5">
        <v>66.0</v>
      </c>
      <c r="J669" s="5">
        <v>18348.0</v>
      </c>
      <c r="K669" s="5">
        <v>25950.0</v>
      </c>
      <c r="L669" s="5">
        <v>24.0</v>
      </c>
      <c r="M669" s="5">
        <v>1623.614838</v>
      </c>
    </row>
    <row r="670">
      <c r="A670" s="4" t="s">
        <v>967</v>
      </c>
      <c r="B670" s="5" t="s">
        <v>22</v>
      </c>
      <c r="C670" s="5" t="s">
        <v>16</v>
      </c>
      <c r="D670" s="5" t="s">
        <v>29</v>
      </c>
      <c r="E670" s="6" t="s">
        <v>961</v>
      </c>
      <c r="F670" s="5" t="s">
        <v>36</v>
      </c>
      <c r="G670" s="5" t="s">
        <v>27</v>
      </c>
      <c r="H670" s="5">
        <v>15311.0</v>
      </c>
      <c r="I670" s="5">
        <v>10.0</v>
      </c>
      <c r="J670" s="5">
        <v>7757.0</v>
      </c>
      <c r="K670" s="5">
        <v>12630.0</v>
      </c>
      <c r="L670" s="5">
        <v>19.0</v>
      </c>
      <c r="M670" s="5">
        <v>1471.187144</v>
      </c>
    </row>
    <row r="671">
      <c r="A671" s="4" t="s">
        <v>968</v>
      </c>
      <c r="B671" s="5" t="s">
        <v>61</v>
      </c>
      <c r="C671" s="5" t="s">
        <v>23</v>
      </c>
      <c r="D671" s="5" t="s">
        <v>39</v>
      </c>
      <c r="E671" s="6" t="s">
        <v>969</v>
      </c>
      <c r="F671" s="5" t="s">
        <v>36</v>
      </c>
      <c r="G671" s="5" t="s">
        <v>27</v>
      </c>
      <c r="H671" s="5">
        <v>23488.0</v>
      </c>
      <c r="I671" s="5">
        <v>75.0</v>
      </c>
      <c r="J671" s="5">
        <v>4620.0</v>
      </c>
      <c r="K671" s="5">
        <v>22254.0</v>
      </c>
      <c r="L671" s="5">
        <v>9.0</v>
      </c>
      <c r="M671" s="5">
        <v>6667.727715</v>
      </c>
    </row>
    <row r="672">
      <c r="A672" s="4" t="s">
        <v>970</v>
      </c>
      <c r="B672" s="5" t="s">
        <v>61</v>
      </c>
      <c r="C672" s="5" t="s">
        <v>16</v>
      </c>
      <c r="D672" s="5" t="s">
        <v>78</v>
      </c>
      <c r="E672" s="6" t="s">
        <v>969</v>
      </c>
      <c r="F672" s="5" t="s">
        <v>26</v>
      </c>
      <c r="G672" s="5" t="s">
        <v>27</v>
      </c>
      <c r="H672" s="5">
        <v>11789.0</v>
      </c>
      <c r="I672" s="5">
        <v>20.0</v>
      </c>
      <c r="J672" s="5">
        <v>6187.0</v>
      </c>
      <c r="K672" s="5">
        <v>10028.0</v>
      </c>
      <c r="L672" s="5">
        <v>3.0</v>
      </c>
      <c r="M672" s="5">
        <v>6505.526456</v>
      </c>
    </row>
    <row r="673">
      <c r="A673" s="4" t="s">
        <v>971</v>
      </c>
      <c r="B673" s="5" t="s">
        <v>15</v>
      </c>
      <c r="C673" s="5" t="s">
        <v>42</v>
      </c>
      <c r="D673" s="5" t="s">
        <v>39</v>
      </c>
      <c r="E673" s="6" t="s">
        <v>969</v>
      </c>
      <c r="F673" s="5" t="s">
        <v>19</v>
      </c>
      <c r="G673" s="5" t="s">
        <v>52</v>
      </c>
      <c r="H673" s="5">
        <v>16142.0</v>
      </c>
      <c r="I673" s="5">
        <v>30.0</v>
      </c>
      <c r="J673" s="5">
        <v>7064.0</v>
      </c>
      <c r="K673" s="5">
        <v>15433.0</v>
      </c>
      <c r="L673" s="5">
        <v>5.0</v>
      </c>
      <c r="M673" s="5">
        <v>2209.650957</v>
      </c>
    </row>
    <row r="674">
      <c r="A674" s="4" t="s">
        <v>972</v>
      </c>
      <c r="B674" s="5" t="s">
        <v>15</v>
      </c>
      <c r="C674" s="5" t="s">
        <v>16</v>
      </c>
      <c r="D674" s="5" t="s">
        <v>39</v>
      </c>
      <c r="E674" s="6" t="s">
        <v>969</v>
      </c>
      <c r="F674" s="5" t="s">
        <v>46</v>
      </c>
      <c r="G674" s="5" t="s">
        <v>27</v>
      </c>
      <c r="H674" s="5">
        <v>37355.0</v>
      </c>
      <c r="I674" s="5">
        <v>145.0</v>
      </c>
      <c r="J674" s="5">
        <v>17138.0</v>
      </c>
      <c r="K674" s="5">
        <v>35689.0</v>
      </c>
      <c r="L674" s="5">
        <v>3.0</v>
      </c>
      <c r="M674" s="5">
        <v>1577.366086</v>
      </c>
    </row>
    <row r="675">
      <c r="A675" s="4" t="s">
        <v>973</v>
      </c>
      <c r="B675" s="5" t="s">
        <v>15</v>
      </c>
      <c r="C675" s="5" t="s">
        <v>31</v>
      </c>
      <c r="D675" s="5" t="s">
        <v>78</v>
      </c>
      <c r="E675" s="6" t="s">
        <v>969</v>
      </c>
      <c r="F675" s="5" t="s">
        <v>19</v>
      </c>
      <c r="G675" s="5" t="s">
        <v>27</v>
      </c>
      <c r="H675" s="5">
        <v>9404.0</v>
      </c>
      <c r="I675" s="5">
        <v>30.0</v>
      </c>
      <c r="J675" s="5">
        <v>4781.0</v>
      </c>
      <c r="K675" s="5">
        <v>7943.0</v>
      </c>
      <c r="L675" s="5">
        <v>4.0</v>
      </c>
      <c r="M675" s="5">
        <v>1345.369</v>
      </c>
    </row>
    <row r="676">
      <c r="A676" s="4" t="s">
        <v>974</v>
      </c>
      <c r="B676" s="5" t="s">
        <v>15</v>
      </c>
      <c r="C676" s="5" t="s">
        <v>16</v>
      </c>
      <c r="D676" s="5" t="s">
        <v>78</v>
      </c>
      <c r="E676" s="6" t="s">
        <v>975</v>
      </c>
      <c r="F676" s="5" t="s">
        <v>36</v>
      </c>
      <c r="G676" s="5" t="s">
        <v>27</v>
      </c>
      <c r="H676" s="5">
        <v>13642.0</v>
      </c>
      <c r="I676" s="5">
        <v>40.0</v>
      </c>
      <c r="J676" s="5">
        <v>9830.0</v>
      </c>
      <c r="K676" s="5">
        <v>11658.0</v>
      </c>
      <c r="L676" s="5">
        <v>3.0</v>
      </c>
      <c r="M676" s="5">
        <v>1731.271848</v>
      </c>
    </row>
    <row r="677">
      <c r="A677" s="4" t="s">
        <v>976</v>
      </c>
      <c r="B677" s="5" t="s">
        <v>15</v>
      </c>
      <c r="C677" s="5" t="s">
        <v>23</v>
      </c>
      <c r="D677" s="5" t="s">
        <v>78</v>
      </c>
      <c r="E677" s="6" t="s">
        <v>977</v>
      </c>
      <c r="F677" s="5" t="s">
        <v>46</v>
      </c>
      <c r="G677" s="5" t="s">
        <v>27</v>
      </c>
      <c r="H677" s="5">
        <v>14693.0</v>
      </c>
      <c r="I677" s="5">
        <v>70.0</v>
      </c>
      <c r="J677" s="5">
        <v>6597.0</v>
      </c>
      <c r="K677" s="5">
        <v>13508.0</v>
      </c>
      <c r="L677" s="5">
        <v>4.0</v>
      </c>
      <c r="M677" s="5">
        <v>2047.348924</v>
      </c>
    </row>
    <row r="678">
      <c r="A678" s="4" t="s">
        <v>978</v>
      </c>
      <c r="B678" s="5" t="s">
        <v>22</v>
      </c>
      <c r="C678" s="5" t="s">
        <v>16</v>
      </c>
      <c r="D678" s="5" t="s">
        <v>24</v>
      </c>
      <c r="E678" s="6" t="s">
        <v>979</v>
      </c>
      <c r="F678" s="5" t="s">
        <v>19</v>
      </c>
      <c r="G678" s="5" t="s">
        <v>27</v>
      </c>
      <c r="H678" s="5">
        <v>9357.0</v>
      </c>
      <c r="I678" s="5">
        <v>60.0</v>
      </c>
      <c r="J678" s="5">
        <v>1754.0</v>
      </c>
      <c r="K678" s="5">
        <v>8343.0</v>
      </c>
      <c r="L678" s="5">
        <v>10.0</v>
      </c>
      <c r="M678" s="5">
        <v>6559.477756</v>
      </c>
    </row>
    <row r="679">
      <c r="A679" s="4" t="s">
        <v>980</v>
      </c>
      <c r="B679" s="5" t="s">
        <v>15</v>
      </c>
      <c r="C679" s="5" t="s">
        <v>16</v>
      </c>
      <c r="D679" s="5" t="s">
        <v>78</v>
      </c>
      <c r="E679" s="6" t="s">
        <v>981</v>
      </c>
      <c r="F679" s="5" t="s">
        <v>19</v>
      </c>
      <c r="G679" s="5" t="s">
        <v>52</v>
      </c>
      <c r="H679" s="5">
        <v>20459.0</v>
      </c>
      <c r="I679" s="5">
        <v>40.0</v>
      </c>
      <c r="J679" s="5">
        <v>12668.0</v>
      </c>
      <c r="K679" s="5">
        <v>18613.0</v>
      </c>
      <c r="L679" s="5">
        <v>4.0</v>
      </c>
      <c r="M679" s="5">
        <v>1842.606513</v>
      </c>
    </row>
    <row r="680">
      <c r="A680" s="4" t="s">
        <v>982</v>
      </c>
      <c r="B680" s="5" t="s">
        <v>61</v>
      </c>
      <c r="C680" s="5" t="s">
        <v>23</v>
      </c>
      <c r="D680" s="5" t="s">
        <v>17</v>
      </c>
      <c r="E680" s="6" t="s">
        <v>983</v>
      </c>
      <c r="F680" s="5" t="s">
        <v>19</v>
      </c>
      <c r="G680" s="5" t="s">
        <v>27</v>
      </c>
      <c r="H680" s="5">
        <v>17382.0</v>
      </c>
      <c r="I680" s="5">
        <v>100.0</v>
      </c>
      <c r="J680" s="5">
        <v>7411.0</v>
      </c>
      <c r="K680" s="5">
        <v>16576.0</v>
      </c>
      <c r="L680" s="5">
        <v>8.0</v>
      </c>
      <c r="M680" s="5">
        <v>5797.219977</v>
      </c>
    </row>
    <row r="681">
      <c r="A681" s="4" t="s">
        <v>984</v>
      </c>
      <c r="B681" s="5" t="s">
        <v>22</v>
      </c>
      <c r="C681" s="5" t="s">
        <v>16</v>
      </c>
      <c r="D681" s="5" t="s">
        <v>84</v>
      </c>
      <c r="E681" s="6" t="s">
        <v>985</v>
      </c>
      <c r="F681" s="5" t="s">
        <v>46</v>
      </c>
      <c r="G681" s="5" t="s">
        <v>27</v>
      </c>
      <c r="H681" s="5">
        <v>13466.0</v>
      </c>
      <c r="I681" s="5">
        <v>150.0</v>
      </c>
      <c r="J681" s="5">
        <v>8684.0</v>
      </c>
      <c r="K681" s="5">
        <v>11766.0</v>
      </c>
      <c r="L681" s="5">
        <v>1.0</v>
      </c>
      <c r="M681" s="5">
        <v>1527.176274</v>
      </c>
    </row>
    <row r="682">
      <c r="A682" s="4" t="s">
        <v>986</v>
      </c>
      <c r="B682" s="5" t="s">
        <v>61</v>
      </c>
      <c r="C682" s="5" t="s">
        <v>42</v>
      </c>
      <c r="D682" s="5" t="s">
        <v>131</v>
      </c>
      <c r="E682" s="6" t="s">
        <v>987</v>
      </c>
      <c r="F682" s="5" t="s">
        <v>26</v>
      </c>
      <c r="G682" s="5" t="s">
        <v>27</v>
      </c>
      <c r="H682" s="5">
        <v>23410.0</v>
      </c>
      <c r="I682" s="5">
        <v>66.0</v>
      </c>
      <c r="J682" s="5">
        <v>13626.0</v>
      </c>
      <c r="K682" s="5">
        <v>22109.0</v>
      </c>
      <c r="L682" s="5">
        <v>6.0</v>
      </c>
      <c r="M682" s="5">
        <v>1930.180523</v>
      </c>
    </row>
    <row r="683">
      <c r="A683" s="4" t="s">
        <v>988</v>
      </c>
      <c r="B683" s="5" t="s">
        <v>22</v>
      </c>
      <c r="C683" s="5" t="s">
        <v>16</v>
      </c>
      <c r="D683" s="5" t="s">
        <v>32</v>
      </c>
      <c r="E683" s="6" t="s">
        <v>987</v>
      </c>
      <c r="F683" s="5" t="s">
        <v>48</v>
      </c>
      <c r="G683" s="5" t="s">
        <v>27</v>
      </c>
      <c r="H683" s="5">
        <v>13713.0</v>
      </c>
      <c r="I683" s="5">
        <v>151.0</v>
      </c>
      <c r="J683" s="5">
        <v>8339.0</v>
      </c>
      <c r="K683" s="5">
        <v>13051.0</v>
      </c>
      <c r="L683" s="5">
        <v>5.0</v>
      </c>
      <c r="M683" s="5">
        <v>1490.006197</v>
      </c>
    </row>
    <row r="684">
      <c r="A684" s="4" t="s">
        <v>989</v>
      </c>
      <c r="B684" s="5" t="s">
        <v>61</v>
      </c>
      <c r="C684" s="5" t="s">
        <v>16</v>
      </c>
      <c r="D684" s="5" t="s">
        <v>17</v>
      </c>
      <c r="E684" s="6" t="s">
        <v>990</v>
      </c>
      <c r="F684" s="5" t="s">
        <v>26</v>
      </c>
      <c r="G684" s="5" t="s">
        <v>27</v>
      </c>
      <c r="H684" s="5">
        <v>10565.0</v>
      </c>
      <c r="I684" s="5">
        <v>66.0</v>
      </c>
      <c r="J684" s="5">
        <v>6248.0</v>
      </c>
      <c r="K684" s="5">
        <v>10141.0</v>
      </c>
      <c r="L684" s="5">
        <v>9.0</v>
      </c>
      <c r="M684" s="5">
        <v>6236.113094</v>
      </c>
    </row>
    <row r="685">
      <c r="A685" s="4" t="s">
        <v>991</v>
      </c>
      <c r="B685" s="5" t="s">
        <v>22</v>
      </c>
      <c r="C685" s="5" t="s">
        <v>23</v>
      </c>
      <c r="D685" s="5" t="s">
        <v>35</v>
      </c>
      <c r="E685" s="6" t="s">
        <v>992</v>
      </c>
      <c r="F685" s="5" t="s">
        <v>26</v>
      </c>
      <c r="G685" s="5" t="s">
        <v>27</v>
      </c>
      <c r="H685" s="5">
        <v>888037.0</v>
      </c>
      <c r="I685" s="5">
        <v>2841.0</v>
      </c>
      <c r="J685" s="5">
        <v>370429.0</v>
      </c>
      <c r="K685" s="5">
        <v>820340.0</v>
      </c>
      <c r="L685" s="5">
        <v>42.0</v>
      </c>
      <c r="M685" s="5">
        <v>8134.350524</v>
      </c>
    </row>
    <row r="686">
      <c r="A686" s="4" t="s">
        <v>993</v>
      </c>
      <c r="B686" s="5" t="s">
        <v>15</v>
      </c>
      <c r="C686" s="5" t="s">
        <v>16</v>
      </c>
      <c r="D686" s="5" t="s">
        <v>35</v>
      </c>
      <c r="E686" s="6" t="s">
        <v>992</v>
      </c>
      <c r="F686" s="5" t="s">
        <v>50</v>
      </c>
      <c r="G686" s="5" t="s">
        <v>27</v>
      </c>
      <c r="H686" s="5">
        <v>1767940.0</v>
      </c>
      <c r="I686" s="5">
        <v>4852.0</v>
      </c>
      <c r="J686" s="5">
        <v>881525.0</v>
      </c>
      <c r="K686" s="5">
        <v>1550866.0</v>
      </c>
      <c r="L686" s="5">
        <v>78.0</v>
      </c>
      <c r="M686" s="5">
        <v>7511.656191</v>
      </c>
    </row>
    <row r="687">
      <c r="A687" s="4" t="s">
        <v>994</v>
      </c>
      <c r="B687" s="5" t="s">
        <v>15</v>
      </c>
      <c r="C687" s="5" t="s">
        <v>23</v>
      </c>
      <c r="D687" s="5" t="s">
        <v>78</v>
      </c>
      <c r="E687" s="6" t="s">
        <v>992</v>
      </c>
      <c r="F687" s="5" t="s">
        <v>19</v>
      </c>
      <c r="G687" s="5" t="s">
        <v>27</v>
      </c>
      <c r="H687" s="5">
        <v>1221746.0</v>
      </c>
      <c r="I687" s="5">
        <v>3874.0</v>
      </c>
      <c r="J687" s="5">
        <v>512107.0</v>
      </c>
      <c r="K687" s="5">
        <v>1088748.0</v>
      </c>
      <c r="L687" s="5">
        <v>19.0</v>
      </c>
      <c r="M687" s="5">
        <v>7483.887187</v>
      </c>
    </row>
    <row r="688">
      <c r="A688" s="4" t="s">
        <v>995</v>
      </c>
      <c r="B688" s="5" t="s">
        <v>22</v>
      </c>
      <c r="C688" s="5" t="s">
        <v>16</v>
      </c>
      <c r="D688" s="5" t="s">
        <v>35</v>
      </c>
      <c r="E688" s="6" t="s">
        <v>992</v>
      </c>
      <c r="F688" s="5" t="s">
        <v>33</v>
      </c>
      <c r="G688" s="5" t="s">
        <v>27</v>
      </c>
      <c r="H688" s="5">
        <v>446774.0</v>
      </c>
      <c r="I688" s="5">
        <v>1245.0</v>
      </c>
      <c r="J688" s="5">
        <v>163786.0</v>
      </c>
      <c r="K688" s="5">
        <v>374116.0</v>
      </c>
      <c r="L688" s="5">
        <v>12.0</v>
      </c>
      <c r="M688" s="5">
        <v>7248.231612</v>
      </c>
    </row>
    <row r="689">
      <c r="A689" s="4" t="s">
        <v>996</v>
      </c>
      <c r="B689" s="5" t="s">
        <v>22</v>
      </c>
      <c r="C689" s="5" t="s">
        <v>23</v>
      </c>
      <c r="D689" s="5" t="s">
        <v>45</v>
      </c>
      <c r="E689" s="6" t="s">
        <v>992</v>
      </c>
      <c r="F689" s="5" t="s">
        <v>46</v>
      </c>
      <c r="G689" s="5" t="s">
        <v>27</v>
      </c>
      <c r="H689" s="5">
        <v>120603.0</v>
      </c>
      <c r="I689" s="5">
        <v>298.0</v>
      </c>
      <c r="J689" s="5">
        <v>47405.0</v>
      </c>
      <c r="K689" s="5">
        <v>100881.0</v>
      </c>
      <c r="L689" s="5">
        <v>10.0</v>
      </c>
      <c r="M689" s="5">
        <v>6633.532635</v>
      </c>
    </row>
    <row r="690">
      <c r="A690" s="4" t="s">
        <v>997</v>
      </c>
      <c r="B690" s="5" t="s">
        <v>15</v>
      </c>
      <c r="C690" s="5" t="s">
        <v>16</v>
      </c>
      <c r="D690" s="5" t="s">
        <v>32</v>
      </c>
      <c r="E690" s="6" t="s">
        <v>992</v>
      </c>
      <c r="F690" s="5" t="s">
        <v>19</v>
      </c>
      <c r="G690" s="5" t="s">
        <v>27</v>
      </c>
      <c r="H690" s="5">
        <v>310255.0</v>
      </c>
      <c r="I690" s="5">
        <v>970.0</v>
      </c>
      <c r="J690" s="5">
        <v>105054.0</v>
      </c>
      <c r="K690" s="5">
        <v>260998.0</v>
      </c>
      <c r="L690" s="5">
        <v>14.0</v>
      </c>
      <c r="M690" s="5">
        <v>6057.856722</v>
      </c>
    </row>
    <row r="691">
      <c r="A691" s="4" t="s">
        <v>998</v>
      </c>
      <c r="B691" s="5" t="s">
        <v>15</v>
      </c>
      <c r="C691" s="5" t="s">
        <v>31</v>
      </c>
      <c r="D691" s="5" t="s">
        <v>183</v>
      </c>
      <c r="E691" s="6" t="s">
        <v>992</v>
      </c>
      <c r="F691" s="5" t="s">
        <v>36</v>
      </c>
      <c r="G691" s="5" t="s">
        <v>27</v>
      </c>
      <c r="H691" s="5">
        <v>818919.0</v>
      </c>
      <c r="I691" s="5">
        <v>1987.0</v>
      </c>
      <c r="J691" s="5">
        <v>395852.0</v>
      </c>
      <c r="K691" s="5">
        <v>699064.0</v>
      </c>
      <c r="L691" s="5">
        <v>22.0</v>
      </c>
      <c r="M691" s="5">
        <v>6012.102465</v>
      </c>
    </row>
    <row r="692">
      <c r="A692" s="4" t="s">
        <v>999</v>
      </c>
      <c r="B692" s="5" t="s">
        <v>22</v>
      </c>
      <c r="C692" s="5" t="s">
        <v>16</v>
      </c>
      <c r="D692" s="5" t="s">
        <v>78</v>
      </c>
      <c r="E692" s="6" t="s">
        <v>992</v>
      </c>
      <c r="F692" s="5" t="s">
        <v>327</v>
      </c>
      <c r="G692" s="5" t="s">
        <v>27</v>
      </c>
      <c r="H692" s="5">
        <v>760502.0</v>
      </c>
      <c r="I692" s="5">
        <v>2140.0</v>
      </c>
      <c r="J692" s="5">
        <v>326721.0</v>
      </c>
      <c r="K692" s="5">
        <v>700814.0</v>
      </c>
      <c r="L692" s="5">
        <v>17.0</v>
      </c>
      <c r="M692" s="5">
        <v>5179.041532</v>
      </c>
    </row>
    <row r="693">
      <c r="A693" s="4" t="s">
        <v>1000</v>
      </c>
      <c r="B693" s="5" t="s">
        <v>22</v>
      </c>
      <c r="C693" s="5" t="s">
        <v>42</v>
      </c>
      <c r="D693" s="5" t="s">
        <v>55</v>
      </c>
      <c r="E693" s="6" t="s">
        <v>992</v>
      </c>
      <c r="F693" s="5" t="s">
        <v>19</v>
      </c>
      <c r="G693" s="5" t="s">
        <v>27</v>
      </c>
      <c r="H693" s="5">
        <v>571090.0</v>
      </c>
      <c r="I693" s="5">
        <v>1541.0</v>
      </c>
      <c r="J693" s="5">
        <v>246243.0</v>
      </c>
      <c r="K693" s="5">
        <v>532325.0</v>
      </c>
      <c r="L693" s="5">
        <v>11.0</v>
      </c>
      <c r="M693" s="5">
        <v>4733.618783</v>
      </c>
    </row>
    <row r="694">
      <c r="A694" s="4" t="s">
        <v>1001</v>
      </c>
      <c r="B694" s="5" t="s">
        <v>15</v>
      </c>
      <c r="C694" s="5" t="s">
        <v>23</v>
      </c>
      <c r="D694" s="5" t="s">
        <v>35</v>
      </c>
      <c r="E694" s="6" t="s">
        <v>992</v>
      </c>
      <c r="F694" s="5" t="s">
        <v>46</v>
      </c>
      <c r="G694" s="5" t="s">
        <v>20</v>
      </c>
      <c r="H694" s="5">
        <v>7584.0</v>
      </c>
      <c r="I694" s="5">
        <v>40.0</v>
      </c>
      <c r="J694" s="5">
        <v>3093.0</v>
      </c>
      <c r="K694" s="5">
        <v>6897.0</v>
      </c>
      <c r="L694" s="5">
        <v>2.0</v>
      </c>
      <c r="M694" s="5">
        <v>4467.080758</v>
      </c>
    </row>
    <row r="695">
      <c r="A695" s="4" t="s">
        <v>1002</v>
      </c>
      <c r="B695" s="5" t="s">
        <v>15</v>
      </c>
      <c r="C695" s="5" t="s">
        <v>16</v>
      </c>
      <c r="D695" s="5" t="s">
        <v>24</v>
      </c>
      <c r="E695" s="6" t="s">
        <v>992</v>
      </c>
      <c r="F695" s="5" t="s">
        <v>19</v>
      </c>
      <c r="G695" s="5" t="s">
        <v>52</v>
      </c>
      <c r="H695" s="5">
        <v>84460.0</v>
      </c>
      <c r="I695" s="5">
        <v>209.0</v>
      </c>
      <c r="J695" s="5">
        <v>13169.0</v>
      </c>
      <c r="K695" s="5">
        <v>26688.0</v>
      </c>
      <c r="L695" s="5">
        <v>1.0</v>
      </c>
      <c r="M695" s="5">
        <v>4279.230955</v>
      </c>
    </row>
    <row r="696">
      <c r="A696" s="4" t="s">
        <v>1003</v>
      </c>
      <c r="B696" s="5" t="s">
        <v>15</v>
      </c>
      <c r="C696" s="5" t="s">
        <v>42</v>
      </c>
      <c r="D696" s="5" t="s">
        <v>214</v>
      </c>
      <c r="E696" s="6" t="s">
        <v>992</v>
      </c>
      <c r="F696" s="5" t="s">
        <v>36</v>
      </c>
      <c r="G696" s="5" t="s">
        <v>27</v>
      </c>
      <c r="H696" s="5">
        <v>90123.0</v>
      </c>
      <c r="I696" s="5">
        <v>60.0</v>
      </c>
      <c r="J696" s="5">
        <v>33421.0</v>
      </c>
      <c r="K696" s="5">
        <v>66729.0</v>
      </c>
      <c r="L696" s="5">
        <v>9.0</v>
      </c>
      <c r="M696" s="5">
        <v>3433.914287</v>
      </c>
    </row>
    <row r="697">
      <c r="A697" s="4" t="s">
        <v>1004</v>
      </c>
      <c r="B697" s="5" t="s">
        <v>15</v>
      </c>
      <c r="C697" s="5" t="s">
        <v>16</v>
      </c>
      <c r="D697" s="5" t="s">
        <v>78</v>
      </c>
      <c r="E697" s="6" t="s">
        <v>992</v>
      </c>
      <c r="F697" s="5" t="s">
        <v>19</v>
      </c>
      <c r="G697" s="5" t="s">
        <v>27</v>
      </c>
      <c r="H697" s="5">
        <v>1116343.0</v>
      </c>
      <c r="I697" s="5">
        <v>3104.0</v>
      </c>
      <c r="J697" s="5">
        <v>550519.0</v>
      </c>
      <c r="K697" s="5">
        <v>977978.0</v>
      </c>
      <c r="L697" s="5">
        <v>9.0</v>
      </c>
      <c r="M697" s="5">
        <v>2494.217596</v>
      </c>
    </row>
    <row r="698">
      <c r="A698" s="4" t="s">
        <v>1005</v>
      </c>
      <c r="B698" s="5" t="s">
        <v>15</v>
      </c>
      <c r="C698" s="5" t="s">
        <v>16</v>
      </c>
      <c r="D698" s="5" t="s">
        <v>273</v>
      </c>
      <c r="E698" s="6" t="s">
        <v>992</v>
      </c>
      <c r="F698" s="5" t="s">
        <v>26</v>
      </c>
      <c r="G698" s="5" t="s">
        <v>27</v>
      </c>
      <c r="H698" s="5">
        <v>276716.0</v>
      </c>
      <c r="I698" s="5">
        <v>799.0</v>
      </c>
      <c r="J698" s="5">
        <v>114927.0</v>
      </c>
      <c r="K698" s="5">
        <v>255481.0</v>
      </c>
      <c r="L698" s="5">
        <v>49.0</v>
      </c>
      <c r="M698" s="5">
        <v>2276.277471</v>
      </c>
    </row>
    <row r="699">
      <c r="A699" s="4" t="s">
        <v>1006</v>
      </c>
      <c r="B699" s="5" t="s">
        <v>15</v>
      </c>
      <c r="C699" s="5" t="s">
        <v>23</v>
      </c>
      <c r="D699" s="5" t="s">
        <v>24</v>
      </c>
      <c r="E699" s="6" t="s">
        <v>992</v>
      </c>
      <c r="F699" s="5" t="s">
        <v>19</v>
      </c>
      <c r="G699" s="5" t="s">
        <v>20</v>
      </c>
      <c r="H699" s="5">
        <v>17049.0</v>
      </c>
      <c r="I699" s="5">
        <v>84.0</v>
      </c>
      <c r="J699" s="5">
        <v>191.0</v>
      </c>
      <c r="K699" s="5">
        <v>15564.0</v>
      </c>
      <c r="L699" s="5">
        <v>15.0</v>
      </c>
      <c r="M699" s="5">
        <v>2144.489587</v>
      </c>
    </row>
    <row r="700">
      <c r="A700" s="4" t="s">
        <v>1007</v>
      </c>
      <c r="B700" s="5" t="s">
        <v>15</v>
      </c>
      <c r="C700" s="5" t="s">
        <v>23</v>
      </c>
      <c r="D700" s="5" t="s">
        <v>17</v>
      </c>
      <c r="E700" s="6" t="s">
        <v>992</v>
      </c>
      <c r="F700" s="5" t="s">
        <v>19</v>
      </c>
      <c r="G700" s="5" t="s">
        <v>52</v>
      </c>
      <c r="H700" s="5">
        <v>74164.0</v>
      </c>
      <c r="I700" s="5">
        <v>241.0</v>
      </c>
      <c r="J700" s="5">
        <v>25104.0</v>
      </c>
      <c r="K700" s="5">
        <v>61242.0</v>
      </c>
      <c r="L700" s="5">
        <v>19.0</v>
      </c>
      <c r="M700" s="5">
        <v>1902.301443</v>
      </c>
    </row>
    <row r="701">
      <c r="A701" s="4" t="s">
        <v>1008</v>
      </c>
      <c r="B701" s="5" t="s">
        <v>22</v>
      </c>
      <c r="C701" s="5" t="s">
        <v>16</v>
      </c>
      <c r="D701" s="5" t="s">
        <v>35</v>
      </c>
      <c r="E701" s="6" t="s">
        <v>992</v>
      </c>
      <c r="F701" s="5" t="s">
        <v>161</v>
      </c>
      <c r="G701" s="5" t="s">
        <v>27</v>
      </c>
      <c r="H701" s="5">
        <v>37227.0</v>
      </c>
      <c r="I701" s="5">
        <v>130.0</v>
      </c>
      <c r="J701" s="5">
        <v>13542.0</v>
      </c>
      <c r="K701" s="5">
        <v>32456.0</v>
      </c>
      <c r="L701" s="5">
        <v>4.0</v>
      </c>
      <c r="M701" s="5">
        <v>1901.094691</v>
      </c>
    </row>
    <row r="702">
      <c r="A702" s="4" t="s">
        <v>1009</v>
      </c>
      <c r="B702" s="5" t="s">
        <v>15</v>
      </c>
      <c r="C702" s="5" t="s">
        <v>42</v>
      </c>
      <c r="D702" s="5" t="s">
        <v>17</v>
      </c>
      <c r="E702" s="6" t="s">
        <v>992</v>
      </c>
      <c r="F702" s="5" t="s">
        <v>26</v>
      </c>
      <c r="G702" s="5" t="s">
        <v>27</v>
      </c>
      <c r="H702" s="5">
        <v>556152.0</v>
      </c>
      <c r="I702" s="5">
        <v>1867.0</v>
      </c>
      <c r="J702" s="5">
        <v>221833.0</v>
      </c>
      <c r="K702" s="5">
        <v>480882.0</v>
      </c>
      <c r="L702" s="5">
        <v>7.0</v>
      </c>
      <c r="M702" s="5">
        <v>1818.100044</v>
      </c>
    </row>
    <row r="703">
      <c r="A703" s="4" t="s">
        <v>1010</v>
      </c>
      <c r="B703" s="5" t="s">
        <v>15</v>
      </c>
      <c r="C703" s="5" t="s">
        <v>31</v>
      </c>
      <c r="D703" s="5" t="s">
        <v>35</v>
      </c>
      <c r="E703" s="6" t="s">
        <v>992</v>
      </c>
      <c r="F703" s="5" t="s">
        <v>19</v>
      </c>
      <c r="G703" s="5" t="s">
        <v>20</v>
      </c>
      <c r="H703" s="5">
        <v>598460.0</v>
      </c>
      <c r="I703" s="5">
        <v>1654.0</v>
      </c>
      <c r="J703" s="5">
        <v>201153.0</v>
      </c>
      <c r="K703" s="5">
        <v>557263.0</v>
      </c>
      <c r="L703" s="5">
        <v>13.0</v>
      </c>
      <c r="M703" s="5">
        <v>1689.744507</v>
      </c>
    </row>
    <row r="704">
      <c r="A704" s="4" t="s">
        <v>1011</v>
      </c>
      <c r="B704" s="5" t="s">
        <v>15</v>
      </c>
      <c r="C704" s="5" t="s">
        <v>16</v>
      </c>
      <c r="D704" s="5" t="s">
        <v>35</v>
      </c>
      <c r="E704" s="6" t="s">
        <v>992</v>
      </c>
      <c r="F704" s="5" t="s">
        <v>19</v>
      </c>
      <c r="G704" s="5" t="s">
        <v>27</v>
      </c>
      <c r="H704" s="5">
        <v>421110.0</v>
      </c>
      <c r="I704" s="5">
        <v>984.0</v>
      </c>
      <c r="J704" s="5">
        <v>212140.0</v>
      </c>
      <c r="K704" s="5">
        <v>389474.0</v>
      </c>
      <c r="L704" s="5">
        <v>4.0</v>
      </c>
      <c r="M704" s="5">
        <v>1635.920216</v>
      </c>
    </row>
    <row r="705">
      <c r="A705" s="4" t="s">
        <v>1012</v>
      </c>
      <c r="B705" s="5" t="s">
        <v>15</v>
      </c>
      <c r="C705" s="5" t="s">
        <v>31</v>
      </c>
      <c r="D705" s="5" t="s">
        <v>45</v>
      </c>
      <c r="E705" s="6" t="s">
        <v>992</v>
      </c>
      <c r="F705" s="5" t="s">
        <v>46</v>
      </c>
      <c r="G705" s="5" t="s">
        <v>52</v>
      </c>
      <c r="H705" s="5">
        <v>59296.0</v>
      </c>
      <c r="I705" s="5">
        <v>170.0</v>
      </c>
      <c r="J705" s="5">
        <v>25482.0</v>
      </c>
      <c r="K705" s="5">
        <v>54149.0</v>
      </c>
      <c r="L705" s="5">
        <v>4.0</v>
      </c>
      <c r="M705" s="5">
        <v>1568.715259</v>
      </c>
    </row>
    <row r="706">
      <c r="A706" s="4" t="s">
        <v>1013</v>
      </c>
      <c r="B706" s="5" t="s">
        <v>15</v>
      </c>
      <c r="C706" s="5" t="s">
        <v>42</v>
      </c>
      <c r="D706" s="5" t="s">
        <v>398</v>
      </c>
      <c r="E706" s="6" t="s">
        <v>992</v>
      </c>
      <c r="F706" s="5" t="s">
        <v>46</v>
      </c>
      <c r="G706" s="5" t="s">
        <v>52</v>
      </c>
      <c r="H706" s="5">
        <v>307888.0</v>
      </c>
      <c r="I706" s="5">
        <v>863.0</v>
      </c>
      <c r="J706" s="5">
        <v>134959.0</v>
      </c>
      <c r="K706" s="5">
        <v>274790.0</v>
      </c>
      <c r="L706" s="5">
        <v>11.0</v>
      </c>
      <c r="M706" s="5">
        <v>1559.643865</v>
      </c>
    </row>
    <row r="707">
      <c r="A707" s="4" t="s">
        <v>1014</v>
      </c>
      <c r="B707" s="5" t="s">
        <v>15</v>
      </c>
      <c r="C707" s="5" t="s">
        <v>23</v>
      </c>
      <c r="D707" s="5" t="s">
        <v>24</v>
      </c>
      <c r="E707" s="6" t="s">
        <v>992</v>
      </c>
      <c r="F707" s="5" t="s">
        <v>46</v>
      </c>
      <c r="G707" s="5" t="s">
        <v>27</v>
      </c>
      <c r="H707" s="5">
        <v>85965.0</v>
      </c>
      <c r="I707" s="5">
        <v>233.0</v>
      </c>
      <c r="J707" s="5">
        <v>33865.0</v>
      </c>
      <c r="K707" s="5">
        <v>78662.0</v>
      </c>
      <c r="L707" s="5">
        <v>3.0</v>
      </c>
      <c r="M707" s="5">
        <v>1555.534812</v>
      </c>
    </row>
    <row r="708">
      <c r="A708" s="4" t="s">
        <v>1015</v>
      </c>
      <c r="B708" s="5" t="s">
        <v>15</v>
      </c>
      <c r="C708" s="5" t="s">
        <v>31</v>
      </c>
      <c r="D708" s="5" t="s">
        <v>55</v>
      </c>
      <c r="E708" s="6" t="s">
        <v>992</v>
      </c>
      <c r="F708" s="5" t="s">
        <v>46</v>
      </c>
      <c r="G708" s="5" t="s">
        <v>27</v>
      </c>
      <c r="H708" s="5">
        <v>335664.0</v>
      </c>
      <c r="I708" s="5">
        <v>852.0</v>
      </c>
      <c r="J708" s="5">
        <v>148742.0</v>
      </c>
      <c r="K708" s="5">
        <v>313071.0</v>
      </c>
      <c r="L708" s="5">
        <v>25.0</v>
      </c>
      <c r="M708" s="5">
        <v>1542.500216</v>
      </c>
    </row>
    <row r="709">
      <c r="A709" s="4" t="s">
        <v>1016</v>
      </c>
      <c r="B709" s="5" t="s">
        <v>22</v>
      </c>
      <c r="C709" s="5" t="s">
        <v>31</v>
      </c>
      <c r="D709" s="5" t="s">
        <v>273</v>
      </c>
      <c r="E709" s="6" t="s">
        <v>992</v>
      </c>
      <c r="F709" s="5" t="s">
        <v>19</v>
      </c>
      <c r="G709" s="5" t="s">
        <v>27</v>
      </c>
      <c r="H709" s="5">
        <v>74516.0</v>
      </c>
      <c r="I709" s="5">
        <v>200.0</v>
      </c>
      <c r="J709" s="5">
        <v>23985.0</v>
      </c>
      <c r="K709" s="5">
        <v>63853.0</v>
      </c>
      <c r="L709" s="5">
        <v>24.0</v>
      </c>
      <c r="M709" s="5">
        <v>1523.783909</v>
      </c>
    </row>
    <row r="710">
      <c r="A710" s="4" t="s">
        <v>1017</v>
      </c>
      <c r="B710" s="5" t="s">
        <v>22</v>
      </c>
      <c r="C710" s="5" t="s">
        <v>42</v>
      </c>
      <c r="D710" s="5" t="s">
        <v>55</v>
      </c>
      <c r="E710" s="6" t="s">
        <v>992</v>
      </c>
      <c r="F710" s="5" t="s">
        <v>19</v>
      </c>
      <c r="G710" s="5" t="s">
        <v>27</v>
      </c>
      <c r="H710" s="5">
        <v>263752.0</v>
      </c>
      <c r="I710" s="5">
        <v>702.0</v>
      </c>
      <c r="J710" s="5">
        <v>127042.0</v>
      </c>
      <c r="K710" s="5">
        <v>225121.0</v>
      </c>
      <c r="L710" s="5">
        <v>4.0</v>
      </c>
      <c r="M710" s="5">
        <v>1465.51471</v>
      </c>
    </row>
    <row r="711">
      <c r="A711" s="4" t="s">
        <v>1018</v>
      </c>
      <c r="B711" s="5" t="s">
        <v>22</v>
      </c>
      <c r="C711" s="5" t="s">
        <v>42</v>
      </c>
      <c r="D711" s="5" t="s">
        <v>398</v>
      </c>
      <c r="E711" s="6" t="s">
        <v>992</v>
      </c>
      <c r="F711" s="5" t="s">
        <v>46</v>
      </c>
      <c r="G711" s="5" t="s">
        <v>27</v>
      </c>
      <c r="H711" s="5">
        <v>507889.0</v>
      </c>
      <c r="I711" s="5">
        <v>823.0</v>
      </c>
      <c r="J711" s="5">
        <v>176329.0</v>
      </c>
      <c r="K711" s="5">
        <v>450103.0</v>
      </c>
      <c r="L711" s="5">
        <v>78.0</v>
      </c>
      <c r="M711" s="5">
        <v>1440.745362</v>
      </c>
    </row>
    <row r="712">
      <c r="A712" s="4" t="s">
        <v>1019</v>
      </c>
      <c r="B712" s="5" t="s">
        <v>22</v>
      </c>
      <c r="C712" s="5" t="s">
        <v>23</v>
      </c>
      <c r="D712" s="5" t="s">
        <v>84</v>
      </c>
      <c r="E712" s="6" t="s">
        <v>1020</v>
      </c>
      <c r="F712" s="5" t="s">
        <v>19</v>
      </c>
      <c r="G712" s="5" t="s">
        <v>27</v>
      </c>
      <c r="H712" s="5">
        <v>61474.0</v>
      </c>
      <c r="I712" s="5">
        <v>250.0</v>
      </c>
      <c r="J712" s="5">
        <v>31245.0</v>
      </c>
      <c r="K712" s="5">
        <v>49089.0</v>
      </c>
      <c r="L712" s="5">
        <v>15.0</v>
      </c>
      <c r="M712" s="5">
        <v>2189.341349</v>
      </c>
    </row>
    <row r="713">
      <c r="A713" s="4" t="s">
        <v>1021</v>
      </c>
      <c r="B713" s="5" t="s">
        <v>22</v>
      </c>
      <c r="C713" s="5" t="s">
        <v>16</v>
      </c>
      <c r="D713" s="5" t="s">
        <v>29</v>
      </c>
      <c r="E713" s="6" t="s">
        <v>1020</v>
      </c>
      <c r="F713" s="5" t="s">
        <v>19</v>
      </c>
      <c r="G713" s="5" t="s">
        <v>27</v>
      </c>
      <c r="H713" s="5">
        <v>14890.0</v>
      </c>
      <c r="I713" s="5">
        <v>60.0</v>
      </c>
      <c r="J713" s="5">
        <v>6248.0</v>
      </c>
      <c r="K713" s="5">
        <v>11493.0</v>
      </c>
      <c r="L713" s="5">
        <v>6.0</v>
      </c>
      <c r="M713" s="5">
        <v>1982.416484</v>
      </c>
    </row>
    <row r="714">
      <c r="A714" s="4" t="s">
        <v>1022</v>
      </c>
      <c r="B714" s="5" t="s">
        <v>15</v>
      </c>
      <c r="C714" s="5" t="s">
        <v>42</v>
      </c>
      <c r="D714" s="5" t="s">
        <v>35</v>
      </c>
      <c r="E714" s="6" t="s">
        <v>1020</v>
      </c>
      <c r="F714" s="5" t="s">
        <v>117</v>
      </c>
      <c r="G714" s="5" t="s">
        <v>27</v>
      </c>
      <c r="H714" s="5">
        <v>61227.0</v>
      </c>
      <c r="I714" s="5">
        <v>174.0</v>
      </c>
      <c r="J714" s="5">
        <v>10434.0</v>
      </c>
      <c r="K714" s="5">
        <v>53104.0</v>
      </c>
      <c r="L714" s="5">
        <v>8.0</v>
      </c>
      <c r="M714" s="5">
        <v>1919.553678</v>
      </c>
    </row>
    <row r="715">
      <c r="A715" s="4" t="s">
        <v>1023</v>
      </c>
      <c r="B715" s="5" t="s">
        <v>22</v>
      </c>
      <c r="C715" s="5" t="s">
        <v>16</v>
      </c>
      <c r="D715" s="5" t="s">
        <v>35</v>
      </c>
      <c r="E715" s="6" t="s">
        <v>1024</v>
      </c>
      <c r="F715" s="5" t="s">
        <v>19</v>
      </c>
      <c r="G715" s="5" t="s">
        <v>27</v>
      </c>
      <c r="H715" s="5">
        <v>18516.0</v>
      </c>
      <c r="I715" s="5">
        <v>68.0</v>
      </c>
      <c r="J715" s="5">
        <v>8191.0</v>
      </c>
      <c r="K715" s="5">
        <v>13641.0</v>
      </c>
      <c r="L715" s="5">
        <v>13.0</v>
      </c>
      <c r="M715" s="5">
        <v>5087.561715</v>
      </c>
    </row>
    <row r="716">
      <c r="A716" s="4" t="s">
        <v>1025</v>
      </c>
      <c r="B716" s="5" t="s">
        <v>15</v>
      </c>
      <c r="C716" s="5" t="s">
        <v>16</v>
      </c>
      <c r="D716" s="5" t="s">
        <v>55</v>
      </c>
      <c r="E716" s="6" t="s">
        <v>1024</v>
      </c>
      <c r="F716" s="5" t="s">
        <v>19</v>
      </c>
      <c r="G716" s="5" t="s">
        <v>27</v>
      </c>
      <c r="H716" s="5">
        <v>11420.0</v>
      </c>
      <c r="I716" s="5">
        <v>67.0</v>
      </c>
      <c r="J716" s="5">
        <v>4647.0</v>
      </c>
      <c r="K716" s="5">
        <v>9909.0</v>
      </c>
      <c r="L716" s="5">
        <v>9.0</v>
      </c>
      <c r="M716" s="5">
        <v>3804.64417</v>
      </c>
    </row>
    <row r="717">
      <c r="A717" s="4" t="s">
        <v>1026</v>
      </c>
      <c r="B717" s="5" t="s">
        <v>61</v>
      </c>
      <c r="C717" s="5" t="s">
        <v>16</v>
      </c>
      <c r="D717" s="5" t="s">
        <v>55</v>
      </c>
      <c r="E717" s="6" t="s">
        <v>1027</v>
      </c>
      <c r="F717" s="5" t="s">
        <v>19</v>
      </c>
      <c r="G717" s="5" t="s">
        <v>27</v>
      </c>
      <c r="H717" s="5">
        <v>10906.0</v>
      </c>
      <c r="I717" s="5">
        <v>46.0</v>
      </c>
      <c r="J717" s="5">
        <v>4735.0</v>
      </c>
      <c r="K717" s="5">
        <v>6390.0</v>
      </c>
      <c r="L717" s="5">
        <v>3.0</v>
      </c>
      <c r="M717" s="5">
        <v>5694.27094</v>
      </c>
    </row>
    <row r="718">
      <c r="A718" s="4" t="s">
        <v>1028</v>
      </c>
      <c r="B718" s="5" t="s">
        <v>15</v>
      </c>
      <c r="C718" s="5" t="s">
        <v>42</v>
      </c>
      <c r="D718" s="5" t="s">
        <v>29</v>
      </c>
      <c r="E718" s="6" t="s">
        <v>1029</v>
      </c>
      <c r="F718" s="5" t="s">
        <v>46</v>
      </c>
      <c r="G718" s="5" t="s">
        <v>20</v>
      </c>
      <c r="H718" s="5">
        <v>7585.0</v>
      </c>
      <c r="I718" s="5">
        <v>13.0</v>
      </c>
      <c r="J718" s="5">
        <v>5396.0</v>
      </c>
      <c r="K718" s="5">
        <v>7417.0</v>
      </c>
      <c r="L718" s="5">
        <v>24.0</v>
      </c>
      <c r="M718" s="5">
        <v>7082.653802</v>
      </c>
    </row>
    <row r="719">
      <c r="A719" s="4" t="s">
        <v>1030</v>
      </c>
      <c r="B719" s="5" t="s">
        <v>22</v>
      </c>
      <c r="C719" s="5" t="s">
        <v>16</v>
      </c>
      <c r="D719" s="5" t="s">
        <v>55</v>
      </c>
      <c r="E719" s="6" t="s">
        <v>1029</v>
      </c>
      <c r="F719" s="5" t="s">
        <v>117</v>
      </c>
      <c r="G719" s="5" t="s">
        <v>27</v>
      </c>
      <c r="H719" s="5">
        <v>12692.0</v>
      </c>
      <c r="I719" s="5">
        <v>105.0</v>
      </c>
      <c r="J719" s="5">
        <v>9048.0</v>
      </c>
      <c r="K719" s="5">
        <v>12326.0</v>
      </c>
      <c r="L719" s="5">
        <v>14.0</v>
      </c>
      <c r="M719" s="5">
        <v>1541.719598</v>
      </c>
    </row>
    <row r="720">
      <c r="A720" s="4" t="s">
        <v>1031</v>
      </c>
      <c r="B720" s="5" t="s">
        <v>22</v>
      </c>
      <c r="C720" s="5" t="s">
        <v>31</v>
      </c>
      <c r="D720" s="5" t="s">
        <v>17</v>
      </c>
      <c r="E720" s="6" t="s">
        <v>1032</v>
      </c>
      <c r="F720" s="5" t="s">
        <v>19</v>
      </c>
      <c r="G720" s="5" t="s">
        <v>27</v>
      </c>
      <c r="H720" s="5">
        <v>318269.0</v>
      </c>
      <c r="I720" s="5">
        <v>914.0</v>
      </c>
      <c r="J720" s="5">
        <v>33355.0</v>
      </c>
      <c r="K720" s="5">
        <v>295405.0</v>
      </c>
      <c r="L720" s="5">
        <v>44.0</v>
      </c>
      <c r="M720" s="5">
        <v>7854.731991</v>
      </c>
    </row>
    <row r="721">
      <c r="A721" s="4" t="s">
        <v>1033</v>
      </c>
      <c r="B721" s="5" t="s">
        <v>15</v>
      </c>
      <c r="C721" s="5" t="s">
        <v>42</v>
      </c>
      <c r="D721" s="5" t="s">
        <v>35</v>
      </c>
      <c r="E721" s="6" t="s">
        <v>1032</v>
      </c>
      <c r="F721" s="5" t="s">
        <v>117</v>
      </c>
      <c r="G721" s="5" t="s">
        <v>20</v>
      </c>
      <c r="H721" s="5">
        <v>26212.0</v>
      </c>
      <c r="I721" s="5">
        <v>77.0</v>
      </c>
      <c r="J721" s="5">
        <v>12726.0</v>
      </c>
      <c r="K721" s="5">
        <v>24442.0</v>
      </c>
      <c r="L721" s="5">
        <v>15.0</v>
      </c>
      <c r="M721" s="5">
        <v>6452.93501</v>
      </c>
    </row>
    <row r="722">
      <c r="A722" s="4" t="s">
        <v>1034</v>
      </c>
      <c r="B722" s="5" t="s">
        <v>15</v>
      </c>
      <c r="C722" s="5" t="s">
        <v>16</v>
      </c>
      <c r="D722" s="5" t="s">
        <v>17</v>
      </c>
      <c r="E722" s="6" t="s">
        <v>1032</v>
      </c>
      <c r="F722" s="5" t="s">
        <v>19</v>
      </c>
      <c r="G722" s="5" t="s">
        <v>20</v>
      </c>
      <c r="H722" s="5">
        <v>20833.0</v>
      </c>
      <c r="I722" s="5">
        <v>87.0</v>
      </c>
      <c r="J722" s="5">
        <v>1777.0</v>
      </c>
      <c r="K722" s="5">
        <v>17211.0</v>
      </c>
      <c r="L722" s="5">
        <v>9.0</v>
      </c>
      <c r="M722" s="5">
        <v>5542.512181</v>
      </c>
    </row>
    <row r="723">
      <c r="A723" s="4" t="s">
        <v>1035</v>
      </c>
      <c r="B723" s="5" t="s">
        <v>22</v>
      </c>
      <c r="C723" s="5" t="s">
        <v>31</v>
      </c>
      <c r="D723" s="5" t="s">
        <v>150</v>
      </c>
      <c r="E723" s="6" t="s">
        <v>1032</v>
      </c>
      <c r="F723" s="5" t="s">
        <v>26</v>
      </c>
      <c r="G723" s="5" t="s">
        <v>27</v>
      </c>
      <c r="H723" s="5">
        <v>14181.0</v>
      </c>
      <c r="I723" s="5">
        <v>65.0</v>
      </c>
      <c r="J723" s="5">
        <v>7106.0</v>
      </c>
      <c r="K723" s="5">
        <v>13189.0</v>
      </c>
      <c r="L723" s="5">
        <v>17.0</v>
      </c>
      <c r="M723" s="5">
        <v>2912.467156</v>
      </c>
    </row>
    <row r="724">
      <c r="A724" s="4" t="s">
        <v>1036</v>
      </c>
      <c r="B724" s="5" t="s">
        <v>22</v>
      </c>
      <c r="C724" s="5" t="s">
        <v>16</v>
      </c>
      <c r="D724" s="5" t="s">
        <v>84</v>
      </c>
      <c r="E724" s="6" t="s">
        <v>1032</v>
      </c>
      <c r="F724" s="5" t="s">
        <v>19</v>
      </c>
      <c r="G724" s="5" t="s">
        <v>27</v>
      </c>
      <c r="H724" s="5">
        <v>304377.0</v>
      </c>
      <c r="I724" s="5">
        <v>801.0</v>
      </c>
      <c r="J724" s="5">
        <v>27519.0</v>
      </c>
      <c r="K724" s="5">
        <v>270098.0</v>
      </c>
      <c r="L724" s="5">
        <v>63.0</v>
      </c>
      <c r="M724" s="5">
        <v>1595.48714</v>
      </c>
    </row>
    <row r="725">
      <c r="A725" s="4" t="s">
        <v>1037</v>
      </c>
      <c r="B725" s="5" t="s">
        <v>15</v>
      </c>
      <c r="C725" s="5" t="s">
        <v>42</v>
      </c>
      <c r="D725" s="5" t="s">
        <v>78</v>
      </c>
      <c r="E725" s="6" t="s">
        <v>1032</v>
      </c>
      <c r="F725" s="5" t="s">
        <v>19</v>
      </c>
      <c r="G725" s="5" t="s">
        <v>27</v>
      </c>
      <c r="H725" s="5">
        <v>312206.0</v>
      </c>
      <c r="I725" s="5">
        <v>841.0</v>
      </c>
      <c r="J725" s="5">
        <v>35661.0</v>
      </c>
      <c r="K725" s="5">
        <v>292992.0</v>
      </c>
      <c r="L725" s="5">
        <v>5.0</v>
      </c>
      <c r="M725" s="5">
        <v>1550.938318</v>
      </c>
    </row>
    <row r="726">
      <c r="A726" s="4" t="s">
        <v>1038</v>
      </c>
      <c r="B726" s="5" t="s">
        <v>15</v>
      </c>
      <c r="C726" s="5" t="s">
        <v>42</v>
      </c>
      <c r="D726" s="5" t="s">
        <v>84</v>
      </c>
      <c r="E726" s="6" t="s">
        <v>1032</v>
      </c>
      <c r="F726" s="5" t="s">
        <v>46</v>
      </c>
      <c r="G726" s="5" t="s">
        <v>27</v>
      </c>
      <c r="H726" s="5">
        <v>9790.0</v>
      </c>
      <c r="I726" s="5">
        <v>24.0</v>
      </c>
      <c r="J726" s="5">
        <v>1295.0</v>
      </c>
      <c r="K726" s="5">
        <v>9196.0</v>
      </c>
      <c r="L726" s="5">
        <v>2.0</v>
      </c>
      <c r="M726" s="5">
        <v>1532.148881</v>
      </c>
    </row>
    <row r="727">
      <c r="A727" s="4" t="s">
        <v>1039</v>
      </c>
      <c r="B727" s="5" t="s">
        <v>61</v>
      </c>
      <c r="C727" s="5" t="s">
        <v>23</v>
      </c>
      <c r="D727" s="5" t="s">
        <v>131</v>
      </c>
      <c r="E727" s="6" t="s">
        <v>1032</v>
      </c>
      <c r="F727" s="5" t="s">
        <v>80</v>
      </c>
      <c r="G727" s="5" t="s">
        <v>27</v>
      </c>
      <c r="H727" s="5">
        <v>130602.0</v>
      </c>
      <c r="I727" s="5">
        <v>269.0</v>
      </c>
      <c r="J727" s="5">
        <v>11736.0</v>
      </c>
      <c r="K727" s="5">
        <v>113735.0</v>
      </c>
      <c r="L727" s="5">
        <v>4.0</v>
      </c>
      <c r="M727" s="5">
        <v>1507.84712</v>
      </c>
    </row>
    <row r="728">
      <c r="A728" s="4" t="s">
        <v>1040</v>
      </c>
      <c r="B728" s="5" t="s">
        <v>22</v>
      </c>
      <c r="C728" s="5" t="s">
        <v>23</v>
      </c>
      <c r="D728" s="5" t="s">
        <v>35</v>
      </c>
      <c r="E728" s="6" t="s">
        <v>1041</v>
      </c>
      <c r="F728" s="5" t="s">
        <v>26</v>
      </c>
      <c r="G728" s="5" t="s">
        <v>27</v>
      </c>
      <c r="H728" s="5">
        <v>10903.0</v>
      </c>
      <c r="I728" s="5">
        <v>35.0</v>
      </c>
      <c r="J728" s="5">
        <v>3776.0</v>
      </c>
      <c r="K728" s="5">
        <v>9581.0</v>
      </c>
      <c r="L728" s="5">
        <v>2.0</v>
      </c>
      <c r="M728" s="5">
        <v>1460.009754</v>
      </c>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s>
  <drawing r:id="rId7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52.5"/>
    <col customWidth="1" min="10" max="10" width="13.25"/>
    <col customWidth="1" min="11" max="11" width="34.25"/>
    <col customWidth="1" min="12" max="13" width="49.25"/>
    <col customWidth="1" min="14" max="14" width="35.5"/>
    <col customWidth="1" min="15" max="15" width="19.63"/>
    <col customWidth="1" min="16" max="16" width="23.0"/>
    <col customWidth="1" min="17" max="17" width="15.63"/>
    <col customWidth="1" min="18" max="18" width="18.38"/>
    <col customWidth="1" min="19" max="19" width="29.13"/>
    <col customWidth="1" min="20" max="20" width="28.5"/>
    <col customWidth="1" min="21" max="21" width="22.0"/>
    <col customWidth="1" min="22" max="34" width="49.25"/>
  </cols>
  <sheetData>
    <row r="1" ht="54.0" customHeight="1">
      <c r="A1" s="1" t="s">
        <v>0</v>
      </c>
      <c r="B1" s="1"/>
      <c r="C1" s="1"/>
      <c r="D1" s="1"/>
      <c r="E1" s="1"/>
      <c r="F1" s="1"/>
      <c r="G1" s="1"/>
      <c r="H1" s="1"/>
      <c r="I1" s="1"/>
      <c r="J1" s="2" t="s">
        <v>1</v>
      </c>
      <c r="K1" s="2" t="s">
        <v>2</v>
      </c>
      <c r="L1" s="2" t="s">
        <v>3</v>
      </c>
      <c r="M1" s="2" t="s">
        <v>4</v>
      </c>
      <c r="N1" s="2" t="s">
        <v>5</v>
      </c>
      <c r="O1" s="2" t="s">
        <v>6</v>
      </c>
      <c r="P1" s="2" t="s">
        <v>7</v>
      </c>
      <c r="Q1" s="2" t="s">
        <v>8</v>
      </c>
      <c r="R1" s="2" t="s">
        <v>9</v>
      </c>
      <c r="S1" s="2" t="s">
        <v>10</v>
      </c>
      <c r="T1" s="2" t="s">
        <v>11</v>
      </c>
      <c r="U1" s="2" t="s">
        <v>12</v>
      </c>
      <c r="V1" s="3"/>
      <c r="W1" s="3"/>
      <c r="X1" s="3"/>
      <c r="Y1" s="3"/>
      <c r="Z1" s="3"/>
      <c r="AA1" s="3"/>
      <c r="AB1" s="3"/>
      <c r="AC1" s="3"/>
      <c r="AD1" s="3"/>
      <c r="AE1" s="3"/>
      <c r="AF1" s="3"/>
      <c r="AG1" s="3"/>
      <c r="AH1" s="3"/>
    </row>
    <row r="2" hidden="1">
      <c r="A2" s="4" t="s">
        <v>1042</v>
      </c>
      <c r="B2" s="4" t="str">
        <f>IFERROR(__xludf.DUMMYFUNCTION("SPLIT(A2,""&gt;"")"),"Online Behavior")</f>
        <v>Online Behavior</v>
      </c>
      <c r="C2" s="4" t="str">
        <f>IFERROR(__xludf.DUMMYFUNCTION("""COMPUTED_VALUE"""),"United States")</f>
        <v>United States</v>
      </c>
      <c r="D2" s="4" t="str">
        <f>IFERROR(__xludf.DUMMYFUNCTION("""COMPUTED_VALUE"""),"Validated Demographic")</f>
        <v>Validated Demographic</v>
      </c>
      <c r="E2" s="4" t="str">
        <f>IFERROR(__xludf.DUMMYFUNCTION("""COMPUTED_VALUE"""),"Gender and Age Combined")</f>
        <v>Gender and Age Combined</v>
      </c>
      <c r="F2" s="4" t="str">
        <f>IFERROR(__xludf.DUMMYFUNCTION("""COMPUTED_VALUE"""),"Females 25 or older")</f>
        <v>Females 25 or older</v>
      </c>
      <c r="G2" s="4"/>
      <c r="H2" s="4"/>
      <c r="I2" s="4"/>
      <c r="J2" s="5" t="s">
        <v>15</v>
      </c>
      <c r="K2" s="5" t="s">
        <v>16</v>
      </c>
      <c r="L2" s="5" t="s">
        <v>17</v>
      </c>
      <c r="M2" s="6" t="s">
        <v>18</v>
      </c>
      <c r="N2" s="5" t="s">
        <v>19</v>
      </c>
      <c r="O2" s="5" t="s">
        <v>20</v>
      </c>
      <c r="P2" s="5">
        <v>10524.0</v>
      </c>
      <c r="Q2" s="5">
        <v>55.0</v>
      </c>
      <c r="R2" s="5">
        <v>7601.0</v>
      </c>
      <c r="S2" s="5">
        <v>10242.0</v>
      </c>
      <c r="T2" s="5">
        <v>11.0</v>
      </c>
      <c r="U2" s="9">
        <v>6136.133902</v>
      </c>
    </row>
    <row r="3">
      <c r="A3" s="4" t="s">
        <v>1043</v>
      </c>
      <c r="B3" s="4" t="str">
        <f>IFERROR(__xludf.DUMMYFUNCTION("SPLIT(A3,""&gt;"")"),"Online Behavior")</f>
        <v>Online Behavior</v>
      </c>
      <c r="C3" s="4" t="str">
        <f>IFERROR(__xludf.DUMMYFUNCTION("""COMPUTED_VALUE"""),"United States")</f>
        <v>United States</v>
      </c>
      <c r="D3" s="4" t="str">
        <f>IFERROR(__xludf.DUMMYFUNCTION("""COMPUTED_VALUE"""),"Finance")</f>
        <v>Finance</v>
      </c>
      <c r="E3" s="4" t="str">
        <f>IFERROR(__xludf.DUMMYFUNCTION("""COMPUTED_VALUE"""),"Financial Planning and Management")</f>
        <v>Financial Planning and Management</v>
      </c>
      <c r="F3" s="4" t="str">
        <f>IFERROR(__xludf.DUMMYFUNCTION("""COMPUTED_VALUE"""),"Retirement and Pension")</f>
        <v>Retirement and Pension</v>
      </c>
      <c r="G3" s="4"/>
      <c r="H3" s="4"/>
      <c r="I3" s="4"/>
      <c r="J3" s="5" t="s">
        <v>22</v>
      </c>
      <c r="K3" s="5" t="s">
        <v>23</v>
      </c>
      <c r="L3" s="5" t="s">
        <v>24</v>
      </c>
      <c r="M3" s="6" t="s">
        <v>25</v>
      </c>
      <c r="N3" s="5" t="s">
        <v>26</v>
      </c>
      <c r="O3" s="5" t="s">
        <v>27</v>
      </c>
      <c r="P3" s="5">
        <v>18324.0</v>
      </c>
      <c r="Q3" s="5">
        <v>60.0</v>
      </c>
      <c r="R3" s="5">
        <v>3145.0</v>
      </c>
      <c r="S3" s="5">
        <v>13703.0</v>
      </c>
      <c r="T3" s="5">
        <v>8.0</v>
      </c>
      <c r="U3" s="9">
        <v>6996.231838</v>
      </c>
    </row>
    <row r="4">
      <c r="A4" s="4" t="s">
        <v>1044</v>
      </c>
      <c r="B4" s="4" t="str">
        <f>IFERROR(__xludf.DUMMYFUNCTION("SPLIT(A4,""&gt;"")"),"Online Behavior")</f>
        <v>Online Behavior</v>
      </c>
      <c r="C4" s="4" t="str">
        <f>IFERROR(__xludf.DUMMYFUNCTION("""COMPUTED_VALUE"""),"United States")</f>
        <v>United States</v>
      </c>
      <c r="D4" s="4" t="str">
        <f>IFERROR(__xludf.DUMMYFUNCTION("""COMPUTED_VALUE"""),"Hobbies and Leisure")</f>
        <v>Hobbies and Leisure</v>
      </c>
      <c r="E4" s="4" t="str">
        <f>IFERROR(__xludf.DUMMYFUNCTION("""COMPUTED_VALUE"""),"Outdoors")</f>
        <v>Outdoors</v>
      </c>
      <c r="F4" s="4" t="str">
        <f>IFERROR(__xludf.DUMMYFUNCTION("""COMPUTED_VALUE"""),"Equestrian")</f>
        <v>Equestrian</v>
      </c>
      <c r="G4" s="4"/>
      <c r="H4" s="4"/>
      <c r="I4" s="4"/>
      <c r="J4" s="5" t="s">
        <v>15</v>
      </c>
      <c r="K4" s="5" t="s">
        <v>16</v>
      </c>
      <c r="L4" s="5" t="s">
        <v>29</v>
      </c>
      <c r="M4" s="6" t="s">
        <v>25</v>
      </c>
      <c r="N4" s="5" t="s">
        <v>19</v>
      </c>
      <c r="O4" s="5" t="s">
        <v>27</v>
      </c>
      <c r="P4" s="5">
        <v>7862.0</v>
      </c>
      <c r="Q4" s="5">
        <v>20.0</v>
      </c>
      <c r="R4" s="5">
        <v>2152.0</v>
      </c>
      <c r="S4" s="5">
        <v>6039.0</v>
      </c>
      <c r="T4" s="5">
        <v>2.0</v>
      </c>
      <c r="U4" s="9">
        <v>6506.433687</v>
      </c>
    </row>
    <row r="5">
      <c r="A5" s="4" t="s">
        <v>1045</v>
      </c>
      <c r="B5" s="4" t="str">
        <f>IFERROR(__xludf.DUMMYFUNCTION("SPLIT(A5,""&gt;"")"),"Online Behavior")</f>
        <v>Online Behavior</v>
      </c>
      <c r="C5" s="4" t="str">
        <f>IFERROR(__xludf.DUMMYFUNCTION("""COMPUTED_VALUE"""),"United States")</f>
        <v>United States</v>
      </c>
      <c r="D5" s="4" t="str">
        <f>IFERROR(__xludf.DUMMYFUNCTION("""COMPUTED_VALUE"""),"Intent")</f>
        <v>Intent</v>
      </c>
      <c r="E5" s="4" t="str">
        <f>IFERROR(__xludf.DUMMYFUNCTION("""COMPUTED_VALUE"""),"Auto Buyers")</f>
        <v>Auto Buyers</v>
      </c>
      <c r="F5" s="4" t="str">
        <f>IFERROR(__xludf.DUMMYFUNCTION("""COMPUTED_VALUE"""),"Car Make")</f>
        <v>Car Make</v>
      </c>
      <c r="G5" s="4" t="str">
        <f>IFERROR(__xludf.DUMMYFUNCTION("""COMPUTED_VALUE"""),"Audi Q")</f>
        <v>Audi Q</v>
      </c>
      <c r="H5" s="4"/>
      <c r="I5" s="4"/>
      <c r="J5" s="5" t="s">
        <v>15</v>
      </c>
      <c r="K5" s="5" t="s">
        <v>31</v>
      </c>
      <c r="L5" s="5" t="s">
        <v>32</v>
      </c>
      <c r="M5" s="6" t="s">
        <v>25</v>
      </c>
      <c r="N5" s="5" t="s">
        <v>1046</v>
      </c>
      <c r="O5" s="5" t="s">
        <v>27</v>
      </c>
      <c r="P5" s="5">
        <v>10501.0</v>
      </c>
      <c r="Q5" s="5">
        <v>90.0</v>
      </c>
      <c r="R5" s="5">
        <v>4126.0</v>
      </c>
      <c r="S5" s="5">
        <v>7654.0</v>
      </c>
      <c r="T5" s="5">
        <v>8.0</v>
      </c>
      <c r="U5" s="9">
        <v>6244.517921</v>
      </c>
    </row>
    <row r="6" hidden="1">
      <c r="A6" s="4" t="s">
        <v>1047</v>
      </c>
      <c r="B6" s="4" t="str">
        <f>IFERROR(__xludf.DUMMYFUNCTION("SPLIT(A6,""&gt;"")"),"Online Behavior")</f>
        <v>Online Behavior</v>
      </c>
      <c r="C6" s="4" t="str">
        <f>IFERROR(__xludf.DUMMYFUNCTION("""COMPUTED_VALUE"""),"United States")</f>
        <v>United States</v>
      </c>
      <c r="D6" s="4" t="str">
        <f>IFERROR(__xludf.DUMMYFUNCTION("""COMPUTED_VALUE"""),"Beauty and Fitness")</f>
        <v>Beauty and Fitness</v>
      </c>
      <c r="E6" s="4" t="str">
        <f>IFERROR(__xludf.DUMMYFUNCTION("""COMPUTED_VALUE"""),"Fitness")</f>
        <v>Fitness</v>
      </c>
      <c r="F6" s="4" t="str">
        <f>IFERROR(__xludf.DUMMYFUNCTION("""COMPUTED_VALUE"""),"Fitness Instruction and Personal Training")</f>
        <v>Fitness Instruction and Personal Training</v>
      </c>
      <c r="G6" s="4"/>
      <c r="H6" s="4"/>
      <c r="I6" s="4"/>
      <c r="J6" s="5" t="s">
        <v>15</v>
      </c>
      <c r="K6" s="5" t="s">
        <v>31</v>
      </c>
      <c r="L6" s="5" t="s">
        <v>35</v>
      </c>
      <c r="M6" s="6" t="s">
        <v>25</v>
      </c>
      <c r="N6" s="5" t="s">
        <v>36</v>
      </c>
      <c r="O6" s="5" t="s">
        <v>20</v>
      </c>
      <c r="P6" s="5">
        <v>23156.0</v>
      </c>
      <c r="Q6" s="5">
        <v>73.0</v>
      </c>
      <c r="R6" s="5">
        <v>4468.0</v>
      </c>
      <c r="S6" s="5">
        <v>18821.0</v>
      </c>
      <c r="T6" s="5">
        <v>15.0</v>
      </c>
      <c r="U6" s="9">
        <v>6173.41289</v>
      </c>
    </row>
    <row r="7">
      <c r="A7" s="4" t="s">
        <v>1048</v>
      </c>
      <c r="B7" s="4" t="str">
        <f>IFERROR(__xludf.DUMMYFUNCTION("SPLIT(A7,""&gt;"")"),"Online Behavior")</f>
        <v>Online Behavior</v>
      </c>
      <c r="C7" s="4" t="str">
        <f>IFERROR(__xludf.DUMMYFUNCTION("""COMPUTED_VALUE"""),"United States")</f>
        <v>United States</v>
      </c>
      <c r="D7" s="4" t="str">
        <f>IFERROR(__xludf.DUMMYFUNCTION("""COMPUTED_VALUE"""),"Autos and Vehicles")</f>
        <v>Autos and Vehicles</v>
      </c>
      <c r="E7" s="4" t="str">
        <f>IFERROR(__xludf.DUMMYFUNCTION("""COMPUTED_VALUE"""),"Brands")</f>
        <v>Brands</v>
      </c>
      <c r="F7" s="4" t="str">
        <f>IFERROR(__xludf.DUMMYFUNCTION("""COMPUTED_VALUE"""),"Jeep")</f>
        <v>Jeep</v>
      </c>
      <c r="G7" s="4"/>
      <c r="H7" s="4"/>
      <c r="I7" s="4"/>
      <c r="J7" s="5" t="s">
        <v>22</v>
      </c>
      <c r="K7" s="5" t="s">
        <v>31</v>
      </c>
      <c r="L7" s="5" t="s">
        <v>17</v>
      </c>
      <c r="M7" s="6" t="s">
        <v>25</v>
      </c>
      <c r="N7" s="5" t="s">
        <v>19</v>
      </c>
      <c r="O7" s="5" t="s">
        <v>27</v>
      </c>
      <c r="P7" s="5">
        <v>23711.0</v>
      </c>
      <c r="Q7" s="5">
        <v>69.0</v>
      </c>
      <c r="R7" s="5">
        <v>4337.0</v>
      </c>
      <c r="S7" s="5">
        <v>17211.0</v>
      </c>
      <c r="T7" s="5">
        <v>8.0</v>
      </c>
      <c r="U7" s="9">
        <v>5740.952219</v>
      </c>
    </row>
    <row r="8">
      <c r="A8" s="4" t="s">
        <v>1049</v>
      </c>
      <c r="B8" s="4" t="str">
        <f>IFERROR(__xludf.DUMMYFUNCTION("SPLIT(A8,""&gt;"")"),"Online Behavior")</f>
        <v>Online Behavior</v>
      </c>
      <c r="C8" s="4" t="str">
        <f>IFERROR(__xludf.DUMMYFUNCTION("""COMPUTED_VALUE"""),"United States")</f>
        <v>United States</v>
      </c>
      <c r="D8" s="4" t="str">
        <f>IFERROR(__xludf.DUMMYFUNCTION("""COMPUTED_VALUE"""),"Autos and Vehicles")</f>
        <v>Autos and Vehicles</v>
      </c>
      <c r="E8" s="4" t="str">
        <f>IFERROR(__xludf.DUMMYFUNCTION("""COMPUTED_VALUE"""),"Brands")</f>
        <v>Brands</v>
      </c>
      <c r="F8" s="4" t="str">
        <f>IFERROR(__xludf.DUMMYFUNCTION("""COMPUTED_VALUE"""),"Mercedes-Benz")</f>
        <v>Mercedes-Benz</v>
      </c>
      <c r="G8" s="4"/>
      <c r="H8" s="4"/>
      <c r="I8" s="4"/>
      <c r="J8" s="5" t="s">
        <v>22</v>
      </c>
      <c r="K8" s="5" t="s">
        <v>16</v>
      </c>
      <c r="L8" s="5" t="s">
        <v>39</v>
      </c>
      <c r="M8" s="6" t="s">
        <v>25</v>
      </c>
      <c r="N8" s="5" t="s">
        <v>26</v>
      </c>
      <c r="O8" s="5" t="s">
        <v>27</v>
      </c>
      <c r="P8" s="5">
        <v>23965.0</v>
      </c>
      <c r="Q8" s="5">
        <v>270.0</v>
      </c>
      <c r="R8" s="5">
        <v>13608.0</v>
      </c>
      <c r="S8" s="5">
        <v>21704.0</v>
      </c>
      <c r="T8" s="5">
        <v>12.0</v>
      </c>
      <c r="U8" s="9">
        <v>5706.864417</v>
      </c>
    </row>
    <row r="9">
      <c r="A9" s="4" t="s">
        <v>1050</v>
      </c>
      <c r="B9" s="4" t="str">
        <f>IFERROR(__xludf.DUMMYFUNCTION("SPLIT(A9,""&gt;"")"),"Online Behavior")</f>
        <v>Online Behavior</v>
      </c>
      <c r="C9" s="4" t="str">
        <f>IFERROR(__xludf.DUMMYFUNCTION("""COMPUTED_VALUE"""),"United States")</f>
        <v>United States</v>
      </c>
      <c r="D9" s="4" t="str">
        <f>IFERROR(__xludf.DUMMYFUNCTION("""COMPUTED_VALUE"""),"Validated Demographic")</f>
        <v>Validated Demographic</v>
      </c>
      <c r="E9" s="4" t="str">
        <f>IFERROR(__xludf.DUMMYFUNCTION("""COMPUTED_VALUE"""),"Gender and Age Combined")</f>
        <v>Gender and Age Combined</v>
      </c>
      <c r="F9" s="4" t="str">
        <f>IFERROR(__xludf.DUMMYFUNCTION("""COMPUTED_VALUE"""),"Males 18-54")</f>
        <v>Males 18-54</v>
      </c>
      <c r="G9" s="4"/>
      <c r="H9" s="4"/>
      <c r="I9" s="4"/>
      <c r="J9" s="5" t="s">
        <v>15</v>
      </c>
      <c r="K9" s="5" t="s">
        <v>31</v>
      </c>
      <c r="L9" s="5" t="s">
        <v>39</v>
      </c>
      <c r="M9" s="6" t="s">
        <v>25</v>
      </c>
      <c r="N9" s="5" t="s">
        <v>19</v>
      </c>
      <c r="O9" s="5" t="s">
        <v>27</v>
      </c>
      <c r="P9" s="5">
        <v>14730.0</v>
      </c>
      <c r="Q9" s="5">
        <v>88.0</v>
      </c>
      <c r="R9" s="5">
        <v>1272.0</v>
      </c>
      <c r="S9" s="5">
        <v>12427.0</v>
      </c>
      <c r="T9" s="5">
        <v>3.0</v>
      </c>
      <c r="U9" s="9">
        <v>5190.535998</v>
      </c>
    </row>
    <row r="10">
      <c r="A10" s="4" t="s">
        <v>1051</v>
      </c>
      <c r="B10" s="4" t="str">
        <f>IFERROR(__xludf.DUMMYFUNCTION("SPLIT(A10,""&gt;"")"),"Online Behavior")</f>
        <v>Online Behavior</v>
      </c>
      <c r="C10" s="4" t="str">
        <f>IFERROR(__xludf.DUMMYFUNCTION("""COMPUTED_VALUE"""),"United States")</f>
        <v>United States</v>
      </c>
      <c r="D10" s="4" t="str">
        <f>IFERROR(__xludf.DUMMYFUNCTION("""COMPUTED_VALUE"""),"Validated Demographic")</f>
        <v>Validated Demographic</v>
      </c>
      <c r="E10" s="4" t="str">
        <f>IFERROR(__xludf.DUMMYFUNCTION("""COMPUTED_VALUE"""),"Age")</f>
        <v>Age</v>
      </c>
      <c r="F10" s="4" t="str">
        <f>IFERROR(__xludf.DUMMYFUNCTION("""COMPUTED_VALUE"""),"55-64")</f>
        <v>55-64</v>
      </c>
      <c r="G10" s="4"/>
      <c r="H10" s="4"/>
      <c r="I10" s="4"/>
      <c r="J10" s="5" t="s">
        <v>15</v>
      </c>
      <c r="K10" s="5" t="s">
        <v>42</v>
      </c>
      <c r="L10" s="5" t="s">
        <v>43</v>
      </c>
      <c r="M10" s="6" t="s">
        <v>25</v>
      </c>
      <c r="N10" s="5" t="s">
        <v>36</v>
      </c>
      <c r="O10" s="5" t="s">
        <v>27</v>
      </c>
      <c r="P10" s="5">
        <v>36863.0</v>
      </c>
      <c r="Q10" s="5">
        <v>116.0</v>
      </c>
      <c r="R10" s="5">
        <v>3570.0</v>
      </c>
      <c r="S10" s="5">
        <v>29458.0</v>
      </c>
      <c r="T10" s="5">
        <v>15.0</v>
      </c>
      <c r="U10" s="9">
        <v>4752.816685</v>
      </c>
    </row>
    <row r="11">
      <c r="A11" s="4" t="s">
        <v>1052</v>
      </c>
      <c r="B11" s="4"/>
      <c r="C11" s="4" t="str">
        <f>IFERROR(__xludf.DUMMYFUNCTION("SPLIT(A11,""&gt;"")"),"United States")</f>
        <v>United States</v>
      </c>
      <c r="D11" s="4" t="str">
        <f>IFERROR(__xludf.DUMMYFUNCTION("""COMPUTED_VALUE"""),"Interest Propensities")</f>
        <v>Interest Propensities</v>
      </c>
      <c r="E11" s="4" t="str">
        <f>IFERROR(__xludf.DUMMYFUNCTION("""COMPUTED_VALUE"""),"Brands")</f>
        <v>Brands</v>
      </c>
      <c r="F11" s="4" t="str">
        <f>IFERROR(__xludf.DUMMYFUNCTION("""COMPUTED_VALUE"""),"Quick Service Restaurants")</f>
        <v>Quick Service Restaurants</v>
      </c>
      <c r="G11" s="4"/>
      <c r="H11" s="4"/>
      <c r="I11" s="4"/>
      <c r="J11" s="5" t="s">
        <v>22</v>
      </c>
      <c r="K11" s="5" t="s">
        <v>31</v>
      </c>
      <c r="L11" s="5" t="s">
        <v>45</v>
      </c>
      <c r="M11" s="6" t="s">
        <v>25</v>
      </c>
      <c r="N11" s="5" t="s">
        <v>46</v>
      </c>
      <c r="O11" s="5" t="s">
        <v>27</v>
      </c>
      <c r="P11" s="5">
        <v>213699.0</v>
      </c>
      <c r="Q11" s="5">
        <v>270.0</v>
      </c>
      <c r="R11" s="5">
        <v>18395.0</v>
      </c>
      <c r="S11" s="5">
        <v>164487.0</v>
      </c>
      <c r="T11" s="5">
        <v>4.0</v>
      </c>
      <c r="U11" s="9">
        <v>2194.987125</v>
      </c>
    </row>
    <row r="12">
      <c r="A12" s="4" t="s">
        <v>1053</v>
      </c>
      <c r="B12" s="4"/>
      <c r="C12" s="4" t="str">
        <f>IFERROR(__xludf.DUMMYFUNCTION("SPLIT(A12,""&gt;"")"),"United States")</f>
        <v>United States</v>
      </c>
      <c r="D12" s="4" t="str">
        <f>IFERROR(__xludf.DUMMYFUNCTION("""COMPUTED_VALUE"""),"B2B")</f>
        <v>B2B</v>
      </c>
      <c r="E12" s="4" t="str">
        <f>IFERROR(__xludf.DUMMYFUNCTION("""COMPUTED_VALUE"""),"B2B Decision Maker Responsibilities")</f>
        <v>B2B Decision Maker Responsibilities</v>
      </c>
      <c r="F12" s="4" t="str">
        <f>IFERROR(__xludf.DUMMYFUNCTION("""COMPUTED_VALUE"""),"Purchasing Utilities")</f>
        <v>Purchasing Utilities</v>
      </c>
      <c r="G12" s="4"/>
      <c r="H12" s="4"/>
      <c r="I12" s="4"/>
      <c r="J12" s="5" t="s">
        <v>22</v>
      </c>
      <c r="K12" s="5" t="s">
        <v>23</v>
      </c>
      <c r="L12" s="5" t="s">
        <v>32</v>
      </c>
      <c r="M12" s="6" t="s">
        <v>25</v>
      </c>
      <c r="N12" s="5" t="s">
        <v>48</v>
      </c>
      <c r="O12" s="5" t="s">
        <v>27</v>
      </c>
      <c r="P12" s="5">
        <v>49936.0</v>
      </c>
      <c r="Q12" s="5">
        <v>126.0</v>
      </c>
      <c r="R12" s="5">
        <v>25461.0</v>
      </c>
      <c r="S12" s="5">
        <v>44751.0</v>
      </c>
      <c r="T12" s="5">
        <v>13.0</v>
      </c>
      <c r="U12" s="9">
        <v>2025.784019</v>
      </c>
    </row>
    <row r="13">
      <c r="A13" s="4" t="s">
        <v>1054</v>
      </c>
      <c r="B13" s="4"/>
      <c r="C13" s="4" t="str">
        <f>IFERROR(__xludf.DUMMYFUNCTION("SPLIT(A13,""&gt;"")"),"United States")</f>
        <v>United States</v>
      </c>
      <c r="D13" s="4" t="str">
        <f>IFERROR(__xludf.DUMMYFUNCTION("""COMPUTED_VALUE"""),"Interest Propensities")</f>
        <v>Interest Propensities</v>
      </c>
      <c r="E13" s="4" t="str">
        <f>IFERROR(__xludf.DUMMYFUNCTION("""COMPUTED_VALUE"""),"TV and Movies")</f>
        <v>TV and Movies</v>
      </c>
      <c r="F13" s="4" t="str">
        <f>IFERROR(__xludf.DUMMYFUNCTION("""COMPUTED_VALUE"""),"Sports TV")</f>
        <v>Sports TV</v>
      </c>
      <c r="G13" s="4"/>
      <c r="H13" s="4"/>
      <c r="I13" s="4"/>
      <c r="J13" s="5" t="s">
        <v>15</v>
      </c>
      <c r="K13" s="5" t="s">
        <v>23</v>
      </c>
      <c r="L13" s="5" t="s">
        <v>17</v>
      </c>
      <c r="M13" s="6" t="s">
        <v>25</v>
      </c>
      <c r="N13" s="5" t="s">
        <v>50</v>
      </c>
      <c r="O13" s="5" t="s">
        <v>27</v>
      </c>
      <c r="P13" s="5">
        <v>15200.0</v>
      </c>
      <c r="Q13" s="5">
        <v>60.0</v>
      </c>
      <c r="R13" s="5">
        <v>5375.0</v>
      </c>
      <c r="S13" s="5">
        <v>12040.0</v>
      </c>
      <c r="T13" s="5">
        <v>4.0</v>
      </c>
      <c r="U13" s="9">
        <v>1970.357345</v>
      </c>
    </row>
    <row r="14" hidden="1">
      <c r="A14" s="4" t="s">
        <v>1055</v>
      </c>
      <c r="B14" s="4"/>
      <c r="C14" s="4"/>
      <c r="D14" s="4" t="str">
        <f>IFERROR(__xludf.DUMMYFUNCTION("SPLIT(A14,""&gt;"")"),"Real Estate")</f>
        <v>Real Estate</v>
      </c>
      <c r="E14" s="4" t="str">
        <f>IFERROR(__xludf.DUMMYFUNCTION("""COMPUTED_VALUE"""),"Occupancy")</f>
        <v>Occupancy</v>
      </c>
      <c r="F14" s="4" t="str">
        <f>IFERROR(__xludf.DUMMYFUNCTION("""COMPUTED_VALUE"""),"Owner Occupied")</f>
        <v>Owner Occupied</v>
      </c>
      <c r="G14" s="4"/>
      <c r="H14" s="4"/>
      <c r="I14" s="4"/>
      <c r="J14" s="5" t="s">
        <v>15</v>
      </c>
      <c r="K14" s="5" t="s">
        <v>31</v>
      </c>
      <c r="L14" s="5" t="s">
        <v>35</v>
      </c>
      <c r="M14" s="6" t="s">
        <v>25</v>
      </c>
      <c r="N14" s="5" t="s">
        <v>19</v>
      </c>
      <c r="O14" s="5" t="s">
        <v>52</v>
      </c>
      <c r="P14" s="5">
        <v>49250.0</v>
      </c>
      <c r="Q14" s="5">
        <v>220.0</v>
      </c>
      <c r="R14" s="5">
        <v>9205.0</v>
      </c>
      <c r="S14" s="5">
        <v>43535.0</v>
      </c>
      <c r="T14" s="5">
        <v>15.0</v>
      </c>
      <c r="U14" s="9">
        <v>1694.470977</v>
      </c>
    </row>
    <row r="15">
      <c r="A15" s="4" t="s">
        <v>1056</v>
      </c>
      <c r="B15" s="4"/>
      <c r="C15" s="4" t="str">
        <f>IFERROR(__xludf.DUMMYFUNCTION("SPLIT(A15,""&gt;"")"),"United States")</f>
        <v>United States</v>
      </c>
      <c r="D15" s="4" t="str">
        <f>IFERROR(__xludf.DUMMYFUNCTION("""COMPUTED_VALUE"""),"Financial")</f>
        <v>Financial</v>
      </c>
      <c r="E15" s="4" t="str">
        <f>IFERROR(__xludf.DUMMYFUNCTION("""COMPUTED_VALUE"""),"Likely Credit Card")</f>
        <v>Likely Credit Card</v>
      </c>
      <c r="F15" s="4" t="str">
        <f>IFERROR(__xludf.DUMMYFUNCTION("""COMPUTED_VALUE"""),"Card in Own Name")</f>
        <v>Card in Own Name</v>
      </c>
      <c r="G15" s="4" t="str">
        <f>IFERROR(__xludf.DUMMYFUNCTION("""COMPUTED_VALUE"""),"Any major Credit/Debit Card (Financial)")</f>
        <v>Any major Credit/Debit Card (Financial)</v>
      </c>
      <c r="H15" s="4"/>
      <c r="I15" s="4"/>
      <c r="J15" s="5" t="s">
        <v>15</v>
      </c>
      <c r="K15" s="5" t="s">
        <v>16</v>
      </c>
      <c r="L15" s="5" t="s">
        <v>29</v>
      </c>
      <c r="M15" s="6" t="s">
        <v>25</v>
      </c>
      <c r="N15" s="5" t="s">
        <v>46</v>
      </c>
      <c r="O15" s="5" t="s">
        <v>27</v>
      </c>
      <c r="P15" s="5">
        <v>10811.0</v>
      </c>
      <c r="Q15" s="5">
        <v>25.0</v>
      </c>
      <c r="R15" s="5">
        <v>988.0</v>
      </c>
      <c r="S15" s="5">
        <v>2975.0</v>
      </c>
      <c r="T15" s="5">
        <v>3.0</v>
      </c>
      <c r="U15" s="9">
        <v>1679.833815</v>
      </c>
    </row>
    <row r="16">
      <c r="A16" s="4" t="s">
        <v>54</v>
      </c>
      <c r="B16" s="4" t="str">
        <f>IFERROR(__xludf.DUMMYFUNCTION("SPLIT(A16,""&gt;"")"),"Online Behavior")</f>
        <v>Online Behavior</v>
      </c>
      <c r="C16" s="4" t="str">
        <f>IFERROR(__xludf.DUMMYFUNCTION("""COMPUTED_VALUE"""),"United States")</f>
        <v>United States</v>
      </c>
      <c r="D16" s="4" t="str">
        <f>IFERROR(__xludf.DUMMYFUNCTION("""COMPUTED_VALUE"""),"People and Society")</f>
        <v>People and Society</v>
      </c>
      <c r="E16" s="4" t="str">
        <f>IFERROR(__xludf.DUMMYFUNCTION("""COMPUTED_VALUE"""),"Millennials")</f>
        <v>Millennials</v>
      </c>
      <c r="F16" s="4"/>
      <c r="G16" s="4"/>
      <c r="H16" s="4"/>
      <c r="I16" s="4"/>
      <c r="J16" s="5" t="s">
        <v>15</v>
      </c>
      <c r="K16" s="5" t="s">
        <v>23</v>
      </c>
      <c r="L16" s="5" t="s">
        <v>55</v>
      </c>
      <c r="M16" s="6" t="s">
        <v>25</v>
      </c>
      <c r="N16" s="5" t="s">
        <v>46</v>
      </c>
      <c r="O16" s="5" t="s">
        <v>27</v>
      </c>
      <c r="P16" s="5">
        <v>23829.0</v>
      </c>
      <c r="Q16" s="5">
        <v>75.0</v>
      </c>
      <c r="R16" s="5">
        <v>8326.0</v>
      </c>
      <c r="S16" s="5">
        <v>18812.0</v>
      </c>
      <c r="T16" s="5">
        <v>5.0</v>
      </c>
      <c r="U16" s="9">
        <v>1534.698</v>
      </c>
    </row>
    <row r="17">
      <c r="A17" s="4" t="s">
        <v>1057</v>
      </c>
      <c r="B17" s="4"/>
      <c r="C17" s="4"/>
      <c r="D17" s="4" t="str">
        <f>IFERROR(__xludf.DUMMYFUNCTION("SPLIT(A17,""&gt;"")"),"OnAudience")</f>
        <v>OnAudience</v>
      </c>
      <c r="E17" s="4" t="str">
        <f>IFERROR(__xludf.DUMMYFUNCTION("""COMPUTED_VALUE"""),"Intent")</f>
        <v>Intent</v>
      </c>
      <c r="F17" s="4" t="str">
        <f>IFERROR(__xludf.DUMMYFUNCTION("""COMPUTED_VALUE"""),"Electronics")</f>
        <v>Electronics</v>
      </c>
      <c r="G17" s="4" t="str">
        <f>IFERROR(__xludf.DUMMYFUNCTION("""COMPUTED_VALUE"""),"Video")</f>
        <v>Video</v>
      </c>
      <c r="H17" s="4" t="str">
        <f>IFERROR(__xludf.DUMMYFUNCTION("""COMPUTED_VALUE"""),"Televisions")</f>
        <v>Televisions</v>
      </c>
      <c r="I17" s="4"/>
      <c r="J17" s="5" t="s">
        <v>22</v>
      </c>
      <c r="K17" s="5" t="s">
        <v>42</v>
      </c>
      <c r="L17" s="5" t="s">
        <v>17</v>
      </c>
      <c r="M17" s="6" t="s">
        <v>25</v>
      </c>
      <c r="N17" s="5" t="s">
        <v>48</v>
      </c>
      <c r="O17" s="5" t="s">
        <v>27</v>
      </c>
      <c r="P17" s="5">
        <v>19826.0</v>
      </c>
      <c r="Q17" s="5">
        <v>39.0</v>
      </c>
      <c r="R17" s="5">
        <v>6511.0</v>
      </c>
      <c r="S17" s="5">
        <v>15752.0</v>
      </c>
      <c r="T17" s="5">
        <v>10.0</v>
      </c>
      <c r="U17" s="9">
        <v>1447.873298</v>
      </c>
    </row>
    <row r="18" hidden="1">
      <c r="A18" s="4" t="s">
        <v>1058</v>
      </c>
      <c r="B18" s="4" t="str">
        <f>IFERROR(__xludf.DUMMYFUNCTION("SPLIT(A18,""&gt;"")"),"Online Behavior")</f>
        <v>Online Behavior</v>
      </c>
      <c r="C18" s="4" t="str">
        <f>IFERROR(__xludf.DUMMYFUNCTION("""COMPUTED_VALUE"""),"United States")</f>
        <v>United States</v>
      </c>
      <c r="D18" s="4" t="str">
        <f>IFERROR(__xludf.DUMMYFUNCTION("""COMPUTED_VALUE"""),"Arts and Entertainment")</f>
        <v>Arts and Entertainment</v>
      </c>
      <c r="E18" s="4" t="str">
        <f>IFERROR(__xludf.DUMMYFUNCTION("""COMPUTED_VALUE"""),"Events and Listings")</f>
        <v>Events and Listings</v>
      </c>
      <c r="F18" s="4" t="str">
        <f>IFERROR(__xludf.DUMMYFUNCTION("""COMPUTED_VALUE"""),"Bars, Clubs and Nightlife")</f>
        <v>Bars, Clubs and Nightlife</v>
      </c>
      <c r="G18" s="4"/>
      <c r="H18" s="4"/>
      <c r="I18" s="4"/>
      <c r="J18" s="5" t="s">
        <v>15</v>
      </c>
      <c r="K18" s="5" t="s">
        <v>42</v>
      </c>
      <c r="L18" s="5" t="s">
        <v>35</v>
      </c>
      <c r="M18" s="6" t="s">
        <v>58</v>
      </c>
      <c r="N18" s="5" t="s">
        <v>36</v>
      </c>
      <c r="O18" s="5" t="s">
        <v>52</v>
      </c>
      <c r="P18" s="5">
        <v>81905.0</v>
      </c>
      <c r="Q18" s="5">
        <v>220.0</v>
      </c>
      <c r="R18" s="5">
        <v>61995.0</v>
      </c>
      <c r="S18" s="5">
        <v>71110.0</v>
      </c>
      <c r="T18" s="5">
        <v>24.0</v>
      </c>
      <c r="U18" s="9">
        <v>7065.66928</v>
      </c>
    </row>
    <row r="19">
      <c r="A19" s="4" t="s">
        <v>1059</v>
      </c>
      <c r="B19" s="4"/>
      <c r="C19" s="4" t="str">
        <f>IFERROR(__xludf.DUMMYFUNCTION("SPLIT(A19,""&gt;"")"),"United States")</f>
        <v>United States</v>
      </c>
      <c r="D19" s="4" t="str">
        <f>IFERROR(__xludf.DUMMYFUNCTION("""COMPUTED_VALUE"""),"Interest Propensities")</f>
        <v>Interest Propensities</v>
      </c>
      <c r="E19" s="4" t="str">
        <f>IFERROR(__xludf.DUMMYFUNCTION("""COMPUTED_VALUE"""),"Activities and Interests")</f>
        <v>Activities and Interests</v>
      </c>
      <c r="F19" s="4" t="str">
        <f>IFERROR(__xludf.DUMMYFUNCTION("""COMPUTED_VALUE"""),"Local News")</f>
        <v>Local News</v>
      </c>
      <c r="G19" s="4"/>
      <c r="H19" s="4"/>
      <c r="I19" s="4"/>
      <c r="J19" s="5" t="s">
        <v>22</v>
      </c>
      <c r="K19" s="5" t="s">
        <v>23</v>
      </c>
      <c r="L19" s="5" t="s">
        <v>32</v>
      </c>
      <c r="M19" s="6" t="s">
        <v>58</v>
      </c>
      <c r="N19" s="5" t="s">
        <v>36</v>
      </c>
      <c r="O19" s="5" t="s">
        <v>27</v>
      </c>
      <c r="P19" s="5">
        <v>16151.0</v>
      </c>
      <c r="Q19" s="5">
        <v>54.0</v>
      </c>
      <c r="R19" s="5">
        <v>4360.0</v>
      </c>
      <c r="S19" s="5">
        <v>11358.0</v>
      </c>
      <c r="T19" s="5">
        <v>3.0</v>
      </c>
      <c r="U19" s="9">
        <v>1706.224318</v>
      </c>
    </row>
    <row r="20">
      <c r="A20" s="4" t="s">
        <v>1060</v>
      </c>
      <c r="B20" s="4"/>
      <c r="C20" s="4" t="str">
        <f>IFERROR(__xludf.DUMMYFUNCTION("SPLIT(A20,""&gt;"")"),"United States")</f>
        <v>United States</v>
      </c>
      <c r="D20" s="4" t="str">
        <f>IFERROR(__xludf.DUMMYFUNCTION("""COMPUTED_VALUE"""),"Reach")</f>
        <v>Reach</v>
      </c>
      <c r="E20" s="4" t="str">
        <f>IFERROR(__xludf.DUMMYFUNCTION("""COMPUTED_VALUE"""),"Sociodemographic")</f>
        <v>Sociodemographic</v>
      </c>
      <c r="F20" s="4" t="str">
        <f>IFERROR(__xludf.DUMMYFUNCTION("""COMPUTED_VALUE"""),"Dwelling Type")</f>
        <v>Dwelling Type</v>
      </c>
      <c r="G20" s="4" t="str">
        <f>IFERROR(__xludf.DUMMYFUNCTION("""COMPUTED_VALUE"""),"Multi-family Dwelling Unit")</f>
        <v>Multi-family Dwelling Unit</v>
      </c>
      <c r="H20" s="4"/>
      <c r="I20" s="4"/>
      <c r="J20" s="5" t="s">
        <v>61</v>
      </c>
      <c r="K20" s="5" t="s">
        <v>31</v>
      </c>
      <c r="L20" s="5" t="s">
        <v>29</v>
      </c>
      <c r="M20" s="6" t="s">
        <v>58</v>
      </c>
      <c r="N20" s="5" t="s">
        <v>46</v>
      </c>
      <c r="O20" s="5" t="s">
        <v>27</v>
      </c>
      <c r="P20" s="5">
        <v>68704.0</v>
      </c>
      <c r="Q20" s="5">
        <v>185.0</v>
      </c>
      <c r="R20" s="5">
        <v>31283.0</v>
      </c>
      <c r="S20" s="5">
        <v>59462.0</v>
      </c>
      <c r="T20" s="5">
        <v>16.0</v>
      </c>
      <c r="U20" s="9">
        <v>1605.566031</v>
      </c>
    </row>
    <row r="21" hidden="1">
      <c r="A21" s="4" t="s">
        <v>1061</v>
      </c>
      <c r="B21" s="4"/>
      <c r="C21" s="4"/>
      <c r="D21" s="4" t="str">
        <f>IFERROR(__xludf.DUMMYFUNCTION("SPLIT(A21,""&gt;"")"),"OnAudience")</f>
        <v>OnAudience</v>
      </c>
      <c r="E21" s="4" t="str">
        <f>IFERROR(__xludf.DUMMYFUNCTION("""COMPUTED_VALUE"""),"Intent")</f>
        <v>Intent</v>
      </c>
      <c r="F21" s="4" t="str">
        <f>IFERROR(__xludf.DUMMYFUNCTION("""COMPUTED_VALUE"""),"Software")</f>
        <v>Software</v>
      </c>
      <c r="G21" s="4" t="str">
        <f>IFERROR(__xludf.DUMMYFUNCTION("""COMPUTED_VALUE"""),"Video Game Software")</f>
        <v>Video Game Software</v>
      </c>
      <c r="H21" s="4"/>
      <c r="I21" s="4"/>
      <c r="J21" s="5" t="s">
        <v>15</v>
      </c>
      <c r="K21" s="5" t="s">
        <v>23</v>
      </c>
      <c r="L21" s="5" t="s">
        <v>29</v>
      </c>
      <c r="M21" s="6" t="s">
        <v>58</v>
      </c>
      <c r="N21" s="5" t="s">
        <v>19</v>
      </c>
      <c r="O21" s="5" t="s">
        <v>52</v>
      </c>
      <c r="P21" s="5">
        <v>76439.0</v>
      </c>
      <c r="Q21" s="5">
        <v>100.0</v>
      </c>
      <c r="R21" s="5">
        <v>58269.0</v>
      </c>
      <c r="S21" s="5">
        <v>66924.0</v>
      </c>
      <c r="T21" s="5">
        <v>8.0</v>
      </c>
      <c r="U21" s="9">
        <v>1524.810224</v>
      </c>
    </row>
    <row r="22" hidden="1">
      <c r="A22" s="4" t="s">
        <v>1062</v>
      </c>
      <c r="B22" s="4" t="str">
        <f>IFERROR(__xludf.DUMMYFUNCTION("SPLIT(A22,""&gt;"")"),"Online Behavior")</f>
        <v>Online Behavior</v>
      </c>
      <c r="C22" s="4" t="str">
        <f>IFERROR(__xludf.DUMMYFUNCTION("""COMPUTED_VALUE"""),"United States")</f>
        <v>United States</v>
      </c>
      <c r="D22" s="4" t="str">
        <f>IFERROR(__xludf.DUMMYFUNCTION("""COMPUTED_VALUE"""),"B2B")</f>
        <v>B2B</v>
      </c>
      <c r="E22" s="4" t="str">
        <f>IFERROR(__xludf.DUMMYFUNCTION("""COMPUTED_VALUE"""),"Occupation")</f>
        <v>Occupation</v>
      </c>
      <c r="F22" s="4" t="str">
        <f>IFERROR(__xludf.DUMMYFUNCTION("""COMPUTED_VALUE"""),"MUnited Statesician")</f>
        <v>MUnited Statesician</v>
      </c>
      <c r="G22" s="4"/>
      <c r="H22" s="4"/>
      <c r="I22" s="4"/>
      <c r="J22" s="5" t="s">
        <v>15</v>
      </c>
      <c r="K22" s="5" t="s">
        <v>16</v>
      </c>
      <c r="L22" s="5" t="s">
        <v>35</v>
      </c>
      <c r="M22" s="6" t="s">
        <v>64</v>
      </c>
      <c r="N22" s="5" t="s">
        <v>1046</v>
      </c>
      <c r="O22" s="5" t="s">
        <v>52</v>
      </c>
      <c r="P22" s="5">
        <v>17833.0</v>
      </c>
      <c r="Q22" s="5">
        <v>61.0</v>
      </c>
      <c r="R22" s="5">
        <v>8670.0</v>
      </c>
      <c r="S22" s="5">
        <v>16871.0</v>
      </c>
      <c r="T22" s="5">
        <v>10.0</v>
      </c>
      <c r="U22" s="9">
        <v>4899.155955</v>
      </c>
    </row>
    <row r="23" hidden="1">
      <c r="A23" s="4" t="s">
        <v>1063</v>
      </c>
      <c r="B23" s="4"/>
      <c r="C23" s="4"/>
      <c r="D23" s="4" t="str">
        <f>IFERROR(__xludf.DUMMYFUNCTION("SPLIT(A23,""&gt;"")"),"Lotame")</f>
        <v>Lotame</v>
      </c>
      <c r="E23" s="4" t="str">
        <f>IFERROR(__xludf.DUMMYFUNCTION("""COMPUTED_VALUE"""),"Travel")</f>
        <v>Travel</v>
      </c>
      <c r="F23" s="4" t="str">
        <f>IFERROR(__xludf.DUMMYFUNCTION("""COMPUTED_VALUE"""),"Summer Travel")</f>
        <v>Summer Travel</v>
      </c>
      <c r="G23" s="4"/>
      <c r="H23" s="4"/>
      <c r="I23" s="4"/>
      <c r="J23" s="5" t="s">
        <v>15</v>
      </c>
      <c r="K23" s="5" t="s">
        <v>31</v>
      </c>
      <c r="L23" s="5" t="s">
        <v>66</v>
      </c>
      <c r="M23" s="6" t="s">
        <v>64</v>
      </c>
      <c r="N23" s="5" t="s">
        <v>19</v>
      </c>
      <c r="O23" s="5" t="s">
        <v>20</v>
      </c>
      <c r="P23" s="5">
        <v>16719.0</v>
      </c>
      <c r="Q23" s="5">
        <v>35.0</v>
      </c>
      <c r="R23" s="5">
        <v>9944.0</v>
      </c>
      <c r="S23" s="5">
        <v>15714.0</v>
      </c>
      <c r="T23" s="5">
        <v>13.0</v>
      </c>
      <c r="U23" s="9">
        <v>1588.6475</v>
      </c>
    </row>
    <row r="24">
      <c r="A24" s="4" t="s">
        <v>1064</v>
      </c>
      <c r="C24" s="4" t="str">
        <f>IFERROR(__xludf.DUMMYFUNCTION("SPLIT(A24,""&gt;"")"),"United States")</f>
        <v>United States</v>
      </c>
      <c r="D24" s="4" t="str">
        <f>IFERROR(__xludf.DUMMYFUNCTION("""COMPUTED_VALUE"""),"Home and Garden Interests")</f>
        <v>Home and Garden Interests</v>
      </c>
      <c r="E24" s="4" t="str">
        <f>IFERROR(__xludf.DUMMYFUNCTION("""COMPUTED_VALUE"""),"Cooking")</f>
        <v>Cooking</v>
      </c>
      <c r="F24" s="4" t="str">
        <f>IFERROR(__xludf.DUMMYFUNCTION("""COMPUTED_VALUE"""),"Food EnthUnited Statesiasts")</f>
        <v>Food EnthUnited Statesiasts</v>
      </c>
      <c r="G24" s="4"/>
      <c r="H24" s="4"/>
      <c r="I24" s="4"/>
      <c r="J24" s="5" t="s">
        <v>22</v>
      </c>
      <c r="K24" s="5" t="s">
        <v>16</v>
      </c>
      <c r="L24" s="5" t="s">
        <v>45</v>
      </c>
      <c r="M24" s="6" t="s">
        <v>64</v>
      </c>
      <c r="N24" s="5" t="s">
        <v>26</v>
      </c>
      <c r="O24" s="5" t="s">
        <v>27</v>
      </c>
      <c r="P24" s="5">
        <v>12592.0</v>
      </c>
      <c r="Q24" s="5">
        <v>63.0</v>
      </c>
      <c r="R24" s="5">
        <v>7472.0</v>
      </c>
      <c r="S24" s="5">
        <v>11687.0</v>
      </c>
      <c r="T24" s="5">
        <v>4.0</v>
      </c>
      <c r="U24" s="9">
        <v>1521.185189</v>
      </c>
    </row>
    <row r="25">
      <c r="A25" s="4" t="s">
        <v>1065</v>
      </c>
      <c r="B25" s="4"/>
      <c r="C25" s="4" t="str">
        <f>IFERROR(__xludf.DUMMYFUNCTION("SPLIT(A25,""&gt;"")"),"United States")</f>
        <v>United States</v>
      </c>
      <c r="D25" s="4" t="str">
        <f>IFERROR(__xludf.DUMMYFUNCTION("""COMPUTED_VALUE"""),"Demo")</f>
        <v>Demo</v>
      </c>
      <c r="E25" s="4" t="str">
        <f>IFERROR(__xludf.DUMMYFUNCTION("""COMPUTED_VALUE"""),"Age")</f>
        <v>Age</v>
      </c>
      <c r="F25" s="4" t="str">
        <f>IFERROR(__xludf.DUMMYFUNCTION("""COMPUTED_VALUE"""),"55-64")</f>
        <v>55-64</v>
      </c>
      <c r="G25" s="4"/>
      <c r="H25" s="4"/>
      <c r="I25" s="4"/>
      <c r="J25" s="5" t="s">
        <v>15</v>
      </c>
      <c r="K25" s="5" t="s">
        <v>23</v>
      </c>
      <c r="L25" s="5" t="s">
        <v>32</v>
      </c>
      <c r="M25" s="6" t="s">
        <v>64</v>
      </c>
      <c r="N25" s="5" t="s">
        <v>36</v>
      </c>
      <c r="O25" s="5" t="s">
        <v>27</v>
      </c>
      <c r="P25" s="5">
        <v>14136.0</v>
      </c>
      <c r="Q25" s="5">
        <v>88.0</v>
      </c>
      <c r="R25" s="5">
        <v>4683.0</v>
      </c>
      <c r="S25" s="5">
        <v>13273.0</v>
      </c>
      <c r="T25" s="5">
        <v>3.0</v>
      </c>
      <c r="U25" s="9">
        <v>1476.536841</v>
      </c>
    </row>
    <row r="26">
      <c r="A26" s="4" t="s">
        <v>1066</v>
      </c>
      <c r="B26" s="4"/>
      <c r="C26" s="4"/>
      <c r="D26" s="4"/>
      <c r="E26" s="4"/>
      <c r="F26" s="4"/>
      <c r="G26" s="4"/>
      <c r="H26" s="4"/>
      <c r="I26" s="4"/>
      <c r="J26" s="5" t="s">
        <v>22</v>
      </c>
      <c r="K26" s="5" t="s">
        <v>31</v>
      </c>
      <c r="L26" s="5" t="s">
        <v>17</v>
      </c>
      <c r="M26" s="6" t="s">
        <v>70</v>
      </c>
      <c r="N26" s="5" t="s">
        <v>26</v>
      </c>
      <c r="O26" s="5" t="s">
        <v>27</v>
      </c>
      <c r="P26" s="5">
        <v>14489.0</v>
      </c>
      <c r="Q26" s="5">
        <v>37.0</v>
      </c>
      <c r="R26" s="5">
        <v>12453.0</v>
      </c>
      <c r="S26" s="5">
        <v>13873.0</v>
      </c>
      <c r="T26" s="5">
        <v>10.0</v>
      </c>
      <c r="U26" s="9">
        <v>6195.840734</v>
      </c>
    </row>
    <row r="27" hidden="1">
      <c r="A27" s="10" t="s">
        <v>1067</v>
      </c>
      <c r="B27" s="4"/>
      <c r="C27" s="4" t="str">
        <f>IFERROR(__xludf.DUMMYFUNCTION("SPLIT(A27,""&gt;"")"),"United States")</f>
        <v>United States</v>
      </c>
      <c r="D27" s="11" t="str">
        <f>IFERROR(__xludf.DUMMYFUNCTION("""COMPUTED_VALUE"""),"Brand Propensities")</f>
        <v>Brand Propensities</v>
      </c>
      <c r="E27" s="11" t="str">
        <f>IFERROR(__xludf.DUMMYFUNCTION("""COMPUTED_VALUE"""),"Media and Entertainment")</f>
        <v>Media and Entertainment</v>
      </c>
      <c r="F27" s="11" t="str">
        <f>IFERROR(__xludf.DUMMYFUNCTION("""COMPUTED_VALUE"""),"wwe.com Buyer Propensity")</f>
        <v>wwe.com Buyer Propensity</v>
      </c>
      <c r="G27" s="11"/>
      <c r="H27" s="11"/>
      <c r="I27" s="11"/>
      <c r="J27" s="5" t="s">
        <v>15</v>
      </c>
      <c r="K27" s="5" t="s">
        <v>31</v>
      </c>
      <c r="L27" s="5" t="s">
        <v>45</v>
      </c>
      <c r="M27" s="6" t="s">
        <v>72</v>
      </c>
      <c r="N27" s="5" t="s">
        <v>19</v>
      </c>
      <c r="O27" s="5" t="s">
        <v>52</v>
      </c>
      <c r="P27" s="5">
        <v>20348.0</v>
      </c>
      <c r="Q27" s="5">
        <v>101.0</v>
      </c>
      <c r="R27" s="5">
        <v>14945.0</v>
      </c>
      <c r="S27" s="5">
        <v>19548.0</v>
      </c>
      <c r="T27" s="5">
        <v>6.0</v>
      </c>
      <c r="U27" s="9">
        <v>1596.552373</v>
      </c>
    </row>
    <row r="28">
      <c r="A28" s="4" t="s">
        <v>1068</v>
      </c>
      <c r="B28" s="4" t="str">
        <f>IFERROR(__xludf.DUMMYFUNCTION("SPLIT(A28,""&gt;"")"),"Online Behavior")</f>
        <v>Online Behavior</v>
      </c>
      <c r="C28" s="4" t="str">
        <f>IFERROR(__xludf.DUMMYFUNCTION("""COMPUTED_VALUE"""),"United States")</f>
        <v>United States</v>
      </c>
      <c r="D28" s="4" t="str">
        <f>IFERROR(__xludf.DUMMYFUNCTION("""COMPUTED_VALUE"""),"Sports")</f>
        <v>Sports</v>
      </c>
      <c r="E28" s="4" t="str">
        <f>IFERROR(__xludf.DUMMYFUNCTION("""COMPUTED_VALUE"""),"Sports League")</f>
        <v>Sports League</v>
      </c>
      <c r="F28" s="4" t="str">
        <f>IFERROR(__xludf.DUMMYFUNCTION("""COMPUTED_VALUE"""),"NFL")</f>
        <v>NFL</v>
      </c>
      <c r="G28" s="4"/>
      <c r="H28" s="4"/>
      <c r="I28" s="4"/>
      <c r="J28" s="5" t="s">
        <v>22</v>
      </c>
      <c r="K28" s="5" t="s">
        <v>31</v>
      </c>
      <c r="L28" s="5" t="s">
        <v>17</v>
      </c>
      <c r="M28" s="6" t="s">
        <v>74</v>
      </c>
      <c r="N28" s="5" t="s">
        <v>48</v>
      </c>
      <c r="O28" s="5" t="s">
        <v>27</v>
      </c>
      <c r="P28" s="5">
        <v>40447.0</v>
      </c>
      <c r="Q28" s="5">
        <v>177.0</v>
      </c>
      <c r="R28" s="5">
        <v>16663.0</v>
      </c>
      <c r="S28" s="5">
        <v>29774.0</v>
      </c>
      <c r="T28" s="5">
        <v>12.0</v>
      </c>
      <c r="U28" s="9">
        <v>5083.886273</v>
      </c>
    </row>
    <row r="29">
      <c r="A29" s="4" t="s">
        <v>1069</v>
      </c>
      <c r="B29" s="4" t="str">
        <f>IFERROR(__xludf.DUMMYFUNCTION("SPLIT(A29,""&gt;"")"),"Online Behavior")</f>
        <v>Online Behavior</v>
      </c>
      <c r="C29" s="4" t="str">
        <f>IFERROR(__xludf.DUMMYFUNCTION("""COMPUTED_VALUE"""),"United States")</f>
        <v>United States</v>
      </c>
      <c r="D29" s="4" t="str">
        <f>IFERROR(__xludf.DUMMYFUNCTION("""COMPUTED_VALUE"""),"Intent ")</f>
        <v>Intent </v>
      </c>
      <c r="E29" s="4" t="str">
        <f>IFERROR(__xludf.DUMMYFUNCTION("""COMPUTED_VALUE""")," Auto Buyers ")</f>
        <v> Auto Buyers </v>
      </c>
      <c r="F29" s="4" t="str">
        <f>IFERROR(__xludf.DUMMYFUNCTION("""COMPUTED_VALUE""")," Car Make")</f>
        <v> Car Make</v>
      </c>
      <c r="G29" s="4" t="str">
        <f>IFERROR(__xludf.DUMMYFUNCTION("""COMPUTED_VALUE"""),"Volkswagen")</f>
        <v>Volkswagen</v>
      </c>
      <c r="H29" s="4"/>
      <c r="I29" s="4"/>
      <c r="J29" s="5" t="s">
        <v>15</v>
      </c>
      <c r="K29" s="5" t="s">
        <v>23</v>
      </c>
      <c r="L29" s="5" t="s">
        <v>35</v>
      </c>
      <c r="M29" s="6" t="s">
        <v>76</v>
      </c>
      <c r="N29" s="5" t="s">
        <v>26</v>
      </c>
      <c r="O29" s="5" t="s">
        <v>27</v>
      </c>
      <c r="P29" s="5">
        <v>14451.0</v>
      </c>
      <c r="Q29" s="5">
        <v>50.0</v>
      </c>
      <c r="R29" s="5">
        <v>5606.0</v>
      </c>
      <c r="S29" s="5">
        <v>13461.0</v>
      </c>
      <c r="T29" s="5">
        <v>8.0</v>
      </c>
      <c r="U29" s="9">
        <v>6397.602518</v>
      </c>
    </row>
    <row r="30" hidden="1">
      <c r="A30" s="4" t="s">
        <v>1070</v>
      </c>
      <c r="B30" s="4"/>
      <c r="C30" s="4" t="str">
        <f>IFERROR(__xludf.DUMMYFUNCTION("SPLIT(A30,""&gt;"")"),"United States ")</f>
        <v>United States </v>
      </c>
      <c r="D30" s="4" t="str">
        <f>IFERROR(__xludf.DUMMYFUNCTION("""COMPUTED_VALUE""")," B2B ")</f>
        <v> B2B </v>
      </c>
      <c r="E30" s="4" t="str">
        <f>IFERROR(__xludf.DUMMYFUNCTION("""COMPUTED_VALUE""")," B2B Decision Maker Responsibilities ")</f>
        <v> B2B Decision Maker Responsibilities </v>
      </c>
      <c r="F30" s="4" t="str">
        <f>IFERROR(__xludf.DUMMYFUNCTION("""COMPUTED_VALUE""")," Financial Services")</f>
        <v> Financial Services</v>
      </c>
      <c r="G30" s="4"/>
      <c r="H30" s="4"/>
      <c r="I30" s="4"/>
      <c r="J30" s="5" t="s">
        <v>15</v>
      </c>
      <c r="K30" s="5" t="s">
        <v>31</v>
      </c>
      <c r="L30" s="5" t="s">
        <v>78</v>
      </c>
      <c r="M30" s="6" t="s">
        <v>79</v>
      </c>
      <c r="N30" s="5" t="s">
        <v>80</v>
      </c>
      <c r="O30" s="5" t="s">
        <v>20</v>
      </c>
      <c r="P30" s="5">
        <v>11668.0</v>
      </c>
      <c r="Q30" s="5">
        <v>110.0</v>
      </c>
      <c r="R30" s="5">
        <v>7860.0</v>
      </c>
      <c r="S30" s="5">
        <v>11009.0</v>
      </c>
      <c r="T30" s="5">
        <v>5.0</v>
      </c>
      <c r="U30" s="9">
        <v>2653.981579</v>
      </c>
    </row>
    <row r="31" hidden="1">
      <c r="A31" s="4" t="s">
        <v>1071</v>
      </c>
      <c r="B31" s="4" t="str">
        <f>IFERROR(__xludf.DUMMYFUNCTION("SPLIT(A31,""&gt;"")"),"Online Behavior")</f>
        <v>Online Behavior</v>
      </c>
      <c r="C31" s="4" t="str">
        <f>IFERROR(__xludf.DUMMYFUNCTION("""COMPUTED_VALUE"""),"United States")</f>
        <v>United States</v>
      </c>
      <c r="D31" s="4" t="str">
        <f>IFERROR(__xludf.DUMMYFUNCTION("""COMPUTED_VALUE"""),"Sports")</f>
        <v>Sports</v>
      </c>
      <c r="E31" s="4" t="str">
        <f>IFERROR(__xludf.DUMMYFUNCTION("""COMPUTED_VALUE"""),"Team Sports ")</f>
        <v>Team Sports </v>
      </c>
      <c r="F31" s="4" t="str">
        <f>IFERROR(__xludf.DUMMYFUNCTION("""COMPUTED_VALUE""")," Basketball")</f>
        <v> Basketball</v>
      </c>
      <c r="G31" s="4"/>
      <c r="H31" s="4"/>
      <c r="I31" s="4"/>
      <c r="J31" s="5" t="s">
        <v>15</v>
      </c>
      <c r="K31" s="5" t="s">
        <v>23</v>
      </c>
      <c r="L31" s="5" t="s">
        <v>78</v>
      </c>
      <c r="M31" s="6" t="s">
        <v>82</v>
      </c>
      <c r="N31" s="5" t="s">
        <v>26</v>
      </c>
      <c r="O31" s="5" t="s">
        <v>52</v>
      </c>
      <c r="P31" s="5">
        <v>19379.0</v>
      </c>
      <c r="Q31" s="5">
        <v>49.0</v>
      </c>
      <c r="R31" s="5">
        <v>12168.0</v>
      </c>
      <c r="S31" s="5">
        <v>16616.0</v>
      </c>
      <c r="T31" s="5">
        <v>97.0</v>
      </c>
      <c r="U31" s="9">
        <v>7294.100001</v>
      </c>
    </row>
    <row r="32">
      <c r="A32" s="4" t="s">
        <v>1072</v>
      </c>
      <c r="B32" s="4"/>
      <c r="C32" s="4" t="str">
        <f>IFERROR(__xludf.DUMMYFUNCTION("SPLIT(A32,""&gt;"")"),"United States ")</f>
        <v>United States </v>
      </c>
      <c r="D32" s="4" t="str">
        <f>IFERROR(__xludf.DUMMYFUNCTION("""COMPUTED_VALUE""")," Interest Propensities ")</f>
        <v> Interest Propensities </v>
      </c>
      <c r="E32" s="4" t="str">
        <f>IFERROR(__xludf.DUMMYFUNCTION("""COMPUTED_VALUE""")," MUnited Statesic ")</f>
        <v> MUnited Statesic </v>
      </c>
      <c r="F32" s="4" t="str">
        <f>IFERROR(__xludf.DUMMYFUNCTION("""COMPUTED_VALUE""")," Country")</f>
        <v> Country</v>
      </c>
      <c r="G32" s="4"/>
      <c r="H32" s="4"/>
      <c r="I32" s="4"/>
      <c r="J32" s="5" t="s">
        <v>15</v>
      </c>
      <c r="K32" s="5" t="s">
        <v>42</v>
      </c>
      <c r="L32" s="5" t="s">
        <v>84</v>
      </c>
      <c r="M32" s="6" t="s">
        <v>82</v>
      </c>
      <c r="N32" s="5" t="s">
        <v>19</v>
      </c>
      <c r="O32" s="5" t="s">
        <v>27</v>
      </c>
      <c r="P32" s="5">
        <v>8716.0</v>
      </c>
      <c r="Q32" s="5">
        <v>40.0</v>
      </c>
      <c r="R32" s="5">
        <v>6490.0</v>
      </c>
      <c r="S32" s="5">
        <v>7862.0</v>
      </c>
      <c r="T32" s="5">
        <v>2.0</v>
      </c>
      <c r="U32" s="9">
        <v>2100.820137</v>
      </c>
    </row>
    <row r="33">
      <c r="A33" s="4" t="s">
        <v>1073</v>
      </c>
      <c r="B33" s="4"/>
      <c r="C33" s="4"/>
      <c r="D33" s="4" t="str">
        <f>IFERROR(__xludf.DUMMYFUNCTION("SPLIT(A33,""&gt;"")"),"Media and Entertainment ")</f>
        <v>Media and Entertainment </v>
      </c>
      <c r="E33" s="4" t="str">
        <f>IFERROR(__xludf.DUMMYFUNCTION("""COMPUTED_VALUE""")," Sports and Recreational Activities ")</f>
        <v> Sports and Recreational Activities </v>
      </c>
      <c r="F33" s="4" t="str">
        <f>IFERROR(__xludf.DUMMYFUNCTION("""COMPUTED_VALUE""")," Interest (Affinity) ")</f>
        <v> Interest (Affinity) </v>
      </c>
      <c r="G33" s="4" t="str">
        <f>IFERROR(__xludf.DUMMYFUNCTION("""COMPUTED_VALUE""")," Team Sports ")</f>
        <v> Team Sports </v>
      </c>
      <c r="H33" s="4" t="str">
        <f>IFERROR(__xludf.DUMMYFUNCTION("""COMPUTED_VALUE""")," Baseball ")</f>
        <v> Baseball </v>
      </c>
      <c r="I33" s="4" t="str">
        <f>IFERROR(__xludf.DUMMYFUNCTION("""COMPUTED_VALUE""")," Major League Baseball (MLB)")</f>
        <v> Major League Baseball (MLB)</v>
      </c>
      <c r="J33" s="5" t="s">
        <v>15</v>
      </c>
      <c r="K33" s="5" t="s">
        <v>16</v>
      </c>
      <c r="L33" s="5" t="s">
        <v>43</v>
      </c>
      <c r="M33" s="6" t="s">
        <v>82</v>
      </c>
      <c r="N33" s="5" t="s">
        <v>48</v>
      </c>
      <c r="O33" s="5" t="s">
        <v>27</v>
      </c>
      <c r="P33" s="5">
        <v>11062.0</v>
      </c>
      <c r="Q33" s="5">
        <v>78.0</v>
      </c>
      <c r="R33" s="5">
        <v>6539.0</v>
      </c>
      <c r="S33" s="5">
        <v>9391.0</v>
      </c>
      <c r="T33" s="5">
        <v>2.0</v>
      </c>
      <c r="U33" s="9">
        <v>1500.09932</v>
      </c>
    </row>
    <row r="34">
      <c r="A34" s="4" t="s">
        <v>1074</v>
      </c>
      <c r="B34" s="4" t="str">
        <f>IFERROR(__xludf.DUMMYFUNCTION("SPLIT(A34,""&gt;"")"),"Online Behavior")</f>
        <v>Online Behavior</v>
      </c>
      <c r="C34" s="4" t="str">
        <f>IFERROR(__xludf.DUMMYFUNCTION("""COMPUTED_VALUE"""),"United States")</f>
        <v>United States</v>
      </c>
      <c r="D34" s="4" t="str">
        <f>IFERROR(__xludf.DUMMYFUNCTION("""COMPUTED_VALUE"""),"Beauty and Fitness")</f>
        <v>Beauty and Fitness</v>
      </c>
      <c r="E34" s="4" t="str">
        <f>IFERROR(__xludf.DUMMYFUNCTION("""COMPUTED_VALUE"""),"Face and Body Care ")</f>
        <v>Face and Body Care </v>
      </c>
      <c r="F34" s="4" t="str">
        <f>IFERROR(__xludf.DUMMYFUNCTION("""COMPUTED_VALUE""")," Skin and Nail Care")</f>
        <v> Skin and Nail Care</v>
      </c>
      <c r="G34" s="4"/>
      <c r="H34" s="4"/>
      <c r="I34" s="4"/>
      <c r="J34" s="5" t="s">
        <v>61</v>
      </c>
      <c r="K34" s="5" t="s">
        <v>42</v>
      </c>
      <c r="L34" s="5" t="s">
        <v>17</v>
      </c>
      <c r="M34" s="6" t="s">
        <v>87</v>
      </c>
      <c r="N34" s="5" t="s">
        <v>46</v>
      </c>
      <c r="O34" s="5" t="s">
        <v>27</v>
      </c>
      <c r="P34" s="5">
        <v>100800.0</v>
      </c>
      <c r="Q34" s="5">
        <v>185.0</v>
      </c>
      <c r="R34" s="5">
        <v>14473.0</v>
      </c>
      <c r="S34" s="5">
        <v>85424.0</v>
      </c>
      <c r="T34" s="5">
        <v>10.0</v>
      </c>
      <c r="U34" s="9">
        <v>7004.730483</v>
      </c>
    </row>
    <row r="35">
      <c r="A35" s="4" t="s">
        <v>1075</v>
      </c>
      <c r="B35" s="4"/>
      <c r="C35" s="4" t="str">
        <f>IFERROR(__xludf.DUMMYFUNCTION("SPLIT(A35,""&gt;"")"),"United States ")</f>
        <v>United States </v>
      </c>
      <c r="D35" s="4" t="str">
        <f>IFERROR(__xludf.DUMMYFUNCTION("""COMPUTED_VALUE""")," Interest Propensities ")</f>
        <v> Interest Propensities </v>
      </c>
      <c r="E35" s="4" t="str">
        <f>IFERROR(__xludf.DUMMYFUNCTION("""COMPUTED_VALUE""")," Activities and Interests ")</f>
        <v> Activities and Interests </v>
      </c>
      <c r="F35" s="4" t="str">
        <f>IFERROR(__xludf.DUMMYFUNCTION("""COMPUTED_VALUE""")," Financial Aid")</f>
        <v> Financial Aid</v>
      </c>
      <c r="G35" s="4"/>
      <c r="H35" s="4"/>
      <c r="I35" s="4"/>
      <c r="J35" s="5" t="s">
        <v>15</v>
      </c>
      <c r="K35" s="5" t="s">
        <v>42</v>
      </c>
      <c r="L35" s="5" t="s">
        <v>17</v>
      </c>
      <c r="M35" s="6" t="s">
        <v>87</v>
      </c>
      <c r="N35" s="5" t="s">
        <v>19</v>
      </c>
      <c r="O35" s="5" t="s">
        <v>27</v>
      </c>
      <c r="P35" s="5">
        <v>12864.0</v>
      </c>
      <c r="Q35" s="5">
        <v>84.0</v>
      </c>
      <c r="R35" s="5">
        <v>5549.0</v>
      </c>
      <c r="S35" s="5">
        <v>11852.0</v>
      </c>
      <c r="T35" s="5">
        <v>5.0</v>
      </c>
      <c r="U35" s="9">
        <v>1905.889693</v>
      </c>
    </row>
    <row r="36">
      <c r="A36" s="4" t="s">
        <v>1076</v>
      </c>
      <c r="B36" s="4"/>
      <c r="C36" s="4"/>
      <c r="D36" s="4" t="str">
        <f>IFERROR(__xludf.DUMMYFUNCTION("SPLIT(A36,""&gt;"")"),"Media and Entertainment ")</f>
        <v>Media and Entertainment </v>
      </c>
      <c r="E36" s="4" t="str">
        <f>IFERROR(__xludf.DUMMYFUNCTION("""COMPUTED_VALUE""")," Sports and Recreational Activities ")</f>
        <v> Sports and Recreational Activities </v>
      </c>
      <c r="F36" s="4" t="str">
        <f>IFERROR(__xludf.DUMMYFUNCTION("""COMPUTED_VALUE""")," Interest (Affinity) ")</f>
        <v> Interest (Affinity) </v>
      </c>
      <c r="G36" s="4" t="str">
        <f>IFERROR(__xludf.DUMMYFUNCTION("""COMPUTED_VALUE""")," Olympics ")</f>
        <v> Olympics </v>
      </c>
      <c r="H36" s="4" t="str">
        <f>IFERROR(__xludf.DUMMYFUNCTION("""COMPUTED_VALUE""")," Summer Olympics")</f>
        <v> Summer Olympics</v>
      </c>
      <c r="I36" s="4"/>
      <c r="J36" s="5" t="s">
        <v>22</v>
      </c>
      <c r="K36" s="5" t="s">
        <v>23</v>
      </c>
      <c r="L36" s="5" t="s">
        <v>66</v>
      </c>
      <c r="M36" s="6" t="s">
        <v>90</v>
      </c>
      <c r="N36" s="5" t="s">
        <v>46</v>
      </c>
      <c r="O36" s="5" t="s">
        <v>27</v>
      </c>
      <c r="P36" s="5">
        <v>10992.0</v>
      </c>
      <c r="Q36" s="5">
        <v>97.0</v>
      </c>
      <c r="R36" s="5">
        <v>6677.0</v>
      </c>
      <c r="S36" s="5">
        <v>10132.0</v>
      </c>
      <c r="T36" s="5">
        <v>3.0</v>
      </c>
      <c r="U36" s="9">
        <v>1675.987427</v>
      </c>
    </row>
    <row r="37">
      <c r="A37" s="4" t="s">
        <v>1077</v>
      </c>
      <c r="B37" s="4"/>
      <c r="C37" s="4" t="str">
        <f>IFERROR(__xludf.DUMMYFUNCTION("SPLIT(A37,""&gt;"")"),"United States ")</f>
        <v>United States </v>
      </c>
      <c r="D37" s="4" t="str">
        <f>IFERROR(__xludf.DUMMYFUNCTION("""COMPUTED_VALUE""")," Demographic ")</f>
        <v> Demographic </v>
      </c>
      <c r="E37" s="4" t="str">
        <f>IFERROR(__xludf.DUMMYFUNCTION("""COMPUTED_VALUE""")," Family ")</f>
        <v> Family </v>
      </c>
      <c r="F37" s="4" t="str">
        <f>IFERROR(__xludf.DUMMYFUNCTION("""COMPUTED_VALUE""")," Female Head of HoUnited Statesehold")</f>
        <v> Female Head of HoUnited Statesehold</v>
      </c>
      <c r="G37" s="4"/>
      <c r="H37" s="4"/>
      <c r="I37" s="4"/>
      <c r="J37" s="5" t="s">
        <v>15</v>
      </c>
      <c r="K37" s="5" t="s">
        <v>16</v>
      </c>
      <c r="L37" s="5" t="s">
        <v>39</v>
      </c>
      <c r="M37" s="6" t="s">
        <v>90</v>
      </c>
      <c r="N37" s="5" t="s">
        <v>19</v>
      </c>
      <c r="O37" s="5" t="s">
        <v>27</v>
      </c>
      <c r="P37" s="5">
        <v>14984.0</v>
      </c>
      <c r="Q37" s="5">
        <v>63.0</v>
      </c>
      <c r="R37" s="5">
        <v>9614.0</v>
      </c>
      <c r="S37" s="5">
        <v>14086.0</v>
      </c>
      <c r="T37" s="5">
        <v>3.0</v>
      </c>
      <c r="U37" s="9">
        <v>1505.009635</v>
      </c>
    </row>
    <row r="38">
      <c r="A38" s="4" t="s">
        <v>1078</v>
      </c>
      <c r="B38" s="4" t="str">
        <f>IFERROR(__xludf.DUMMYFUNCTION("SPLIT(A38,""&gt;"")"),"Online Behavior")</f>
        <v>Online Behavior</v>
      </c>
      <c r="C38" s="4" t="str">
        <f>IFERROR(__xludf.DUMMYFUNCTION("""COMPUTED_VALUE"""),"United States")</f>
        <v>United States</v>
      </c>
      <c r="D38" s="4" t="str">
        <f>IFERROR(__xludf.DUMMYFUNCTION("""COMPUTED_VALUE"""),"Sports")</f>
        <v>Sports</v>
      </c>
      <c r="E38" s="4" t="str">
        <f>IFERROR(__xludf.DUMMYFUNCTION("""COMPUTED_VALUE"""),"Sports League ")</f>
        <v>Sports League </v>
      </c>
      <c r="F38" s="4" t="str">
        <f>IFERROR(__xludf.DUMMYFUNCTION("""COMPUTED_VALUE""")," MLB")</f>
        <v> MLB</v>
      </c>
      <c r="G38" s="4"/>
      <c r="H38" s="4"/>
      <c r="I38" s="4"/>
      <c r="J38" s="5" t="s">
        <v>22</v>
      </c>
      <c r="K38" s="5" t="s">
        <v>42</v>
      </c>
      <c r="L38" s="5" t="s">
        <v>78</v>
      </c>
      <c r="M38" s="6" t="s">
        <v>93</v>
      </c>
      <c r="N38" s="5" t="s">
        <v>19</v>
      </c>
      <c r="O38" s="5" t="s">
        <v>27</v>
      </c>
      <c r="P38" s="5">
        <v>19093.0</v>
      </c>
      <c r="Q38" s="5">
        <v>50.0</v>
      </c>
      <c r="R38" s="5">
        <v>9626.0</v>
      </c>
      <c r="S38" s="5">
        <v>17815.0</v>
      </c>
      <c r="T38" s="5">
        <v>10.0</v>
      </c>
      <c r="U38" s="9">
        <v>6612.14569</v>
      </c>
    </row>
    <row r="39">
      <c r="A39" s="4" t="s">
        <v>1079</v>
      </c>
      <c r="B39" s="4" t="str">
        <f>IFERROR(__xludf.DUMMYFUNCTION("SPLIT(A39,""&gt;"")"),"Online Behavior")</f>
        <v>Online Behavior</v>
      </c>
      <c r="C39" s="4" t="str">
        <f>IFERROR(__xludf.DUMMYFUNCTION("""COMPUTED_VALUE"""),"United States")</f>
        <v>United States</v>
      </c>
      <c r="D39" s="4" t="str">
        <f>IFERROR(__xludf.DUMMYFUNCTION("""COMPUTED_VALUE"""),"Autos and Vehicles ")</f>
        <v>Autos and Vehicles </v>
      </c>
      <c r="E39" s="4" t="str">
        <f>IFERROR(__xludf.DUMMYFUNCTION("""COMPUTED_VALUE""")," Brands")</f>
        <v> Brands</v>
      </c>
      <c r="F39" s="4" t="str">
        <f>IFERROR(__xludf.DUMMYFUNCTION("""COMPUTED_VALUE"""),"Dodge")</f>
        <v>Dodge</v>
      </c>
      <c r="G39" s="4"/>
      <c r="H39" s="4"/>
      <c r="I39" s="4"/>
      <c r="J39" s="5" t="s">
        <v>15</v>
      </c>
      <c r="K39" s="5" t="s">
        <v>42</v>
      </c>
      <c r="L39" s="5" t="s">
        <v>95</v>
      </c>
      <c r="M39" s="6" t="s">
        <v>93</v>
      </c>
      <c r="N39" s="5" t="s">
        <v>46</v>
      </c>
      <c r="O39" s="5" t="s">
        <v>27</v>
      </c>
      <c r="P39" s="5">
        <v>43057.0</v>
      </c>
      <c r="Q39" s="5">
        <v>122.0</v>
      </c>
      <c r="R39" s="5">
        <v>23767.0</v>
      </c>
      <c r="S39" s="5">
        <v>41484.0</v>
      </c>
      <c r="T39" s="5">
        <v>7.0</v>
      </c>
      <c r="U39" s="9">
        <v>5884.931394</v>
      </c>
    </row>
    <row r="40">
      <c r="A40" s="4" t="s">
        <v>1080</v>
      </c>
      <c r="B40" s="4"/>
      <c r="C40" s="4" t="str">
        <f>IFERROR(__xludf.DUMMYFUNCTION("SPLIT(A40,""&gt;"")"),"United States ")</f>
        <v>United States </v>
      </c>
      <c r="D40" s="4" t="str">
        <f>IFERROR(__xludf.DUMMYFUNCTION("""COMPUTED_VALUE""")," Brand Propensities ")</f>
        <v> Brand Propensities </v>
      </c>
      <c r="E40" s="4" t="str">
        <f>IFERROR(__xludf.DUMMYFUNCTION("""COMPUTED_VALUE""")," Travel ")</f>
        <v> Travel </v>
      </c>
      <c r="F40" s="4" t="str">
        <f>IFERROR(__xludf.DUMMYFUNCTION("""COMPUTED_VALUE""")," Sandals Resorts Buyer Propensity")</f>
        <v> Sandals Resorts Buyer Propensity</v>
      </c>
      <c r="G40" s="4"/>
      <c r="H40" s="4"/>
      <c r="I40" s="4"/>
      <c r="J40" s="5" t="s">
        <v>61</v>
      </c>
      <c r="K40" s="5" t="s">
        <v>23</v>
      </c>
      <c r="L40" s="5" t="s">
        <v>55</v>
      </c>
      <c r="M40" s="6" t="s">
        <v>93</v>
      </c>
      <c r="N40" s="5" t="s">
        <v>19</v>
      </c>
      <c r="O40" s="5" t="s">
        <v>27</v>
      </c>
      <c r="P40" s="5">
        <v>53561.0</v>
      </c>
      <c r="Q40" s="5">
        <v>147.0</v>
      </c>
      <c r="R40" s="5">
        <v>37063.0</v>
      </c>
      <c r="S40" s="5">
        <v>51480.0</v>
      </c>
      <c r="T40" s="5">
        <v>14.0</v>
      </c>
      <c r="U40" s="9">
        <v>2039.35506</v>
      </c>
    </row>
    <row r="41">
      <c r="A41" s="4" t="s">
        <v>1081</v>
      </c>
      <c r="B41" s="4"/>
      <c r="C41" s="4" t="str">
        <f>IFERROR(__xludf.DUMMYFUNCTION("SPLIT(A41,""&gt;"")"),"Mobile - United States ")</f>
        <v>Mobile - United States </v>
      </c>
      <c r="D41" s="4" t="str">
        <f>IFERROR(__xludf.DUMMYFUNCTION("""COMPUTED_VALUE""")," Shopping ")</f>
        <v> Shopping </v>
      </c>
      <c r="E41" s="4" t="str">
        <f>IFERROR(__xludf.DUMMYFUNCTION("""COMPUTED_VALUE""")," Brand ")</f>
        <v> Brand </v>
      </c>
      <c r="F41" s="4" t="str">
        <f>IFERROR(__xludf.DUMMYFUNCTION("""COMPUTED_VALUE""")," Old Navy")</f>
        <v> Old Navy</v>
      </c>
      <c r="G41" s="4"/>
      <c r="H41" s="4"/>
      <c r="I41" s="4"/>
      <c r="J41" s="5" t="s">
        <v>15</v>
      </c>
      <c r="K41" s="5" t="s">
        <v>31</v>
      </c>
      <c r="L41" s="5" t="s">
        <v>17</v>
      </c>
      <c r="M41" s="6" t="s">
        <v>93</v>
      </c>
      <c r="N41" s="5" t="s">
        <v>26</v>
      </c>
      <c r="O41" s="5" t="s">
        <v>27</v>
      </c>
      <c r="P41" s="5">
        <v>67752.0</v>
      </c>
      <c r="Q41" s="5">
        <v>174.0</v>
      </c>
      <c r="R41" s="5">
        <v>47126.0</v>
      </c>
      <c r="S41" s="5">
        <v>65080.0</v>
      </c>
      <c r="T41" s="5">
        <v>3.0</v>
      </c>
      <c r="U41" s="9">
        <v>1557.01573</v>
      </c>
    </row>
    <row r="42">
      <c r="A42" s="4" t="s">
        <v>1082</v>
      </c>
      <c r="B42" s="4" t="str">
        <f>IFERROR(__xludf.DUMMYFUNCTION("SPLIT(A42,""&gt;"")"),"OnAudience ")</f>
        <v>OnAudience </v>
      </c>
      <c r="C42" s="4" t="str">
        <f>IFERROR(__xludf.DUMMYFUNCTION("""COMPUTED_VALUE""")," Intent ")</f>
        <v> Intent </v>
      </c>
      <c r="D42" s="4" t="str">
        <f>IFERROR(__xludf.DUMMYFUNCTION("""COMPUTED_VALUE""")," Animals &amp; Pet")</f>
        <v> Animals &amp; Pet</v>
      </c>
      <c r="E42" s="4"/>
      <c r="F42" s="4"/>
      <c r="G42" s="4"/>
      <c r="H42" s="4"/>
      <c r="I42" s="4"/>
      <c r="J42" s="5" t="s">
        <v>15</v>
      </c>
      <c r="K42" s="5" t="s">
        <v>16</v>
      </c>
      <c r="L42" s="5" t="s">
        <v>78</v>
      </c>
      <c r="M42" s="6" t="s">
        <v>99</v>
      </c>
      <c r="N42" s="5" t="s">
        <v>48</v>
      </c>
      <c r="O42" s="5" t="s">
        <v>27</v>
      </c>
      <c r="P42" s="5">
        <v>75161.0</v>
      </c>
      <c r="Q42" s="5">
        <v>280.0</v>
      </c>
      <c r="R42" s="5">
        <v>40385.0</v>
      </c>
      <c r="S42" s="5">
        <v>70325.0</v>
      </c>
      <c r="T42" s="5">
        <v>3.0</v>
      </c>
      <c r="U42" s="9">
        <v>1506.461108</v>
      </c>
    </row>
    <row r="43" hidden="1">
      <c r="A43" s="4" t="s">
        <v>1083</v>
      </c>
      <c r="B43" s="4"/>
      <c r="C43" s="4" t="str">
        <f>IFERROR(__xludf.DUMMYFUNCTION("SPLIT(A43,""&gt;"")"),"United States ")</f>
        <v>United States </v>
      </c>
      <c r="D43" s="4" t="str">
        <f>IFERROR(__xludf.DUMMYFUNCTION("""COMPUTED_VALUE""")," Multibuyer Behaviors ")</f>
        <v> Multibuyer Behaviors </v>
      </c>
      <c r="E43" s="4" t="str">
        <f>IFERROR(__xludf.DUMMYFUNCTION("""COMPUTED_VALUE""")," Paid with Credit Card")</f>
        <v> Paid with Credit Card</v>
      </c>
      <c r="F43" s="4"/>
      <c r="G43" s="4"/>
      <c r="H43" s="4"/>
      <c r="I43" s="4"/>
      <c r="J43" s="5" t="s">
        <v>15</v>
      </c>
      <c r="K43" s="5" t="s">
        <v>16</v>
      </c>
      <c r="L43" s="5" t="s">
        <v>78</v>
      </c>
      <c r="M43" s="6" t="s">
        <v>101</v>
      </c>
      <c r="N43" s="5" t="s">
        <v>46</v>
      </c>
      <c r="O43" s="5" t="s">
        <v>20</v>
      </c>
      <c r="P43" s="5">
        <v>12770.0</v>
      </c>
      <c r="Q43" s="5">
        <v>84.0</v>
      </c>
      <c r="R43" s="5">
        <v>6224.0</v>
      </c>
      <c r="S43" s="5">
        <v>11110.0</v>
      </c>
      <c r="T43" s="5">
        <v>21.0</v>
      </c>
      <c r="U43" s="9">
        <v>2087.509827</v>
      </c>
    </row>
    <row r="44">
      <c r="A44" s="4" t="s">
        <v>1084</v>
      </c>
      <c r="B44" s="4"/>
      <c r="C44" s="4" t="str">
        <f>IFERROR(__xludf.DUMMYFUNCTION("SPLIT(A44,""&gt;"")"),"United States ")</f>
        <v>United States </v>
      </c>
      <c r="D44" s="4" t="str">
        <f>IFERROR(__xludf.DUMMYFUNCTION("""COMPUTED_VALUE""")," Response Performance ")</f>
        <v> Response Performance </v>
      </c>
      <c r="E44" s="4" t="str">
        <f>IFERROR(__xludf.DUMMYFUNCTION("""COMPUTED_VALUE""")," Direct Marketing Responders")</f>
        <v> Direct Marketing Responders</v>
      </c>
      <c r="F44" s="4"/>
      <c r="G44" s="4"/>
      <c r="H44" s="4"/>
      <c r="I44" s="4"/>
      <c r="J44" s="5" t="s">
        <v>15</v>
      </c>
      <c r="K44" s="5" t="s">
        <v>42</v>
      </c>
      <c r="L44" s="5" t="s">
        <v>35</v>
      </c>
      <c r="M44" s="6" t="s">
        <v>103</v>
      </c>
      <c r="N44" s="5" t="s">
        <v>1046</v>
      </c>
      <c r="O44" s="5" t="s">
        <v>27</v>
      </c>
      <c r="P44" s="5">
        <v>117713.0</v>
      </c>
      <c r="Q44" s="5">
        <v>374.0</v>
      </c>
      <c r="R44" s="5">
        <v>16357.0</v>
      </c>
      <c r="S44" s="5">
        <v>100222.0</v>
      </c>
      <c r="T44" s="5">
        <v>5.0</v>
      </c>
      <c r="U44" s="9">
        <v>2505.403543</v>
      </c>
    </row>
    <row r="45" hidden="1">
      <c r="A45" s="4" t="s">
        <v>104</v>
      </c>
      <c r="B45" s="4" t="str">
        <f>IFERROR(__xludf.DUMMYFUNCTION("SPLIT(A45,""&gt;"")"),"Online Behavior")</f>
        <v>Online Behavior</v>
      </c>
      <c r="C45" s="4" t="str">
        <f>IFERROR(__xludf.DUMMYFUNCTION("""COMPUTED_VALUE"""),"United States")</f>
        <v>United States</v>
      </c>
      <c r="D45" s="4" t="str">
        <f>IFERROR(__xludf.DUMMYFUNCTION("""COMPUTED_VALUE"""),"Games")</f>
        <v>Games</v>
      </c>
      <c r="E45" s="4" t="str">
        <f>IFERROR(__xludf.DUMMYFUNCTION("""COMPUTED_VALUE"""),"Computer and Video Games")</f>
        <v>Computer and Video Games</v>
      </c>
      <c r="F45" s="4"/>
      <c r="G45" s="4"/>
      <c r="H45" s="4"/>
      <c r="I45" s="4"/>
      <c r="J45" s="5" t="s">
        <v>15</v>
      </c>
      <c r="K45" s="5" t="s">
        <v>16</v>
      </c>
      <c r="L45" s="5" t="s">
        <v>35</v>
      </c>
      <c r="M45" s="6" t="s">
        <v>105</v>
      </c>
      <c r="N45" s="5" t="s">
        <v>26</v>
      </c>
      <c r="O45" s="5" t="s">
        <v>20</v>
      </c>
      <c r="P45" s="5">
        <v>26558.0</v>
      </c>
      <c r="Q45" s="5">
        <v>111.0</v>
      </c>
      <c r="R45" s="5">
        <v>15761.0</v>
      </c>
      <c r="S45" s="5">
        <v>23532.0</v>
      </c>
      <c r="T45" s="5">
        <v>14.0</v>
      </c>
      <c r="U45" s="9">
        <v>6751.558981</v>
      </c>
    </row>
    <row r="46">
      <c r="A46" s="4" t="s">
        <v>1085</v>
      </c>
      <c r="B46" s="4" t="str">
        <f>IFERROR(__xludf.DUMMYFUNCTION("SPLIT(A46,""&gt;"")"),"Online Behavior")</f>
        <v>Online Behavior</v>
      </c>
      <c r="C46" s="4" t="str">
        <f>IFERROR(__xludf.DUMMYFUNCTION("""COMPUTED_VALUE"""),"United States")</f>
        <v>United States</v>
      </c>
      <c r="D46" s="4" t="str">
        <f>IFERROR(__xludf.DUMMYFUNCTION("""COMPUTED_VALUE"""),"Finance ")</f>
        <v>Finance </v>
      </c>
      <c r="E46" s="4" t="str">
        <f>IFERROR(__xludf.DUMMYFUNCTION("""COMPUTED_VALUE""")," Insurance")</f>
        <v> Insurance</v>
      </c>
      <c r="F46" s="4" t="str">
        <f>IFERROR(__xludf.DUMMYFUNCTION("""COMPUTED_VALUE"""),"Home Insurance")</f>
        <v>Home Insurance</v>
      </c>
      <c r="G46" s="4"/>
      <c r="H46" s="4"/>
      <c r="I46" s="4"/>
      <c r="J46" s="5" t="s">
        <v>15</v>
      </c>
      <c r="K46" s="5" t="s">
        <v>23</v>
      </c>
      <c r="L46" s="5" t="s">
        <v>95</v>
      </c>
      <c r="M46" s="6" t="s">
        <v>105</v>
      </c>
      <c r="N46" s="5" t="s">
        <v>19</v>
      </c>
      <c r="O46" s="5" t="s">
        <v>27</v>
      </c>
      <c r="P46" s="5">
        <v>53464.0</v>
      </c>
      <c r="Q46" s="5">
        <v>212.0</v>
      </c>
      <c r="R46" s="5">
        <v>22151.0</v>
      </c>
      <c r="S46" s="5">
        <v>49058.0</v>
      </c>
      <c r="T46" s="5">
        <v>9.0</v>
      </c>
      <c r="U46" s="9">
        <v>5741.098045</v>
      </c>
    </row>
    <row r="47">
      <c r="A47" s="4" t="s">
        <v>1086</v>
      </c>
      <c r="B47" s="4"/>
      <c r="C47" s="4" t="str">
        <f>IFERROR(__xludf.DUMMYFUNCTION("SPLIT(A47,""&gt;"")"),"United States ")</f>
        <v>United States </v>
      </c>
      <c r="D47" s="4" t="str">
        <f>IFERROR(__xludf.DUMMYFUNCTION("""COMPUTED_VALUE""")," Reach ")</f>
        <v> Reach </v>
      </c>
      <c r="E47" s="4" t="str">
        <f>IFERROR(__xludf.DUMMYFUNCTION("""COMPUTED_VALUE""")," Sociodemographic ")</f>
        <v> Sociodemographic </v>
      </c>
      <c r="F47" s="4" t="str">
        <f>IFERROR(__xludf.DUMMYFUNCTION("""COMPUTED_VALUE""")," Dwelling Size ")</f>
        <v> Dwelling Size </v>
      </c>
      <c r="G47" s="4" t="str">
        <f>IFERROR(__xludf.DUMMYFUNCTION("""COMPUTED_VALUE""")," 1 Unit")</f>
        <v> 1 Unit</v>
      </c>
      <c r="H47" s="4"/>
      <c r="I47" s="4"/>
      <c r="J47" s="5" t="s">
        <v>61</v>
      </c>
      <c r="K47" s="5" t="s">
        <v>42</v>
      </c>
      <c r="L47" s="5" t="s">
        <v>29</v>
      </c>
      <c r="M47" s="6" t="s">
        <v>105</v>
      </c>
      <c r="N47" s="5" t="s">
        <v>46</v>
      </c>
      <c r="O47" s="5" t="s">
        <v>27</v>
      </c>
      <c r="P47" s="5">
        <v>13686.0</v>
      </c>
      <c r="Q47" s="5">
        <v>66.0</v>
      </c>
      <c r="R47" s="5">
        <v>7928.0</v>
      </c>
      <c r="S47" s="5">
        <v>11931.0</v>
      </c>
      <c r="T47" s="5">
        <v>11.0</v>
      </c>
      <c r="U47" s="9">
        <v>4660.560369</v>
      </c>
    </row>
    <row r="48">
      <c r="A48" s="4" t="s">
        <v>1087</v>
      </c>
      <c r="B48" s="4" t="str">
        <f>IFERROR(__xludf.DUMMYFUNCTION("SPLIT(A48,""&gt;"")"),"Online Behavior")</f>
        <v>Online Behavior</v>
      </c>
      <c r="C48" s="4" t="str">
        <f>IFERROR(__xludf.DUMMYFUNCTION("""COMPUTED_VALUE"""),"United States")</f>
        <v>United States</v>
      </c>
      <c r="D48" s="4" t="str">
        <f>IFERROR(__xludf.DUMMYFUNCTION("""COMPUTED_VALUE"""),"B2B ")</f>
        <v>B2B </v>
      </c>
      <c r="E48" s="4" t="str">
        <f>IFERROR(__xludf.DUMMYFUNCTION("""COMPUTED_VALUE""")," Occupation")</f>
        <v> Occupation</v>
      </c>
      <c r="F48" s="4" t="str">
        <f>IFERROR(__xludf.DUMMYFUNCTION("""COMPUTED_VALUE"""),"MechanicalEngineer")</f>
        <v>MechanicalEngineer</v>
      </c>
      <c r="G48" s="4"/>
      <c r="H48" s="4"/>
      <c r="I48" s="4"/>
      <c r="J48" s="5" t="s">
        <v>22</v>
      </c>
      <c r="K48" s="5" t="s">
        <v>23</v>
      </c>
      <c r="L48" s="5" t="s">
        <v>24</v>
      </c>
      <c r="M48" s="6" t="s">
        <v>105</v>
      </c>
      <c r="N48" s="5" t="s">
        <v>19</v>
      </c>
      <c r="O48" s="5" t="s">
        <v>27</v>
      </c>
      <c r="P48" s="5">
        <v>17752.0</v>
      </c>
      <c r="Q48" s="5">
        <v>98.0</v>
      </c>
      <c r="R48" s="5">
        <v>5855.0</v>
      </c>
      <c r="S48" s="5">
        <v>15753.0</v>
      </c>
      <c r="T48" s="5">
        <v>5.0</v>
      </c>
      <c r="U48" s="9">
        <v>2200.297094</v>
      </c>
    </row>
    <row r="49" hidden="1">
      <c r="A49" s="4" t="s">
        <v>1088</v>
      </c>
      <c r="B49" s="4"/>
      <c r="C49" s="4" t="str">
        <f>IFERROR(__xludf.DUMMYFUNCTION("SPLIT(A49,""&gt;"")"),"United States ")</f>
        <v>United States </v>
      </c>
      <c r="D49" s="4" t="str">
        <f>IFERROR(__xludf.DUMMYFUNCTION("""COMPUTED_VALUE""")," Interest Propensities ")</f>
        <v> Interest Propensities </v>
      </c>
      <c r="E49" s="4" t="str">
        <f>IFERROR(__xludf.DUMMYFUNCTION("""COMPUTED_VALUE""")," Insurance ")</f>
        <v> Insurance </v>
      </c>
      <c r="F49" s="4" t="str">
        <f>IFERROR(__xludf.DUMMYFUNCTION("""COMPUTED_VALUE""")," MassMutual")</f>
        <v> MassMutual</v>
      </c>
      <c r="G49" s="4"/>
      <c r="H49" s="4"/>
      <c r="I49" s="4"/>
      <c r="J49" s="5" t="s">
        <v>15</v>
      </c>
      <c r="K49" s="5" t="s">
        <v>42</v>
      </c>
      <c r="L49" s="5" t="s">
        <v>78</v>
      </c>
      <c r="M49" s="6" t="s">
        <v>105</v>
      </c>
      <c r="N49" s="5" t="s">
        <v>19</v>
      </c>
      <c r="O49" s="5" t="s">
        <v>52</v>
      </c>
      <c r="P49" s="5">
        <v>32845.0</v>
      </c>
      <c r="Q49" s="5">
        <v>164.0</v>
      </c>
      <c r="R49" s="5">
        <v>16163.0</v>
      </c>
      <c r="S49" s="5">
        <v>30368.0</v>
      </c>
      <c r="T49" s="5">
        <v>5.0</v>
      </c>
      <c r="U49" s="9">
        <v>1910.436686</v>
      </c>
    </row>
    <row r="50">
      <c r="A50" s="4" t="s">
        <v>1089</v>
      </c>
      <c r="B50" s="4"/>
      <c r="C50" s="4" t="str">
        <f>IFERROR(__xludf.DUMMYFUNCTION("SPLIT(A50,""&gt;"")"),"United States ")</f>
        <v>United States </v>
      </c>
      <c r="D50" s="4" t="str">
        <f>IFERROR(__xludf.DUMMYFUNCTION("""COMPUTED_VALUE""")," Premium Gender ")</f>
        <v> Premium Gender </v>
      </c>
      <c r="E50" s="4" t="str">
        <f>IFERROR(__xludf.DUMMYFUNCTION("""COMPUTED_VALUE""")," Premium Gender ")</f>
        <v> Premium Gender </v>
      </c>
      <c r="F50" s="4" t="str">
        <f>IFERROR(__xludf.DUMMYFUNCTION("""COMPUTED_VALUE""")," Males")</f>
        <v> Males</v>
      </c>
      <c r="G50" s="4"/>
      <c r="H50" s="4"/>
      <c r="I50" s="4"/>
      <c r="J50" s="5" t="s">
        <v>22</v>
      </c>
      <c r="K50" s="5" t="s">
        <v>23</v>
      </c>
      <c r="L50" s="5" t="s">
        <v>35</v>
      </c>
      <c r="M50" s="6" t="s">
        <v>111</v>
      </c>
      <c r="N50" s="5" t="s">
        <v>19</v>
      </c>
      <c r="O50" s="5" t="s">
        <v>27</v>
      </c>
      <c r="P50" s="5">
        <v>15322.0</v>
      </c>
      <c r="Q50" s="5">
        <v>55.0</v>
      </c>
      <c r="R50" s="5">
        <v>6416.0</v>
      </c>
      <c r="S50" s="5">
        <v>14049.0</v>
      </c>
      <c r="T50" s="5">
        <v>5.0</v>
      </c>
      <c r="U50" s="9">
        <v>1850.464205</v>
      </c>
    </row>
    <row r="51">
      <c r="A51" s="4" t="s">
        <v>1090</v>
      </c>
      <c r="B51" s="4"/>
      <c r="C51" s="4" t="str">
        <f>IFERROR(__xludf.DUMMYFUNCTION("SPLIT(A51,""&gt;"")"),"United States ")</f>
        <v>United States </v>
      </c>
      <c r="D51" s="4" t="str">
        <f>IFERROR(__xludf.DUMMYFUNCTION("""COMPUTED_VALUE""")," Reach ")</f>
        <v> Reach </v>
      </c>
      <c r="E51" s="4" t="str">
        <f>IFERROR(__xludf.DUMMYFUNCTION("""COMPUTED_VALUE""")," Propensity Models ")</f>
        <v> Propensity Models </v>
      </c>
      <c r="F51" s="4" t="str">
        <f>IFERROR(__xludf.DUMMYFUNCTION("""COMPUTED_VALUE""")," Hobbies and Interest ")</f>
        <v> Hobbies and Interest </v>
      </c>
      <c r="G51" s="4" t="str">
        <f>IFERROR(__xludf.DUMMYFUNCTION("""COMPUTED_VALUE""")," Food and Drinks ")</f>
        <v> Food and Drinks </v>
      </c>
      <c r="H51" s="4" t="str">
        <f>IFERROR(__xludf.DUMMYFUNCTION("""COMPUTED_VALUE""")," Eats at Fast Food Restaurants")</f>
        <v> Eats at Fast Food Restaurants</v>
      </c>
      <c r="I51" s="4"/>
      <c r="J51" s="5" t="s">
        <v>15</v>
      </c>
      <c r="K51" s="5" t="s">
        <v>16</v>
      </c>
      <c r="L51" s="5" t="s">
        <v>78</v>
      </c>
      <c r="M51" s="6" t="s">
        <v>113</v>
      </c>
      <c r="N51" s="5" t="s">
        <v>46</v>
      </c>
      <c r="O51" s="5" t="s">
        <v>27</v>
      </c>
      <c r="P51" s="5">
        <v>18458.0</v>
      </c>
      <c r="Q51" s="5">
        <v>111.0</v>
      </c>
      <c r="R51" s="5">
        <v>3623.0</v>
      </c>
      <c r="S51" s="5">
        <v>16934.0</v>
      </c>
      <c r="T51" s="5">
        <v>6.0</v>
      </c>
      <c r="U51" s="9">
        <v>2866.496671</v>
      </c>
    </row>
    <row r="52">
      <c r="A52" s="4" t="s">
        <v>1091</v>
      </c>
      <c r="B52" s="4" t="str">
        <f>IFERROR(__xludf.DUMMYFUNCTION("SPLIT(A52,""&gt;"")"),"Online Behavior")</f>
        <v>Online Behavior</v>
      </c>
      <c r="C52" s="4" t="str">
        <f>IFERROR(__xludf.DUMMYFUNCTION("""COMPUTED_VALUE"""),"United States")</f>
        <v>United States</v>
      </c>
      <c r="D52" s="4" t="str">
        <f>IFERROR(__xludf.DUMMYFUNCTION("""COMPUTED_VALUE"""),"Travel")</f>
        <v>Travel</v>
      </c>
      <c r="E52" s="4" t="str">
        <f>IFERROR(__xludf.DUMMYFUNCTION("""COMPUTED_VALUE"""),"Specialty Travel ")</f>
        <v>Specialty Travel </v>
      </c>
      <c r="F52" s="4" t="str">
        <f>IFERROR(__xludf.DUMMYFUNCTION("""COMPUTED_VALUE""")," Adventure Travel")</f>
        <v> Adventure Travel</v>
      </c>
      <c r="G52" s="4"/>
      <c r="H52" s="4"/>
      <c r="I52" s="4"/>
      <c r="J52" s="5" t="s">
        <v>22</v>
      </c>
      <c r="K52" s="5" t="s">
        <v>42</v>
      </c>
      <c r="L52" s="5" t="s">
        <v>35</v>
      </c>
      <c r="M52" s="6" t="s">
        <v>115</v>
      </c>
      <c r="N52" s="5" t="s">
        <v>19</v>
      </c>
      <c r="O52" s="5" t="s">
        <v>27</v>
      </c>
      <c r="P52" s="5">
        <v>108559.0</v>
      </c>
      <c r="Q52" s="5">
        <v>212.0</v>
      </c>
      <c r="R52" s="5">
        <v>79254.0</v>
      </c>
      <c r="S52" s="5">
        <v>100563.0</v>
      </c>
      <c r="T52" s="5">
        <v>7.0</v>
      </c>
      <c r="U52" s="9">
        <v>6850.576483</v>
      </c>
    </row>
    <row r="53">
      <c r="A53" s="4" t="s">
        <v>1092</v>
      </c>
      <c r="B53" s="4" t="str">
        <f>IFERROR(__xludf.DUMMYFUNCTION("SPLIT(A53,""&gt;"")"),"Online Behavior")</f>
        <v>Online Behavior</v>
      </c>
      <c r="C53" s="4" t="str">
        <f>IFERROR(__xludf.DUMMYFUNCTION("""COMPUTED_VALUE"""),"United States")</f>
        <v>United States</v>
      </c>
      <c r="D53" s="4" t="str">
        <f>IFERROR(__xludf.DUMMYFUNCTION("""COMPUTED_VALUE"""),"Travel")</f>
        <v>Travel</v>
      </c>
      <c r="E53" s="4" t="str">
        <f>IFERROR(__xludf.DUMMYFUNCTION("""COMPUTED_VALUE"""),"Tourist Destinations ")</f>
        <v>Tourist Destinations </v>
      </c>
      <c r="F53" s="4" t="str">
        <f>IFERROR(__xludf.DUMMYFUNCTION("""COMPUTED_VALUE""")," Zoos-Aquariums-Preserves")</f>
        <v> Zoos-Aquariums-Preserves</v>
      </c>
      <c r="G53" s="4"/>
      <c r="H53" s="4"/>
      <c r="I53" s="4"/>
      <c r="J53" s="5" t="s">
        <v>22</v>
      </c>
      <c r="K53" s="5" t="s">
        <v>42</v>
      </c>
      <c r="L53" s="5" t="s">
        <v>35</v>
      </c>
      <c r="M53" s="6" t="s">
        <v>115</v>
      </c>
      <c r="N53" s="5" t="s">
        <v>117</v>
      </c>
      <c r="O53" s="5" t="s">
        <v>27</v>
      </c>
      <c r="P53" s="5">
        <v>106151.0</v>
      </c>
      <c r="Q53" s="5">
        <v>299.0</v>
      </c>
      <c r="R53" s="5">
        <v>75304.0</v>
      </c>
      <c r="S53" s="5">
        <v>99311.0</v>
      </c>
      <c r="T53" s="5">
        <v>9.0</v>
      </c>
      <c r="U53" s="9">
        <v>6616.88066</v>
      </c>
    </row>
    <row r="54">
      <c r="A54" s="4" t="s">
        <v>1093</v>
      </c>
      <c r="B54" s="4" t="str">
        <f>IFERROR(__xludf.DUMMYFUNCTION("SPLIT(A54,""&gt;"")"),"Online Behavior")</f>
        <v>Online Behavior</v>
      </c>
      <c r="C54" s="4" t="str">
        <f>IFERROR(__xludf.DUMMYFUNCTION("""COMPUTED_VALUE"""),"United States")</f>
        <v>United States</v>
      </c>
      <c r="D54" s="4" t="str">
        <f>IFERROR(__xludf.DUMMYFUNCTION("""COMPUTED_VALUE"""),"Sports")</f>
        <v>Sports</v>
      </c>
      <c r="E54" s="4" t="str">
        <f>IFERROR(__xludf.DUMMYFUNCTION("""COMPUTED_VALUE"""),"Sports League ")</f>
        <v>Sports League </v>
      </c>
      <c r="F54" s="4" t="str">
        <f>IFERROR(__xludf.DUMMYFUNCTION("""COMPUTED_VALUE""")," NBA")</f>
        <v> NBA</v>
      </c>
      <c r="G54" s="4"/>
      <c r="H54" s="4"/>
      <c r="I54" s="4"/>
      <c r="J54" s="5" t="s">
        <v>22</v>
      </c>
      <c r="K54" s="5" t="s">
        <v>42</v>
      </c>
      <c r="L54" s="5" t="s">
        <v>84</v>
      </c>
      <c r="M54" s="6" t="s">
        <v>115</v>
      </c>
      <c r="N54" s="5" t="s">
        <v>36</v>
      </c>
      <c r="O54" s="5" t="s">
        <v>27</v>
      </c>
      <c r="P54" s="5">
        <v>149618.0</v>
      </c>
      <c r="Q54" s="5">
        <v>260.0</v>
      </c>
      <c r="R54" s="5">
        <v>126031.0</v>
      </c>
      <c r="S54" s="5">
        <v>140596.0</v>
      </c>
      <c r="T54" s="5">
        <v>26.0</v>
      </c>
      <c r="U54" s="9">
        <v>6605.586158</v>
      </c>
    </row>
    <row r="55">
      <c r="A55" s="4" t="s">
        <v>1094</v>
      </c>
      <c r="B55" s="4" t="str">
        <f>IFERROR(__xludf.DUMMYFUNCTION("SPLIT(A55,""&gt;"")"),"Online Behavior")</f>
        <v>Online Behavior</v>
      </c>
      <c r="C55" s="4" t="str">
        <f>IFERROR(__xludf.DUMMYFUNCTION("""COMPUTED_VALUE"""),"United States")</f>
        <v>United States</v>
      </c>
      <c r="D55" s="4" t="str">
        <f>IFERROR(__xludf.DUMMYFUNCTION("""COMPUTED_VALUE"""),"Finance ")</f>
        <v>Finance </v>
      </c>
      <c r="E55" s="4" t="str">
        <f>IFERROR(__xludf.DUMMYFUNCTION("""COMPUTED_VALUE""")," Investing")</f>
        <v> Investing</v>
      </c>
      <c r="F55" s="4" t="str">
        <f>IFERROR(__xludf.DUMMYFUNCTION("""COMPUTED_VALUE"""),"Derivatives")</f>
        <v>Derivatives</v>
      </c>
      <c r="G55" s="4"/>
      <c r="H55" s="4"/>
      <c r="I55" s="4"/>
      <c r="J55" s="5" t="s">
        <v>22</v>
      </c>
      <c r="K55" s="5" t="s">
        <v>42</v>
      </c>
      <c r="L55" s="5" t="s">
        <v>35</v>
      </c>
      <c r="M55" s="6" t="s">
        <v>115</v>
      </c>
      <c r="N55" s="5" t="s">
        <v>117</v>
      </c>
      <c r="O55" s="5" t="s">
        <v>27</v>
      </c>
      <c r="P55" s="5">
        <v>114384.0</v>
      </c>
      <c r="Q55" s="5">
        <v>100.0</v>
      </c>
      <c r="R55" s="5">
        <v>61524.0</v>
      </c>
      <c r="S55" s="5">
        <v>105104.0</v>
      </c>
      <c r="T55" s="5">
        <v>12.0</v>
      </c>
      <c r="U55" s="9">
        <v>5803.331454</v>
      </c>
    </row>
    <row r="56">
      <c r="A56" s="4" t="s">
        <v>120</v>
      </c>
      <c r="B56" s="4" t="str">
        <f>IFERROR(__xludf.DUMMYFUNCTION("SPLIT(A56,""&gt;"")"),"Online Behavior")</f>
        <v>Online Behavior</v>
      </c>
      <c r="C56" s="4" t="str">
        <f>IFERROR(__xludf.DUMMYFUNCTION("""COMPUTED_VALUE"""),"United States")</f>
        <v>United States</v>
      </c>
      <c r="D56" s="4" t="str">
        <f>IFERROR(__xludf.DUMMYFUNCTION("""COMPUTED_VALUE"""),"Law and Government")</f>
        <v>Law and Government</v>
      </c>
      <c r="E56" s="4" t="str">
        <f>IFERROR(__xludf.DUMMYFUNCTION("""COMPUTED_VALUE"""),"Public Safety")</f>
        <v>Public Safety</v>
      </c>
      <c r="F56" s="4"/>
      <c r="G56" s="4"/>
      <c r="H56" s="4"/>
      <c r="I56" s="4"/>
      <c r="J56" s="5" t="s">
        <v>22</v>
      </c>
      <c r="K56" s="5" t="s">
        <v>16</v>
      </c>
      <c r="L56" s="5" t="s">
        <v>1095</v>
      </c>
      <c r="M56" s="6" t="s">
        <v>115</v>
      </c>
      <c r="N56" s="5" t="s">
        <v>80</v>
      </c>
      <c r="O56" s="5" t="s">
        <v>27</v>
      </c>
      <c r="P56" s="5">
        <v>43367.0</v>
      </c>
      <c r="Q56" s="5">
        <v>111.0</v>
      </c>
      <c r="R56" s="5">
        <v>14306.0</v>
      </c>
      <c r="S56" s="5">
        <v>39750.0</v>
      </c>
      <c r="T56" s="5">
        <v>12.0</v>
      </c>
      <c r="U56" s="9">
        <v>5214.298693</v>
      </c>
    </row>
    <row r="57" hidden="1">
      <c r="A57" s="4" t="s">
        <v>122</v>
      </c>
      <c r="B57" s="4" t="str">
        <f>IFERROR(__xludf.DUMMYFUNCTION("SPLIT(A57,""&gt;"")"),"Online Behavior")</f>
        <v>Online Behavior</v>
      </c>
      <c r="C57" s="4" t="str">
        <f>IFERROR(__xludf.DUMMYFUNCTION("""COMPUTED_VALUE"""),"United States")</f>
        <v>United States</v>
      </c>
      <c r="D57" s="4" t="str">
        <f>IFERROR(__xludf.DUMMYFUNCTION("""COMPUTED_VALUE"""),"Jobs and Education")</f>
        <v>Jobs and Education</v>
      </c>
      <c r="E57" s="4" t="str">
        <f>IFERROR(__xludf.DUMMYFUNCTION("""COMPUTED_VALUE"""),"Education")</f>
        <v>Education</v>
      </c>
      <c r="F57" s="4"/>
      <c r="G57" s="4"/>
      <c r="H57" s="4"/>
      <c r="I57" s="4"/>
      <c r="J57" s="5" t="s">
        <v>15</v>
      </c>
      <c r="K57" s="5" t="s">
        <v>31</v>
      </c>
      <c r="L57" s="5" t="s">
        <v>35</v>
      </c>
      <c r="M57" s="6" t="s">
        <v>115</v>
      </c>
      <c r="N57" s="5" t="s">
        <v>19</v>
      </c>
      <c r="O57" s="5" t="s">
        <v>52</v>
      </c>
      <c r="P57" s="5">
        <v>113420.0</v>
      </c>
      <c r="Q57" s="5">
        <v>333.0</v>
      </c>
      <c r="R57" s="5">
        <v>33557.0</v>
      </c>
      <c r="S57" s="5">
        <v>104929.0</v>
      </c>
      <c r="T57" s="5">
        <v>11.0</v>
      </c>
      <c r="U57" s="9">
        <v>5124.435934</v>
      </c>
    </row>
    <row r="58" hidden="1">
      <c r="A58" s="4" t="s">
        <v>1096</v>
      </c>
      <c r="B58" s="4" t="str">
        <f>IFERROR(__xludf.DUMMYFUNCTION("SPLIT(A58,""&gt;"")"),"Online Behavior")</f>
        <v>Online Behavior</v>
      </c>
      <c r="C58" s="4" t="str">
        <f>IFERROR(__xludf.DUMMYFUNCTION("""COMPUTED_VALUE"""),"United States")</f>
        <v>United States</v>
      </c>
      <c r="D58" s="4" t="str">
        <f>IFERROR(__xludf.DUMMYFUNCTION("""COMPUTED_VALUE"""),"Autos and Vehicles ")</f>
        <v>Autos and Vehicles </v>
      </c>
      <c r="E58" s="4" t="str">
        <f>IFERROR(__xludf.DUMMYFUNCTION("""COMPUTED_VALUE""")," Brands")</f>
        <v> Brands</v>
      </c>
      <c r="F58" s="4" t="str">
        <f>IFERROR(__xludf.DUMMYFUNCTION("""COMPUTED_VALUE"""),"Ferrari")</f>
        <v>Ferrari</v>
      </c>
      <c r="G58" s="4"/>
      <c r="H58" s="4"/>
      <c r="I58" s="4"/>
      <c r="J58" s="5" t="s">
        <v>15</v>
      </c>
      <c r="K58" s="5" t="s">
        <v>23</v>
      </c>
      <c r="L58" s="5" t="s">
        <v>55</v>
      </c>
      <c r="M58" s="6" t="s">
        <v>115</v>
      </c>
      <c r="N58" s="5" t="s">
        <v>19</v>
      </c>
      <c r="O58" s="5" t="s">
        <v>52</v>
      </c>
      <c r="P58" s="5">
        <v>88293.0</v>
      </c>
      <c r="Q58" s="5">
        <v>255.0</v>
      </c>
      <c r="R58" s="5">
        <v>24101.0</v>
      </c>
      <c r="S58" s="5">
        <v>75557.0</v>
      </c>
      <c r="T58" s="5">
        <v>19.0</v>
      </c>
      <c r="U58" s="9">
        <v>5054.481581</v>
      </c>
    </row>
    <row r="59">
      <c r="A59" s="4" t="s">
        <v>124</v>
      </c>
      <c r="B59" s="4" t="str">
        <f>IFERROR(__xludf.DUMMYFUNCTION("SPLIT(A59,""&gt;"")"),"Online Behavior")</f>
        <v>Online Behavior</v>
      </c>
      <c r="C59" s="4" t="str">
        <f>IFERROR(__xludf.DUMMYFUNCTION("""COMPUTED_VALUE"""),"United States")</f>
        <v>United States</v>
      </c>
      <c r="D59" s="4" t="str">
        <f>IFERROR(__xludf.DUMMYFUNCTION("""COMPUTED_VALUE"""),"News")</f>
        <v>News</v>
      </c>
      <c r="E59" s="4" t="str">
        <f>IFERROR(__xludf.DUMMYFUNCTION("""COMPUTED_VALUE"""),"Sports News")</f>
        <v>Sports News</v>
      </c>
      <c r="F59" s="4"/>
      <c r="G59" s="4"/>
      <c r="H59" s="4"/>
      <c r="I59" s="4"/>
      <c r="J59" s="5" t="s">
        <v>22</v>
      </c>
      <c r="K59" s="5" t="s">
        <v>16</v>
      </c>
      <c r="L59" s="5" t="s">
        <v>35</v>
      </c>
      <c r="M59" s="6" t="s">
        <v>115</v>
      </c>
      <c r="N59" s="5" t="s">
        <v>19</v>
      </c>
      <c r="O59" s="5" t="s">
        <v>27</v>
      </c>
      <c r="P59" s="5">
        <v>26715.0</v>
      </c>
      <c r="Q59" s="5">
        <v>100.0</v>
      </c>
      <c r="R59" s="5">
        <v>12287.0</v>
      </c>
      <c r="S59" s="5">
        <v>25003.0</v>
      </c>
      <c r="T59" s="5">
        <v>6.0</v>
      </c>
      <c r="U59" s="9">
        <v>4623.089672</v>
      </c>
    </row>
    <row r="60">
      <c r="A60" s="4" t="s">
        <v>125</v>
      </c>
      <c r="B60" s="4"/>
      <c r="C60" s="4"/>
      <c r="D60" s="4" t="str">
        <f>IFERROR(__xludf.DUMMYFUNCTION("SPLIT(A60,""&gt;"")"),"Telecommunications (Telco)")</f>
        <v>Telecommunications (Telco)</v>
      </c>
      <c r="E60" s="4"/>
      <c r="F60" s="4"/>
      <c r="G60" s="4"/>
      <c r="H60" s="4"/>
      <c r="I60" s="4"/>
      <c r="J60" s="5" t="s">
        <v>22</v>
      </c>
      <c r="K60" s="5" t="s">
        <v>31</v>
      </c>
      <c r="L60" s="5" t="s">
        <v>126</v>
      </c>
      <c r="M60" s="6" t="s">
        <v>115</v>
      </c>
      <c r="N60" s="5" t="s">
        <v>19</v>
      </c>
      <c r="O60" s="5" t="s">
        <v>27</v>
      </c>
      <c r="P60" s="5">
        <v>65380.0</v>
      </c>
      <c r="Q60" s="5">
        <v>208.0</v>
      </c>
      <c r="R60" s="5">
        <v>30039.0</v>
      </c>
      <c r="S60" s="5">
        <v>60482.0</v>
      </c>
      <c r="T60" s="5">
        <v>5.0</v>
      </c>
      <c r="U60" s="9">
        <v>2905.884162</v>
      </c>
    </row>
    <row r="61">
      <c r="A61" s="4" t="s">
        <v>1097</v>
      </c>
      <c r="B61" s="4"/>
      <c r="C61" s="4" t="str">
        <f>IFERROR(__xludf.DUMMYFUNCTION("SPLIT(A61,""&gt;"")"),"United States ")</f>
        <v>United States </v>
      </c>
      <c r="D61" s="4" t="str">
        <f>IFERROR(__xludf.DUMMYFUNCTION("""COMPUTED_VALUE""")," B2B ")</f>
        <v> B2B </v>
      </c>
      <c r="E61" s="4" t="str">
        <f>IFERROR(__xludf.DUMMYFUNCTION("""COMPUTED_VALUE""")," Purchase DM ")</f>
        <v> Purchase DM </v>
      </c>
      <c r="F61" s="4" t="str">
        <f>IFERROR(__xludf.DUMMYFUNCTION("""COMPUTED_VALUE""")," Technology Services, Hardware and ")</f>
        <v> Technology Services, Hardware and </v>
      </c>
      <c r="G61" s="4" t="str">
        <f>IFERROR(__xludf.DUMMYFUNCTION("""COMPUTED_VALUE""")," or Software ")</f>
        <v> or Software </v>
      </c>
      <c r="H61" s="4" t="str">
        <f>IFERROR(__xludf.DUMMYFUNCTION("""COMPUTED_VALUE""")," I have no input into the final decision")</f>
        <v> I have no input into the final decision</v>
      </c>
      <c r="I61" s="4"/>
      <c r="J61" s="5" t="s">
        <v>15</v>
      </c>
      <c r="K61" s="5" t="s">
        <v>42</v>
      </c>
      <c r="L61" s="5" t="s">
        <v>17</v>
      </c>
      <c r="M61" s="6" t="s">
        <v>115</v>
      </c>
      <c r="N61" s="5" t="s">
        <v>19</v>
      </c>
      <c r="O61" s="5" t="s">
        <v>27</v>
      </c>
      <c r="P61" s="5">
        <v>130796.0</v>
      </c>
      <c r="Q61" s="5">
        <v>300.0</v>
      </c>
      <c r="R61" s="5">
        <v>109118.0</v>
      </c>
      <c r="S61" s="5">
        <v>122937.0</v>
      </c>
      <c r="T61" s="5">
        <v>6.0</v>
      </c>
      <c r="U61" s="9">
        <v>2196.661232</v>
      </c>
    </row>
    <row r="62" hidden="1">
      <c r="A62" s="4" t="s">
        <v>1098</v>
      </c>
      <c r="B62" s="4"/>
      <c r="C62" s="4" t="str">
        <f>IFERROR(__xludf.DUMMYFUNCTION("SPLIT(A62,""&gt;"")"),"United States ")</f>
        <v>United States </v>
      </c>
      <c r="D62" s="4" t="str">
        <f>IFERROR(__xludf.DUMMYFUNCTION("""COMPUTED_VALUE""")," Reach ")</f>
        <v> Reach </v>
      </c>
      <c r="E62" s="4" t="str">
        <f>IFERROR(__xludf.DUMMYFUNCTION("""COMPUTED_VALUE""")," Propensity Models ")</f>
        <v> Propensity Models </v>
      </c>
      <c r="F62" s="4" t="str">
        <f>IFERROR(__xludf.DUMMYFUNCTION("""COMPUTED_VALUE""")," Hobbies and Interest ")</f>
        <v> Hobbies and Interest </v>
      </c>
      <c r="G62" s="4" t="str">
        <f>IFERROR(__xludf.DUMMYFUNCTION("""COMPUTED_VALUE""")," Food and Drinks ")</f>
        <v> Food and Drinks </v>
      </c>
      <c r="H62" s="4" t="str">
        <f>IFERROR(__xludf.DUMMYFUNCTION("""COMPUTED_VALUE""")," Wine Lovers")</f>
        <v> Wine Lovers</v>
      </c>
      <c r="I62" s="4"/>
      <c r="J62" s="5" t="s">
        <v>15</v>
      </c>
      <c r="K62" s="5" t="s">
        <v>16</v>
      </c>
      <c r="L62" s="5" t="s">
        <v>39</v>
      </c>
      <c r="M62" s="6" t="s">
        <v>115</v>
      </c>
      <c r="N62" s="5" t="s">
        <v>19</v>
      </c>
      <c r="O62" s="5" t="s">
        <v>52</v>
      </c>
      <c r="P62" s="5">
        <v>64892.0</v>
      </c>
      <c r="Q62" s="5">
        <v>214.0</v>
      </c>
      <c r="R62" s="5">
        <v>34731.0</v>
      </c>
      <c r="S62" s="5">
        <v>59369.0</v>
      </c>
      <c r="T62" s="5">
        <v>24.0</v>
      </c>
      <c r="U62" s="9">
        <v>2096.285549</v>
      </c>
    </row>
    <row r="63">
      <c r="A63" s="4" t="s">
        <v>1099</v>
      </c>
      <c r="B63" s="4"/>
      <c r="C63" s="4" t="str">
        <f>IFERROR(__xludf.DUMMYFUNCTION("SPLIT(A63,""&gt;"")"),"United States ")</f>
        <v>United States </v>
      </c>
      <c r="D63" s="4" t="str">
        <f>IFERROR(__xludf.DUMMYFUNCTION("""COMPUTED_VALUE""")," Brand Propensities ")</f>
        <v> Brand Propensities </v>
      </c>
      <c r="E63" s="4" t="str">
        <f>IFERROR(__xludf.DUMMYFUNCTION("""COMPUTED_VALUE""")," Travel ")</f>
        <v> Travel </v>
      </c>
      <c r="F63" s="4" t="str">
        <f>IFERROR(__xludf.DUMMYFUNCTION("""COMPUTED_VALUE""")," Choice Hotels Buyer Propensity")</f>
        <v> Choice Hotels Buyer Propensity</v>
      </c>
      <c r="G63" s="4"/>
      <c r="H63" s="4"/>
      <c r="I63" s="4"/>
      <c r="J63" s="5" t="s">
        <v>15</v>
      </c>
      <c r="K63" s="5" t="s">
        <v>42</v>
      </c>
      <c r="L63" s="5" t="s">
        <v>35</v>
      </c>
      <c r="M63" s="6" t="s">
        <v>115</v>
      </c>
      <c r="N63" s="5" t="s">
        <v>36</v>
      </c>
      <c r="O63" s="5" t="s">
        <v>27</v>
      </c>
      <c r="P63" s="5">
        <v>210096.0</v>
      </c>
      <c r="Q63" s="5">
        <v>590.0</v>
      </c>
      <c r="R63" s="5">
        <v>90928.0</v>
      </c>
      <c r="S63" s="5">
        <v>184823.0</v>
      </c>
      <c r="T63" s="5">
        <v>4.0</v>
      </c>
      <c r="U63" s="9">
        <v>2027.431388</v>
      </c>
    </row>
    <row r="64">
      <c r="A64" s="4" t="s">
        <v>1100</v>
      </c>
      <c r="B64" s="4" t="str">
        <f>IFERROR(__xludf.DUMMYFUNCTION("SPLIT(A64,""&gt;"")"),"OnAudience ")</f>
        <v>OnAudience </v>
      </c>
      <c r="C64" s="4" t="str">
        <f>IFERROR(__xludf.DUMMYFUNCTION("""COMPUTED_VALUE""")," Interest ")</f>
        <v> Interest </v>
      </c>
      <c r="D64" s="4" t="str">
        <f>IFERROR(__xludf.DUMMYFUNCTION("""COMPUTED_VALUE""")," Careers")</f>
        <v> Careers</v>
      </c>
      <c r="E64" s="4"/>
      <c r="F64" s="4"/>
      <c r="G64" s="4"/>
      <c r="H64" s="4"/>
      <c r="I64" s="4"/>
      <c r="J64" s="5" t="s">
        <v>22</v>
      </c>
      <c r="K64" s="5" t="s">
        <v>16</v>
      </c>
      <c r="L64" s="5" t="s">
        <v>131</v>
      </c>
      <c r="M64" s="6" t="s">
        <v>115</v>
      </c>
      <c r="N64" s="5" t="s">
        <v>19</v>
      </c>
      <c r="O64" s="5" t="s">
        <v>27</v>
      </c>
      <c r="P64" s="5">
        <v>77313.0</v>
      </c>
      <c r="Q64" s="5">
        <v>191.0</v>
      </c>
      <c r="R64" s="5">
        <v>40366.0</v>
      </c>
      <c r="S64" s="5">
        <v>71128.0</v>
      </c>
      <c r="T64" s="5">
        <v>3.0</v>
      </c>
      <c r="U64" s="9">
        <v>1790.390198</v>
      </c>
    </row>
    <row r="65">
      <c r="A65" s="4" t="s">
        <v>1101</v>
      </c>
      <c r="B65" s="4"/>
      <c r="C65" s="4" t="str">
        <f>IFERROR(__xludf.DUMMYFUNCTION("SPLIT(A65,""&gt;"")"),"United States ")</f>
        <v>United States </v>
      </c>
      <c r="D65" s="4" t="str">
        <f>IFERROR(__xludf.DUMMYFUNCTION("""COMPUTED_VALUE""")," Brand Propensities ")</f>
        <v> Brand Propensities </v>
      </c>
      <c r="E65" s="4" t="str">
        <f>IFERROR(__xludf.DUMMYFUNCTION("""COMPUTED_VALUE""")," Travel ")</f>
        <v> Travel </v>
      </c>
      <c r="F65" s="4" t="str">
        <f>IFERROR(__xludf.DUMMYFUNCTION("""COMPUTED_VALUE""")," Hotel Tonight Buyer Propensity")</f>
        <v> Hotel Tonight Buyer Propensity</v>
      </c>
      <c r="G65" s="4"/>
      <c r="H65" s="4"/>
      <c r="I65" s="4"/>
      <c r="J65" s="5" t="s">
        <v>15</v>
      </c>
      <c r="K65" s="5" t="s">
        <v>42</v>
      </c>
      <c r="L65" s="5" t="s">
        <v>84</v>
      </c>
      <c r="M65" s="6" t="s">
        <v>115</v>
      </c>
      <c r="N65" s="5" t="s">
        <v>36</v>
      </c>
      <c r="O65" s="5" t="s">
        <v>27</v>
      </c>
      <c r="P65" s="5">
        <v>188170.0</v>
      </c>
      <c r="Q65" s="5">
        <v>490.0</v>
      </c>
      <c r="R65" s="5">
        <v>155266.0</v>
      </c>
      <c r="S65" s="5">
        <v>176562.0</v>
      </c>
      <c r="T65" s="5">
        <v>6.0</v>
      </c>
      <c r="U65" s="9">
        <v>1599.715069</v>
      </c>
    </row>
    <row r="66" hidden="1">
      <c r="A66" s="4" t="s">
        <v>1102</v>
      </c>
      <c r="B66" s="4" t="str">
        <f>IFERROR(__xludf.DUMMYFUNCTION("SPLIT(A66,""&gt;"")"),"OnAudience ")</f>
        <v>OnAudience </v>
      </c>
      <c r="C66" s="4" t="str">
        <f>IFERROR(__xludf.DUMMYFUNCTION("""COMPUTED_VALUE""")," Interest ")</f>
        <v> Interest </v>
      </c>
      <c r="D66" s="4" t="str">
        <f>IFERROR(__xludf.DUMMYFUNCTION("""COMPUTED_VALUE""")," Science ")</f>
        <v> Science </v>
      </c>
      <c r="E66" s="4" t="str">
        <f>IFERROR(__xludf.DUMMYFUNCTION("""COMPUTED_VALUE""")," Weather Forecast")</f>
        <v> Weather Forecast</v>
      </c>
      <c r="F66" s="4"/>
      <c r="G66" s="4"/>
      <c r="H66" s="4"/>
      <c r="I66" s="4"/>
      <c r="J66" s="5" t="s">
        <v>15</v>
      </c>
      <c r="K66" s="5" t="s">
        <v>23</v>
      </c>
      <c r="L66" s="5" t="s">
        <v>17</v>
      </c>
      <c r="M66" s="6" t="s">
        <v>115</v>
      </c>
      <c r="N66" s="5" t="s">
        <v>19</v>
      </c>
      <c r="O66" s="5" t="s">
        <v>52</v>
      </c>
      <c r="P66" s="5">
        <v>16808.0</v>
      </c>
      <c r="Q66" s="5">
        <v>43.0</v>
      </c>
      <c r="R66" s="5">
        <v>9211.0</v>
      </c>
      <c r="S66" s="5">
        <v>13372.0</v>
      </c>
      <c r="T66" s="5">
        <v>3.0</v>
      </c>
      <c r="U66" s="9">
        <v>1574.79128</v>
      </c>
    </row>
    <row r="67" hidden="1">
      <c r="A67" s="4" t="s">
        <v>1103</v>
      </c>
      <c r="B67" s="4"/>
      <c r="C67" s="4"/>
      <c r="D67" s="4" t="str">
        <f>IFERROR(__xludf.DUMMYFUNCTION("SPLIT(A67,""&gt;"")"),"Media and Entertainment ")</f>
        <v>Media and Entertainment </v>
      </c>
      <c r="E67" s="4" t="str">
        <f>IFERROR(__xludf.DUMMYFUNCTION("""COMPUTED_VALUE""")," Sports and Recreational Activities ")</f>
        <v> Sports and Recreational Activities </v>
      </c>
      <c r="F67" s="4" t="str">
        <f>IFERROR(__xludf.DUMMYFUNCTION("""COMPUTED_VALUE""")," Interest (Affinity) ")</f>
        <v> Interest (Affinity) </v>
      </c>
      <c r="G67" s="4" t="str">
        <f>IFERROR(__xludf.DUMMYFUNCTION("""COMPUTED_VALUE""")," Motorsports")</f>
        <v> Motorsports</v>
      </c>
      <c r="H67" s="4"/>
      <c r="I67" s="4"/>
      <c r="J67" s="5" t="s">
        <v>15</v>
      </c>
      <c r="K67" s="5" t="s">
        <v>16</v>
      </c>
      <c r="L67" s="5" t="s">
        <v>39</v>
      </c>
      <c r="M67" s="6" t="s">
        <v>115</v>
      </c>
      <c r="N67" s="5" t="s">
        <v>19</v>
      </c>
      <c r="O67" s="5" t="s">
        <v>52</v>
      </c>
      <c r="P67" s="5">
        <v>21531.0</v>
      </c>
      <c r="Q67" s="5">
        <v>55.0</v>
      </c>
      <c r="R67" s="5">
        <v>15593.0</v>
      </c>
      <c r="S67" s="5">
        <v>18617.0</v>
      </c>
      <c r="T67" s="5">
        <v>6.0</v>
      </c>
      <c r="U67" s="9">
        <v>1470.971925</v>
      </c>
    </row>
    <row r="68" hidden="1">
      <c r="A68" s="4" t="s">
        <v>1104</v>
      </c>
      <c r="B68" s="4"/>
      <c r="C68" s="4" t="str">
        <f>IFERROR(__xludf.DUMMYFUNCTION("SPLIT(A68,""&gt;"")"),"Mobile - United States ")</f>
        <v>Mobile - United States </v>
      </c>
      <c r="D68" s="4" t="str">
        <f>IFERROR(__xludf.DUMMYFUNCTION("""COMPUTED_VALUE""")," Travel ")</f>
        <v> Travel </v>
      </c>
      <c r="E68" s="4" t="str">
        <f>IFERROR(__xludf.DUMMYFUNCTION("""COMPUTED_VALUE""")," Destination ")</f>
        <v> Destination </v>
      </c>
      <c r="F68" s="4" t="str">
        <f>IFERROR(__xludf.DUMMYFUNCTION("""COMPUTED_VALUE""")," International Travelers ")</f>
        <v> International Travelers </v>
      </c>
      <c r="G68" s="4" t="str">
        <f>IFERROR(__xludf.DUMMYFUNCTION("""COMPUTED_VALUE""")," Frequent Travelers")</f>
        <v> Frequent Travelers</v>
      </c>
      <c r="H68" s="4"/>
      <c r="I68" s="4"/>
      <c r="J68" s="5" t="s">
        <v>15</v>
      </c>
      <c r="K68" s="5" t="s">
        <v>23</v>
      </c>
      <c r="L68" s="5" t="s">
        <v>78</v>
      </c>
      <c r="M68" s="6" t="s">
        <v>115</v>
      </c>
      <c r="N68" s="5" t="s">
        <v>136</v>
      </c>
      <c r="O68" s="5" t="s">
        <v>20</v>
      </c>
      <c r="P68" s="5">
        <v>18313.0</v>
      </c>
      <c r="Q68" s="5">
        <v>60.0</v>
      </c>
      <c r="R68" s="5">
        <v>9481.0</v>
      </c>
      <c r="S68" s="5">
        <v>16300.0</v>
      </c>
      <c r="T68" s="5">
        <v>4.0</v>
      </c>
      <c r="U68" s="9">
        <v>1456.934187</v>
      </c>
    </row>
    <row r="69">
      <c r="A69" s="4" t="s">
        <v>1105</v>
      </c>
      <c r="B69" s="4"/>
      <c r="C69" s="4" t="str">
        <f>IFERROR(__xludf.DUMMYFUNCTION("SPLIT(A69,""&gt;"")"),"United States Financial ")</f>
        <v>United States Financial </v>
      </c>
      <c r="D69" s="4" t="str">
        <f>IFERROR(__xludf.DUMMYFUNCTION("""COMPUTED_VALUE""")," Estimated Discretionary Spending (Financial) ")</f>
        <v> Estimated Discretionary Spending (Financial) </v>
      </c>
      <c r="E69" s="4" t="str">
        <f>IFERROR(__xludf.DUMMYFUNCTION("""COMPUTED_VALUE""")," Greater than $2,499")</f>
        <v> Greater than $2,499</v>
      </c>
      <c r="F69" s="4"/>
      <c r="G69" s="4"/>
      <c r="H69" s="4"/>
      <c r="I69" s="4"/>
      <c r="J69" s="5" t="s">
        <v>22</v>
      </c>
      <c r="K69" s="5" t="s">
        <v>42</v>
      </c>
      <c r="L69" s="5" t="s">
        <v>39</v>
      </c>
      <c r="M69" s="6" t="s">
        <v>138</v>
      </c>
      <c r="N69" s="5" t="s">
        <v>19</v>
      </c>
      <c r="O69" s="5" t="s">
        <v>27</v>
      </c>
      <c r="P69" s="5">
        <v>10779.0</v>
      </c>
      <c r="Q69" s="5">
        <v>86.0</v>
      </c>
      <c r="R69" s="5">
        <v>6420.0</v>
      </c>
      <c r="S69" s="5">
        <v>10287.0</v>
      </c>
      <c r="T69" s="5">
        <v>3.0</v>
      </c>
      <c r="U69" s="9">
        <v>1759.704833</v>
      </c>
    </row>
    <row r="70">
      <c r="A70" s="4" t="s">
        <v>1106</v>
      </c>
      <c r="B70" s="4"/>
      <c r="C70" s="4" t="str">
        <f>IFERROR(__xludf.DUMMYFUNCTION("SPLIT(A70,""&gt;"")"),"United States ")</f>
        <v>United States </v>
      </c>
      <c r="D70" s="4" t="str">
        <f>IFERROR(__xludf.DUMMYFUNCTION("""COMPUTED_VALUE""")," AUTO ")</f>
        <v> AUTO </v>
      </c>
      <c r="E70" s="4" t="str">
        <f>IFERROR(__xludf.DUMMYFUNCTION("""COMPUTED_VALUE""")," Primary Vehicle ")</f>
        <v> Primary Vehicle </v>
      </c>
      <c r="F70" s="4" t="str">
        <f>IFERROR(__xludf.DUMMYFUNCTION("""COMPUTED_VALUE""")," New or United Statesed ")</f>
        <v> New or United Statesed </v>
      </c>
      <c r="G70" s="4" t="str">
        <f>IFERROR(__xludf.DUMMYFUNCTION("""COMPUTED_VALUE""")," Pre-owned")</f>
        <v> Pre-owned</v>
      </c>
      <c r="H70" s="4"/>
      <c r="I70" s="4"/>
      <c r="J70" s="5" t="s">
        <v>22</v>
      </c>
      <c r="K70" s="5" t="s">
        <v>16</v>
      </c>
      <c r="L70" s="5" t="s">
        <v>55</v>
      </c>
      <c r="M70" s="6" t="s">
        <v>140</v>
      </c>
      <c r="N70" s="5" t="s">
        <v>19</v>
      </c>
      <c r="O70" s="5" t="s">
        <v>27</v>
      </c>
      <c r="P70" s="5">
        <v>11325.0</v>
      </c>
      <c r="Q70" s="5">
        <v>88.0</v>
      </c>
      <c r="R70" s="5">
        <v>6186.0</v>
      </c>
      <c r="S70" s="5">
        <v>10612.0</v>
      </c>
      <c r="T70" s="5">
        <v>2.0</v>
      </c>
      <c r="U70" s="9">
        <v>1573.25409</v>
      </c>
    </row>
    <row r="71">
      <c r="A71" s="4" t="s">
        <v>1107</v>
      </c>
      <c r="B71" s="4"/>
      <c r="C71" s="4"/>
      <c r="D71" s="4" t="str">
        <f>IFERROR(__xludf.DUMMYFUNCTION("SPLIT(A71,""&gt;"")"),"Media and Entertainment ")</f>
        <v>Media and Entertainment </v>
      </c>
      <c r="E71" s="4" t="str">
        <f>IFERROR(__xludf.DUMMYFUNCTION("""COMPUTED_VALUE""")," Gaming ")</f>
        <v> Gaming </v>
      </c>
      <c r="F71" s="4" t="str">
        <f>IFERROR(__xludf.DUMMYFUNCTION("""COMPUTED_VALUE""")," Interest (Affinity) ")</f>
        <v> Interest (Affinity) </v>
      </c>
      <c r="G71" s="4" t="str">
        <f>IFERROR(__xludf.DUMMYFUNCTION("""COMPUTED_VALUE""")," Video Games")</f>
        <v> Video Games</v>
      </c>
      <c r="H71" s="4"/>
      <c r="I71" s="4"/>
      <c r="J71" s="5" t="s">
        <v>22</v>
      </c>
      <c r="K71" s="5" t="s">
        <v>16</v>
      </c>
      <c r="L71" s="5" t="s">
        <v>142</v>
      </c>
      <c r="M71" s="6" t="s">
        <v>143</v>
      </c>
      <c r="N71" s="5" t="s">
        <v>48</v>
      </c>
      <c r="O71" s="5" t="s">
        <v>27</v>
      </c>
      <c r="P71" s="5">
        <v>9078.0</v>
      </c>
      <c r="Q71" s="5">
        <v>21.0</v>
      </c>
      <c r="R71" s="5">
        <v>4051.0</v>
      </c>
      <c r="S71" s="5">
        <v>6215.0</v>
      </c>
      <c r="T71" s="5">
        <v>1.0</v>
      </c>
      <c r="U71" s="9">
        <v>1700.795736</v>
      </c>
    </row>
    <row r="72">
      <c r="A72" s="4" t="s">
        <v>144</v>
      </c>
      <c r="B72" s="4" t="str">
        <f>IFERROR(__xludf.DUMMYFUNCTION("SPLIT(A72,""&gt;"")"),"Online Behavior")</f>
        <v>Online Behavior</v>
      </c>
      <c r="C72" s="4" t="str">
        <f>IFERROR(__xludf.DUMMYFUNCTION("""COMPUTED_VALUE"""),"United States")</f>
        <v>United States</v>
      </c>
      <c r="D72" s="4" t="str">
        <f>IFERROR(__xludf.DUMMYFUNCTION("""COMPUTED_VALUE"""),"Games")</f>
        <v>Games</v>
      </c>
      <c r="E72" s="4" t="str">
        <f>IFERROR(__xludf.DUMMYFUNCTION("""COMPUTED_VALUE"""),"Card Games")</f>
        <v>Card Games</v>
      </c>
      <c r="F72" s="4"/>
      <c r="G72" s="4"/>
      <c r="H72" s="4"/>
      <c r="I72" s="4"/>
      <c r="J72" s="5" t="s">
        <v>22</v>
      </c>
      <c r="K72" s="5" t="s">
        <v>42</v>
      </c>
      <c r="L72" s="5" t="s">
        <v>29</v>
      </c>
      <c r="M72" s="6" t="s">
        <v>145</v>
      </c>
      <c r="N72" s="5" t="s">
        <v>19</v>
      </c>
      <c r="O72" s="5" t="s">
        <v>27</v>
      </c>
      <c r="P72" s="5">
        <v>11511.0</v>
      </c>
      <c r="Q72" s="5">
        <v>33.0</v>
      </c>
      <c r="R72" s="5">
        <v>8268.0</v>
      </c>
      <c r="S72" s="5">
        <v>11042.0</v>
      </c>
      <c r="T72" s="5">
        <v>3.0</v>
      </c>
      <c r="U72" s="9">
        <v>6815.712325</v>
      </c>
    </row>
    <row r="73">
      <c r="A73" s="4" t="s">
        <v>1108</v>
      </c>
      <c r="B73" s="4" t="str">
        <f>IFERROR(__xludf.DUMMYFUNCTION("SPLIT(A73,""&gt;"")"),"Online Behavior")</f>
        <v>Online Behavior</v>
      </c>
      <c r="C73" s="4" t="str">
        <f>IFERROR(__xludf.DUMMYFUNCTION("""COMPUTED_VALUE"""),"United States")</f>
        <v>United States</v>
      </c>
      <c r="D73" s="4" t="str">
        <f>IFERROR(__xludf.DUMMYFUNCTION("""COMPUTED_VALUE"""),"Autos and Vehicles ")</f>
        <v>Autos and Vehicles </v>
      </c>
      <c r="E73" s="4" t="str">
        <f>IFERROR(__xludf.DUMMYFUNCTION("""COMPUTED_VALUE""")," Brands")</f>
        <v> Brands</v>
      </c>
      <c r="F73" s="4" t="str">
        <f>IFERROR(__xludf.DUMMYFUNCTION("""COMPUTED_VALUE"""),"Rolls-Royce")</f>
        <v>Rolls-Royce</v>
      </c>
      <c r="G73" s="4"/>
      <c r="H73" s="4"/>
      <c r="I73" s="4"/>
      <c r="J73" s="5" t="s">
        <v>22</v>
      </c>
      <c r="K73" s="5" t="s">
        <v>23</v>
      </c>
      <c r="L73" s="5" t="s">
        <v>147</v>
      </c>
      <c r="M73" s="6" t="s">
        <v>145</v>
      </c>
      <c r="N73" s="5" t="s">
        <v>46</v>
      </c>
      <c r="O73" s="5" t="s">
        <v>27</v>
      </c>
      <c r="P73" s="5">
        <v>14047.0</v>
      </c>
      <c r="Q73" s="5">
        <v>44.0</v>
      </c>
      <c r="R73" s="5">
        <v>9934.0</v>
      </c>
      <c r="S73" s="5">
        <v>13377.0</v>
      </c>
      <c r="T73" s="5">
        <v>7.0</v>
      </c>
      <c r="U73" s="9">
        <v>5729.650755</v>
      </c>
    </row>
    <row r="74">
      <c r="A74" s="4" t="s">
        <v>1109</v>
      </c>
      <c r="B74" s="4"/>
      <c r="C74" s="12" t="s">
        <v>1110</v>
      </c>
      <c r="D74" s="12" t="s">
        <v>1111</v>
      </c>
      <c r="E74" s="12" t="s">
        <v>1112</v>
      </c>
      <c r="F74" s="12" t="s">
        <v>1113</v>
      </c>
      <c r="G74" s="12" t="s">
        <v>1114</v>
      </c>
      <c r="H74" s="12"/>
      <c r="I74" s="12"/>
      <c r="J74" s="5" t="s">
        <v>15</v>
      </c>
      <c r="K74" s="5" t="s">
        <v>31</v>
      </c>
      <c r="L74" s="5" t="s">
        <v>17</v>
      </c>
      <c r="M74" s="6" t="s">
        <v>145</v>
      </c>
      <c r="N74" s="5" t="s">
        <v>46</v>
      </c>
      <c r="O74" s="5" t="s">
        <v>27</v>
      </c>
      <c r="P74" s="5">
        <v>20278.0</v>
      </c>
      <c r="Q74" s="5">
        <v>74.0</v>
      </c>
      <c r="R74" s="5">
        <v>14227.0</v>
      </c>
      <c r="S74" s="5">
        <v>19480.0</v>
      </c>
      <c r="T74" s="5">
        <v>3.0</v>
      </c>
      <c r="U74" s="9">
        <v>2921.110207</v>
      </c>
    </row>
    <row r="75">
      <c r="A75" s="4" t="s">
        <v>1115</v>
      </c>
      <c r="B75" s="4"/>
      <c r="C75" s="12"/>
      <c r="D75" s="12" t="s">
        <v>1116</v>
      </c>
      <c r="E75" s="12" t="s">
        <v>1117</v>
      </c>
      <c r="F75" s="12" t="s">
        <v>1118</v>
      </c>
      <c r="G75" s="12" t="s">
        <v>1119</v>
      </c>
      <c r="H75" s="12"/>
      <c r="I75" s="12"/>
      <c r="J75" s="5" t="s">
        <v>22</v>
      </c>
      <c r="K75" s="5" t="s">
        <v>31</v>
      </c>
      <c r="L75" s="5" t="s">
        <v>150</v>
      </c>
      <c r="M75" s="6" t="s">
        <v>145</v>
      </c>
      <c r="N75" s="5" t="s">
        <v>36</v>
      </c>
      <c r="O75" s="5" t="s">
        <v>27</v>
      </c>
      <c r="P75" s="5">
        <v>12354.0</v>
      </c>
      <c r="Q75" s="5">
        <v>10.0</v>
      </c>
      <c r="R75" s="5">
        <v>8561.0</v>
      </c>
      <c r="S75" s="5">
        <v>11782.0</v>
      </c>
      <c r="T75" s="5">
        <v>5.0</v>
      </c>
      <c r="U75" s="9">
        <v>1808.307918</v>
      </c>
    </row>
    <row r="76">
      <c r="A76" s="4" t="s">
        <v>1120</v>
      </c>
      <c r="B76" s="4"/>
      <c r="C76" s="12" t="s">
        <v>1110</v>
      </c>
      <c r="D76" s="12" t="s">
        <v>1111</v>
      </c>
      <c r="E76" s="12" t="s">
        <v>1121</v>
      </c>
      <c r="F76" s="12" t="s">
        <v>1122</v>
      </c>
      <c r="G76" s="12" t="s">
        <v>1123</v>
      </c>
      <c r="H76" s="12"/>
      <c r="I76" s="12"/>
      <c r="J76" s="5" t="s">
        <v>15</v>
      </c>
      <c r="K76" s="5" t="s">
        <v>16</v>
      </c>
      <c r="L76" s="5" t="s">
        <v>35</v>
      </c>
      <c r="M76" s="6" t="s">
        <v>145</v>
      </c>
      <c r="N76" s="5" t="s">
        <v>19</v>
      </c>
      <c r="O76" s="5" t="s">
        <v>27</v>
      </c>
      <c r="P76" s="5">
        <v>13132.0</v>
      </c>
      <c r="Q76" s="5">
        <v>67.0</v>
      </c>
      <c r="R76" s="5">
        <v>6133.0</v>
      </c>
      <c r="S76" s="5">
        <v>12377.0</v>
      </c>
      <c r="T76" s="5">
        <v>4.0</v>
      </c>
      <c r="U76" s="9">
        <v>1807.693142</v>
      </c>
    </row>
    <row r="77">
      <c r="A77" s="4" t="s">
        <v>1124</v>
      </c>
      <c r="B77" s="4"/>
      <c r="C77" s="12" t="s">
        <v>1110</v>
      </c>
      <c r="D77" s="12" t="s">
        <v>1125</v>
      </c>
      <c r="E77" s="12"/>
      <c r="F77" s="12"/>
      <c r="G77" s="12"/>
      <c r="H77" s="12"/>
      <c r="I77" s="12"/>
      <c r="J77" s="5" t="s">
        <v>15</v>
      </c>
      <c r="K77" s="5" t="s">
        <v>42</v>
      </c>
      <c r="L77" s="5" t="s">
        <v>95</v>
      </c>
      <c r="M77" s="6" t="s">
        <v>153</v>
      </c>
      <c r="N77" s="5" t="s">
        <v>136</v>
      </c>
      <c r="O77" s="5" t="s">
        <v>27</v>
      </c>
      <c r="P77" s="5">
        <v>35034.0</v>
      </c>
      <c r="Q77" s="5">
        <v>145.0</v>
      </c>
      <c r="R77" s="5">
        <v>13904.0</v>
      </c>
      <c r="S77" s="5">
        <v>34123.0</v>
      </c>
      <c r="T77" s="5">
        <v>3.0</v>
      </c>
      <c r="U77" s="9">
        <v>2141.469346</v>
      </c>
    </row>
    <row r="78">
      <c r="A78" s="4" t="s">
        <v>1126</v>
      </c>
      <c r="B78" s="4"/>
      <c r="C78" s="12" t="s">
        <v>1110</v>
      </c>
      <c r="D78" s="12" t="s">
        <v>1127</v>
      </c>
      <c r="E78" s="12" t="s">
        <v>1128</v>
      </c>
      <c r="F78" s="12" t="s">
        <v>1129</v>
      </c>
      <c r="G78" s="12"/>
      <c r="H78" s="12"/>
      <c r="I78" s="12"/>
      <c r="J78" s="5" t="s">
        <v>61</v>
      </c>
      <c r="K78" s="5" t="s">
        <v>16</v>
      </c>
      <c r="L78" s="5" t="s">
        <v>155</v>
      </c>
      <c r="M78" s="13" t="s">
        <v>1130</v>
      </c>
      <c r="N78" s="5" t="s">
        <v>19</v>
      </c>
      <c r="O78" s="5" t="s">
        <v>27</v>
      </c>
      <c r="P78" s="5">
        <v>9946.0</v>
      </c>
      <c r="Q78" s="5">
        <v>20.0</v>
      </c>
      <c r="R78" s="5">
        <v>4818.0</v>
      </c>
      <c r="S78" s="5">
        <v>7382.0</v>
      </c>
      <c r="T78" s="5">
        <v>3.0</v>
      </c>
      <c r="U78" s="9">
        <v>1525.962329</v>
      </c>
    </row>
    <row r="79">
      <c r="A79" s="4" t="s">
        <v>1131</v>
      </c>
      <c r="B79" s="4" t="str">
        <f>IFERROR(__xludf.DUMMYFUNCTION("SPLIT(A79,""&gt;"")"),"Online Behavior")</f>
        <v>Online Behavior</v>
      </c>
      <c r="C79" s="4" t="str">
        <f>IFERROR(__xludf.DUMMYFUNCTION("""COMPUTED_VALUE"""),"United States")</f>
        <v>United States</v>
      </c>
      <c r="D79" s="4" t="str">
        <f>IFERROR(__xludf.DUMMYFUNCTION("""COMPUTED_VALUE"""),"Intent ")</f>
        <v>Intent </v>
      </c>
      <c r="E79" s="4" t="str">
        <f>IFERROR(__xludf.DUMMYFUNCTION("""COMPUTED_VALUE""")," Auto Buyers ")</f>
        <v> Auto Buyers </v>
      </c>
      <c r="F79" s="4" t="str">
        <f>IFERROR(__xludf.DUMMYFUNCTION("""COMPUTED_VALUE""")," Car Make")</f>
        <v> Car Make</v>
      </c>
      <c r="G79" s="4" t="str">
        <f>IFERROR(__xludf.DUMMYFUNCTION("""COMPUTED_VALUE"""),"Nissan")</f>
        <v>Nissan</v>
      </c>
      <c r="H79" s="4"/>
      <c r="I79" s="4"/>
      <c r="J79" s="5" t="s">
        <v>22</v>
      </c>
      <c r="K79" s="5" t="s">
        <v>16</v>
      </c>
      <c r="L79" s="5" t="s">
        <v>55</v>
      </c>
      <c r="M79" s="6" t="s">
        <v>158</v>
      </c>
      <c r="N79" s="5" t="s">
        <v>19</v>
      </c>
      <c r="O79" s="5" t="s">
        <v>27</v>
      </c>
      <c r="P79" s="5">
        <v>8068.0</v>
      </c>
      <c r="Q79" s="5">
        <v>10.0</v>
      </c>
      <c r="R79" s="5">
        <v>5545.0</v>
      </c>
      <c r="S79" s="5">
        <v>7554.0</v>
      </c>
      <c r="T79" s="5">
        <v>1.0</v>
      </c>
      <c r="U79" s="9">
        <v>5995.041002</v>
      </c>
    </row>
    <row r="80">
      <c r="A80" s="4" t="s">
        <v>159</v>
      </c>
      <c r="B80" s="4" t="str">
        <f>IFERROR(__xludf.DUMMYFUNCTION("SPLIT(A80,""&gt;"")"),"Online Behavior")</f>
        <v>Online Behavior</v>
      </c>
      <c r="C80" s="4" t="str">
        <f>IFERROR(__xludf.DUMMYFUNCTION("""COMPUTED_VALUE"""),"United States")</f>
        <v>United States</v>
      </c>
      <c r="D80" s="4" t="str">
        <f>IFERROR(__xludf.DUMMYFUNCTION("""COMPUTED_VALUE"""),"Life Event")</f>
        <v>Life Event</v>
      </c>
      <c r="E80" s="4" t="str">
        <f>IFERROR(__xludf.DUMMYFUNCTION("""COMPUTED_VALUE"""),"Bride")</f>
        <v>Bride</v>
      </c>
      <c r="F80" s="4"/>
      <c r="G80" s="4"/>
      <c r="H80" s="4"/>
      <c r="I80" s="4"/>
      <c r="J80" s="5" t="s">
        <v>22</v>
      </c>
      <c r="K80" s="5" t="s">
        <v>16</v>
      </c>
      <c r="L80" s="5" t="s">
        <v>39</v>
      </c>
      <c r="M80" s="13" t="s">
        <v>1132</v>
      </c>
      <c r="N80" s="5" t="s">
        <v>161</v>
      </c>
      <c r="O80" s="5" t="s">
        <v>27</v>
      </c>
      <c r="P80" s="5">
        <v>11919.0</v>
      </c>
      <c r="Q80" s="5">
        <v>69.0</v>
      </c>
      <c r="R80" s="5">
        <v>8100.0</v>
      </c>
      <c r="S80" s="5">
        <v>11524.0</v>
      </c>
      <c r="T80" s="5">
        <v>2.0</v>
      </c>
      <c r="U80" s="9">
        <v>6350.916905</v>
      </c>
    </row>
    <row r="81">
      <c r="A81" s="4" t="s">
        <v>162</v>
      </c>
      <c r="B81" s="4" t="str">
        <f>IFERROR(__xludf.DUMMYFUNCTION("SPLIT(A81,""&gt;"")"),"Online Behavior")</f>
        <v>Online Behavior</v>
      </c>
      <c r="C81" s="4" t="str">
        <f>IFERROR(__xludf.DUMMYFUNCTION("""COMPUTED_VALUE"""),"United States")</f>
        <v>United States</v>
      </c>
      <c r="D81" s="4" t="str">
        <f>IFERROR(__xludf.DUMMYFUNCTION("""COMPUTED_VALUE"""),"Life Event")</f>
        <v>Life Event</v>
      </c>
      <c r="E81" s="4" t="str">
        <f>IFERROR(__xludf.DUMMYFUNCTION("""COMPUTED_VALUE"""),"Engagement")</f>
        <v>Engagement</v>
      </c>
      <c r="F81" s="4"/>
      <c r="G81" s="4"/>
      <c r="H81" s="4"/>
      <c r="I81" s="4"/>
      <c r="J81" s="5" t="s">
        <v>22</v>
      </c>
      <c r="K81" s="5" t="s">
        <v>23</v>
      </c>
      <c r="L81" s="5" t="s">
        <v>55</v>
      </c>
      <c r="M81" s="13" t="s">
        <v>1132</v>
      </c>
      <c r="N81" s="5" t="s">
        <v>19</v>
      </c>
      <c r="O81" s="5" t="s">
        <v>27</v>
      </c>
      <c r="P81" s="5">
        <v>35163.0</v>
      </c>
      <c r="Q81" s="5">
        <v>250.0</v>
      </c>
      <c r="R81" s="5">
        <v>21222.0</v>
      </c>
      <c r="S81" s="5">
        <v>33671.0</v>
      </c>
      <c r="T81" s="5">
        <v>15.0</v>
      </c>
      <c r="U81" s="9">
        <v>6336.7181</v>
      </c>
    </row>
    <row r="82" hidden="1">
      <c r="A82" s="4" t="s">
        <v>163</v>
      </c>
      <c r="B82" s="4" t="str">
        <f>IFERROR(__xludf.DUMMYFUNCTION("SPLIT(A82,""&gt;"")"),"Online Behavior")</f>
        <v>Online Behavior</v>
      </c>
      <c r="C82" s="4" t="str">
        <f>IFERROR(__xludf.DUMMYFUNCTION("""COMPUTED_VALUE"""),"United States")</f>
        <v>United States</v>
      </c>
      <c r="D82" s="4" t="str">
        <f>IFERROR(__xludf.DUMMYFUNCTION("""COMPUTED_VALUE"""),"The Changing Consumer")</f>
        <v>The Changing Consumer</v>
      </c>
      <c r="E82" s="4" t="str">
        <f>IFERROR(__xludf.DUMMYFUNCTION("""COMPUTED_VALUE"""),"Internet Connection")</f>
        <v>Internet Connection</v>
      </c>
      <c r="F82" s="4"/>
      <c r="G82" s="4"/>
      <c r="H82" s="4"/>
      <c r="I82" s="4"/>
      <c r="J82" s="5" t="s">
        <v>15</v>
      </c>
      <c r="K82" s="5" t="s">
        <v>42</v>
      </c>
      <c r="L82" s="5" t="s">
        <v>35</v>
      </c>
      <c r="M82" s="13" t="s">
        <v>1132</v>
      </c>
      <c r="N82" s="5" t="s">
        <v>19</v>
      </c>
      <c r="O82" s="5" t="s">
        <v>52</v>
      </c>
      <c r="P82" s="5">
        <v>27202.0</v>
      </c>
      <c r="Q82" s="5">
        <v>70.0</v>
      </c>
      <c r="R82" s="5">
        <v>5202.0</v>
      </c>
      <c r="S82" s="5">
        <v>23474.0</v>
      </c>
      <c r="T82" s="5">
        <v>11.0</v>
      </c>
      <c r="U82" s="9">
        <v>4253.979116</v>
      </c>
    </row>
    <row r="83">
      <c r="A83" s="4" t="s">
        <v>1133</v>
      </c>
      <c r="B83" s="4"/>
      <c r="C83" s="4"/>
      <c r="D83" s="12" t="s">
        <v>1134</v>
      </c>
      <c r="E83" s="12" t="s">
        <v>1135</v>
      </c>
      <c r="F83" s="12" t="s">
        <v>1136</v>
      </c>
      <c r="G83" s="12"/>
      <c r="H83" s="12"/>
      <c r="I83" s="12"/>
      <c r="J83" s="5" t="s">
        <v>22</v>
      </c>
      <c r="K83" s="5" t="s">
        <v>16</v>
      </c>
      <c r="L83" s="5" t="s">
        <v>17</v>
      </c>
      <c r="M83" s="13" t="s">
        <v>1132</v>
      </c>
      <c r="N83" s="5" t="s">
        <v>19</v>
      </c>
      <c r="O83" s="5" t="s">
        <v>27</v>
      </c>
      <c r="P83" s="5">
        <v>59782.0</v>
      </c>
      <c r="Q83" s="5">
        <v>212.0</v>
      </c>
      <c r="R83" s="5">
        <v>28235.0</v>
      </c>
      <c r="S83" s="5">
        <v>57543.0</v>
      </c>
      <c r="T83" s="5">
        <v>13.0</v>
      </c>
      <c r="U83" s="9">
        <v>1455.703554</v>
      </c>
    </row>
    <row r="84" hidden="1">
      <c r="A84" s="4" t="s">
        <v>1137</v>
      </c>
      <c r="B84" s="4" t="str">
        <f>IFERROR(__xludf.DUMMYFUNCTION("SPLIT(A84,""&gt;"")"),"Online Behavior")</f>
        <v>Online Behavior</v>
      </c>
      <c r="C84" s="4" t="str">
        <f>IFERROR(__xludf.DUMMYFUNCTION("""COMPUTED_VALUE"""),"United States")</f>
        <v>United States</v>
      </c>
      <c r="D84" s="4" t="str">
        <f>IFERROR(__xludf.DUMMYFUNCTION("""COMPUTED_VALUE"""),"Sports")</f>
        <v>Sports</v>
      </c>
      <c r="E84" s="4" t="str">
        <f>IFERROR(__xludf.DUMMYFUNCTION("""COMPUTED_VALUE"""),"Team Sports ")</f>
        <v>Team Sports </v>
      </c>
      <c r="F84" s="4" t="str">
        <f>IFERROR(__xludf.DUMMYFUNCTION("""COMPUTED_VALUE""")," Volleyball")</f>
        <v> Volleyball</v>
      </c>
      <c r="G84" s="4"/>
      <c r="H84" s="4"/>
      <c r="I84" s="4"/>
      <c r="J84" s="5" t="s">
        <v>15</v>
      </c>
      <c r="K84" s="5" t="s">
        <v>16</v>
      </c>
      <c r="L84" s="5" t="s">
        <v>39</v>
      </c>
      <c r="M84" s="6" t="s">
        <v>166</v>
      </c>
      <c r="N84" s="5" t="s">
        <v>167</v>
      </c>
      <c r="O84" s="5" t="s">
        <v>20</v>
      </c>
      <c r="P84" s="5">
        <v>10066.0</v>
      </c>
      <c r="Q84" s="5">
        <v>63.0</v>
      </c>
      <c r="R84" s="5">
        <v>6978.0</v>
      </c>
      <c r="S84" s="5">
        <v>9369.0</v>
      </c>
      <c r="T84" s="5">
        <v>19.0</v>
      </c>
      <c r="U84" s="9">
        <v>6879.587097</v>
      </c>
    </row>
    <row r="85">
      <c r="A85" s="4" t="s">
        <v>1138</v>
      </c>
      <c r="B85" s="4"/>
      <c r="C85" s="12" t="s">
        <v>1139</v>
      </c>
      <c r="D85" s="12" t="s">
        <v>1140</v>
      </c>
      <c r="E85" s="12" t="s">
        <v>1141</v>
      </c>
      <c r="F85" s="12" t="s">
        <v>1142</v>
      </c>
      <c r="G85" s="12" t="s">
        <v>1143</v>
      </c>
      <c r="H85" s="4"/>
      <c r="I85" s="4"/>
      <c r="J85" s="5" t="s">
        <v>15</v>
      </c>
      <c r="K85" s="5" t="s">
        <v>16</v>
      </c>
      <c r="L85" s="5" t="s">
        <v>35</v>
      </c>
      <c r="M85" s="6" t="s">
        <v>166</v>
      </c>
      <c r="N85" s="5" t="s">
        <v>161</v>
      </c>
      <c r="O85" s="5" t="s">
        <v>27</v>
      </c>
      <c r="P85" s="5">
        <v>11296.0</v>
      </c>
      <c r="Q85" s="5">
        <v>54.0</v>
      </c>
      <c r="R85" s="5">
        <v>6822.0</v>
      </c>
      <c r="S85" s="5">
        <v>9274.0</v>
      </c>
      <c r="T85" s="5">
        <v>4.0</v>
      </c>
      <c r="U85" s="9">
        <v>1682.338499</v>
      </c>
    </row>
    <row r="86">
      <c r="A86" s="4" t="s">
        <v>169</v>
      </c>
      <c r="B86" s="4" t="str">
        <f>IFERROR(__xludf.DUMMYFUNCTION("SPLIT(A86,""&gt;"")"),"Online Behavior")</f>
        <v>Online Behavior</v>
      </c>
      <c r="C86" s="4" t="str">
        <f>IFERROR(__xludf.DUMMYFUNCTION("""COMPUTED_VALUE"""),"United States")</f>
        <v>United States</v>
      </c>
      <c r="D86" s="4" t="str">
        <f>IFERROR(__xludf.DUMMYFUNCTION("""COMPUTED_VALUE"""),"Sports")</f>
        <v>Sports</v>
      </c>
      <c r="E86" s="4" t="str">
        <f>IFERROR(__xludf.DUMMYFUNCTION("""COMPUTED_VALUE"""),"Sporting Goods")</f>
        <v>Sporting Goods</v>
      </c>
      <c r="F86" s="4"/>
      <c r="G86" s="4"/>
      <c r="H86" s="4"/>
      <c r="I86" s="4"/>
      <c r="J86" s="5" t="s">
        <v>22</v>
      </c>
      <c r="K86" s="5" t="s">
        <v>31</v>
      </c>
      <c r="L86" s="5" t="s">
        <v>39</v>
      </c>
      <c r="M86" s="6" t="s">
        <v>170</v>
      </c>
      <c r="N86" s="5" t="s">
        <v>19</v>
      </c>
      <c r="O86" s="5" t="s">
        <v>27</v>
      </c>
      <c r="P86" s="5">
        <v>18633.0</v>
      </c>
      <c r="Q86" s="5">
        <v>60.0</v>
      </c>
      <c r="R86" s="5">
        <v>9424.0</v>
      </c>
      <c r="S86" s="5">
        <v>18087.0</v>
      </c>
      <c r="T86" s="5">
        <v>15.0</v>
      </c>
      <c r="U86" s="9">
        <v>6785.063293</v>
      </c>
    </row>
    <row r="87">
      <c r="A87" s="4" t="s">
        <v>171</v>
      </c>
      <c r="B87" s="4" t="str">
        <f>IFERROR(__xludf.DUMMYFUNCTION("SPLIT(A87,""&gt;"")"),"Online Behavior")</f>
        <v>Online Behavior</v>
      </c>
      <c r="C87" s="4" t="str">
        <f>IFERROR(__xludf.DUMMYFUNCTION("""COMPUTED_VALUE"""),"United States")</f>
        <v>United States</v>
      </c>
      <c r="D87" s="4" t="str">
        <f>IFERROR(__xludf.DUMMYFUNCTION("""COMPUTED_VALUE"""),"News")</f>
        <v>News</v>
      </c>
      <c r="E87" s="4" t="str">
        <f>IFERROR(__xludf.DUMMYFUNCTION("""COMPUTED_VALUE"""),"Newspapers")</f>
        <v>Newspapers</v>
      </c>
      <c r="F87" s="4"/>
      <c r="G87" s="4"/>
      <c r="H87" s="4"/>
      <c r="I87" s="4"/>
      <c r="J87" s="5" t="s">
        <v>22</v>
      </c>
      <c r="K87" s="5" t="s">
        <v>42</v>
      </c>
      <c r="L87" s="5" t="s">
        <v>78</v>
      </c>
      <c r="M87" s="6" t="s">
        <v>170</v>
      </c>
      <c r="N87" s="5" t="s">
        <v>26</v>
      </c>
      <c r="O87" s="5" t="s">
        <v>27</v>
      </c>
      <c r="P87" s="5">
        <v>37176.0</v>
      </c>
      <c r="Q87" s="5">
        <v>100.0</v>
      </c>
      <c r="R87" s="5">
        <v>31829.0</v>
      </c>
      <c r="S87" s="5">
        <v>35639.0</v>
      </c>
      <c r="T87" s="5">
        <v>21.0</v>
      </c>
      <c r="U87" s="9">
        <v>6753.595242</v>
      </c>
    </row>
    <row r="88">
      <c r="A88" s="4" t="s">
        <v>1144</v>
      </c>
      <c r="B88" s="4" t="str">
        <f>IFERROR(__xludf.DUMMYFUNCTION("SPLIT(A88,""&gt;"")"),"Online Behavior")</f>
        <v>Online Behavior</v>
      </c>
      <c r="C88" s="4" t="str">
        <f>IFERROR(__xludf.DUMMYFUNCTION("""COMPUTED_VALUE"""),"United States")</f>
        <v>United States</v>
      </c>
      <c r="D88" s="4" t="str">
        <f>IFERROR(__xludf.DUMMYFUNCTION("""COMPUTED_VALUE"""),"Sports")</f>
        <v>Sports</v>
      </c>
      <c r="E88" s="4" t="str">
        <f>IFERROR(__xludf.DUMMYFUNCTION("""COMPUTED_VALUE"""),"Winter Sports ")</f>
        <v>Winter Sports </v>
      </c>
      <c r="F88" s="4" t="str">
        <f>IFERROR(__xludf.DUMMYFUNCTION("""COMPUTED_VALUE""")," Skiing and Snowboarding")</f>
        <v> Skiing and Snowboarding</v>
      </c>
      <c r="G88" s="4"/>
      <c r="H88" s="4"/>
      <c r="I88" s="4"/>
      <c r="J88" s="5" t="s">
        <v>22</v>
      </c>
      <c r="K88" s="5" t="s">
        <v>42</v>
      </c>
      <c r="L88" s="5" t="s">
        <v>173</v>
      </c>
      <c r="M88" s="6" t="s">
        <v>170</v>
      </c>
      <c r="N88" s="5" t="s">
        <v>19</v>
      </c>
      <c r="O88" s="5" t="s">
        <v>27</v>
      </c>
      <c r="P88" s="5">
        <v>29251.0</v>
      </c>
      <c r="Q88" s="5">
        <v>95.0</v>
      </c>
      <c r="R88" s="5">
        <v>25060.0</v>
      </c>
      <c r="S88" s="5">
        <v>28038.0</v>
      </c>
      <c r="T88" s="5">
        <v>8.0</v>
      </c>
      <c r="U88" s="9">
        <v>5994.746834</v>
      </c>
    </row>
    <row r="89">
      <c r="A89" s="4" t="s">
        <v>1145</v>
      </c>
      <c r="B89" s="4"/>
      <c r="C89" s="12" t="s">
        <v>1110</v>
      </c>
      <c r="D89" s="12" t="s">
        <v>1111</v>
      </c>
      <c r="E89" s="12" t="s">
        <v>1112</v>
      </c>
      <c r="F89" s="12" t="s">
        <v>1146</v>
      </c>
      <c r="G89" s="12" t="s">
        <v>1147</v>
      </c>
      <c r="H89" s="4"/>
      <c r="I89" s="4"/>
      <c r="J89" s="5" t="s">
        <v>22</v>
      </c>
      <c r="K89" s="5" t="s">
        <v>16</v>
      </c>
      <c r="L89" s="5" t="s">
        <v>175</v>
      </c>
      <c r="M89" s="6" t="s">
        <v>170</v>
      </c>
      <c r="N89" s="5" t="s">
        <v>117</v>
      </c>
      <c r="O89" s="5" t="s">
        <v>27</v>
      </c>
      <c r="P89" s="5">
        <v>36431.0</v>
      </c>
      <c r="Q89" s="5">
        <v>108.0</v>
      </c>
      <c r="R89" s="5">
        <v>31262.0</v>
      </c>
      <c r="S89" s="5">
        <v>35043.0</v>
      </c>
      <c r="T89" s="5">
        <v>11.0</v>
      </c>
      <c r="U89" s="9">
        <v>3285.834522</v>
      </c>
    </row>
    <row r="90">
      <c r="A90" s="14" t="s">
        <v>1148</v>
      </c>
      <c r="B90" s="4" t="str">
        <f>IFERROR(__xludf.DUMMYFUNCTION("SPLIT(A90,""&gt;"")"),"OnAudience ")</f>
        <v>OnAudience </v>
      </c>
      <c r="C90" s="4" t="str">
        <f>IFERROR(__xludf.DUMMYFUNCTION("""COMPUTED_VALUE""")," Intent ")</f>
        <v> Intent </v>
      </c>
      <c r="D90" s="4" t="str">
        <f>IFERROR(__xludf.DUMMYFUNCTION("""COMPUTED_VALUE""")," Sporting Goods")</f>
        <v> Sporting Goods</v>
      </c>
      <c r="E90" s="4"/>
      <c r="F90" s="4"/>
      <c r="G90" s="4"/>
      <c r="H90" s="4"/>
      <c r="I90" s="4"/>
      <c r="J90" s="5" t="s">
        <v>15</v>
      </c>
      <c r="K90" s="5" t="s">
        <v>31</v>
      </c>
      <c r="L90" s="5" t="s">
        <v>35</v>
      </c>
      <c r="M90" s="6" t="s">
        <v>170</v>
      </c>
      <c r="N90" s="5" t="s">
        <v>26</v>
      </c>
      <c r="O90" s="5" t="s">
        <v>27</v>
      </c>
      <c r="P90" s="5">
        <v>22004.0</v>
      </c>
      <c r="Q90" s="5">
        <v>80.0</v>
      </c>
      <c r="R90" s="5">
        <v>18735.0</v>
      </c>
      <c r="S90" s="5">
        <v>21127.0</v>
      </c>
      <c r="T90" s="5">
        <v>4.0</v>
      </c>
      <c r="U90" s="9">
        <v>1632.472782</v>
      </c>
    </row>
    <row r="91">
      <c r="A91" s="4" t="s">
        <v>1149</v>
      </c>
      <c r="B91" s="4" t="str">
        <f>IFERROR(__xludf.DUMMYFUNCTION("SPLIT(A91,""&gt;"")"),"Online Behavior")</f>
        <v>Online Behavior</v>
      </c>
      <c r="C91" s="4" t="str">
        <f>IFERROR(__xludf.DUMMYFUNCTION("""COMPUTED_VALUE"""),"United States")</f>
        <v>United States</v>
      </c>
      <c r="D91" s="4" t="str">
        <f>IFERROR(__xludf.DUMMYFUNCTION("""COMPUTED_VALUE"""),"Intent ")</f>
        <v>Intent </v>
      </c>
      <c r="E91" s="4" t="str">
        <f>IFERROR(__xludf.DUMMYFUNCTION("""COMPUTED_VALUE""")," Shopping")</f>
        <v> Shopping</v>
      </c>
      <c r="F91" s="4" t="str">
        <f>IFERROR(__xludf.DUMMYFUNCTION("""COMPUTED_VALUE"""),"Consumer Electronics ")</f>
        <v>Consumer Electronics </v>
      </c>
      <c r="G91" s="4" t="str">
        <f>IFERROR(__xludf.DUMMYFUNCTION("""COMPUTED_VALUE""")," Computers, Laptops")</f>
        <v> Computers, Laptops</v>
      </c>
      <c r="H91" s="4"/>
      <c r="I91" s="4"/>
      <c r="J91" s="5" t="s">
        <v>22</v>
      </c>
      <c r="K91" s="5" t="s">
        <v>23</v>
      </c>
      <c r="L91" s="5" t="s">
        <v>173</v>
      </c>
      <c r="M91" s="13" t="s">
        <v>1150</v>
      </c>
      <c r="N91" s="5" t="s">
        <v>50</v>
      </c>
      <c r="O91" s="5" t="s">
        <v>27</v>
      </c>
      <c r="P91" s="5">
        <v>16644.0</v>
      </c>
      <c r="Q91" s="5">
        <v>10.0</v>
      </c>
      <c r="R91" s="5">
        <v>5055.0</v>
      </c>
      <c r="S91" s="5">
        <v>15831.0</v>
      </c>
      <c r="T91" s="5">
        <v>5.0</v>
      </c>
      <c r="U91" s="9">
        <v>6386.464232</v>
      </c>
    </row>
    <row r="92">
      <c r="A92" s="4" t="s">
        <v>179</v>
      </c>
      <c r="B92" s="4" t="str">
        <f>IFERROR(__xludf.DUMMYFUNCTION("SPLIT(A92,""&gt;"")"),"Online Behavior")</f>
        <v>Online Behavior</v>
      </c>
      <c r="C92" s="4" t="str">
        <f>IFERROR(__xludf.DUMMYFUNCTION("""COMPUTED_VALUE"""),"United States")</f>
        <v>United States</v>
      </c>
      <c r="D92" s="4" t="str">
        <f>IFERROR(__xludf.DUMMYFUNCTION("""COMPUTED_VALUE"""),"Sports")</f>
        <v>Sports</v>
      </c>
      <c r="E92" s="4" t="str">
        <f>IFERROR(__xludf.DUMMYFUNCTION("""COMPUTED_VALUE"""),"Fantasy Sports")</f>
        <v>Fantasy Sports</v>
      </c>
      <c r="F92" s="4"/>
      <c r="G92" s="4"/>
      <c r="H92" s="4"/>
      <c r="I92" s="4"/>
      <c r="J92" s="5" t="s">
        <v>22</v>
      </c>
      <c r="K92" s="5" t="s">
        <v>31</v>
      </c>
      <c r="L92" s="5" t="s">
        <v>142</v>
      </c>
      <c r="M92" s="13" t="s">
        <v>1150</v>
      </c>
      <c r="N92" s="5" t="s">
        <v>117</v>
      </c>
      <c r="O92" s="5" t="s">
        <v>27</v>
      </c>
      <c r="P92" s="5">
        <v>45285.0</v>
      </c>
      <c r="Q92" s="5">
        <v>190.0</v>
      </c>
      <c r="R92" s="5">
        <v>30225.0</v>
      </c>
      <c r="S92" s="5">
        <v>43298.0</v>
      </c>
      <c r="T92" s="5">
        <v>11.0</v>
      </c>
      <c r="U92" s="9">
        <v>4728.012406</v>
      </c>
    </row>
    <row r="93">
      <c r="A93" s="4" t="s">
        <v>1151</v>
      </c>
      <c r="B93" s="4"/>
      <c r="C93" s="12" t="s">
        <v>1110</v>
      </c>
      <c r="D93" s="12" t="s">
        <v>1127</v>
      </c>
      <c r="E93" s="12" t="s">
        <v>1152</v>
      </c>
      <c r="F93" s="12" t="s">
        <v>1153</v>
      </c>
      <c r="G93" s="4"/>
      <c r="H93" s="4"/>
      <c r="I93" s="4"/>
      <c r="J93" s="5" t="s">
        <v>22</v>
      </c>
      <c r="K93" s="5" t="s">
        <v>16</v>
      </c>
      <c r="L93" s="5" t="s">
        <v>181</v>
      </c>
      <c r="M93" s="13" t="s">
        <v>1150</v>
      </c>
      <c r="N93" s="5" t="s">
        <v>117</v>
      </c>
      <c r="O93" s="5" t="s">
        <v>27</v>
      </c>
      <c r="P93" s="5">
        <v>16227.0</v>
      </c>
      <c r="Q93" s="5">
        <v>40.0</v>
      </c>
      <c r="R93" s="5">
        <v>9438.0</v>
      </c>
      <c r="S93" s="5">
        <v>15611.0</v>
      </c>
      <c r="T93" s="5">
        <v>3.0</v>
      </c>
      <c r="U93" s="9">
        <v>1991.94384</v>
      </c>
    </row>
    <row r="94">
      <c r="A94" s="4" t="s">
        <v>1154</v>
      </c>
      <c r="B94" s="4" t="str">
        <f>IFERROR(__xludf.DUMMYFUNCTION("SPLIT(A94,""&gt;"")"),"OnAudience ")</f>
        <v>OnAudience </v>
      </c>
      <c r="C94" s="4" t="str">
        <f>IFERROR(__xludf.DUMMYFUNCTION("""COMPUTED_VALUE""")," Interest ")</f>
        <v> Interest </v>
      </c>
      <c r="D94" s="4" t="str">
        <f>IFERROR(__xludf.DUMMYFUNCTION("""COMPUTED_VALUE""")," Shopping ")</f>
        <v> Shopping </v>
      </c>
      <c r="E94" s="4" t="str">
        <f>IFERROR(__xludf.DUMMYFUNCTION("""COMPUTED_VALUE""")," Shopping Mall Buyers")</f>
        <v> Shopping Mall Buyers</v>
      </c>
      <c r="F94" s="4"/>
      <c r="G94" s="4"/>
      <c r="H94" s="4"/>
      <c r="I94" s="4"/>
      <c r="J94" s="5" t="s">
        <v>15</v>
      </c>
      <c r="K94" s="5" t="s">
        <v>31</v>
      </c>
      <c r="L94" s="5" t="s">
        <v>183</v>
      </c>
      <c r="M94" s="13" t="s">
        <v>1150</v>
      </c>
      <c r="N94" s="5" t="s">
        <v>184</v>
      </c>
      <c r="O94" s="5" t="s">
        <v>27</v>
      </c>
      <c r="P94" s="5">
        <v>7409.0</v>
      </c>
      <c r="Q94" s="5">
        <v>10.0</v>
      </c>
      <c r="R94" s="5">
        <v>5009.0</v>
      </c>
      <c r="S94" s="5">
        <v>7160.0</v>
      </c>
      <c r="T94" s="5">
        <v>12.0</v>
      </c>
      <c r="U94" s="9">
        <v>1472.110115</v>
      </c>
    </row>
    <row r="95">
      <c r="A95" s="4" t="s">
        <v>185</v>
      </c>
      <c r="B95" s="4" t="str">
        <f>IFERROR(__xludf.DUMMYFUNCTION("SPLIT(A95,""&gt;"")"),"Online Behavior")</f>
        <v>Online Behavior</v>
      </c>
      <c r="C95" s="4" t="str">
        <f>IFERROR(__xludf.DUMMYFUNCTION("""COMPUTED_VALUE"""),"United States")</f>
        <v>United States</v>
      </c>
      <c r="D95" s="4" t="str">
        <f>IFERROR(__xludf.DUMMYFUNCTION("""COMPUTED_VALUE"""),"Law and Government")</f>
        <v>Law and Government</v>
      </c>
      <c r="E95" s="4" t="str">
        <f>IFERROR(__xludf.DUMMYFUNCTION("""COMPUTED_VALUE"""),"Military")</f>
        <v>Military</v>
      </c>
      <c r="F95" s="4"/>
      <c r="G95" s="4"/>
      <c r="H95" s="4"/>
      <c r="I95" s="4"/>
      <c r="J95" s="5" t="s">
        <v>22</v>
      </c>
      <c r="K95" s="5" t="s">
        <v>23</v>
      </c>
      <c r="L95" s="5" t="s">
        <v>32</v>
      </c>
      <c r="M95" s="6" t="s">
        <v>186</v>
      </c>
      <c r="N95" s="5" t="s">
        <v>19</v>
      </c>
      <c r="O95" s="5" t="s">
        <v>27</v>
      </c>
      <c r="P95" s="5">
        <v>17582.0</v>
      </c>
      <c r="Q95" s="5">
        <v>56.0</v>
      </c>
      <c r="R95" s="5">
        <v>9848.0</v>
      </c>
      <c r="S95" s="5">
        <v>16558.0</v>
      </c>
      <c r="T95" s="5">
        <v>12.0</v>
      </c>
      <c r="U95" s="9">
        <v>6846.447915</v>
      </c>
    </row>
    <row r="96" hidden="1">
      <c r="A96" s="4" t="s">
        <v>1155</v>
      </c>
      <c r="B96" s="4" t="str">
        <f>IFERROR(__xludf.DUMMYFUNCTION("SPLIT(A96,""&gt;"")"),"Online Behavior")</f>
        <v>Online Behavior</v>
      </c>
      <c r="C96" s="4" t="str">
        <f>IFERROR(__xludf.DUMMYFUNCTION("""COMPUTED_VALUE"""),"United States")</f>
        <v>United States</v>
      </c>
      <c r="D96" s="4" t="str">
        <f>IFERROR(__xludf.DUMMYFUNCTION("""COMPUTED_VALUE"""),"Travel")</f>
        <v>Travel</v>
      </c>
      <c r="E96" s="4" t="str">
        <f>IFERROR(__xludf.DUMMYFUNCTION("""COMPUTED_VALUE"""),"BUnited States and Rail")</f>
        <v>BUnited States and Rail</v>
      </c>
      <c r="F96" s="4"/>
      <c r="G96" s="4"/>
      <c r="H96" s="4"/>
      <c r="I96" s="4"/>
      <c r="J96" s="5" t="s">
        <v>15</v>
      </c>
      <c r="K96" s="5" t="s">
        <v>31</v>
      </c>
      <c r="L96" s="5" t="s">
        <v>78</v>
      </c>
      <c r="M96" s="6" t="s">
        <v>186</v>
      </c>
      <c r="N96" s="5" t="s">
        <v>46</v>
      </c>
      <c r="O96" s="5" t="s">
        <v>52</v>
      </c>
      <c r="P96" s="5">
        <v>45711.0</v>
      </c>
      <c r="Q96" s="5">
        <v>130.0</v>
      </c>
      <c r="R96" s="5">
        <v>23052.0</v>
      </c>
      <c r="S96" s="5">
        <v>42375.0</v>
      </c>
      <c r="T96" s="5">
        <v>11.0</v>
      </c>
      <c r="U96" s="9">
        <v>6417.876169</v>
      </c>
    </row>
    <row r="97" hidden="1">
      <c r="A97" s="4" t="s">
        <v>1156</v>
      </c>
      <c r="B97" s="4" t="str">
        <f>IFERROR(__xludf.DUMMYFUNCTION("SPLIT(A97,""&gt;"")"),"Online Behavior")</f>
        <v>Online Behavior</v>
      </c>
      <c r="C97" s="4" t="str">
        <f>IFERROR(__xludf.DUMMYFUNCTION("""COMPUTED_VALUE"""),"United States")</f>
        <v>United States</v>
      </c>
      <c r="D97" s="4" t="str">
        <f>IFERROR(__xludf.DUMMYFUNCTION("""COMPUTED_VALUE"""),"Validated Demographic ")</f>
        <v>Validated Demographic </v>
      </c>
      <c r="E97" s="4" t="str">
        <f>IFERROR(__xludf.DUMMYFUNCTION("""COMPUTED_VALUE""")," Age")</f>
        <v> Age</v>
      </c>
      <c r="F97" s="4" t="str">
        <f>IFERROR(__xludf.DUMMYFUNCTION("""COMPUTED_VALUE"""),"18-64")</f>
        <v>18-64</v>
      </c>
      <c r="G97" s="4"/>
      <c r="H97" s="4"/>
      <c r="I97" s="4"/>
      <c r="J97" s="5" t="s">
        <v>15</v>
      </c>
      <c r="K97" s="5" t="s">
        <v>42</v>
      </c>
      <c r="L97" s="5" t="s">
        <v>32</v>
      </c>
      <c r="M97" s="6" t="s">
        <v>186</v>
      </c>
      <c r="N97" s="5" t="s">
        <v>26</v>
      </c>
      <c r="O97" s="5" t="s">
        <v>52</v>
      </c>
      <c r="P97" s="5">
        <v>48562.0</v>
      </c>
      <c r="Q97" s="5">
        <v>150.0</v>
      </c>
      <c r="R97" s="5">
        <v>29108.0</v>
      </c>
      <c r="S97" s="5">
        <v>45570.0</v>
      </c>
      <c r="T97" s="5">
        <v>11.0</v>
      </c>
      <c r="U97" s="9">
        <v>6346.633024</v>
      </c>
    </row>
    <row r="98" hidden="1">
      <c r="A98" s="4" t="s">
        <v>1157</v>
      </c>
      <c r="B98" s="4" t="str">
        <f>IFERROR(__xludf.DUMMYFUNCTION("SPLIT(A98,""&gt;"")"),"Online Behavior")</f>
        <v>Online Behavior</v>
      </c>
      <c r="C98" s="4" t="str">
        <f>IFERROR(__xludf.DUMMYFUNCTION("""COMPUTED_VALUE"""),"United States")</f>
        <v>United States</v>
      </c>
      <c r="D98" s="4" t="str">
        <f>IFERROR(__xludf.DUMMYFUNCTION("""COMPUTED_VALUE"""),"Validated Demographic ")</f>
        <v>Validated Demographic </v>
      </c>
      <c r="E98" s="4" t="str">
        <f>IFERROR(__xludf.DUMMYFUNCTION("""COMPUTED_VALUE""")," Gender and Age Combined")</f>
        <v> Gender and Age Combined</v>
      </c>
      <c r="F98" s="4" t="str">
        <f>IFERROR(__xludf.DUMMYFUNCTION("""COMPUTED_VALUE"""),"Males 25-44")</f>
        <v>Males 25-44</v>
      </c>
      <c r="G98" s="4"/>
      <c r="H98" s="4"/>
      <c r="I98" s="4"/>
      <c r="J98" s="5" t="s">
        <v>15</v>
      </c>
      <c r="K98" s="5" t="s">
        <v>31</v>
      </c>
      <c r="L98" s="5" t="s">
        <v>39</v>
      </c>
      <c r="M98" s="6" t="s">
        <v>186</v>
      </c>
      <c r="N98" s="5" t="s">
        <v>19</v>
      </c>
      <c r="O98" s="5" t="s">
        <v>20</v>
      </c>
      <c r="P98" s="5">
        <v>47394.0</v>
      </c>
      <c r="Q98" s="5">
        <v>184.0</v>
      </c>
      <c r="R98" s="5">
        <v>22712.0</v>
      </c>
      <c r="S98" s="5">
        <v>41918.0</v>
      </c>
      <c r="T98" s="5">
        <v>24.0</v>
      </c>
      <c r="U98" s="9">
        <v>4701.496237</v>
      </c>
    </row>
    <row r="99">
      <c r="A99" s="4" t="s">
        <v>1158</v>
      </c>
      <c r="B99" s="4"/>
      <c r="C99" s="4"/>
      <c r="D99" s="12" t="s">
        <v>1159</v>
      </c>
      <c r="E99" s="12" t="s">
        <v>1160</v>
      </c>
      <c r="F99" s="4"/>
      <c r="G99" s="4"/>
      <c r="H99" s="4"/>
      <c r="I99" s="4"/>
      <c r="J99" s="5" t="s">
        <v>22</v>
      </c>
      <c r="K99" s="5" t="s">
        <v>31</v>
      </c>
      <c r="L99" s="5" t="s">
        <v>39</v>
      </c>
      <c r="M99" s="6" t="s">
        <v>186</v>
      </c>
      <c r="N99" s="5" t="s">
        <v>191</v>
      </c>
      <c r="O99" s="5" t="s">
        <v>27</v>
      </c>
      <c r="P99" s="5">
        <v>66554.0</v>
      </c>
      <c r="Q99" s="5">
        <v>169.0</v>
      </c>
      <c r="R99" s="5">
        <v>39206.0</v>
      </c>
      <c r="S99" s="5">
        <v>62109.0</v>
      </c>
      <c r="T99" s="5">
        <v>6.0</v>
      </c>
      <c r="U99" s="9">
        <v>1890.885935</v>
      </c>
    </row>
    <row r="100">
      <c r="A100" s="4" t="s">
        <v>1161</v>
      </c>
      <c r="B100" s="4"/>
      <c r="C100" s="4"/>
      <c r="D100" s="12" t="s">
        <v>1116</v>
      </c>
      <c r="E100" s="12" t="s">
        <v>1117</v>
      </c>
      <c r="F100" s="12" t="s">
        <v>1118</v>
      </c>
      <c r="G100" s="12" t="s">
        <v>1162</v>
      </c>
      <c r="H100" s="12" t="s">
        <v>1163</v>
      </c>
      <c r="I100" s="4"/>
      <c r="J100" s="5" t="s">
        <v>61</v>
      </c>
      <c r="K100" s="5" t="s">
        <v>16</v>
      </c>
      <c r="L100" s="5" t="s">
        <v>17</v>
      </c>
      <c r="M100" s="6" t="s">
        <v>186</v>
      </c>
      <c r="N100" s="5" t="s">
        <v>19</v>
      </c>
      <c r="O100" s="5" t="s">
        <v>27</v>
      </c>
      <c r="P100" s="5">
        <v>9730.0</v>
      </c>
      <c r="Q100" s="5">
        <v>45.0</v>
      </c>
      <c r="R100" s="5">
        <v>2971.0</v>
      </c>
      <c r="S100" s="5">
        <v>5102.0</v>
      </c>
      <c r="T100" s="5">
        <v>3.0</v>
      </c>
      <c r="U100" s="9">
        <v>1778.937935</v>
      </c>
    </row>
    <row r="101" hidden="1">
      <c r="A101" s="4" t="s">
        <v>1164</v>
      </c>
      <c r="B101" s="4" t="str">
        <f>IFERROR(__xludf.DUMMYFUNCTION("SPLIT(A101,""&gt;"")"),"Media and Entertainment ")</f>
        <v>Media and Entertainment </v>
      </c>
      <c r="C101" s="4" t="str">
        <f>IFERROR(__xludf.DUMMYFUNCTION("""COMPUTED_VALUE""")," Connected TV and Over-the-Top (CTV and OTT) ")</f>
        <v> Connected TV and Over-the-Top (CTV and OTT) </v>
      </c>
      <c r="D101" s="4" t="str">
        <f>IFERROR(__xludf.DUMMYFUNCTION("""COMPUTED_VALUE""")," Streaming Television and Film Viewership ")</f>
        <v> Streaming Television and Film Viewership </v>
      </c>
      <c r="E101" s="4" t="str">
        <f>IFERROR(__xludf.DUMMYFUNCTION("""COMPUTED_VALUE""")," OTT Movie Viewers ")</f>
        <v> OTT Movie Viewers </v>
      </c>
      <c r="F101" s="4" t="str">
        <f>IFERROR(__xludf.DUMMYFUNCTION("""COMPUTED_VALUE""")," Genre ")</f>
        <v> Genre </v>
      </c>
      <c r="G101" s="4" t="str">
        <f>IFERROR(__xludf.DUMMYFUNCTION("""COMPUTED_VALUE""")," Crime Movie Streamers")</f>
        <v> Crime Movie Streamers</v>
      </c>
      <c r="H101" s="4"/>
      <c r="I101" s="4"/>
      <c r="J101" s="5" t="s">
        <v>15</v>
      </c>
      <c r="K101" s="5" t="s">
        <v>31</v>
      </c>
      <c r="L101" s="5" t="s">
        <v>35</v>
      </c>
      <c r="M101" s="6" t="s">
        <v>186</v>
      </c>
      <c r="N101" s="5" t="s">
        <v>46</v>
      </c>
      <c r="O101" s="5" t="s">
        <v>52</v>
      </c>
      <c r="P101" s="5">
        <v>69757.0</v>
      </c>
      <c r="Q101" s="5">
        <v>199.0</v>
      </c>
      <c r="R101" s="5">
        <v>41258.0</v>
      </c>
      <c r="S101" s="5">
        <v>65374.0</v>
      </c>
      <c r="T101" s="5">
        <v>20.0</v>
      </c>
      <c r="U101" s="9">
        <v>1510.61532</v>
      </c>
    </row>
    <row r="102">
      <c r="A102" s="4" t="s">
        <v>1165</v>
      </c>
      <c r="B102" s="4" t="str">
        <f>IFERROR(__xludf.DUMMYFUNCTION("SPLIT(A102,""&gt;"")"),"United States Financial ")</f>
        <v>United States Financial </v>
      </c>
      <c r="C102" s="4" t="str">
        <f>IFERROR(__xludf.DUMMYFUNCTION("""COMPUTED_VALUE""")," Likely Attitude and Behavior ")</f>
        <v> Likely Attitude and Behavior </v>
      </c>
      <c r="D102" s="4" t="str">
        <f>IFERROR(__xludf.DUMMYFUNCTION("""COMPUTED_VALUE""")," Bank Selection ")</f>
        <v> Bank Selection </v>
      </c>
      <c r="E102" s="4" t="str">
        <f>IFERROR(__xludf.DUMMYFUNCTION("""COMPUTED_VALUE""")," CUnited Statestomer Service Very Important (Financial)")</f>
        <v> CUnited Statestomer Service Very Important (Financial)</v>
      </c>
      <c r="F102" s="4"/>
      <c r="G102" s="4"/>
      <c r="H102" s="4"/>
      <c r="I102" s="4"/>
      <c r="J102" s="5" t="s">
        <v>61</v>
      </c>
      <c r="K102" s="5" t="s">
        <v>23</v>
      </c>
      <c r="L102" s="5" t="s">
        <v>24</v>
      </c>
      <c r="M102" s="6" t="s">
        <v>195</v>
      </c>
      <c r="N102" s="5" t="s">
        <v>26</v>
      </c>
      <c r="O102" s="5" t="s">
        <v>27</v>
      </c>
      <c r="P102" s="5">
        <v>8862.0</v>
      </c>
      <c r="Q102" s="5">
        <v>30.0</v>
      </c>
      <c r="R102" s="5">
        <v>1359.0</v>
      </c>
      <c r="S102" s="5">
        <v>7114.0</v>
      </c>
      <c r="T102" s="5">
        <v>1.0</v>
      </c>
      <c r="U102" s="9">
        <v>1481.945157</v>
      </c>
    </row>
    <row r="103">
      <c r="A103" s="4" t="s">
        <v>1166</v>
      </c>
      <c r="B103" s="4" t="str">
        <f>IFERROR(__xludf.DUMMYFUNCTION("SPLIT(A103,""&gt;"")"),"Online Behavior")</f>
        <v>Online Behavior</v>
      </c>
      <c r="C103" s="4" t="str">
        <f>IFERROR(__xludf.DUMMYFUNCTION("""COMPUTED_VALUE"""),"United States")</f>
        <v>United States</v>
      </c>
      <c r="D103" s="4" t="str">
        <f>IFERROR(__xludf.DUMMYFUNCTION("""COMPUTED_VALUE"""),"Sports")</f>
        <v>Sports</v>
      </c>
      <c r="E103" s="4" t="str">
        <f>IFERROR(__xludf.DUMMYFUNCTION("""COMPUTED_VALUE"""),"Individual Sports ")</f>
        <v>Individual Sports </v>
      </c>
      <c r="F103" s="4" t="str">
        <f>IFERROR(__xludf.DUMMYFUNCTION("""COMPUTED_VALUE""")," Running and Walking")</f>
        <v> Running and Walking</v>
      </c>
      <c r="G103" s="4"/>
      <c r="H103" s="4"/>
      <c r="I103" s="4"/>
      <c r="J103" s="5" t="s">
        <v>15</v>
      </c>
      <c r="K103" s="5" t="s">
        <v>42</v>
      </c>
      <c r="L103" s="5" t="s">
        <v>39</v>
      </c>
      <c r="M103" s="6" t="s">
        <v>197</v>
      </c>
      <c r="N103" s="5" t="s">
        <v>46</v>
      </c>
      <c r="O103" s="5" t="s">
        <v>27</v>
      </c>
      <c r="P103" s="5">
        <v>7229.0</v>
      </c>
      <c r="Q103" s="5">
        <v>20.0</v>
      </c>
      <c r="R103" s="5">
        <v>5668.0</v>
      </c>
      <c r="S103" s="5">
        <v>6760.0</v>
      </c>
      <c r="T103" s="5">
        <v>3.0</v>
      </c>
      <c r="U103" s="9">
        <v>6812.588702</v>
      </c>
    </row>
    <row r="104">
      <c r="A104" s="4" t="s">
        <v>1167</v>
      </c>
      <c r="B104" s="4" t="str">
        <f>IFERROR(__xludf.DUMMYFUNCTION("SPLIT(A104,""&gt;"")"),"Online Behavior")</f>
        <v>Online Behavior</v>
      </c>
      <c r="C104" s="4" t="str">
        <f>IFERROR(__xludf.DUMMYFUNCTION("""COMPUTED_VALUE"""),"United States")</f>
        <v>United States</v>
      </c>
      <c r="D104" s="4" t="str">
        <f>IFERROR(__xludf.DUMMYFUNCTION("""COMPUTED_VALUE"""),"People and Society")</f>
        <v>People and Society</v>
      </c>
      <c r="E104" s="4" t="str">
        <f>IFERROR(__xludf.DUMMYFUNCTION("""COMPUTED_VALUE"""),"Family and Relationships ")</f>
        <v>Family and Relationships </v>
      </c>
      <c r="F104" s="4" t="str">
        <f>IFERROR(__xludf.DUMMYFUNCTION("""COMPUTED_VALUE""")," Parents")</f>
        <v> Parents</v>
      </c>
      <c r="G104" s="4"/>
      <c r="H104" s="4"/>
      <c r="I104" s="4"/>
      <c r="J104" s="5" t="s">
        <v>22</v>
      </c>
      <c r="K104" s="5" t="s">
        <v>16</v>
      </c>
      <c r="L104" s="5" t="s">
        <v>95</v>
      </c>
      <c r="M104" s="6" t="s">
        <v>197</v>
      </c>
      <c r="N104" s="5" t="s">
        <v>46</v>
      </c>
      <c r="O104" s="5" t="s">
        <v>27</v>
      </c>
      <c r="P104" s="5">
        <v>115544.0</v>
      </c>
      <c r="Q104" s="5">
        <v>412.0</v>
      </c>
      <c r="R104" s="5">
        <v>79182.0</v>
      </c>
      <c r="S104" s="5">
        <v>109463.0</v>
      </c>
      <c r="T104" s="5">
        <v>56.0</v>
      </c>
      <c r="U104" s="9">
        <v>6721.094453</v>
      </c>
    </row>
    <row r="105" hidden="1">
      <c r="A105" s="4" t="s">
        <v>1168</v>
      </c>
      <c r="B105" s="4" t="str">
        <f>IFERROR(__xludf.DUMMYFUNCTION("SPLIT(A105,""&gt;"")"),"Online Behavior")</f>
        <v>Online Behavior</v>
      </c>
      <c r="C105" s="4" t="str">
        <f>IFERROR(__xludf.DUMMYFUNCTION("""COMPUTED_VALUE"""),"United States")</f>
        <v>United States</v>
      </c>
      <c r="D105" s="4" t="str">
        <f>IFERROR(__xludf.DUMMYFUNCTION("""COMPUTED_VALUE"""),"Travel")</f>
        <v>Travel</v>
      </c>
      <c r="E105" s="4" t="str">
        <f>IFERROR(__xludf.DUMMYFUNCTION("""COMPUTED_VALUE"""),"Tourist Destinations ")</f>
        <v>Tourist Destinations </v>
      </c>
      <c r="F105" s="4" t="str">
        <f>IFERROR(__xludf.DUMMYFUNCTION("""COMPUTED_VALUE""")," Regional Parks and Gardens")</f>
        <v> Regional Parks and Gardens</v>
      </c>
      <c r="G105" s="4"/>
      <c r="H105" s="4"/>
      <c r="I105" s="4"/>
      <c r="J105" s="5" t="s">
        <v>15</v>
      </c>
      <c r="K105" s="5" t="s">
        <v>16</v>
      </c>
      <c r="L105" s="5" t="s">
        <v>17</v>
      </c>
      <c r="M105" s="6" t="s">
        <v>197</v>
      </c>
      <c r="N105" s="5" t="s">
        <v>19</v>
      </c>
      <c r="O105" s="5" t="s">
        <v>52</v>
      </c>
      <c r="P105" s="5">
        <v>48211.0</v>
      </c>
      <c r="Q105" s="5">
        <v>160.0</v>
      </c>
      <c r="R105" s="5">
        <v>30157.0</v>
      </c>
      <c r="S105" s="5">
        <v>43810.0</v>
      </c>
      <c r="T105" s="5">
        <v>14.0</v>
      </c>
      <c r="U105" s="9">
        <v>6708.463351</v>
      </c>
    </row>
    <row r="106">
      <c r="A106" s="4" t="s">
        <v>1169</v>
      </c>
      <c r="B106" s="4" t="str">
        <f>IFERROR(__xludf.DUMMYFUNCTION("SPLIT(A106,""&gt;"")"),"Online Behavior")</f>
        <v>Online Behavior</v>
      </c>
      <c r="C106" s="4" t="str">
        <f>IFERROR(__xludf.DUMMYFUNCTION("""COMPUTED_VALUE"""),"United States")</f>
        <v>United States</v>
      </c>
      <c r="D106" s="4" t="str">
        <f>IFERROR(__xludf.DUMMYFUNCTION("""COMPUTED_VALUE"""),"Autos and Vehicles ")</f>
        <v>Autos and Vehicles </v>
      </c>
      <c r="E106" s="4" t="str">
        <f>IFERROR(__xludf.DUMMYFUNCTION("""COMPUTED_VALUE""")," Brands")</f>
        <v> Brands</v>
      </c>
      <c r="F106" s="4" t="str">
        <f>IFERROR(__xludf.DUMMYFUNCTION("""COMPUTED_VALUE"""),"Mazda")</f>
        <v>Mazda</v>
      </c>
      <c r="G106" s="4"/>
      <c r="H106" s="4"/>
      <c r="I106" s="4"/>
      <c r="J106" s="5" t="s">
        <v>22</v>
      </c>
      <c r="K106" s="5" t="s">
        <v>16</v>
      </c>
      <c r="L106" s="5" t="s">
        <v>78</v>
      </c>
      <c r="M106" s="6" t="s">
        <v>197</v>
      </c>
      <c r="N106" s="5" t="s">
        <v>161</v>
      </c>
      <c r="O106" s="5" t="s">
        <v>27</v>
      </c>
      <c r="P106" s="5">
        <v>134847.0</v>
      </c>
      <c r="Q106" s="5">
        <v>450.0</v>
      </c>
      <c r="R106" s="5">
        <v>104268.0</v>
      </c>
      <c r="S106" s="5">
        <v>128470.0</v>
      </c>
      <c r="T106" s="5">
        <v>125.0</v>
      </c>
      <c r="U106" s="9">
        <v>6040.595578</v>
      </c>
    </row>
    <row r="107">
      <c r="A107" s="4" t="s">
        <v>1170</v>
      </c>
      <c r="B107" s="4" t="str">
        <f>IFERROR(__xludf.DUMMYFUNCTION("SPLIT(A107,""&gt;"")"),"Online Behavior")</f>
        <v>Online Behavior</v>
      </c>
      <c r="C107" s="4" t="str">
        <f>IFERROR(__xludf.DUMMYFUNCTION("""COMPUTED_VALUE"""),"United States")</f>
        <v>United States</v>
      </c>
      <c r="D107" s="4" t="str">
        <f>IFERROR(__xludf.DUMMYFUNCTION("""COMPUTED_VALUE"""),"Travel")</f>
        <v>Travel</v>
      </c>
      <c r="E107" s="4" t="str">
        <f>IFERROR(__xludf.DUMMYFUNCTION("""COMPUTED_VALUE"""),"Tourist Destinations ")</f>
        <v>Tourist Destinations </v>
      </c>
      <c r="F107" s="4" t="str">
        <f>IFERROR(__xludf.DUMMYFUNCTION("""COMPUTED_VALUE""")," Mountain and Ski Resorts")</f>
        <v> Mountain and Ski Resorts</v>
      </c>
      <c r="G107" s="4"/>
      <c r="H107" s="4"/>
      <c r="I107" s="4"/>
      <c r="J107" s="5" t="s">
        <v>22</v>
      </c>
      <c r="K107" s="5" t="s">
        <v>16</v>
      </c>
      <c r="L107" s="5" t="s">
        <v>95</v>
      </c>
      <c r="M107" s="6" t="s">
        <v>197</v>
      </c>
      <c r="N107" s="5" t="s">
        <v>46</v>
      </c>
      <c r="O107" s="5" t="s">
        <v>27</v>
      </c>
      <c r="P107" s="5">
        <v>35178.0</v>
      </c>
      <c r="Q107" s="5">
        <v>155.0</v>
      </c>
      <c r="R107" s="5">
        <v>23374.0</v>
      </c>
      <c r="S107" s="5">
        <v>33779.0</v>
      </c>
      <c r="T107" s="5">
        <v>8.0</v>
      </c>
      <c r="U107" s="9">
        <v>5738.809089</v>
      </c>
    </row>
    <row r="108">
      <c r="A108" s="4" t="s">
        <v>1171</v>
      </c>
      <c r="B108" s="4" t="str">
        <f>IFERROR(__xludf.DUMMYFUNCTION("SPLIT(A108,""&gt;"")"),"Online Behavior")</f>
        <v>Online Behavior</v>
      </c>
      <c r="C108" s="4" t="str">
        <f>IFERROR(__xludf.DUMMYFUNCTION("""COMPUTED_VALUE"""),"United States")</f>
        <v>United States</v>
      </c>
      <c r="D108" s="4" t="str">
        <f>IFERROR(__xludf.DUMMYFUNCTION("""COMPUTED_VALUE"""),"Validated Demographic ")</f>
        <v>Validated Demographic </v>
      </c>
      <c r="E108" s="4" t="str">
        <f>IFERROR(__xludf.DUMMYFUNCTION("""COMPUTED_VALUE""")," Gender and Age Combined")</f>
        <v> Gender and Age Combined</v>
      </c>
      <c r="F108" s="4" t="str">
        <f>IFERROR(__xludf.DUMMYFUNCTION("""COMPUTED_VALUE"""),"Females 45-54")</f>
        <v>Females 45-54</v>
      </c>
      <c r="G108" s="4"/>
      <c r="H108" s="4"/>
      <c r="I108" s="4"/>
      <c r="J108" s="5" t="s">
        <v>22</v>
      </c>
      <c r="K108" s="5" t="s">
        <v>16</v>
      </c>
      <c r="L108" s="5" t="s">
        <v>17</v>
      </c>
      <c r="M108" s="6" t="s">
        <v>197</v>
      </c>
      <c r="N108" s="5" t="s">
        <v>19</v>
      </c>
      <c r="O108" s="5" t="s">
        <v>27</v>
      </c>
      <c r="P108" s="5">
        <v>43117.0</v>
      </c>
      <c r="Q108" s="5">
        <v>100.0</v>
      </c>
      <c r="R108" s="5">
        <v>6478.0</v>
      </c>
      <c r="S108" s="5">
        <v>27405.0</v>
      </c>
      <c r="T108" s="5">
        <v>8.0</v>
      </c>
      <c r="U108" s="9">
        <v>4250.430439</v>
      </c>
    </row>
    <row r="109">
      <c r="A109" s="4" t="s">
        <v>1172</v>
      </c>
      <c r="B109" s="4" t="str">
        <f>IFERROR(__xludf.DUMMYFUNCTION("SPLIT(A109,""&gt;"")"),"United States ")</f>
        <v>United States </v>
      </c>
      <c r="C109" s="4" t="str">
        <f>IFERROR(__xludf.DUMMYFUNCTION("""COMPUTED_VALUE""")," Reach ")</f>
        <v> Reach </v>
      </c>
      <c r="D109" s="4" t="str">
        <f>IFERROR(__xludf.DUMMYFUNCTION("""COMPUTED_VALUE""")," Propensity Models ")</f>
        <v> Propensity Models </v>
      </c>
      <c r="E109" s="4" t="str">
        <f>IFERROR(__xludf.DUMMYFUNCTION("""COMPUTED_VALUE""")," Hobbies and Interest ")</f>
        <v> Hobbies and Interest </v>
      </c>
      <c r="F109" s="4" t="str">
        <f>IFERROR(__xludf.DUMMYFUNCTION("""COMPUTED_VALUE""")," Sports ")</f>
        <v> Sports </v>
      </c>
      <c r="G109" s="4" t="str">
        <f>IFERROR(__xludf.DUMMYFUNCTION("""COMPUTED_VALUE""")," Avid Runners")</f>
        <v> Avid Runners</v>
      </c>
      <c r="H109" s="4"/>
      <c r="I109" s="4"/>
      <c r="J109" s="5" t="s">
        <v>15</v>
      </c>
      <c r="K109" s="5" t="s">
        <v>42</v>
      </c>
      <c r="L109" s="5" t="s">
        <v>204</v>
      </c>
      <c r="M109" s="6" t="s">
        <v>197</v>
      </c>
      <c r="N109" s="5" t="s">
        <v>46</v>
      </c>
      <c r="O109" s="5" t="s">
        <v>27</v>
      </c>
      <c r="P109" s="5">
        <v>510778.0</v>
      </c>
      <c r="Q109" s="5">
        <v>1290.0</v>
      </c>
      <c r="R109" s="5">
        <v>70777.0</v>
      </c>
      <c r="S109" s="5">
        <v>436133.0</v>
      </c>
      <c r="T109" s="5">
        <v>6.0</v>
      </c>
      <c r="U109" s="9">
        <v>3870.253867</v>
      </c>
    </row>
    <row r="110">
      <c r="A110" s="4" t="s">
        <v>1173</v>
      </c>
      <c r="B110" s="4" t="str">
        <f>IFERROR(__xludf.DUMMYFUNCTION("SPLIT(A110,""&gt;"")"),"OnAudience ")</f>
        <v>OnAudience </v>
      </c>
      <c r="C110" s="4" t="str">
        <f>IFERROR(__xludf.DUMMYFUNCTION("""COMPUTED_VALUE""")," Interest ")</f>
        <v> Interest </v>
      </c>
      <c r="D110" s="4" t="str">
        <f>IFERROR(__xludf.DUMMYFUNCTION("""COMPUTED_VALUE""")," BUnited Statesiness")</f>
        <v> BUnited Statesiness</v>
      </c>
      <c r="E110" s="4"/>
      <c r="F110" s="4"/>
      <c r="G110" s="4"/>
      <c r="H110" s="4"/>
      <c r="I110" s="4"/>
      <c r="J110" s="5" t="s">
        <v>15</v>
      </c>
      <c r="K110" s="5" t="s">
        <v>23</v>
      </c>
      <c r="L110" s="5" t="s">
        <v>29</v>
      </c>
      <c r="M110" s="6" t="s">
        <v>197</v>
      </c>
      <c r="N110" s="5" t="s">
        <v>26</v>
      </c>
      <c r="O110" s="5" t="s">
        <v>27</v>
      </c>
      <c r="P110" s="5">
        <v>13700.0</v>
      </c>
      <c r="Q110" s="5">
        <v>63.0</v>
      </c>
      <c r="R110" s="5">
        <v>3609.0</v>
      </c>
      <c r="S110" s="5">
        <v>12644.0</v>
      </c>
      <c r="T110" s="5">
        <v>4.0</v>
      </c>
      <c r="U110" s="9">
        <v>2032.700147</v>
      </c>
    </row>
    <row r="111" hidden="1">
      <c r="A111" s="4" t="s">
        <v>1174</v>
      </c>
      <c r="B111" s="4" t="str">
        <f>IFERROR(__xludf.DUMMYFUNCTION("SPLIT(A111,""&gt;"")"),"United States ")</f>
        <v>United States </v>
      </c>
      <c r="C111" s="4" t="str">
        <f>IFERROR(__xludf.DUMMYFUNCTION("""COMPUTED_VALUE""")," Reach ")</f>
        <v> Reach </v>
      </c>
      <c r="D111" s="4" t="str">
        <f>IFERROR(__xludf.DUMMYFUNCTION("""COMPUTED_VALUE""")," Propensity Models ")</f>
        <v> Propensity Models </v>
      </c>
      <c r="E111" s="4" t="str">
        <f>IFERROR(__xludf.DUMMYFUNCTION("""COMPUTED_VALUE""")," Real Estate ")</f>
        <v> Real Estate </v>
      </c>
      <c r="F111" s="4" t="str">
        <f>IFERROR(__xludf.DUMMYFUNCTION("""COMPUTED_VALUE""")," Monthly Mortgage Payment ")</f>
        <v> Monthly Mortgage Payment </v>
      </c>
      <c r="G111" s="4" t="str">
        <f>IFERROR(__xludf.DUMMYFUNCTION("""COMPUTED_VALUE""")," $800-$999")</f>
        <v> $800-$999</v>
      </c>
      <c r="H111" s="4"/>
      <c r="I111" s="4"/>
      <c r="J111" s="5" t="s">
        <v>15</v>
      </c>
      <c r="K111" s="5" t="s">
        <v>31</v>
      </c>
      <c r="L111" s="5" t="s">
        <v>55</v>
      </c>
      <c r="M111" s="6" t="s">
        <v>197</v>
      </c>
      <c r="N111" s="5" t="s">
        <v>117</v>
      </c>
      <c r="O111" s="5" t="s">
        <v>20</v>
      </c>
      <c r="P111" s="5">
        <v>13075.0</v>
      </c>
      <c r="Q111" s="5">
        <v>74.0</v>
      </c>
      <c r="R111" s="5">
        <v>5980.0</v>
      </c>
      <c r="S111" s="5">
        <v>12114.0</v>
      </c>
      <c r="T111" s="5">
        <v>15.0</v>
      </c>
      <c r="U111" s="9">
        <v>1936.130798</v>
      </c>
    </row>
    <row r="112">
      <c r="A112" s="4" t="s">
        <v>1175</v>
      </c>
      <c r="B112" s="4" t="str">
        <f>IFERROR(__xludf.DUMMYFUNCTION("SPLIT(A112,""&gt;"")"),"United States ")</f>
        <v>United States </v>
      </c>
      <c r="C112" s="4" t="str">
        <f>IFERROR(__xludf.DUMMYFUNCTION("""COMPUTED_VALUE"""),"Green Consumer Audience")</f>
        <v>Green Consumer Audience</v>
      </c>
      <c r="D112" s="4"/>
      <c r="E112" s="4"/>
      <c r="F112" s="4"/>
      <c r="G112" s="4"/>
      <c r="H112" s="4"/>
      <c r="I112" s="4"/>
      <c r="J112" s="5" t="s">
        <v>22</v>
      </c>
      <c r="K112" s="5" t="s">
        <v>16</v>
      </c>
      <c r="L112" s="5" t="s">
        <v>55</v>
      </c>
      <c r="M112" s="6" t="s">
        <v>197</v>
      </c>
      <c r="N112" s="5" t="s">
        <v>136</v>
      </c>
      <c r="O112" s="5" t="s">
        <v>27</v>
      </c>
      <c r="P112" s="5">
        <v>69540.0</v>
      </c>
      <c r="Q112" s="5">
        <v>204.0</v>
      </c>
      <c r="R112" s="5">
        <v>28713.0</v>
      </c>
      <c r="S112" s="5">
        <v>62829.0</v>
      </c>
      <c r="T112" s="5">
        <v>15.0</v>
      </c>
      <c r="U112" s="9">
        <v>1838.98773</v>
      </c>
    </row>
    <row r="113" hidden="1">
      <c r="A113" s="4" t="s">
        <v>1176</v>
      </c>
      <c r="B113" s="4" t="str">
        <f>IFERROR(__xludf.DUMMYFUNCTION("SPLIT(A113,""&gt;"")"),"United States ")</f>
        <v>United States </v>
      </c>
      <c r="C113" s="4" t="str">
        <f>IFERROR(__xludf.DUMMYFUNCTION("""COMPUTED_VALUE""")," Reach ")</f>
        <v> Reach </v>
      </c>
      <c r="D113" s="4" t="str">
        <f>IFERROR(__xludf.DUMMYFUNCTION("""COMPUTED_VALUE""")," Propensity Models ")</f>
        <v> Propensity Models </v>
      </c>
      <c r="E113" s="4" t="str">
        <f>IFERROR(__xludf.DUMMYFUNCTION("""COMPUTED_VALUE""")," HoUnited Statesehold Consumer Expenditures ")</f>
        <v> HoUnited Statesehold Consumer Expenditures </v>
      </c>
      <c r="F113" s="4" t="str">
        <f>IFERROR(__xludf.DUMMYFUNCTION("""COMPUTED_VALUE""")," Lawn and Garden")</f>
        <v> Lawn and Garden</v>
      </c>
      <c r="G113" s="4"/>
      <c r="H113" s="4"/>
      <c r="I113" s="4"/>
      <c r="J113" s="5" t="s">
        <v>15</v>
      </c>
      <c r="K113" s="5" t="s">
        <v>23</v>
      </c>
      <c r="L113" s="5" t="s">
        <v>78</v>
      </c>
      <c r="M113" s="6" t="s">
        <v>197</v>
      </c>
      <c r="N113" s="5" t="s">
        <v>19</v>
      </c>
      <c r="O113" s="5" t="s">
        <v>52</v>
      </c>
      <c r="P113" s="5">
        <v>65983.0</v>
      </c>
      <c r="Q113" s="5">
        <v>212.0</v>
      </c>
      <c r="R113" s="5">
        <v>8536.0</v>
      </c>
      <c r="S113" s="5">
        <v>57434.0</v>
      </c>
      <c r="T113" s="5">
        <v>3.0</v>
      </c>
      <c r="U113" s="9">
        <v>1599.076249</v>
      </c>
    </row>
    <row r="114">
      <c r="A114" s="4" t="s">
        <v>1177</v>
      </c>
      <c r="B114" s="4" t="str">
        <f>IFERROR(__xludf.DUMMYFUNCTION("SPLIT(A114,""&gt;"")"),"United States Interest ")</f>
        <v>United States Interest </v>
      </c>
      <c r="C114" s="4" t="str">
        <f>IFERROR(__xludf.DUMMYFUNCTION("""COMPUTED_VALUE""")," Home ")</f>
        <v> Home </v>
      </c>
      <c r="D114" s="4" t="str">
        <f>IFERROR(__xludf.DUMMYFUNCTION("""COMPUTED_VALUE""")," Home Improvement ")</f>
        <v> Home Improvement </v>
      </c>
      <c r="E114" s="4" t="str">
        <f>IFERROR(__xludf.DUMMYFUNCTION("""COMPUTED_VALUE""")," Home Improvement Grouping")</f>
        <v> Home Improvement Grouping</v>
      </c>
      <c r="F114" s="4"/>
      <c r="G114" s="4"/>
      <c r="H114" s="4"/>
      <c r="I114" s="4"/>
      <c r="J114" s="5" t="s">
        <v>22</v>
      </c>
      <c r="K114" s="5" t="s">
        <v>16</v>
      </c>
      <c r="L114" s="5" t="s">
        <v>35</v>
      </c>
      <c r="M114" s="6" t="s">
        <v>197</v>
      </c>
      <c r="N114" s="5" t="s">
        <v>19</v>
      </c>
      <c r="O114" s="5" t="s">
        <v>27</v>
      </c>
      <c r="P114" s="5">
        <v>21478.0</v>
      </c>
      <c r="Q114" s="5">
        <v>50.0</v>
      </c>
      <c r="R114" s="5">
        <v>15548.0</v>
      </c>
      <c r="S114" s="5">
        <v>20651.0</v>
      </c>
      <c r="T114" s="5">
        <v>24.0</v>
      </c>
      <c r="U114" s="9">
        <v>1541.214047</v>
      </c>
    </row>
    <row r="115">
      <c r="A115" s="4" t="s">
        <v>210</v>
      </c>
      <c r="B115" s="4" t="str">
        <f>IFERROR(__xludf.DUMMYFUNCTION("SPLIT(A115,""&gt;"")"),"Online Behavior")</f>
        <v>Online Behavior</v>
      </c>
      <c r="C115" s="4" t="str">
        <f>IFERROR(__xludf.DUMMYFUNCTION("""COMPUTED_VALUE"""),"United States")</f>
        <v>United States</v>
      </c>
      <c r="D115" s="4" t="str">
        <f>IFERROR(__xludf.DUMMYFUNCTION("""COMPUTED_VALUE"""),"Real Estate")</f>
        <v>Real Estate</v>
      </c>
      <c r="E115" s="4" t="str">
        <f>IFERROR(__xludf.DUMMYFUNCTION("""COMPUTED_VALUE"""),"Apartments and Residential Rentals")</f>
        <v>Apartments and Residential Rentals</v>
      </c>
      <c r="F115" s="4"/>
      <c r="G115" s="4"/>
      <c r="H115" s="4"/>
      <c r="I115" s="4"/>
      <c r="J115" s="5" t="s">
        <v>22</v>
      </c>
      <c r="K115" s="5" t="s">
        <v>31</v>
      </c>
      <c r="L115" s="5" t="s">
        <v>78</v>
      </c>
      <c r="M115" s="6" t="s">
        <v>211</v>
      </c>
      <c r="N115" s="5" t="s">
        <v>19</v>
      </c>
      <c r="O115" s="5" t="s">
        <v>27</v>
      </c>
      <c r="P115" s="5">
        <v>9515.0</v>
      </c>
      <c r="Q115" s="5">
        <v>30.0</v>
      </c>
      <c r="R115" s="5">
        <v>6169.0</v>
      </c>
      <c r="S115" s="5">
        <v>9138.0</v>
      </c>
      <c r="T115" s="5">
        <v>3.0</v>
      </c>
      <c r="U115" s="9">
        <v>5776.508186</v>
      </c>
    </row>
    <row r="116">
      <c r="A116" s="4" t="s">
        <v>1178</v>
      </c>
      <c r="B116" s="4" t="str">
        <f>IFERROR(__xludf.DUMMYFUNCTION("SPLIT(A116,""&gt;"")"),"United States ")</f>
        <v>United States </v>
      </c>
      <c r="C116" s="4" t="str">
        <f>IFERROR(__xludf.DUMMYFUNCTION("""COMPUTED_VALUE""")," Reach ")</f>
        <v> Reach </v>
      </c>
      <c r="D116" s="4" t="str">
        <f>IFERROR(__xludf.DUMMYFUNCTION("""COMPUTED_VALUE""")," Propensity Models ")</f>
        <v> Propensity Models </v>
      </c>
      <c r="E116" s="4" t="str">
        <f>IFERROR(__xludf.DUMMYFUNCTION("""COMPUTED_VALUE""")," Hobbies and Interest ")</f>
        <v> Hobbies and Interest </v>
      </c>
      <c r="F116" s="4" t="str">
        <f>IFERROR(__xludf.DUMMYFUNCTION("""COMPUTED_VALUE""")," Food and Drinks ")</f>
        <v> Food and Drinks </v>
      </c>
      <c r="G116" s="4" t="str">
        <f>IFERROR(__xludf.DUMMYFUNCTION("""COMPUTED_VALUE""")," High-end Spirit Drinkers")</f>
        <v> High-end Spirit Drinkers</v>
      </c>
      <c r="H116" s="4"/>
      <c r="I116" s="4"/>
      <c r="J116" s="5" t="s">
        <v>22</v>
      </c>
      <c r="K116" s="5" t="s">
        <v>23</v>
      </c>
      <c r="L116" s="5" t="s">
        <v>35</v>
      </c>
      <c r="M116" s="6" t="s">
        <v>211</v>
      </c>
      <c r="N116" s="5" t="s">
        <v>48</v>
      </c>
      <c r="O116" s="5" t="s">
        <v>27</v>
      </c>
      <c r="P116" s="5">
        <v>20548.0</v>
      </c>
      <c r="Q116" s="5">
        <v>40.0</v>
      </c>
      <c r="R116" s="5">
        <v>14259.0</v>
      </c>
      <c r="S116" s="5">
        <v>19654.0</v>
      </c>
      <c r="T116" s="5">
        <v>13.0</v>
      </c>
      <c r="U116" s="9">
        <v>3060.424769</v>
      </c>
    </row>
    <row r="117" hidden="1">
      <c r="A117" s="4" t="s">
        <v>1179</v>
      </c>
      <c r="B117" s="4" t="str">
        <f>IFERROR(__xludf.DUMMYFUNCTION("SPLIT(A117,""&gt;"")"),"OnAudience ")</f>
        <v>OnAudience </v>
      </c>
      <c r="C117" s="4" t="str">
        <f>IFERROR(__xludf.DUMMYFUNCTION("""COMPUTED_VALUE""")," Intent ")</f>
        <v> Intent </v>
      </c>
      <c r="D117" s="4" t="str">
        <f>IFERROR(__xludf.DUMMYFUNCTION("""COMPUTED_VALUE""")," Sporting Goods ")</f>
        <v> Sporting Goods </v>
      </c>
      <c r="E117" s="4" t="str">
        <f>IFERROR(__xludf.DUMMYFUNCTION("""COMPUTED_VALUE""")," Team Sports")</f>
        <v> Team Sports</v>
      </c>
      <c r="F117" s="4"/>
      <c r="G117" s="4"/>
      <c r="H117" s="4"/>
      <c r="I117" s="4"/>
      <c r="J117" s="5" t="s">
        <v>15</v>
      </c>
      <c r="K117" s="5" t="s">
        <v>42</v>
      </c>
      <c r="L117" s="5" t="s">
        <v>214</v>
      </c>
      <c r="M117" s="6" t="s">
        <v>211</v>
      </c>
      <c r="N117" s="5" t="s">
        <v>36</v>
      </c>
      <c r="O117" s="5" t="s">
        <v>20</v>
      </c>
      <c r="P117" s="5">
        <v>94340.0</v>
      </c>
      <c r="Q117" s="5">
        <v>250.0</v>
      </c>
      <c r="R117" s="5">
        <v>16955.0</v>
      </c>
      <c r="S117" s="5">
        <v>76971.0</v>
      </c>
      <c r="T117" s="5">
        <v>13.0</v>
      </c>
      <c r="U117" s="9">
        <v>1517.244377</v>
      </c>
    </row>
    <row r="118">
      <c r="A118" s="4" t="s">
        <v>1180</v>
      </c>
      <c r="B118" s="4" t="str">
        <f>IFERROR(__xludf.DUMMYFUNCTION("SPLIT(A118,""&gt;"")"),"Online Behavior")</f>
        <v>Online Behavior</v>
      </c>
      <c r="C118" s="4" t="str">
        <f>IFERROR(__xludf.DUMMYFUNCTION("""COMPUTED_VALUE"""),"United States")</f>
        <v>United States</v>
      </c>
      <c r="D118" s="4" t="str">
        <f>IFERROR(__xludf.DUMMYFUNCTION("""COMPUTED_VALUE"""),"Validated Demographic ")</f>
        <v>Validated Demographic </v>
      </c>
      <c r="E118" s="4" t="str">
        <f>IFERROR(__xludf.DUMMYFUNCTION("""COMPUTED_VALUE""")," Age")</f>
        <v> Age</v>
      </c>
      <c r="F118" s="4" t="str">
        <f>IFERROR(__xludf.DUMMYFUNCTION("""COMPUTED_VALUE"""),"25-44")</f>
        <v>25-44</v>
      </c>
      <c r="G118" s="4"/>
      <c r="H118" s="4"/>
      <c r="I118" s="4"/>
      <c r="J118" s="5" t="s">
        <v>61</v>
      </c>
      <c r="K118" s="5" t="s">
        <v>23</v>
      </c>
      <c r="L118" s="5" t="s">
        <v>32</v>
      </c>
      <c r="M118" s="6" t="s">
        <v>216</v>
      </c>
      <c r="N118" s="5" t="s">
        <v>26</v>
      </c>
      <c r="O118" s="5" t="s">
        <v>27</v>
      </c>
      <c r="P118" s="5">
        <v>114723.0</v>
      </c>
      <c r="Q118" s="5">
        <v>350.0</v>
      </c>
      <c r="R118" s="5">
        <v>14623.0</v>
      </c>
      <c r="S118" s="5">
        <v>92063.0</v>
      </c>
      <c r="T118" s="5">
        <v>6.0</v>
      </c>
      <c r="U118" s="9">
        <v>4742.008637</v>
      </c>
    </row>
    <row r="119">
      <c r="A119" s="4" t="s">
        <v>1181</v>
      </c>
      <c r="B119" s="4" t="str">
        <f>IFERROR(__xludf.DUMMYFUNCTION("SPLIT(A119,""&gt;"")"),"Media and Entertainment ")</f>
        <v>Media and Entertainment </v>
      </c>
      <c r="C119" s="4" t="str">
        <f>IFERROR(__xludf.DUMMYFUNCTION("""COMPUTED_VALUE""")," Sports and Recreational Activities ")</f>
        <v> Sports and Recreational Activities </v>
      </c>
      <c r="D119" s="4" t="str">
        <f>IFERROR(__xludf.DUMMYFUNCTION("""COMPUTED_VALUE""")," Interest (Affinity)")</f>
        <v> Interest (Affinity)</v>
      </c>
      <c r="E119" s="4"/>
      <c r="F119" s="4"/>
      <c r="G119" s="4"/>
      <c r="H119" s="4"/>
      <c r="I119" s="4"/>
      <c r="J119" s="5" t="s">
        <v>15</v>
      </c>
      <c r="K119" s="5" t="s">
        <v>31</v>
      </c>
      <c r="L119" s="5" t="s">
        <v>35</v>
      </c>
      <c r="M119" s="6" t="s">
        <v>216</v>
      </c>
      <c r="N119" s="5" t="s">
        <v>19</v>
      </c>
      <c r="O119" s="5" t="s">
        <v>27</v>
      </c>
      <c r="P119" s="5">
        <v>14581.0</v>
      </c>
      <c r="Q119" s="5">
        <v>85.0</v>
      </c>
      <c r="R119" s="5">
        <v>6970.0</v>
      </c>
      <c r="S119" s="5">
        <v>8882.0</v>
      </c>
      <c r="T119" s="5">
        <v>4.0</v>
      </c>
      <c r="U119" s="9">
        <v>2636.202124</v>
      </c>
    </row>
    <row r="120">
      <c r="A120" s="4" t="s">
        <v>1182</v>
      </c>
      <c r="B120" s="4" t="str">
        <f>IFERROR(__xludf.DUMMYFUNCTION("SPLIT(A120,""&gt;"")"),"Online Behavior")</f>
        <v>Online Behavior</v>
      </c>
      <c r="C120" s="4" t="str">
        <f>IFERROR(__xludf.DUMMYFUNCTION("""COMPUTED_VALUE"""),"United States")</f>
        <v>United States</v>
      </c>
      <c r="D120" s="4" t="str">
        <f>IFERROR(__xludf.DUMMYFUNCTION("""COMPUTED_VALUE"""),"Travel")</f>
        <v>Travel</v>
      </c>
      <c r="E120" s="4" t="str">
        <f>IFERROR(__xludf.DUMMYFUNCTION("""COMPUTED_VALUE"""),"Tourist Destinations ")</f>
        <v>Tourist Destinations </v>
      </c>
      <c r="F120" s="4" t="str">
        <f>IFERROR(__xludf.DUMMYFUNCTION("""COMPUTED_VALUE""")," Beaches and Islands")</f>
        <v> Beaches and Islands</v>
      </c>
      <c r="G120" s="4"/>
      <c r="H120" s="4"/>
      <c r="I120" s="4"/>
      <c r="J120" s="5" t="s">
        <v>61</v>
      </c>
      <c r="K120" s="5" t="s">
        <v>42</v>
      </c>
      <c r="L120" s="5" t="s">
        <v>35</v>
      </c>
      <c r="M120" s="6" t="s">
        <v>219</v>
      </c>
      <c r="N120" s="5" t="s">
        <v>19</v>
      </c>
      <c r="O120" s="5" t="s">
        <v>27</v>
      </c>
      <c r="P120" s="5">
        <v>19461.0</v>
      </c>
      <c r="Q120" s="5">
        <v>74.0</v>
      </c>
      <c r="R120" s="5">
        <v>14647.0</v>
      </c>
      <c r="S120" s="5">
        <v>18731.0</v>
      </c>
      <c r="T120" s="5">
        <v>9.0</v>
      </c>
      <c r="U120" s="9">
        <v>7311.99875</v>
      </c>
    </row>
    <row r="121">
      <c r="A121" s="4" t="s">
        <v>220</v>
      </c>
      <c r="B121" s="4" t="str">
        <f>IFERROR(__xludf.DUMMYFUNCTION("SPLIT(A121,""&gt;"")"),"Online Behavior")</f>
        <v>Online Behavior</v>
      </c>
      <c r="C121" s="4" t="str">
        <f>IFERROR(__xludf.DUMMYFUNCTION("""COMPUTED_VALUE"""),"United States")</f>
        <v>United States</v>
      </c>
      <c r="D121" s="4" t="str">
        <f>IFERROR(__xludf.DUMMYFUNCTION("""COMPUTED_VALUE"""),"The Changing Consumer")</f>
        <v>The Changing Consumer</v>
      </c>
      <c r="E121" s="4" t="str">
        <f>IFERROR(__xludf.DUMMYFUNCTION("""COMPUTED_VALUE"""),"Direct to Consumer")</f>
        <v>Direct to Consumer</v>
      </c>
      <c r="F121" s="4"/>
      <c r="G121" s="4"/>
      <c r="H121" s="4"/>
      <c r="I121" s="4"/>
      <c r="J121" s="5" t="s">
        <v>22</v>
      </c>
      <c r="K121" s="5" t="s">
        <v>23</v>
      </c>
      <c r="L121" s="5" t="s">
        <v>35</v>
      </c>
      <c r="M121" s="6" t="s">
        <v>219</v>
      </c>
      <c r="N121" s="5" t="s">
        <v>26</v>
      </c>
      <c r="O121" s="5" t="s">
        <v>27</v>
      </c>
      <c r="P121" s="5">
        <v>27032.0</v>
      </c>
      <c r="Q121" s="5">
        <v>110.0</v>
      </c>
      <c r="R121" s="5">
        <v>21893.0</v>
      </c>
      <c r="S121" s="5">
        <v>26127.0</v>
      </c>
      <c r="T121" s="5">
        <v>5.0</v>
      </c>
      <c r="U121" s="9">
        <v>5292.896913</v>
      </c>
    </row>
    <row r="122">
      <c r="A122" s="4" t="s">
        <v>1183</v>
      </c>
      <c r="B122" s="4" t="str">
        <f>IFERROR(__xludf.DUMMYFUNCTION("SPLIT(A122,""&gt;"")"),"Online Behavior")</f>
        <v>Online Behavior</v>
      </c>
      <c r="C122" s="4" t="str">
        <f>IFERROR(__xludf.DUMMYFUNCTION("""COMPUTED_VALUE"""),"United States")</f>
        <v>United States</v>
      </c>
      <c r="D122" s="4" t="str">
        <f>IFERROR(__xludf.DUMMYFUNCTION("""COMPUTED_VALUE"""),"Arts and Entertainment")</f>
        <v>Arts and Entertainment</v>
      </c>
      <c r="E122" s="4" t="str">
        <f>IFERROR(__xludf.DUMMYFUNCTION("""COMPUTED_VALUE"""),"MUnited Statesic and Audio")</f>
        <v>MUnited Statesic and Audio</v>
      </c>
      <c r="F122" s="4"/>
      <c r="G122" s="4"/>
      <c r="H122" s="4"/>
      <c r="I122" s="4"/>
      <c r="J122" s="5" t="s">
        <v>15</v>
      </c>
      <c r="K122" s="5" t="s">
        <v>23</v>
      </c>
      <c r="L122" s="5" t="s">
        <v>84</v>
      </c>
      <c r="M122" s="6" t="s">
        <v>222</v>
      </c>
      <c r="N122" s="5" t="s">
        <v>19</v>
      </c>
      <c r="O122" s="5" t="s">
        <v>27</v>
      </c>
      <c r="P122" s="5">
        <v>7628.0</v>
      </c>
      <c r="Q122" s="5">
        <v>19.0</v>
      </c>
      <c r="R122" s="5">
        <v>5048.0</v>
      </c>
      <c r="S122" s="5">
        <v>7154.0</v>
      </c>
      <c r="T122" s="5">
        <v>5.0</v>
      </c>
      <c r="U122" s="9">
        <v>6684.062804</v>
      </c>
    </row>
    <row r="123">
      <c r="A123" s="4" t="s">
        <v>1184</v>
      </c>
      <c r="B123" s="4" t="str">
        <f>IFERROR(__xludf.DUMMYFUNCTION("SPLIT(A123,""&gt;"")"),"Online Behavior")</f>
        <v>Online Behavior</v>
      </c>
      <c r="C123" s="4" t="str">
        <f>IFERROR(__xludf.DUMMYFUNCTION("""COMPUTED_VALUE"""),"United States")</f>
        <v>United States</v>
      </c>
      <c r="D123" s="4" t="str">
        <f>IFERROR(__xludf.DUMMYFUNCTION("""COMPUTED_VALUE"""),"Autos and Vehicles ")</f>
        <v>Autos and Vehicles </v>
      </c>
      <c r="E123" s="4" t="str">
        <f>IFERROR(__xludf.DUMMYFUNCTION("""COMPUTED_VALUE""")," Brands")</f>
        <v> Brands</v>
      </c>
      <c r="F123" s="4" t="str">
        <f>IFERROR(__xludf.DUMMYFUNCTION("""COMPUTED_VALUE"""),"Volvo")</f>
        <v>Volvo</v>
      </c>
      <c r="G123" s="4"/>
      <c r="H123" s="4"/>
      <c r="I123" s="4"/>
      <c r="J123" s="5" t="s">
        <v>22</v>
      </c>
      <c r="K123" s="5" t="s">
        <v>16</v>
      </c>
      <c r="L123" s="5" t="s">
        <v>78</v>
      </c>
      <c r="M123" s="6" t="s">
        <v>224</v>
      </c>
      <c r="N123" s="5" t="s">
        <v>19</v>
      </c>
      <c r="O123" s="5" t="s">
        <v>27</v>
      </c>
      <c r="P123" s="5">
        <v>7806.0</v>
      </c>
      <c r="Q123" s="5">
        <v>20.0</v>
      </c>
      <c r="R123" s="5">
        <v>3150.0</v>
      </c>
      <c r="S123" s="5">
        <v>7247.0</v>
      </c>
      <c r="T123" s="5">
        <v>1.0</v>
      </c>
      <c r="U123" s="9">
        <v>6162.320833</v>
      </c>
    </row>
    <row r="124" hidden="1">
      <c r="A124" s="4" t="s">
        <v>1185</v>
      </c>
      <c r="B124" s="4" t="str">
        <f>IFERROR(__xludf.DUMMYFUNCTION("SPLIT(A124,""&gt;"")"),"United States ")</f>
        <v>United States </v>
      </c>
      <c r="C124" s="4" t="str">
        <f>IFERROR(__xludf.DUMMYFUNCTION("""COMPUTED_VALUE""")," B2B ")</f>
        <v> B2B </v>
      </c>
      <c r="D124" s="4" t="str">
        <f>IFERROR(__xludf.DUMMYFUNCTION("""COMPUTED_VALUE""")," B2B Decision Maker Responsibilities ")</f>
        <v> B2B Decision Maker Responsibilities </v>
      </c>
      <c r="E124" s="4" t="str">
        <f>IFERROR(__xludf.DUMMYFUNCTION("""COMPUTED_VALUE""")," Company Liability or Insurance")</f>
        <v> Company Liability or Insurance</v>
      </c>
      <c r="F124" s="4"/>
      <c r="G124" s="4"/>
      <c r="H124" s="4"/>
      <c r="I124" s="4"/>
      <c r="J124" s="5" t="s">
        <v>15</v>
      </c>
      <c r="K124" s="5" t="s">
        <v>42</v>
      </c>
      <c r="L124" s="5" t="s">
        <v>55</v>
      </c>
      <c r="M124" s="6" t="s">
        <v>226</v>
      </c>
      <c r="N124" s="5" t="s">
        <v>19</v>
      </c>
      <c r="O124" s="5" t="s">
        <v>52</v>
      </c>
      <c r="P124" s="5">
        <v>31443.0</v>
      </c>
      <c r="Q124" s="5">
        <v>70.0</v>
      </c>
      <c r="R124" s="5">
        <v>19134.0</v>
      </c>
      <c r="S124" s="5">
        <v>28059.0</v>
      </c>
      <c r="T124" s="5">
        <v>9.0</v>
      </c>
      <c r="U124" s="9">
        <v>2122.765888</v>
      </c>
    </row>
    <row r="125">
      <c r="A125" s="4" t="s">
        <v>1186</v>
      </c>
      <c r="B125" s="4" t="str">
        <f>IFERROR(__xludf.DUMMYFUNCTION("SPLIT(A125,""&gt;"")"),"United States ")</f>
        <v>United States </v>
      </c>
      <c r="C125" s="4" t="str">
        <f>IFERROR(__xludf.DUMMYFUNCTION("""COMPUTED_VALUE""")," Reach ")</f>
        <v> Reach </v>
      </c>
      <c r="D125" s="4" t="str">
        <f>IFERROR(__xludf.DUMMYFUNCTION("""COMPUTED_VALUE""")," Propensity Models ")</f>
        <v> Propensity Models </v>
      </c>
      <c r="E125" s="4" t="str">
        <f>IFERROR(__xludf.DUMMYFUNCTION("""COMPUTED_VALUE""")," Luxury Home Goods Store Shopper")</f>
        <v> Luxury Home Goods Store Shopper</v>
      </c>
      <c r="F125" s="4"/>
      <c r="G125" s="4"/>
      <c r="H125" s="4"/>
      <c r="I125" s="4"/>
      <c r="J125" s="5" t="s">
        <v>22</v>
      </c>
      <c r="K125" s="5" t="s">
        <v>23</v>
      </c>
      <c r="L125" s="5" t="s">
        <v>29</v>
      </c>
      <c r="M125" s="6" t="s">
        <v>228</v>
      </c>
      <c r="N125" s="5" t="s">
        <v>19</v>
      </c>
      <c r="O125" s="5" t="s">
        <v>27</v>
      </c>
      <c r="P125" s="5">
        <v>29107.0</v>
      </c>
      <c r="Q125" s="5">
        <v>64.0</v>
      </c>
      <c r="R125" s="5">
        <v>4047.0</v>
      </c>
      <c r="S125" s="5">
        <v>27357.0</v>
      </c>
      <c r="T125" s="5">
        <v>9.0</v>
      </c>
      <c r="U125" s="9">
        <v>3339.454322</v>
      </c>
    </row>
    <row r="126">
      <c r="A126" s="4" t="s">
        <v>1187</v>
      </c>
      <c r="B126" s="4" t="str">
        <f>IFERROR(__xludf.DUMMYFUNCTION("SPLIT(A126,""&gt;"")"),"United States ")</f>
        <v>United States </v>
      </c>
      <c r="C126" s="4" t="str">
        <f>IFERROR(__xludf.DUMMYFUNCTION("""COMPUTED_VALUE""")," B2B ")</f>
        <v> B2B </v>
      </c>
      <c r="D126" s="4" t="str">
        <f>IFERROR(__xludf.DUMMYFUNCTION("""COMPUTED_VALUE""")," B2B Decision Maker Responsibilities ")</f>
        <v> B2B Decision Maker Responsibilities </v>
      </c>
      <c r="E126" s="4" t="str">
        <f>IFERROR(__xludf.DUMMYFUNCTION("""COMPUTED_VALUE""")," Employee Benefits")</f>
        <v> Employee Benefits</v>
      </c>
      <c r="F126" s="4"/>
      <c r="G126" s="4"/>
      <c r="H126" s="4"/>
      <c r="I126" s="4"/>
      <c r="J126" s="5" t="s">
        <v>22</v>
      </c>
      <c r="K126" s="5" t="s">
        <v>16</v>
      </c>
      <c r="L126" s="5" t="s">
        <v>84</v>
      </c>
      <c r="M126" s="6" t="s">
        <v>228</v>
      </c>
      <c r="N126" s="5" t="s">
        <v>36</v>
      </c>
      <c r="O126" s="5" t="s">
        <v>27</v>
      </c>
      <c r="P126" s="5">
        <v>12451.0</v>
      </c>
      <c r="Q126" s="5">
        <v>30.0</v>
      </c>
      <c r="R126" s="5">
        <v>2987.0</v>
      </c>
      <c r="S126" s="5">
        <v>11295.0</v>
      </c>
      <c r="T126" s="5">
        <v>4.0</v>
      </c>
      <c r="U126" s="9">
        <v>2127.323828</v>
      </c>
    </row>
    <row r="127" hidden="1">
      <c r="A127" s="4" t="s">
        <v>1188</v>
      </c>
      <c r="B127" s="4" t="str">
        <f>IFERROR(__xludf.DUMMYFUNCTION("SPLIT(A127,""&gt;"")"),"United States ")</f>
        <v>United States </v>
      </c>
      <c r="C127" s="4" t="str">
        <f>IFERROR(__xludf.DUMMYFUNCTION("""COMPUTED_VALUE""")," Brand Propensities ")</f>
        <v> Brand Propensities </v>
      </c>
      <c r="D127" s="4" t="str">
        <f>IFERROR(__xludf.DUMMYFUNCTION("""COMPUTED_VALUE""")," Travel ")</f>
        <v> Travel </v>
      </c>
      <c r="E127" s="4" t="str">
        <f>IFERROR(__xludf.DUMMYFUNCTION("""COMPUTED_VALUE""")," American Airlines Buyer Propensity")</f>
        <v> American Airlines Buyer Propensity</v>
      </c>
      <c r="F127" s="4"/>
      <c r="G127" s="4"/>
      <c r="H127" s="4"/>
      <c r="I127" s="4"/>
      <c r="J127" s="5" t="s">
        <v>15</v>
      </c>
      <c r="K127" s="5" t="s">
        <v>16</v>
      </c>
      <c r="L127" s="5" t="s">
        <v>78</v>
      </c>
      <c r="M127" s="6" t="s">
        <v>228</v>
      </c>
      <c r="N127" s="5" t="s">
        <v>231</v>
      </c>
      <c r="O127" s="5" t="s">
        <v>20</v>
      </c>
      <c r="P127" s="5">
        <v>12176.0</v>
      </c>
      <c r="Q127" s="5">
        <v>10.0</v>
      </c>
      <c r="R127" s="5">
        <v>5460.0</v>
      </c>
      <c r="S127" s="5">
        <v>11154.0</v>
      </c>
      <c r="T127" s="5">
        <v>10.0</v>
      </c>
      <c r="U127" s="9">
        <v>1816.030806</v>
      </c>
    </row>
    <row r="128">
      <c r="A128" s="4" t="s">
        <v>232</v>
      </c>
      <c r="B128" s="4" t="str">
        <f>IFERROR(__xludf.DUMMYFUNCTION("SPLIT(A128,""&gt;"")"),"OnAudience")</f>
        <v>OnAudience</v>
      </c>
      <c r="C128" s="4"/>
      <c r="D128" s="4"/>
      <c r="E128" s="4"/>
      <c r="F128" s="4"/>
      <c r="G128" s="4"/>
      <c r="H128" s="4"/>
      <c r="I128" s="4"/>
      <c r="J128" s="5" t="s">
        <v>15</v>
      </c>
      <c r="K128" s="5" t="s">
        <v>23</v>
      </c>
      <c r="L128" s="5" t="s">
        <v>29</v>
      </c>
      <c r="M128" s="6" t="s">
        <v>233</v>
      </c>
      <c r="N128" s="5" t="s">
        <v>19</v>
      </c>
      <c r="O128" s="5" t="s">
        <v>27</v>
      </c>
      <c r="P128" s="5">
        <v>7472.0</v>
      </c>
      <c r="Q128" s="5">
        <v>10.0</v>
      </c>
      <c r="R128" s="5">
        <v>1191.0</v>
      </c>
      <c r="S128" s="5">
        <v>5883.0</v>
      </c>
      <c r="T128" s="5">
        <v>1.0</v>
      </c>
      <c r="U128" s="9">
        <v>2183.952037</v>
      </c>
    </row>
    <row r="129">
      <c r="A129" s="4" t="s">
        <v>1189</v>
      </c>
      <c r="B129" s="4" t="str">
        <f>IFERROR(__xludf.DUMMYFUNCTION("SPLIT(A129,""&gt;"")"),"Media and Entertainment ")</f>
        <v>Media and Entertainment </v>
      </c>
      <c r="C129" s="4" t="str">
        <f>IFERROR(__xludf.DUMMYFUNCTION("""COMPUTED_VALUE""")," Audio and Video Streaming ")</f>
        <v> Audio and Video Streaming </v>
      </c>
      <c r="D129" s="4" t="str">
        <f>IFERROR(__xludf.DUMMYFUNCTION("""COMPUTED_VALUE""")," Streaming Audio")</f>
        <v> Streaming Audio</v>
      </c>
      <c r="E129" s="4"/>
      <c r="F129" s="4"/>
      <c r="G129" s="4"/>
      <c r="H129" s="4"/>
      <c r="I129" s="4"/>
      <c r="J129" s="5" t="s">
        <v>15</v>
      </c>
      <c r="K129" s="5" t="s">
        <v>31</v>
      </c>
      <c r="L129" s="5" t="s">
        <v>35</v>
      </c>
      <c r="M129" s="6" t="s">
        <v>235</v>
      </c>
      <c r="N129" s="5" t="s">
        <v>19</v>
      </c>
      <c r="O129" s="5" t="s">
        <v>27</v>
      </c>
      <c r="P129" s="5">
        <v>42451.0</v>
      </c>
      <c r="Q129" s="5">
        <v>122.0</v>
      </c>
      <c r="R129" s="5">
        <v>29142.0</v>
      </c>
      <c r="S129" s="5">
        <v>41093.0</v>
      </c>
      <c r="T129" s="5">
        <v>7.0</v>
      </c>
      <c r="U129" s="9">
        <v>1530.553686</v>
      </c>
    </row>
    <row r="130">
      <c r="A130" s="4" t="s">
        <v>1190</v>
      </c>
      <c r="B130" s="4" t="str">
        <f>IFERROR(__xludf.DUMMYFUNCTION("SPLIT(A130,""&gt;"")"),"United States ")</f>
        <v>United States </v>
      </c>
      <c r="C130" s="4" t="str">
        <f>IFERROR(__xludf.DUMMYFUNCTION("""COMPUTED_VALUE"""),"Rural Improvement Fanatic")</f>
        <v>Rural Improvement Fanatic</v>
      </c>
      <c r="D130" s="4"/>
      <c r="E130" s="4"/>
      <c r="F130" s="4"/>
      <c r="G130" s="4"/>
      <c r="H130" s="4"/>
      <c r="I130" s="4"/>
      <c r="J130" s="5" t="s">
        <v>22</v>
      </c>
      <c r="K130" s="5" t="s">
        <v>16</v>
      </c>
      <c r="L130" s="5" t="s">
        <v>78</v>
      </c>
      <c r="M130" s="6" t="s">
        <v>235</v>
      </c>
      <c r="N130" s="5" t="s">
        <v>117</v>
      </c>
      <c r="O130" s="5" t="s">
        <v>27</v>
      </c>
      <c r="P130" s="5">
        <v>10677.0</v>
      </c>
      <c r="Q130" s="5">
        <v>88.0</v>
      </c>
      <c r="R130" s="5">
        <v>7247.0</v>
      </c>
      <c r="S130" s="5">
        <v>10338.0</v>
      </c>
      <c r="T130" s="5">
        <v>3.0</v>
      </c>
      <c r="U130" s="9">
        <v>1483.452706</v>
      </c>
    </row>
    <row r="131">
      <c r="A131" s="4" t="s">
        <v>1191</v>
      </c>
      <c r="B131" s="4" t="str">
        <f>IFERROR(__xludf.DUMMYFUNCTION("SPLIT(A131,""&gt;"")"),"Online Behavior")</f>
        <v>Online Behavior</v>
      </c>
      <c r="C131" s="4" t="str">
        <f>IFERROR(__xludf.DUMMYFUNCTION("""COMPUTED_VALUE"""),"United States")</f>
        <v>United States</v>
      </c>
      <c r="D131" s="4" t="str">
        <f>IFERROR(__xludf.DUMMYFUNCTION("""COMPUTED_VALUE"""),"Sports")</f>
        <v>Sports</v>
      </c>
      <c r="E131" s="4" t="str">
        <f>IFERROR(__xludf.DUMMYFUNCTION("""COMPUTED_VALUE"""),"Sports League ")</f>
        <v>Sports League </v>
      </c>
      <c r="F131" s="4" t="str">
        <f>IFERROR(__xludf.DUMMYFUNCTION("""COMPUTED_VALUE""")," Premier League")</f>
        <v> Premier League</v>
      </c>
      <c r="G131" s="4"/>
      <c r="H131" s="4"/>
      <c r="I131" s="4"/>
      <c r="J131" s="5" t="s">
        <v>15</v>
      </c>
      <c r="K131" s="5" t="s">
        <v>23</v>
      </c>
      <c r="L131" s="5" t="s">
        <v>35</v>
      </c>
      <c r="M131" s="6" t="s">
        <v>238</v>
      </c>
      <c r="N131" s="5" t="s">
        <v>46</v>
      </c>
      <c r="O131" s="5" t="s">
        <v>27</v>
      </c>
      <c r="P131" s="5">
        <v>8217.0</v>
      </c>
      <c r="Q131" s="5">
        <v>25.0</v>
      </c>
      <c r="R131" s="5">
        <v>5740.0</v>
      </c>
      <c r="S131" s="5">
        <v>8009.0</v>
      </c>
      <c r="T131" s="5">
        <v>11.0</v>
      </c>
      <c r="U131" s="9">
        <v>6051.334623</v>
      </c>
    </row>
    <row r="132">
      <c r="A132" s="4" t="s">
        <v>239</v>
      </c>
      <c r="B132" s="4" t="str">
        <f>IFERROR(__xludf.DUMMYFUNCTION("SPLIT(A132,""&gt;"")"),"Online Behavior")</f>
        <v>Online Behavior</v>
      </c>
      <c r="C132" s="4" t="str">
        <f>IFERROR(__xludf.DUMMYFUNCTION("""COMPUTED_VALUE"""),"United States")</f>
        <v>United States</v>
      </c>
      <c r="D132" s="4" t="str">
        <f>IFERROR(__xludf.DUMMYFUNCTION("""COMPUTED_VALUE"""),"The Changing Consumer")</f>
        <v>The Changing Consumer</v>
      </c>
      <c r="E132" s="4" t="str">
        <f>IFERROR(__xludf.DUMMYFUNCTION("""COMPUTED_VALUE"""),"Gaming Equipment")</f>
        <v>Gaming Equipment</v>
      </c>
      <c r="F132" s="4"/>
      <c r="G132" s="4"/>
      <c r="H132" s="4"/>
      <c r="I132" s="4"/>
      <c r="J132" s="5" t="s">
        <v>22</v>
      </c>
      <c r="K132" s="5" t="s">
        <v>23</v>
      </c>
      <c r="L132" s="5" t="s">
        <v>240</v>
      </c>
      <c r="M132" s="6" t="s">
        <v>238</v>
      </c>
      <c r="N132" s="5" t="s">
        <v>161</v>
      </c>
      <c r="O132" s="5" t="s">
        <v>27</v>
      </c>
      <c r="P132" s="5">
        <v>7530.0</v>
      </c>
      <c r="Q132" s="5">
        <v>20.0</v>
      </c>
      <c r="R132" s="5">
        <v>5468.0</v>
      </c>
      <c r="S132" s="5">
        <v>7298.0</v>
      </c>
      <c r="T132" s="5">
        <v>3.0</v>
      </c>
      <c r="U132" s="9">
        <v>5038.714067</v>
      </c>
    </row>
    <row r="133">
      <c r="A133" s="4" t="s">
        <v>241</v>
      </c>
      <c r="B133" s="4" t="str">
        <f>IFERROR(__xludf.DUMMYFUNCTION("SPLIT(A133,""&gt;"")"),"Online Behavior")</f>
        <v>Online Behavior</v>
      </c>
      <c r="C133" s="4" t="str">
        <f>IFERROR(__xludf.DUMMYFUNCTION("""COMPUTED_VALUE"""),"United States")</f>
        <v>United States</v>
      </c>
      <c r="D133" s="4" t="str">
        <f>IFERROR(__xludf.DUMMYFUNCTION("""COMPUTED_VALUE"""),"Travel")</f>
        <v>Travel</v>
      </c>
      <c r="E133" s="4" t="str">
        <f>IFERROR(__xludf.DUMMYFUNCTION("""COMPUTED_VALUE"""),"Travel")</f>
        <v>Travel</v>
      </c>
      <c r="F133" s="4"/>
      <c r="G133" s="4"/>
      <c r="H133" s="4"/>
      <c r="I133" s="4"/>
      <c r="J133" s="5" t="s">
        <v>22</v>
      </c>
      <c r="K133" s="5" t="s">
        <v>16</v>
      </c>
      <c r="L133" s="5" t="s">
        <v>78</v>
      </c>
      <c r="M133" s="6" t="s">
        <v>242</v>
      </c>
      <c r="N133" s="5" t="s">
        <v>19</v>
      </c>
      <c r="O133" s="5" t="s">
        <v>27</v>
      </c>
      <c r="P133" s="5">
        <v>272509.0</v>
      </c>
      <c r="Q133" s="5">
        <v>736.0</v>
      </c>
      <c r="R133" s="5">
        <v>89526.0</v>
      </c>
      <c r="S133" s="5">
        <v>237859.0</v>
      </c>
      <c r="T133" s="5">
        <v>69.0</v>
      </c>
      <c r="U133" s="9">
        <v>8168.347077</v>
      </c>
    </row>
    <row r="134">
      <c r="A134" s="4" t="s">
        <v>1192</v>
      </c>
      <c r="B134" s="4" t="str">
        <f>IFERROR(__xludf.DUMMYFUNCTION("SPLIT(A134,""&gt;"")"),"Online Behavior")</f>
        <v>Online Behavior</v>
      </c>
      <c r="C134" s="4" t="str">
        <f>IFERROR(__xludf.DUMMYFUNCTION("""COMPUTED_VALUE"""),"United States")</f>
        <v>United States</v>
      </c>
      <c r="D134" s="4" t="str">
        <f>IFERROR(__xludf.DUMMYFUNCTION("""COMPUTED_VALUE"""),"Beauty and Fitness")</f>
        <v>Beauty and Fitness</v>
      </c>
      <c r="E134" s="4" t="str">
        <f>IFERROR(__xludf.DUMMYFUNCTION("""COMPUTED_VALUE"""),"Face and Body Care ")</f>
        <v>Face and Body Care </v>
      </c>
      <c r="F134" s="4" t="str">
        <f>IFERROR(__xludf.DUMMYFUNCTION("""COMPUTED_VALUE""")," Unwanted Body and Facial Hair Removal")</f>
        <v> Unwanted Body and Facial Hair Removal</v>
      </c>
      <c r="G134" s="4"/>
      <c r="H134" s="4"/>
      <c r="I134" s="4"/>
      <c r="J134" s="5" t="s">
        <v>15</v>
      </c>
      <c r="K134" s="5" t="s">
        <v>16</v>
      </c>
      <c r="L134" s="5" t="s">
        <v>78</v>
      </c>
      <c r="M134" s="6" t="s">
        <v>242</v>
      </c>
      <c r="N134" s="5" t="s">
        <v>19</v>
      </c>
      <c r="O134" s="5" t="s">
        <v>27</v>
      </c>
      <c r="P134" s="5">
        <v>106392.0</v>
      </c>
      <c r="Q134" s="5">
        <v>299.0</v>
      </c>
      <c r="R134" s="5">
        <v>39599.0</v>
      </c>
      <c r="S134" s="5">
        <v>94941.0</v>
      </c>
      <c r="T134" s="5">
        <v>3.0</v>
      </c>
      <c r="U134" s="9">
        <v>6542.612428</v>
      </c>
    </row>
    <row r="135">
      <c r="A135" s="4" t="s">
        <v>1193</v>
      </c>
      <c r="B135" s="4" t="str">
        <f>IFERROR(__xludf.DUMMYFUNCTION("SPLIT(A135,""&gt;"")"),"Online Behavior")</f>
        <v>Online Behavior</v>
      </c>
      <c r="C135" s="4" t="str">
        <f>IFERROR(__xludf.DUMMYFUNCTION("""COMPUTED_VALUE"""),"United States")</f>
        <v>United States</v>
      </c>
      <c r="D135" s="4" t="str">
        <f>IFERROR(__xludf.DUMMYFUNCTION("""COMPUTED_VALUE"""),"Intent ")</f>
        <v>Intent </v>
      </c>
      <c r="E135" s="4" t="str">
        <f>IFERROR(__xludf.DUMMYFUNCTION("""COMPUTED_VALUE""")," Auto Buyers ")</f>
        <v> Auto Buyers </v>
      </c>
      <c r="F135" s="4" t="str">
        <f>IFERROR(__xludf.DUMMYFUNCTION("""COMPUTED_VALUE""")," Car Make")</f>
        <v> Car Make</v>
      </c>
      <c r="G135" s="4" t="str">
        <f>IFERROR(__xludf.DUMMYFUNCTION("""COMPUTED_VALUE"""),"Toyota")</f>
        <v>Toyota</v>
      </c>
      <c r="H135" s="4"/>
      <c r="I135" s="4"/>
      <c r="J135" s="5" t="s">
        <v>22</v>
      </c>
      <c r="K135" s="5" t="s">
        <v>31</v>
      </c>
      <c r="L135" s="5" t="s">
        <v>17</v>
      </c>
      <c r="M135" s="6" t="s">
        <v>242</v>
      </c>
      <c r="N135" s="5" t="s">
        <v>26</v>
      </c>
      <c r="O135" s="5" t="s">
        <v>27</v>
      </c>
      <c r="P135" s="5">
        <v>9060.0</v>
      </c>
      <c r="Q135" s="5">
        <v>30.0</v>
      </c>
      <c r="R135" s="5">
        <v>5190.0</v>
      </c>
      <c r="S135" s="5">
        <v>8621.0</v>
      </c>
      <c r="T135" s="5">
        <v>14.0</v>
      </c>
      <c r="U135" s="9">
        <v>4934.851563</v>
      </c>
    </row>
    <row r="136">
      <c r="A136" s="4" t="s">
        <v>1194</v>
      </c>
      <c r="B136" s="4" t="str">
        <f>IFERROR(__xludf.DUMMYFUNCTION("SPLIT(A136,""&gt;"")"),"Online Behavior")</f>
        <v>Online Behavior</v>
      </c>
      <c r="C136" s="4" t="str">
        <f>IFERROR(__xludf.DUMMYFUNCTION("""COMPUTED_VALUE"""),"United States")</f>
        <v>United States</v>
      </c>
      <c r="D136" s="4" t="str">
        <f>IFERROR(__xludf.DUMMYFUNCTION("""COMPUTED_VALUE"""),"Food and Drink")</f>
        <v>Food and Drink</v>
      </c>
      <c r="E136" s="4" t="str">
        <f>IFERROR(__xludf.DUMMYFUNCTION("""COMPUTED_VALUE"""),"Restaurants ")</f>
        <v>Restaurants </v>
      </c>
      <c r="F136" s="4" t="str">
        <f>IFERROR(__xludf.DUMMYFUNCTION("""COMPUTED_VALUE""")," Dining Guides")</f>
        <v> Dining Guides</v>
      </c>
      <c r="G136" s="4"/>
      <c r="H136" s="4"/>
      <c r="I136" s="4"/>
      <c r="J136" s="5" t="s">
        <v>22</v>
      </c>
      <c r="K136" s="5" t="s">
        <v>31</v>
      </c>
      <c r="L136" s="5" t="s">
        <v>35</v>
      </c>
      <c r="M136" s="6" t="s">
        <v>242</v>
      </c>
      <c r="N136" s="5" t="s">
        <v>117</v>
      </c>
      <c r="O136" s="5" t="s">
        <v>27</v>
      </c>
      <c r="P136" s="5">
        <v>116926.0</v>
      </c>
      <c r="Q136" s="5">
        <v>321.0</v>
      </c>
      <c r="R136" s="5">
        <v>69132.0</v>
      </c>
      <c r="S136" s="5">
        <v>111957.0</v>
      </c>
      <c r="T136" s="5">
        <v>22.0</v>
      </c>
      <c r="U136" s="9">
        <v>4918.040982</v>
      </c>
    </row>
    <row r="137">
      <c r="A137" s="4" t="s">
        <v>1195</v>
      </c>
      <c r="B137" s="4" t="str">
        <f>IFERROR(__xludf.DUMMYFUNCTION("SPLIT(A137,""&gt;"")"),"Media and Entertainment ")</f>
        <v>Media and Entertainment </v>
      </c>
      <c r="C137" s="4" t="str">
        <f>IFERROR(__xludf.DUMMYFUNCTION("""COMPUTED_VALUE""")," MUnited Statesic")</f>
        <v> MUnited Statesic</v>
      </c>
      <c r="D137" s="4"/>
      <c r="E137" s="4"/>
      <c r="F137" s="4"/>
      <c r="G137" s="4"/>
      <c r="H137" s="4"/>
      <c r="I137" s="4"/>
      <c r="J137" s="5" t="s">
        <v>15</v>
      </c>
      <c r="K137" s="5" t="s">
        <v>42</v>
      </c>
      <c r="L137" s="5" t="s">
        <v>78</v>
      </c>
      <c r="M137" s="6" t="s">
        <v>242</v>
      </c>
      <c r="N137" s="5" t="s">
        <v>50</v>
      </c>
      <c r="O137" s="5" t="s">
        <v>27</v>
      </c>
      <c r="P137" s="5">
        <v>45402.0</v>
      </c>
      <c r="Q137" s="5">
        <v>122.0</v>
      </c>
      <c r="R137" s="5">
        <v>17284.0</v>
      </c>
      <c r="S137" s="5">
        <v>27542.0</v>
      </c>
      <c r="T137" s="5">
        <v>5.0</v>
      </c>
      <c r="U137" s="9">
        <v>2163.265346</v>
      </c>
    </row>
    <row r="138">
      <c r="A138" s="4" t="s">
        <v>1196</v>
      </c>
      <c r="B138" s="4" t="str">
        <f>IFERROR(__xludf.DUMMYFUNCTION("SPLIT(A138,""&gt;"")"),"OnAudience ")</f>
        <v>OnAudience </v>
      </c>
      <c r="C138" s="4" t="str">
        <f>IFERROR(__xludf.DUMMYFUNCTION("""COMPUTED_VALUE""")," Interest ")</f>
        <v> Interest </v>
      </c>
      <c r="D138" s="4" t="str">
        <f>IFERROR(__xludf.DUMMYFUNCTION("""COMPUTED_VALUE""")," Technology")</f>
        <v> Technology</v>
      </c>
      <c r="E138" s="4"/>
      <c r="F138" s="4"/>
      <c r="G138" s="4"/>
      <c r="H138" s="4"/>
      <c r="I138" s="4"/>
      <c r="J138" s="5" t="s">
        <v>61</v>
      </c>
      <c r="K138" s="5" t="s">
        <v>31</v>
      </c>
      <c r="L138" s="5" t="s">
        <v>35</v>
      </c>
      <c r="M138" s="6" t="s">
        <v>242</v>
      </c>
      <c r="N138" s="5" t="s">
        <v>19</v>
      </c>
      <c r="O138" s="5" t="s">
        <v>27</v>
      </c>
      <c r="P138" s="5">
        <v>84306.0</v>
      </c>
      <c r="Q138" s="5">
        <v>185.0</v>
      </c>
      <c r="R138" s="5">
        <v>45376.0</v>
      </c>
      <c r="S138" s="5">
        <v>79935.0</v>
      </c>
      <c r="T138" s="5">
        <v>3.0</v>
      </c>
      <c r="U138" s="9">
        <v>1809.590961</v>
      </c>
    </row>
    <row r="139">
      <c r="A139" s="4" t="s">
        <v>1197</v>
      </c>
      <c r="B139" s="4" t="str">
        <f>IFERROR(__xludf.DUMMYFUNCTION("SPLIT(A139,""&gt;"")"),"United States ")</f>
        <v>United States </v>
      </c>
      <c r="C139" s="4" t="str">
        <f>IFERROR(__xludf.DUMMYFUNCTION("""COMPUTED_VALUE""")," Interest Propensities ")</f>
        <v> Interest Propensities </v>
      </c>
      <c r="D139" s="4" t="str">
        <f>IFERROR(__xludf.DUMMYFUNCTION("""COMPUTED_VALUE""")," Social ")</f>
        <v> Social </v>
      </c>
      <c r="E139" s="4" t="str">
        <f>IFERROR(__xludf.DUMMYFUNCTION("""COMPUTED_VALUE""")," Premium United Stateser Generated Content")</f>
        <v> Premium United Stateser Generated Content</v>
      </c>
      <c r="F139" s="4"/>
      <c r="G139" s="4"/>
      <c r="H139" s="4"/>
      <c r="I139" s="4"/>
      <c r="J139" s="5" t="s">
        <v>15</v>
      </c>
      <c r="K139" s="5" t="s">
        <v>16</v>
      </c>
      <c r="L139" s="5" t="s">
        <v>17</v>
      </c>
      <c r="M139" s="6" t="s">
        <v>242</v>
      </c>
      <c r="N139" s="5" t="s">
        <v>19</v>
      </c>
      <c r="O139" s="5" t="s">
        <v>27</v>
      </c>
      <c r="P139" s="5">
        <v>88499.0</v>
      </c>
      <c r="Q139" s="5">
        <v>186.0</v>
      </c>
      <c r="R139" s="5">
        <v>18950.0</v>
      </c>
      <c r="S139" s="5">
        <v>71458.0</v>
      </c>
      <c r="T139" s="5">
        <v>5.0</v>
      </c>
      <c r="U139" s="9">
        <v>1803.139812</v>
      </c>
    </row>
    <row r="140">
      <c r="A140" s="4" t="s">
        <v>1198</v>
      </c>
      <c r="B140" s="4" t="str">
        <f>IFERROR(__xludf.DUMMYFUNCTION("SPLIT(A140,""&gt;"")"),"OnAudience ")</f>
        <v>OnAudience </v>
      </c>
      <c r="C140" s="4" t="str">
        <f>IFERROR(__xludf.DUMMYFUNCTION("""COMPUTED_VALUE""")," Interest ")</f>
        <v> Interest </v>
      </c>
      <c r="D140" s="4" t="str">
        <f>IFERROR(__xludf.DUMMYFUNCTION("""COMPUTED_VALUE""")," BUnited Statesiness ")</f>
        <v> BUnited Statesiness </v>
      </c>
      <c r="E140" s="4" t="str">
        <f>IFERROR(__xludf.DUMMYFUNCTION("""COMPUTED_VALUE""")," Economy")</f>
        <v> Economy</v>
      </c>
      <c r="F140" s="4"/>
      <c r="G140" s="4"/>
      <c r="H140" s="4"/>
      <c r="I140" s="4"/>
      <c r="J140" s="5" t="s">
        <v>15</v>
      </c>
      <c r="K140" s="5" t="s">
        <v>16</v>
      </c>
      <c r="L140" s="5" t="s">
        <v>150</v>
      </c>
      <c r="M140" s="6" t="s">
        <v>242</v>
      </c>
      <c r="N140" s="5" t="s">
        <v>19</v>
      </c>
      <c r="O140" s="5" t="s">
        <v>27</v>
      </c>
      <c r="P140" s="5">
        <v>77748.0</v>
      </c>
      <c r="Q140" s="5">
        <v>227.0</v>
      </c>
      <c r="R140" s="5">
        <v>6170.0</v>
      </c>
      <c r="S140" s="5">
        <v>53603.0</v>
      </c>
      <c r="T140" s="5">
        <v>3.0</v>
      </c>
      <c r="U140" s="9">
        <v>1498.3009</v>
      </c>
    </row>
    <row r="141">
      <c r="A141" s="4" t="s">
        <v>1199</v>
      </c>
      <c r="B141" s="4" t="str">
        <f>IFERROR(__xludf.DUMMYFUNCTION("SPLIT(A141,""&gt;"")"),"United States ")</f>
        <v>United States </v>
      </c>
      <c r="C141" s="4" t="str">
        <f>IFERROR(__xludf.DUMMYFUNCTION("""COMPUTED_VALUE""")," Reach ")</f>
        <v> Reach </v>
      </c>
      <c r="D141" s="4" t="str">
        <f>IFERROR(__xludf.DUMMYFUNCTION("""COMPUTED_VALUE""")," Propensity Models ")</f>
        <v> Propensity Models </v>
      </c>
      <c r="E141" s="4" t="str">
        <f>IFERROR(__xludf.DUMMYFUNCTION("""COMPUTED_VALUE""")," Lifestyle ")</f>
        <v> Lifestyle </v>
      </c>
      <c r="F141" s="4" t="str">
        <f>IFERROR(__xludf.DUMMYFUNCTION("""COMPUTED_VALUE""")," Charities ")</f>
        <v> Charities </v>
      </c>
      <c r="G141" s="4" t="str">
        <f>IFERROR(__xludf.DUMMYFUNCTION("""COMPUTED_VALUE""")," Contributes to Charities")</f>
        <v> Contributes to Charities</v>
      </c>
      <c r="H141" s="4"/>
      <c r="I141" s="4"/>
      <c r="J141" s="5" t="s">
        <v>22</v>
      </c>
      <c r="K141" s="5" t="s">
        <v>42</v>
      </c>
      <c r="L141" s="5" t="s">
        <v>35</v>
      </c>
      <c r="M141" s="6" t="s">
        <v>251</v>
      </c>
      <c r="N141" s="5" t="s">
        <v>19</v>
      </c>
      <c r="O141" s="5" t="s">
        <v>27</v>
      </c>
      <c r="P141" s="5">
        <v>10191.0</v>
      </c>
      <c r="Q141" s="5">
        <v>75.0</v>
      </c>
      <c r="R141" s="5">
        <v>1243.0</v>
      </c>
      <c r="S141" s="5">
        <v>8897.0</v>
      </c>
      <c r="T141" s="5">
        <v>3.0</v>
      </c>
      <c r="U141" s="9">
        <v>2365.914372</v>
      </c>
    </row>
    <row r="142">
      <c r="A142" s="4" t="s">
        <v>1200</v>
      </c>
      <c r="B142" s="4" t="str">
        <f>IFERROR(__xludf.DUMMYFUNCTION("SPLIT(A142,""&gt;"")"),"United States ")</f>
        <v>United States </v>
      </c>
      <c r="C142" s="4" t="str">
        <f>IFERROR(__xludf.DUMMYFUNCTION("""COMPUTED_VALUE""")," Reach ")</f>
        <v> Reach </v>
      </c>
      <c r="D142" s="4" t="str">
        <f>IFERROR(__xludf.DUMMYFUNCTION("""COMPUTED_VALUE""")," Propensity Models ")</f>
        <v> Propensity Models </v>
      </c>
      <c r="E142" s="4" t="str">
        <f>IFERROR(__xludf.DUMMYFUNCTION("""COMPUTED_VALUE""")," HoUnited Statesehold Consumer Expenditures ")</f>
        <v> HoUnited Statesehold Consumer Expenditures </v>
      </c>
      <c r="F142" s="4" t="str">
        <f>IFERROR(__xludf.DUMMYFUNCTION("""COMPUTED_VALUE""")," Kitchen")</f>
        <v> Kitchen</v>
      </c>
      <c r="G142" s="4"/>
      <c r="H142" s="4"/>
      <c r="I142" s="4"/>
      <c r="J142" s="5" t="s">
        <v>22</v>
      </c>
      <c r="K142" s="5" t="s">
        <v>31</v>
      </c>
      <c r="L142" s="5" t="s">
        <v>29</v>
      </c>
      <c r="M142" s="6" t="s">
        <v>253</v>
      </c>
      <c r="N142" s="5" t="s">
        <v>19</v>
      </c>
      <c r="O142" s="5" t="s">
        <v>27</v>
      </c>
      <c r="P142" s="5">
        <v>10093.0</v>
      </c>
      <c r="Q142" s="5">
        <v>65.0</v>
      </c>
      <c r="R142" s="5">
        <v>3901.0</v>
      </c>
      <c r="S142" s="5">
        <v>9645.0</v>
      </c>
      <c r="T142" s="5">
        <v>2.0</v>
      </c>
      <c r="U142" s="9">
        <v>3105.283004</v>
      </c>
    </row>
    <row r="143">
      <c r="A143" s="4" t="s">
        <v>1201</v>
      </c>
      <c r="B143" s="4" t="str">
        <f>IFERROR(__xludf.DUMMYFUNCTION("SPLIT(A143,""&gt;"")"),"Online Behavior")</f>
        <v>Online Behavior</v>
      </c>
      <c r="C143" s="4" t="str">
        <f>IFERROR(__xludf.DUMMYFUNCTION("""COMPUTED_VALUE"""),"United States")</f>
        <v>United States</v>
      </c>
      <c r="D143" s="4" t="str">
        <f>IFERROR(__xludf.DUMMYFUNCTION("""COMPUTED_VALUE"""),"Finance ")</f>
        <v>Finance </v>
      </c>
      <c r="E143" s="4" t="str">
        <f>IFERROR(__xludf.DUMMYFUNCTION("""COMPUTED_VALUE""")," Financial Planning and Management")</f>
        <v> Financial Planning and Management</v>
      </c>
      <c r="F143" s="4" t="str">
        <f>IFERROR(__xludf.DUMMYFUNCTION("""COMPUTED_VALUE"""),"Asset and Portfolio Management")</f>
        <v>Asset and Portfolio Management</v>
      </c>
      <c r="G143" s="4"/>
      <c r="H143" s="4"/>
      <c r="I143" s="4"/>
      <c r="J143" s="5" t="s">
        <v>15</v>
      </c>
      <c r="K143" s="5" t="s">
        <v>16</v>
      </c>
      <c r="L143" s="5" t="s">
        <v>35</v>
      </c>
      <c r="M143" s="6" t="s">
        <v>255</v>
      </c>
      <c r="N143" s="5" t="s">
        <v>19</v>
      </c>
      <c r="O143" s="5" t="s">
        <v>27</v>
      </c>
      <c r="P143" s="5">
        <v>9328.0</v>
      </c>
      <c r="Q143" s="5">
        <v>56.0</v>
      </c>
      <c r="R143" s="5">
        <v>7102.0</v>
      </c>
      <c r="S143" s="5">
        <v>8925.0</v>
      </c>
      <c r="T143" s="5">
        <v>5.0</v>
      </c>
      <c r="U143" s="9">
        <v>3408.076049</v>
      </c>
    </row>
    <row r="144" hidden="1">
      <c r="A144" s="4" t="s">
        <v>1202</v>
      </c>
      <c r="B144" s="4" t="str">
        <f>IFERROR(__xludf.DUMMYFUNCTION("SPLIT(A144,""&gt;"")"),"Online Behavior")</f>
        <v>Online Behavior</v>
      </c>
      <c r="C144" s="4" t="str">
        <f>IFERROR(__xludf.DUMMYFUNCTION("""COMPUTED_VALUE"""),"United States")</f>
        <v>United States</v>
      </c>
      <c r="D144" s="4" t="str">
        <f>IFERROR(__xludf.DUMMYFUNCTION("""COMPUTED_VALUE"""),"B2B ")</f>
        <v>B2B </v>
      </c>
      <c r="E144" s="4" t="str">
        <f>IFERROR(__xludf.DUMMYFUNCTION("""COMPUTED_VALUE""")," Occupation")</f>
        <v> Occupation</v>
      </c>
      <c r="F144" s="4" t="str">
        <f>IFERROR(__xludf.DUMMYFUNCTION("""COMPUTED_VALUE"""),"OfficeManager")</f>
        <v>OfficeManager</v>
      </c>
      <c r="G144" s="4"/>
      <c r="H144" s="4"/>
      <c r="I144" s="4"/>
      <c r="J144" s="5" t="s">
        <v>15</v>
      </c>
      <c r="K144" s="5" t="s">
        <v>16</v>
      </c>
      <c r="L144" s="5" t="s">
        <v>55</v>
      </c>
      <c r="M144" s="6" t="s">
        <v>257</v>
      </c>
      <c r="N144" s="5" t="s">
        <v>46</v>
      </c>
      <c r="O144" s="5" t="s">
        <v>52</v>
      </c>
      <c r="P144" s="5">
        <v>24464.0</v>
      </c>
      <c r="Q144" s="5">
        <v>0.0</v>
      </c>
      <c r="R144" s="5">
        <v>3275.0</v>
      </c>
      <c r="S144" s="5">
        <v>21993.0</v>
      </c>
      <c r="T144" s="5">
        <v>6.0</v>
      </c>
      <c r="U144" s="9">
        <v>2959.114973</v>
      </c>
    </row>
    <row r="145">
      <c r="A145" s="4" t="s">
        <v>1203</v>
      </c>
      <c r="B145" s="4" t="str">
        <f>IFERROR(__xludf.DUMMYFUNCTION("SPLIT(A145,""&gt;"")"),"Online Behavior")</f>
        <v>Online Behavior</v>
      </c>
      <c r="C145" s="4" t="str">
        <f>IFERROR(__xludf.DUMMYFUNCTION("""COMPUTED_VALUE"""),"United States")</f>
        <v>United States</v>
      </c>
      <c r="D145" s="4" t="str">
        <f>IFERROR(__xludf.DUMMYFUNCTION("""COMPUTED_VALUE"""),"Intent ")</f>
        <v>Intent </v>
      </c>
      <c r="E145" s="4" t="str">
        <f>IFERROR(__xludf.DUMMYFUNCTION("""COMPUTED_VALUE""")," Shopping")</f>
        <v> Shopping</v>
      </c>
      <c r="F145" s="4" t="str">
        <f>IFERROR(__xludf.DUMMYFUNCTION("""COMPUTED_VALUE"""),"CPG")</f>
        <v>CPG</v>
      </c>
      <c r="G145" s="4" t="str">
        <f>IFERROR(__xludf.DUMMYFUNCTION("""COMPUTED_VALUE""")," Grocery")</f>
        <v> Grocery</v>
      </c>
      <c r="H145" s="4"/>
      <c r="I145" s="4"/>
      <c r="J145" s="5" t="s">
        <v>15</v>
      </c>
      <c r="K145" s="5" t="s">
        <v>16</v>
      </c>
      <c r="L145" s="5" t="s">
        <v>78</v>
      </c>
      <c r="M145" s="6" t="s">
        <v>259</v>
      </c>
      <c r="N145" s="5" t="s">
        <v>19</v>
      </c>
      <c r="O145" s="5" t="s">
        <v>27</v>
      </c>
      <c r="P145" s="5">
        <v>8111.0</v>
      </c>
      <c r="Q145" s="5">
        <v>0.0</v>
      </c>
      <c r="R145" s="5">
        <v>4346.0</v>
      </c>
      <c r="S145" s="5">
        <v>6163.0</v>
      </c>
      <c r="T145" s="5">
        <v>1.0</v>
      </c>
      <c r="U145" s="9">
        <v>5000.761206</v>
      </c>
    </row>
    <row r="146">
      <c r="A146" s="4" t="s">
        <v>1204</v>
      </c>
      <c r="B146" s="4" t="str">
        <f>IFERROR(__xludf.DUMMYFUNCTION("SPLIT(A146,""&gt;"")"),"Online Behavior")</f>
        <v>Online Behavior</v>
      </c>
      <c r="C146" s="4" t="str">
        <f>IFERROR(__xludf.DUMMYFUNCTION("""COMPUTED_VALUE"""),"United States")</f>
        <v>United States</v>
      </c>
      <c r="D146" s="4" t="str">
        <f>IFERROR(__xludf.DUMMYFUNCTION("""COMPUTED_VALUE"""),"Intent ")</f>
        <v>Intent </v>
      </c>
      <c r="E146" s="4" t="str">
        <f>IFERROR(__xludf.DUMMYFUNCTION("""COMPUTED_VALUE""")," Auto Buyers ")</f>
        <v> Auto Buyers </v>
      </c>
      <c r="F146" s="4" t="str">
        <f>IFERROR(__xludf.DUMMYFUNCTION("""COMPUTED_VALUE""")," Car Make")</f>
        <v> Car Make</v>
      </c>
      <c r="G146" s="4" t="str">
        <f>IFERROR(__xludf.DUMMYFUNCTION("""COMPUTED_VALUE"""),"Hyundai")</f>
        <v>Hyundai</v>
      </c>
      <c r="H146" s="4"/>
      <c r="I146" s="4"/>
      <c r="J146" s="5" t="s">
        <v>22</v>
      </c>
      <c r="K146" s="5" t="s">
        <v>42</v>
      </c>
      <c r="L146" s="5" t="s">
        <v>78</v>
      </c>
      <c r="M146" s="6" t="s">
        <v>261</v>
      </c>
      <c r="N146" s="5" t="s">
        <v>48</v>
      </c>
      <c r="O146" s="5" t="s">
        <v>27</v>
      </c>
      <c r="P146" s="5">
        <v>25532.0</v>
      </c>
      <c r="Q146" s="5">
        <v>140.0</v>
      </c>
      <c r="R146" s="5">
        <v>15219.0</v>
      </c>
      <c r="S146" s="5">
        <v>21497.0</v>
      </c>
      <c r="T146" s="5">
        <v>9.0</v>
      </c>
      <c r="U146" s="9">
        <v>6047.174109</v>
      </c>
    </row>
    <row r="147">
      <c r="A147" s="4" t="s">
        <v>1205</v>
      </c>
      <c r="B147" s="4" t="str">
        <f>IFERROR(__xludf.DUMMYFUNCTION("SPLIT(A147,""&gt;"")"),"Online Behavior")</f>
        <v>Online Behavior</v>
      </c>
      <c r="C147" s="4" t="str">
        <f>IFERROR(__xludf.DUMMYFUNCTION("""COMPUTED_VALUE"""),"United States")</f>
        <v>United States</v>
      </c>
      <c r="D147" s="4" t="str">
        <f>IFERROR(__xludf.DUMMYFUNCTION("""COMPUTED_VALUE"""),"Validated Demographic ")</f>
        <v>Validated Demographic </v>
      </c>
      <c r="E147" s="4" t="str">
        <f>IFERROR(__xludf.DUMMYFUNCTION("""COMPUTED_VALUE""")," Gender and Age Combined")</f>
        <v> Gender and Age Combined</v>
      </c>
      <c r="F147" s="4" t="str">
        <f>IFERROR(__xludf.DUMMYFUNCTION("""COMPUTED_VALUE"""),"Females 18-54")</f>
        <v>Females 18-54</v>
      </c>
      <c r="G147" s="4"/>
      <c r="H147" s="4"/>
      <c r="I147" s="4"/>
      <c r="J147" s="5" t="s">
        <v>22</v>
      </c>
      <c r="K147" s="5" t="s">
        <v>31</v>
      </c>
      <c r="L147" s="5" t="s">
        <v>35</v>
      </c>
      <c r="M147" s="6" t="s">
        <v>261</v>
      </c>
      <c r="N147" s="5" t="s">
        <v>26</v>
      </c>
      <c r="O147" s="5" t="s">
        <v>27</v>
      </c>
      <c r="P147" s="5">
        <v>28553.0</v>
      </c>
      <c r="Q147" s="5">
        <v>90.0</v>
      </c>
      <c r="R147" s="5">
        <v>11390.0</v>
      </c>
      <c r="S147" s="5">
        <v>23355.0</v>
      </c>
      <c r="T147" s="5">
        <v>13.0</v>
      </c>
      <c r="U147" s="9">
        <v>5573.112396</v>
      </c>
    </row>
    <row r="148">
      <c r="A148" s="4" t="s">
        <v>1206</v>
      </c>
      <c r="B148" s="4" t="str">
        <f>IFERROR(__xludf.DUMMYFUNCTION("SPLIT(A148,""&gt;"")"),"Telecommunications (Telco) ")</f>
        <v>Telecommunications (Telco) </v>
      </c>
      <c r="C148" s="4" t="str">
        <f>IFERROR(__xludf.DUMMYFUNCTION("""COMPUTED_VALUE""")," Subscribers")</f>
        <v> Subscribers</v>
      </c>
      <c r="D148" s="4"/>
      <c r="E148" s="4"/>
      <c r="F148" s="4"/>
      <c r="G148" s="4"/>
      <c r="H148" s="4"/>
      <c r="I148" s="4"/>
      <c r="J148" s="5" t="s">
        <v>22</v>
      </c>
      <c r="K148" s="5" t="s">
        <v>23</v>
      </c>
      <c r="L148" s="5" t="s">
        <v>142</v>
      </c>
      <c r="M148" s="6" t="s">
        <v>264</v>
      </c>
      <c r="N148" s="5" t="s">
        <v>19</v>
      </c>
      <c r="O148" s="5" t="s">
        <v>27</v>
      </c>
      <c r="P148" s="5">
        <v>29393.0</v>
      </c>
      <c r="Q148" s="5">
        <v>70.0</v>
      </c>
      <c r="R148" s="5">
        <v>3277.0</v>
      </c>
      <c r="S148" s="5">
        <v>25959.0</v>
      </c>
      <c r="T148" s="5">
        <v>19.0</v>
      </c>
      <c r="U148" s="9">
        <v>2120.757698</v>
      </c>
    </row>
    <row r="149">
      <c r="A149" s="4" t="s">
        <v>1207</v>
      </c>
      <c r="B149" s="4" t="str">
        <f>IFERROR(__xludf.DUMMYFUNCTION("SPLIT(A149,""&gt;"")"),"Online Behavior")</f>
        <v>Online Behavior</v>
      </c>
      <c r="C149" s="4" t="str">
        <f>IFERROR(__xludf.DUMMYFUNCTION("""COMPUTED_VALUE"""),"United States")</f>
        <v>United States</v>
      </c>
      <c r="D149" s="4" t="str">
        <f>IFERROR(__xludf.DUMMYFUNCTION("""COMPUTED_VALUE"""),"Finance ")</f>
        <v>Finance </v>
      </c>
      <c r="E149" s="4" t="str">
        <f>IFERROR(__xludf.DUMMYFUNCTION("""COMPUTED_VALUE""")," Banking")</f>
        <v> Banking</v>
      </c>
      <c r="F149" s="4" t="str">
        <f>IFERROR(__xludf.DUMMYFUNCTION("""COMPUTED_VALUE"""),"ATMs and Branch Locations")</f>
        <v>ATMs and Branch Locations</v>
      </c>
      <c r="G149" s="4"/>
      <c r="H149" s="4"/>
      <c r="I149" s="4"/>
      <c r="J149" s="5" t="s">
        <v>22</v>
      </c>
      <c r="K149" s="5" t="s">
        <v>16</v>
      </c>
      <c r="L149" s="5" t="s">
        <v>17</v>
      </c>
      <c r="M149" s="6" t="s">
        <v>266</v>
      </c>
      <c r="N149" s="5" t="s">
        <v>1046</v>
      </c>
      <c r="O149" s="5" t="s">
        <v>27</v>
      </c>
      <c r="P149" s="5">
        <v>39212.0</v>
      </c>
      <c r="Q149" s="5">
        <v>260.0</v>
      </c>
      <c r="R149" s="5">
        <v>31317.0</v>
      </c>
      <c r="S149" s="5">
        <v>37660.0</v>
      </c>
      <c r="T149" s="5">
        <v>1.0</v>
      </c>
      <c r="U149" s="9">
        <v>3621.417703</v>
      </c>
    </row>
    <row r="150">
      <c r="A150" s="4" t="s">
        <v>1208</v>
      </c>
      <c r="B150" s="4" t="str">
        <f>IFERROR(__xludf.DUMMYFUNCTION("SPLIT(A150,""&gt;"")"),"Online Behavior")</f>
        <v>Online Behavior</v>
      </c>
      <c r="C150" s="4" t="str">
        <f>IFERROR(__xludf.DUMMYFUNCTION("""COMPUTED_VALUE"""),"United States")</f>
        <v>United States</v>
      </c>
      <c r="D150" s="4" t="str">
        <f>IFERROR(__xludf.DUMMYFUNCTION("""COMPUTED_VALUE"""),"Intent ")</f>
        <v>Intent </v>
      </c>
      <c r="E150" s="4" t="str">
        <f>IFERROR(__xludf.DUMMYFUNCTION("""COMPUTED_VALUE""")," Travel")</f>
        <v> Travel</v>
      </c>
      <c r="F150" s="4" t="str">
        <f>IFERROR(__xludf.DUMMYFUNCTION("""COMPUTED_VALUE"""),"Accommodation ")</f>
        <v>Accommodation </v>
      </c>
      <c r="G150" s="4" t="str">
        <f>IFERROR(__xludf.DUMMYFUNCTION("""COMPUTED_VALUE""")," Hotels")</f>
        <v> Hotels</v>
      </c>
      <c r="H150" s="4"/>
      <c r="I150" s="4"/>
      <c r="J150" s="5" t="s">
        <v>61</v>
      </c>
      <c r="K150" s="5" t="s">
        <v>42</v>
      </c>
      <c r="L150" s="5" t="s">
        <v>39</v>
      </c>
      <c r="M150" s="6" t="s">
        <v>268</v>
      </c>
      <c r="N150" s="5" t="s">
        <v>19</v>
      </c>
      <c r="O150" s="5" t="s">
        <v>27</v>
      </c>
      <c r="P150" s="5">
        <v>14137.0</v>
      </c>
      <c r="Q150" s="5">
        <v>44.0</v>
      </c>
      <c r="R150" s="5">
        <v>9300.0</v>
      </c>
      <c r="S150" s="5">
        <v>13110.0</v>
      </c>
      <c r="T150" s="5">
        <v>8.0</v>
      </c>
      <c r="U150" s="9">
        <v>6345.460338</v>
      </c>
    </row>
    <row r="151">
      <c r="A151" s="4" t="s">
        <v>269</v>
      </c>
      <c r="B151" s="4" t="str">
        <f>IFERROR(__xludf.DUMMYFUNCTION("SPLIT(A151,""&gt;"")"),"Online Behavior")</f>
        <v>Online Behavior</v>
      </c>
      <c r="C151" s="4" t="str">
        <f>IFERROR(__xludf.DUMMYFUNCTION("""COMPUTED_VALUE"""),"United States")</f>
        <v>United States</v>
      </c>
      <c r="D151" s="4" t="str">
        <f>IFERROR(__xludf.DUMMYFUNCTION("""COMPUTED_VALUE"""),"Home and Garden")</f>
        <v>Home and Garden</v>
      </c>
      <c r="E151" s="4" t="str">
        <f>IFERROR(__xludf.DUMMYFUNCTION("""COMPUTED_VALUE"""),"Homemaking and Interior Decor")</f>
        <v>Homemaking and Interior Decor</v>
      </c>
      <c r="F151" s="4"/>
      <c r="G151" s="4"/>
      <c r="H151" s="4"/>
      <c r="I151" s="4"/>
      <c r="J151" s="5" t="s">
        <v>15</v>
      </c>
      <c r="K151" s="5" t="s">
        <v>42</v>
      </c>
      <c r="L151" s="5" t="s">
        <v>17</v>
      </c>
      <c r="M151" s="6" t="s">
        <v>268</v>
      </c>
      <c r="N151" s="5" t="s">
        <v>19</v>
      </c>
      <c r="O151" s="5" t="s">
        <v>27</v>
      </c>
      <c r="P151" s="5">
        <v>7921.0</v>
      </c>
      <c r="Q151" s="5">
        <v>50.0</v>
      </c>
      <c r="R151" s="5">
        <v>4727.0</v>
      </c>
      <c r="S151" s="5">
        <v>6513.0</v>
      </c>
      <c r="T151" s="5">
        <v>11.0</v>
      </c>
      <c r="U151" s="9">
        <v>5379.00144</v>
      </c>
    </row>
    <row r="152">
      <c r="A152" s="4" t="s">
        <v>1209</v>
      </c>
      <c r="B152" s="4" t="str">
        <f>IFERROR(__xludf.DUMMYFUNCTION("SPLIT(A152,""&gt;"")"),"United States ")</f>
        <v>United States </v>
      </c>
      <c r="C152" s="4" t="str">
        <f>IFERROR(__xludf.DUMMYFUNCTION("""COMPUTED_VALUE""")," Sociodemographic ")</f>
        <v> Sociodemographic </v>
      </c>
      <c r="D152" s="4" t="str">
        <f>IFERROR(__xludf.DUMMYFUNCTION("""COMPUTED_VALUE""")," P$YCLE Premier Lifestage ")</f>
        <v> P$YCLE Premier Lifestage </v>
      </c>
      <c r="E152" s="4" t="str">
        <f>IFERROR(__xludf.DUMMYFUNCTION("""COMPUTED_VALUE""")," M2 Wealthy Achievers")</f>
        <v> M2 Wealthy Achievers</v>
      </c>
      <c r="F152" s="4"/>
      <c r="G152" s="4"/>
      <c r="H152" s="4"/>
      <c r="I152" s="4"/>
      <c r="J152" s="5" t="s">
        <v>22</v>
      </c>
      <c r="K152" s="5" t="s">
        <v>42</v>
      </c>
      <c r="L152" s="5" t="s">
        <v>29</v>
      </c>
      <c r="M152" s="6" t="s">
        <v>271</v>
      </c>
      <c r="N152" s="5" t="s">
        <v>19</v>
      </c>
      <c r="O152" s="5" t="s">
        <v>27</v>
      </c>
      <c r="P152" s="5">
        <v>11025.0</v>
      </c>
      <c r="Q152" s="5">
        <v>50.0</v>
      </c>
      <c r="R152" s="5">
        <v>7974.0</v>
      </c>
      <c r="S152" s="5">
        <v>10311.0</v>
      </c>
      <c r="T152" s="5">
        <v>4.0</v>
      </c>
      <c r="U152" s="9">
        <v>1657.159766</v>
      </c>
    </row>
    <row r="153">
      <c r="A153" s="4" t="s">
        <v>1210</v>
      </c>
      <c r="B153" s="4" t="str">
        <f>IFERROR(__xludf.DUMMYFUNCTION("SPLIT(A153,""&gt;"")"),"United States ")</f>
        <v>United States </v>
      </c>
      <c r="C153" s="4" t="str">
        <f>IFERROR(__xludf.DUMMYFUNCTION("""COMPUTED_VALUE""")," Brand Propensities ")</f>
        <v> Brand Propensities </v>
      </c>
      <c r="D153" s="4" t="str">
        <f>IFERROR(__xludf.DUMMYFUNCTION("""COMPUTED_VALUE""")," Health ")</f>
        <v> Health </v>
      </c>
      <c r="E153" s="4" t="str">
        <f>IFERROR(__xludf.DUMMYFUNCTION("""COMPUTED_VALUE""")," Beauty and Cosmetics ")</f>
        <v> Beauty and Cosmetics </v>
      </c>
      <c r="F153" s="4" t="str">
        <f>IFERROR(__xludf.DUMMYFUNCTION("""COMPUTED_VALUE""")," Bare Escentuals Buyer Propensity")</f>
        <v> Bare Escentuals Buyer Propensity</v>
      </c>
      <c r="G153" s="4"/>
      <c r="H153" s="4"/>
      <c r="I153" s="4"/>
      <c r="J153" s="5" t="s">
        <v>15</v>
      </c>
      <c r="K153" s="5" t="s">
        <v>42</v>
      </c>
      <c r="L153" s="5" t="s">
        <v>273</v>
      </c>
      <c r="M153" s="6" t="s">
        <v>271</v>
      </c>
      <c r="N153" s="5" t="s">
        <v>26</v>
      </c>
      <c r="O153" s="5" t="s">
        <v>27</v>
      </c>
      <c r="P153" s="5">
        <v>14922.0</v>
      </c>
      <c r="Q153" s="5">
        <v>99.0</v>
      </c>
      <c r="R153" s="5">
        <v>10713.0</v>
      </c>
      <c r="S153" s="5">
        <v>13992.0</v>
      </c>
      <c r="T153" s="5">
        <v>5.0</v>
      </c>
      <c r="U153" s="9">
        <v>1578.876432</v>
      </c>
    </row>
    <row r="154">
      <c r="A154" s="4" t="s">
        <v>1211</v>
      </c>
      <c r="B154" s="4" t="str">
        <f>IFERROR(__xludf.DUMMYFUNCTION("SPLIT(A154,""&gt;"")"),"Mobile - United States ")</f>
        <v>Mobile - United States </v>
      </c>
      <c r="C154" s="4" t="str">
        <f>IFERROR(__xludf.DUMMYFUNCTION("""COMPUTED_VALUE""")," Device Ownership ")</f>
        <v> Device Ownership </v>
      </c>
      <c r="D154" s="4" t="str">
        <f>IFERROR(__xludf.DUMMYFUNCTION("""COMPUTED_VALUE""")," Smartphones ")</f>
        <v> Smartphones </v>
      </c>
      <c r="E154" s="4" t="str">
        <f>IFERROR(__xludf.DUMMYFUNCTION("""COMPUTED_VALUE""")," Huawei")</f>
        <v> Huawei</v>
      </c>
      <c r="F154" s="4"/>
      <c r="G154" s="4"/>
      <c r="H154" s="4"/>
      <c r="I154" s="4"/>
      <c r="J154" s="5" t="s">
        <v>15</v>
      </c>
      <c r="K154" s="5" t="s">
        <v>31</v>
      </c>
      <c r="L154" s="5" t="s">
        <v>66</v>
      </c>
      <c r="M154" s="6" t="s">
        <v>271</v>
      </c>
      <c r="N154" s="5" t="s">
        <v>19</v>
      </c>
      <c r="O154" s="5" t="s">
        <v>27</v>
      </c>
      <c r="P154" s="5">
        <v>7427.0</v>
      </c>
      <c r="Q154" s="5">
        <v>0.0</v>
      </c>
      <c r="R154" s="5">
        <v>4752.0</v>
      </c>
      <c r="S154" s="5">
        <v>6566.0</v>
      </c>
      <c r="T154" s="5">
        <v>1.0</v>
      </c>
      <c r="U154" s="9">
        <v>1504.784161</v>
      </c>
    </row>
    <row r="155">
      <c r="A155" s="4" t="s">
        <v>275</v>
      </c>
      <c r="B155" s="4" t="str">
        <f>IFERROR(__xludf.DUMMYFUNCTION("SPLIT(A155,""&gt;"")"),"Online Behavior")</f>
        <v>Online Behavior</v>
      </c>
      <c r="C155" s="4" t="str">
        <f>IFERROR(__xludf.DUMMYFUNCTION("""COMPUTED_VALUE"""),"United States")</f>
        <v>United States</v>
      </c>
      <c r="D155" s="4" t="str">
        <f>IFERROR(__xludf.DUMMYFUNCTION("""COMPUTED_VALUE"""),"Internet and Telecom")</f>
        <v>Internet and Telecom</v>
      </c>
      <c r="E155" s="4" t="str">
        <f>IFERROR(__xludf.DUMMYFUNCTION("""COMPUTED_VALUE"""),"Email and Messaging")</f>
        <v>Email and Messaging</v>
      </c>
      <c r="F155" s="4"/>
      <c r="G155" s="4"/>
      <c r="H155" s="4"/>
      <c r="I155" s="4"/>
      <c r="J155" s="5" t="s">
        <v>22</v>
      </c>
      <c r="K155" s="5" t="s">
        <v>16</v>
      </c>
      <c r="L155" s="5" t="s">
        <v>55</v>
      </c>
      <c r="M155" s="6" t="s">
        <v>276</v>
      </c>
      <c r="N155" s="5" t="s">
        <v>48</v>
      </c>
      <c r="O155" s="5" t="s">
        <v>27</v>
      </c>
      <c r="P155" s="5">
        <v>14553.0</v>
      </c>
      <c r="Q155" s="5">
        <v>47.0</v>
      </c>
      <c r="R155" s="5">
        <v>6119.0</v>
      </c>
      <c r="S155" s="5">
        <v>12505.0</v>
      </c>
      <c r="T155" s="5">
        <v>11.0</v>
      </c>
      <c r="U155" s="9">
        <v>6968.00047</v>
      </c>
    </row>
    <row r="156">
      <c r="A156" s="4" t="s">
        <v>277</v>
      </c>
      <c r="B156" s="4" t="str">
        <f>IFERROR(__xludf.DUMMYFUNCTION("SPLIT(A156,""&gt;"")"),"Online Behavior")</f>
        <v>Online Behavior</v>
      </c>
      <c r="C156" s="4" t="str">
        <f>IFERROR(__xludf.DUMMYFUNCTION("""COMPUTED_VALUE"""),"United States")</f>
        <v>United States</v>
      </c>
      <c r="D156" s="4" t="str">
        <f>IFERROR(__xludf.DUMMYFUNCTION("""COMPUTED_VALUE"""),"Travel")</f>
        <v>Travel</v>
      </c>
      <c r="E156" s="4" t="str">
        <f>IFERROR(__xludf.DUMMYFUNCTION("""COMPUTED_VALUE"""),"Car Rental and Taxi Services")</f>
        <v>Car Rental and Taxi Services</v>
      </c>
      <c r="F156" s="4"/>
      <c r="G156" s="4"/>
      <c r="H156" s="4"/>
      <c r="I156" s="4"/>
      <c r="J156" s="5" t="s">
        <v>61</v>
      </c>
      <c r="K156" s="5" t="s">
        <v>16</v>
      </c>
      <c r="L156" s="5" t="s">
        <v>17</v>
      </c>
      <c r="M156" s="6" t="s">
        <v>278</v>
      </c>
      <c r="N156" s="5" t="s">
        <v>26</v>
      </c>
      <c r="O156" s="5" t="s">
        <v>27</v>
      </c>
      <c r="P156" s="5">
        <v>10350.0</v>
      </c>
      <c r="Q156" s="5">
        <v>66.0</v>
      </c>
      <c r="R156" s="5">
        <v>723.0</v>
      </c>
      <c r="S156" s="5">
        <v>8720.0</v>
      </c>
      <c r="T156" s="5">
        <v>14.0</v>
      </c>
      <c r="U156" s="9">
        <v>6774.202636</v>
      </c>
    </row>
    <row r="157" hidden="1">
      <c r="A157" s="4" t="s">
        <v>1212</v>
      </c>
      <c r="B157" s="4" t="str">
        <f>IFERROR(__xludf.DUMMYFUNCTION("SPLIT(A157,""&gt;"")"),"Mobile - United States ")</f>
        <v>Mobile - United States </v>
      </c>
      <c r="C157" s="4" t="str">
        <f>IFERROR(__xludf.DUMMYFUNCTION("""COMPUTED_VALUE""")," Food ")</f>
        <v> Food </v>
      </c>
      <c r="D157" s="4" t="str">
        <f>IFERROR(__xludf.DUMMYFUNCTION("""COMPUTED_VALUE""")," Restaurant ")</f>
        <v> Restaurant </v>
      </c>
      <c r="E157" s="4" t="str">
        <f>IFERROR(__xludf.DUMMYFUNCTION("""COMPUTED_VALUE""")," Style ")</f>
        <v> Style </v>
      </c>
      <c r="F157" s="4" t="str">
        <f>IFERROR(__xludf.DUMMYFUNCTION("""COMPUTED_VALUE""")," Desserts")</f>
        <v> Desserts</v>
      </c>
      <c r="G157" s="4"/>
      <c r="H157" s="4"/>
      <c r="I157" s="4"/>
      <c r="J157" s="5" t="s">
        <v>15</v>
      </c>
      <c r="K157" s="5" t="s">
        <v>23</v>
      </c>
      <c r="L157" s="5" t="s">
        <v>78</v>
      </c>
      <c r="M157" s="6" t="s">
        <v>278</v>
      </c>
      <c r="N157" s="5" t="s">
        <v>46</v>
      </c>
      <c r="O157" s="5" t="s">
        <v>20</v>
      </c>
      <c r="P157" s="5">
        <v>18028.0</v>
      </c>
      <c r="Q157" s="5">
        <v>89.0</v>
      </c>
      <c r="R157" s="5">
        <v>1851.0</v>
      </c>
      <c r="S157" s="5">
        <v>14926.0</v>
      </c>
      <c r="T157" s="5">
        <v>24.0</v>
      </c>
      <c r="U157" s="9">
        <v>1572.24171</v>
      </c>
    </row>
    <row r="158">
      <c r="A158" s="4" t="s">
        <v>1213</v>
      </c>
      <c r="B158" s="4" t="str">
        <f>IFERROR(__xludf.DUMMYFUNCTION("SPLIT(A158,""&gt;"")"),"United States ")</f>
        <v>United States </v>
      </c>
      <c r="C158" s="4" t="str">
        <f>IFERROR(__xludf.DUMMYFUNCTION("""COMPUTED_VALUE""")," AUTO ")</f>
        <v> AUTO </v>
      </c>
      <c r="D158" s="4" t="str">
        <f>IFERROR(__xludf.DUMMYFUNCTION("""COMPUTED_VALUE""")," Primary Vehicle ")</f>
        <v> Primary Vehicle </v>
      </c>
      <c r="E158" s="4" t="str">
        <f>IFERROR(__xludf.DUMMYFUNCTION("""COMPUTED_VALUE""")," New or United Statesed ")</f>
        <v> New or United Statesed </v>
      </c>
      <c r="F158" s="4" t="str">
        <f>IFERROR(__xludf.DUMMYFUNCTION("""COMPUTED_VALUE""")," New")</f>
        <v> New</v>
      </c>
      <c r="G158" s="4"/>
      <c r="H158" s="4"/>
      <c r="I158" s="4"/>
      <c r="J158" s="5" t="s">
        <v>15</v>
      </c>
      <c r="K158" s="5" t="s">
        <v>23</v>
      </c>
      <c r="L158" s="5" t="s">
        <v>17</v>
      </c>
      <c r="M158" s="6" t="s">
        <v>281</v>
      </c>
      <c r="N158" s="5" t="s">
        <v>19</v>
      </c>
      <c r="O158" s="5" t="s">
        <v>27</v>
      </c>
      <c r="P158" s="5">
        <v>12391.0</v>
      </c>
      <c r="Q158" s="5">
        <v>40.0</v>
      </c>
      <c r="R158" s="5">
        <v>5756.0</v>
      </c>
      <c r="S158" s="5">
        <v>11636.0</v>
      </c>
      <c r="T158" s="5">
        <v>4.0</v>
      </c>
      <c r="U158" s="9">
        <v>3069.123483</v>
      </c>
    </row>
    <row r="159">
      <c r="A159" s="4" t="s">
        <v>1214</v>
      </c>
      <c r="B159" s="4" t="str">
        <f>IFERROR(__xludf.DUMMYFUNCTION("SPLIT(A159,""&gt;"")"),"United States ")</f>
        <v>United States </v>
      </c>
      <c r="C159" s="4" t="str">
        <f>IFERROR(__xludf.DUMMYFUNCTION("""COMPUTED_VALUE""")," B2B ")</f>
        <v> B2B </v>
      </c>
      <c r="D159" s="4" t="str">
        <f>IFERROR(__xludf.DUMMYFUNCTION("""COMPUTED_VALUE""")," B2B Decision Maker Responsibilities ")</f>
        <v> B2B Decision Maker Responsibilities </v>
      </c>
      <c r="E159" s="4" t="str">
        <f>IFERROR(__xludf.DUMMYFUNCTION("""COMPUTED_VALUE""")," Advertising Services")</f>
        <v> Advertising Services</v>
      </c>
      <c r="F159" s="4"/>
      <c r="G159" s="4"/>
      <c r="H159" s="4"/>
      <c r="I159" s="4"/>
      <c r="J159" s="5" t="s">
        <v>22</v>
      </c>
      <c r="K159" s="5" t="s">
        <v>31</v>
      </c>
      <c r="L159" s="5" t="s">
        <v>32</v>
      </c>
      <c r="M159" s="6" t="s">
        <v>283</v>
      </c>
      <c r="N159" s="5" t="s">
        <v>46</v>
      </c>
      <c r="O159" s="5" t="s">
        <v>27</v>
      </c>
      <c r="P159" s="5">
        <v>14917.0</v>
      </c>
      <c r="Q159" s="5">
        <v>10.0</v>
      </c>
      <c r="R159" s="5">
        <v>3065.0</v>
      </c>
      <c r="S159" s="5">
        <v>13109.0</v>
      </c>
      <c r="T159" s="5">
        <v>3.0</v>
      </c>
      <c r="U159" s="9">
        <v>1583.537104</v>
      </c>
    </row>
    <row r="160">
      <c r="A160" s="4" t="s">
        <v>1215</v>
      </c>
      <c r="B160" s="4" t="str">
        <f>IFERROR(__xludf.DUMMYFUNCTION("SPLIT(A160,""&gt;"")"),"Online Behavior")</f>
        <v>Online Behavior</v>
      </c>
      <c r="C160" s="4" t="str">
        <f>IFERROR(__xludf.DUMMYFUNCTION("""COMPUTED_VALUE"""),"United States")</f>
        <v>United States</v>
      </c>
      <c r="D160" s="4" t="str">
        <f>IFERROR(__xludf.DUMMYFUNCTION("""COMPUTED_VALUE"""),"Intent ")</f>
        <v>Intent </v>
      </c>
      <c r="E160" s="4" t="str">
        <f>IFERROR(__xludf.DUMMYFUNCTION("""COMPUTED_VALUE""")," Travel")</f>
        <v> Travel</v>
      </c>
      <c r="F160" s="4" t="str">
        <f>IFERROR(__xludf.DUMMYFUNCTION("""COMPUTED_VALUE"""),"Cruises")</f>
        <v>Cruises</v>
      </c>
      <c r="G160" s="4"/>
      <c r="H160" s="4"/>
      <c r="I160" s="4"/>
      <c r="J160" s="5" t="s">
        <v>61</v>
      </c>
      <c r="K160" s="5" t="s">
        <v>16</v>
      </c>
      <c r="L160" s="5" t="s">
        <v>29</v>
      </c>
      <c r="M160" s="6" t="s">
        <v>285</v>
      </c>
      <c r="N160" s="5" t="s">
        <v>117</v>
      </c>
      <c r="O160" s="5" t="s">
        <v>27</v>
      </c>
      <c r="P160" s="5">
        <v>9560.0</v>
      </c>
      <c r="Q160" s="5">
        <v>98.0</v>
      </c>
      <c r="R160" s="5">
        <v>3076.0</v>
      </c>
      <c r="S160" s="5">
        <v>6252.0</v>
      </c>
      <c r="T160" s="5">
        <v>17.0</v>
      </c>
      <c r="U160" s="9">
        <v>6420.218123</v>
      </c>
    </row>
    <row r="161">
      <c r="A161" s="4" t="s">
        <v>1216</v>
      </c>
      <c r="B161" s="4" t="str">
        <f>IFERROR(__xludf.DUMMYFUNCTION("SPLIT(A161,""&gt;"")"),"United States ")</f>
        <v>United States </v>
      </c>
      <c r="C161" s="4" t="str">
        <f>IFERROR(__xludf.DUMMYFUNCTION("""COMPUTED_VALUE""")," B2B ")</f>
        <v> B2B </v>
      </c>
      <c r="D161" s="4" t="str">
        <f>IFERROR(__xludf.DUMMYFUNCTION("""COMPUTED_VALUE""")," B2B Decision Maker Responsibilities ")</f>
        <v> B2B Decision Maker Responsibilities </v>
      </c>
      <c r="E161" s="4" t="str">
        <f>IFERROR(__xludf.DUMMYFUNCTION("""COMPUTED_VALUE""")," Accounting or Tax Services")</f>
        <v> Accounting or Tax Services</v>
      </c>
      <c r="F161" s="4"/>
      <c r="G161" s="4"/>
      <c r="H161" s="4"/>
      <c r="I161" s="4"/>
      <c r="J161" s="5" t="s">
        <v>22</v>
      </c>
      <c r="K161" s="5" t="s">
        <v>23</v>
      </c>
      <c r="L161" s="5" t="s">
        <v>55</v>
      </c>
      <c r="M161" s="6" t="s">
        <v>287</v>
      </c>
      <c r="N161" s="5" t="s">
        <v>19</v>
      </c>
      <c r="O161" s="5" t="s">
        <v>27</v>
      </c>
      <c r="P161" s="5">
        <v>12606.0</v>
      </c>
      <c r="Q161" s="5">
        <v>74.0</v>
      </c>
      <c r="R161" s="5">
        <v>8332.0</v>
      </c>
      <c r="S161" s="5">
        <v>11170.0</v>
      </c>
      <c r="T161" s="5">
        <v>5.0</v>
      </c>
      <c r="U161" s="9">
        <v>2002.537989</v>
      </c>
    </row>
    <row r="162">
      <c r="A162" s="4" t="s">
        <v>288</v>
      </c>
      <c r="B162" s="4" t="str">
        <f>IFERROR(__xludf.DUMMYFUNCTION("SPLIT(A162,""&gt;"")"),"Online Behavior")</f>
        <v>Online Behavior</v>
      </c>
      <c r="C162" s="4" t="str">
        <f>IFERROR(__xludf.DUMMYFUNCTION("""COMPUTED_VALUE"""),"United States")</f>
        <v>United States</v>
      </c>
      <c r="D162" s="4" t="str">
        <f>IFERROR(__xludf.DUMMYFUNCTION("""COMPUTED_VALUE"""),"Beauty and Fitness")</f>
        <v>Beauty and Fitness</v>
      </c>
      <c r="E162" s="4" t="str">
        <f>IFERROR(__xludf.DUMMYFUNCTION("""COMPUTED_VALUE"""),"Cosmetology and Beauty Professionals")</f>
        <v>Cosmetology and Beauty Professionals</v>
      </c>
      <c r="F162" s="4"/>
      <c r="G162" s="4"/>
      <c r="H162" s="4"/>
      <c r="I162" s="4"/>
      <c r="J162" s="5" t="s">
        <v>22</v>
      </c>
      <c r="K162" s="5" t="s">
        <v>16</v>
      </c>
      <c r="L162" s="5" t="s">
        <v>78</v>
      </c>
      <c r="M162" s="6" t="s">
        <v>289</v>
      </c>
      <c r="N162" s="5" t="s">
        <v>1046</v>
      </c>
      <c r="O162" s="5" t="s">
        <v>27</v>
      </c>
      <c r="P162" s="5">
        <v>18022.0</v>
      </c>
      <c r="Q162" s="5">
        <v>30.0</v>
      </c>
      <c r="R162" s="5">
        <v>10618.0</v>
      </c>
      <c r="S162" s="5">
        <v>16643.0</v>
      </c>
      <c r="T162" s="5">
        <v>15.0</v>
      </c>
      <c r="U162" s="9">
        <v>4051.158749</v>
      </c>
    </row>
    <row r="163">
      <c r="A163" s="4" t="s">
        <v>1217</v>
      </c>
      <c r="B163" s="4" t="str">
        <f>IFERROR(__xludf.DUMMYFUNCTION("SPLIT(A163,""&gt;"")"),"Online Behavior")</f>
        <v>Online Behavior</v>
      </c>
      <c r="C163" s="4" t="str">
        <f>IFERROR(__xludf.DUMMYFUNCTION("""COMPUTED_VALUE"""),"United States")</f>
        <v>United States</v>
      </c>
      <c r="D163" s="4" t="str">
        <f>IFERROR(__xludf.DUMMYFUNCTION("""COMPUTED_VALUE"""),"Finance ")</f>
        <v>Finance </v>
      </c>
      <c r="E163" s="4" t="str">
        <f>IFERROR(__xludf.DUMMYFUNCTION("""COMPUTED_VALUE""")," Insurance")</f>
        <v> Insurance</v>
      </c>
      <c r="F163" s="4" t="str">
        <f>IFERROR(__xludf.DUMMYFUNCTION("""COMPUTED_VALUE"""),"Life Insurance")</f>
        <v>Life Insurance</v>
      </c>
      <c r="G163" s="4"/>
      <c r="H163" s="4"/>
      <c r="I163" s="4"/>
      <c r="J163" s="5" t="s">
        <v>22</v>
      </c>
      <c r="K163" s="5" t="s">
        <v>16</v>
      </c>
      <c r="L163" s="5" t="s">
        <v>17</v>
      </c>
      <c r="M163" s="6" t="s">
        <v>291</v>
      </c>
      <c r="N163" s="5" t="s">
        <v>36</v>
      </c>
      <c r="O163" s="5" t="s">
        <v>27</v>
      </c>
      <c r="P163" s="5">
        <v>18401.0</v>
      </c>
      <c r="Q163" s="5">
        <v>66.0</v>
      </c>
      <c r="R163" s="5">
        <v>11051.0</v>
      </c>
      <c r="S163" s="5">
        <v>17202.0</v>
      </c>
      <c r="T163" s="5">
        <v>26.0</v>
      </c>
      <c r="U163" s="9">
        <v>6571.491552</v>
      </c>
    </row>
    <row r="164">
      <c r="A164" s="4" t="s">
        <v>292</v>
      </c>
      <c r="B164" s="4" t="str">
        <f>IFERROR(__xludf.DUMMYFUNCTION("SPLIT(A164,""&gt;"")"),"Online Behavior")</f>
        <v>Online Behavior</v>
      </c>
      <c r="C164" s="4" t="str">
        <f>IFERROR(__xludf.DUMMYFUNCTION("""COMPUTED_VALUE"""),"United States")</f>
        <v>United States</v>
      </c>
      <c r="D164" s="4" t="str">
        <f>IFERROR(__xludf.DUMMYFUNCTION("""COMPUTED_VALUE"""),"Food and Drink")</f>
        <v>Food and Drink</v>
      </c>
      <c r="E164" s="4" t="str">
        <f>IFERROR(__xludf.DUMMYFUNCTION("""COMPUTED_VALUE"""),"Food and Grocery Retailers")</f>
        <v>Food and Grocery Retailers</v>
      </c>
      <c r="F164" s="4"/>
      <c r="G164" s="4"/>
      <c r="H164" s="4"/>
      <c r="I164" s="4"/>
      <c r="J164" s="5" t="s">
        <v>22</v>
      </c>
      <c r="K164" s="5" t="s">
        <v>16</v>
      </c>
      <c r="L164" s="5" t="s">
        <v>273</v>
      </c>
      <c r="M164" s="6" t="s">
        <v>291</v>
      </c>
      <c r="N164" s="5" t="s">
        <v>19</v>
      </c>
      <c r="O164" s="5" t="s">
        <v>27</v>
      </c>
      <c r="P164" s="5">
        <v>18412.0</v>
      </c>
      <c r="Q164" s="5">
        <v>140.0</v>
      </c>
      <c r="R164" s="5">
        <v>5668.0</v>
      </c>
      <c r="S164" s="5">
        <v>16711.0</v>
      </c>
      <c r="T164" s="5">
        <v>12.0</v>
      </c>
      <c r="U164" s="9">
        <v>5244.34174</v>
      </c>
    </row>
    <row r="165">
      <c r="A165" s="4" t="s">
        <v>1218</v>
      </c>
      <c r="B165" s="4" t="str">
        <f>IFERROR(__xludf.DUMMYFUNCTION("SPLIT(A165,""&gt;"")"),"Online Behavior")</f>
        <v>Online Behavior</v>
      </c>
      <c r="C165" s="4" t="str">
        <f>IFERROR(__xludf.DUMMYFUNCTION("""COMPUTED_VALUE"""),"United States")</f>
        <v>United States</v>
      </c>
      <c r="D165" s="4" t="str">
        <f>IFERROR(__xludf.DUMMYFUNCTION("""COMPUTED_VALUE"""),"Intent ")</f>
        <v>Intent </v>
      </c>
      <c r="E165" s="4" t="str">
        <f>IFERROR(__xludf.DUMMYFUNCTION("""COMPUTED_VALUE""")," Shopping")</f>
        <v> Shopping</v>
      </c>
      <c r="F165" s="4" t="str">
        <f>IFERROR(__xludf.DUMMYFUNCTION("""COMPUTED_VALUE"""),"Drug Stores ")</f>
        <v>Drug Stores </v>
      </c>
      <c r="G165" s="4" t="str">
        <f>IFERROR(__xludf.DUMMYFUNCTION("""COMPUTED_VALUE""")," CVS")</f>
        <v> CVS</v>
      </c>
      <c r="H165" s="4"/>
      <c r="I165" s="4"/>
      <c r="J165" s="5" t="s">
        <v>15</v>
      </c>
      <c r="K165" s="5" t="s">
        <v>31</v>
      </c>
      <c r="L165" s="5" t="s">
        <v>29</v>
      </c>
      <c r="M165" s="6" t="s">
        <v>291</v>
      </c>
      <c r="N165" s="5" t="s">
        <v>46</v>
      </c>
      <c r="O165" s="5" t="s">
        <v>27</v>
      </c>
      <c r="P165" s="5">
        <v>11697.0</v>
      </c>
      <c r="Q165" s="5">
        <v>64.0</v>
      </c>
      <c r="R165" s="5">
        <v>6761.0</v>
      </c>
      <c r="S165" s="5">
        <v>10783.0</v>
      </c>
      <c r="T165" s="5">
        <v>3.0</v>
      </c>
      <c r="U165" s="9">
        <v>5218.070231</v>
      </c>
    </row>
    <row r="166">
      <c r="A166" s="4" t="s">
        <v>1219</v>
      </c>
      <c r="B166" s="4" t="str">
        <f>IFERROR(__xludf.DUMMYFUNCTION("SPLIT(A166,""&gt;"")"),"United States ")</f>
        <v>United States </v>
      </c>
      <c r="C166" s="4" t="str">
        <f>IFERROR(__xludf.DUMMYFUNCTION("""COMPUTED_VALUE""")," Composite Segment ")</f>
        <v> Composite Segment </v>
      </c>
      <c r="D166" s="4" t="str">
        <f>IFERROR(__xludf.DUMMYFUNCTION("""COMPUTED_VALUE""")," Women Born to Shop")</f>
        <v> Women Born to Shop</v>
      </c>
      <c r="E166" s="4"/>
      <c r="F166" s="4"/>
      <c r="G166" s="4"/>
      <c r="H166" s="4"/>
      <c r="I166" s="4"/>
      <c r="J166" s="5" t="s">
        <v>22</v>
      </c>
      <c r="K166" s="5" t="s">
        <v>16</v>
      </c>
      <c r="L166" s="5" t="s">
        <v>29</v>
      </c>
      <c r="M166" s="6" t="s">
        <v>291</v>
      </c>
      <c r="N166" s="5" t="s">
        <v>36</v>
      </c>
      <c r="O166" s="5" t="s">
        <v>27</v>
      </c>
      <c r="P166" s="5">
        <v>12220.0</v>
      </c>
      <c r="Q166" s="5">
        <v>54.0</v>
      </c>
      <c r="R166" s="5">
        <v>7133.0</v>
      </c>
      <c r="S166" s="5">
        <v>11331.0</v>
      </c>
      <c r="T166" s="5">
        <v>3.0</v>
      </c>
      <c r="U166" s="9">
        <v>1478.392247</v>
      </c>
    </row>
    <row r="167" hidden="1">
      <c r="A167" s="4" t="s">
        <v>1220</v>
      </c>
      <c r="B167" s="4" t="str">
        <f>IFERROR(__xludf.DUMMYFUNCTION("SPLIT(A167,""&gt;"")"),"Real Estate ")</f>
        <v>Real Estate </v>
      </c>
      <c r="C167" s="4" t="str">
        <f>IFERROR(__xludf.DUMMYFUNCTION("""COMPUTED_VALUE""")," Rent Amount ")</f>
        <v> Rent Amount </v>
      </c>
      <c r="D167" s="4" t="str">
        <f>IFERROR(__xludf.DUMMYFUNCTION("""COMPUTED_VALUE""")," Sensible  Rentals ($1000-$3000)")</f>
        <v> Sensible  Rentals ($1000-$3000)</v>
      </c>
      <c r="E167" s="4"/>
      <c r="F167" s="4"/>
      <c r="G167" s="4"/>
      <c r="H167" s="4"/>
      <c r="I167" s="4"/>
      <c r="J167" s="5" t="s">
        <v>15</v>
      </c>
      <c r="K167" s="5" t="s">
        <v>42</v>
      </c>
      <c r="L167" s="5" t="s">
        <v>17</v>
      </c>
      <c r="M167" s="6" t="s">
        <v>291</v>
      </c>
      <c r="N167" s="5" t="s">
        <v>136</v>
      </c>
      <c r="O167" s="5" t="s">
        <v>52</v>
      </c>
      <c r="P167" s="5">
        <v>49415.0</v>
      </c>
      <c r="Q167" s="5">
        <v>144.0</v>
      </c>
      <c r="R167" s="5">
        <v>24692.0</v>
      </c>
      <c r="S167" s="5">
        <v>45565.0</v>
      </c>
      <c r="T167" s="5">
        <v>3.0</v>
      </c>
      <c r="U167" s="9">
        <v>1471.175728</v>
      </c>
    </row>
    <row r="168">
      <c r="A168" s="4" t="s">
        <v>1221</v>
      </c>
      <c r="B168" s="4" t="str">
        <f>IFERROR(__xludf.DUMMYFUNCTION("SPLIT(A168,""&gt;"")"),"Online Behavior")</f>
        <v>Online Behavior</v>
      </c>
      <c r="C168" s="4" t="str">
        <f>IFERROR(__xludf.DUMMYFUNCTION("""COMPUTED_VALUE"""),"United States")</f>
        <v>United States</v>
      </c>
      <c r="D168" s="4" t="str">
        <f>IFERROR(__xludf.DUMMYFUNCTION("""COMPUTED_VALUE"""),"Finance ")</f>
        <v>Finance </v>
      </c>
      <c r="E168" s="4" t="str">
        <f>IFERROR(__xludf.DUMMYFUNCTION("""COMPUTED_VALUE""")," Credit and Lending")</f>
        <v> Credit and Lending</v>
      </c>
      <c r="F168" s="4" t="str">
        <f>IFERROR(__xludf.DUMMYFUNCTION("""COMPUTED_VALUE"""),"Loans")</f>
        <v>Loans</v>
      </c>
      <c r="G168" s="4"/>
      <c r="H168" s="4"/>
      <c r="I168" s="4"/>
      <c r="J168" s="5" t="s">
        <v>15</v>
      </c>
      <c r="K168" s="5" t="s">
        <v>16</v>
      </c>
      <c r="L168" s="5" t="s">
        <v>35</v>
      </c>
      <c r="M168" s="6" t="s">
        <v>297</v>
      </c>
      <c r="N168" s="5" t="s">
        <v>19</v>
      </c>
      <c r="O168" s="5" t="s">
        <v>27</v>
      </c>
      <c r="P168" s="5">
        <v>1100942.0</v>
      </c>
      <c r="Q168" s="5">
        <v>2984.0</v>
      </c>
      <c r="R168" s="5">
        <v>629973.0</v>
      </c>
      <c r="S168" s="5">
        <v>1041225.0</v>
      </c>
      <c r="T168" s="5">
        <v>147.0</v>
      </c>
      <c r="U168" s="9">
        <v>7979.348589</v>
      </c>
    </row>
    <row r="169">
      <c r="A169" s="4" t="s">
        <v>1222</v>
      </c>
      <c r="B169" s="4" t="str">
        <f>IFERROR(__xludf.DUMMYFUNCTION("SPLIT(A169,""&gt;"")"),"Online Behavior")</f>
        <v>Online Behavior</v>
      </c>
      <c r="C169" s="4" t="str">
        <f>IFERROR(__xludf.DUMMYFUNCTION("""COMPUTED_VALUE"""),"United States")</f>
        <v>United States</v>
      </c>
      <c r="D169" s="4" t="str">
        <f>IFERROR(__xludf.DUMMYFUNCTION("""COMPUTED_VALUE"""),"Finance ")</f>
        <v>Finance </v>
      </c>
      <c r="E169" s="4" t="str">
        <f>IFERROR(__xludf.DUMMYFUNCTION("""COMPUTED_VALUE""")," Banking")</f>
        <v> Banking</v>
      </c>
      <c r="F169" s="4" t="str">
        <f>IFERROR(__xludf.DUMMYFUNCTION("""COMPUTED_VALUE"""),"Money Transfer and Wire Services")</f>
        <v>Money Transfer and Wire Services</v>
      </c>
      <c r="G169" s="4"/>
      <c r="H169" s="4"/>
      <c r="I169" s="4"/>
      <c r="J169" s="5" t="s">
        <v>22</v>
      </c>
      <c r="K169" s="5" t="s">
        <v>16</v>
      </c>
      <c r="L169" s="5" t="s">
        <v>78</v>
      </c>
      <c r="M169" s="6" t="s">
        <v>297</v>
      </c>
      <c r="N169" s="5" t="s">
        <v>19</v>
      </c>
      <c r="O169" s="5" t="s">
        <v>27</v>
      </c>
      <c r="P169" s="5">
        <v>221720.0</v>
      </c>
      <c r="Q169" s="5">
        <v>499.0</v>
      </c>
      <c r="R169" s="5">
        <v>35178.0</v>
      </c>
      <c r="S169" s="5">
        <v>196583.0</v>
      </c>
      <c r="T169" s="5">
        <v>69.0</v>
      </c>
      <c r="U169" s="9">
        <v>7890.221963</v>
      </c>
    </row>
    <row r="170">
      <c r="A170" s="4" t="s">
        <v>299</v>
      </c>
      <c r="B170" s="4" t="str">
        <f>IFERROR(__xludf.DUMMYFUNCTION("SPLIT(A170,""&gt;"")"),"Online Behavior")</f>
        <v>Online Behavior</v>
      </c>
      <c r="C170" s="4" t="str">
        <f>IFERROR(__xludf.DUMMYFUNCTION("""COMPUTED_VALUE"""),"United States")</f>
        <v>United States</v>
      </c>
      <c r="D170" s="4" t="str">
        <f>IFERROR(__xludf.DUMMYFUNCTION("""COMPUTED_VALUE"""),"Travel")</f>
        <v>Travel</v>
      </c>
      <c r="E170" s="4" t="str">
        <f>IFERROR(__xludf.DUMMYFUNCTION("""COMPUTED_VALUE"""),"Tourist Destinations")</f>
        <v>Tourist Destinations</v>
      </c>
      <c r="F170" s="4"/>
      <c r="G170" s="4"/>
      <c r="H170" s="4"/>
      <c r="I170" s="4"/>
      <c r="J170" s="5" t="s">
        <v>15</v>
      </c>
      <c r="K170" s="5" t="s">
        <v>31</v>
      </c>
      <c r="L170" s="5" t="s">
        <v>78</v>
      </c>
      <c r="M170" s="6" t="s">
        <v>297</v>
      </c>
      <c r="N170" s="5" t="s">
        <v>19</v>
      </c>
      <c r="O170" s="5" t="s">
        <v>27</v>
      </c>
      <c r="P170" s="5">
        <v>325152.0</v>
      </c>
      <c r="Q170" s="5">
        <v>854.0</v>
      </c>
      <c r="R170" s="5">
        <v>138319.0</v>
      </c>
      <c r="S170" s="5">
        <v>300133.0</v>
      </c>
      <c r="T170" s="5">
        <v>55.0</v>
      </c>
      <c r="U170" s="9">
        <v>7887.612662</v>
      </c>
    </row>
    <row r="171">
      <c r="A171" s="4" t="s">
        <v>1223</v>
      </c>
      <c r="B171" s="4" t="str">
        <f>IFERROR(__xludf.DUMMYFUNCTION("SPLIT(A171,""&gt;"")"),"Online Behavior")</f>
        <v>Online Behavior</v>
      </c>
      <c r="C171" s="4" t="str">
        <f>IFERROR(__xludf.DUMMYFUNCTION("""COMPUTED_VALUE"""),"United States")</f>
        <v>United States</v>
      </c>
      <c r="D171" s="4" t="str">
        <f>IFERROR(__xludf.DUMMYFUNCTION("""COMPUTED_VALUE"""),"Finance ")</f>
        <v>Finance </v>
      </c>
      <c r="E171" s="4" t="str">
        <f>IFERROR(__xludf.DUMMYFUNCTION("""COMPUTED_VALUE""")," Investing")</f>
        <v> Investing</v>
      </c>
      <c r="F171" s="4" t="str">
        <f>IFERROR(__xludf.DUMMYFUNCTION("""COMPUTED_VALUE"""),"Stocks and Bonds")</f>
        <v>Stocks and Bonds</v>
      </c>
      <c r="G171" s="4"/>
      <c r="H171" s="4"/>
      <c r="I171" s="4"/>
      <c r="J171" s="5" t="s">
        <v>22</v>
      </c>
      <c r="K171" s="5" t="s">
        <v>16</v>
      </c>
      <c r="L171" s="5" t="s">
        <v>55</v>
      </c>
      <c r="M171" s="6" t="s">
        <v>297</v>
      </c>
      <c r="N171" s="5" t="s">
        <v>50</v>
      </c>
      <c r="O171" s="5" t="s">
        <v>27</v>
      </c>
      <c r="P171" s="5">
        <v>680912.0</v>
      </c>
      <c r="Q171" s="5">
        <v>2000.0</v>
      </c>
      <c r="R171" s="5">
        <v>388915.0</v>
      </c>
      <c r="S171" s="5">
        <v>648524.0</v>
      </c>
      <c r="T171" s="5">
        <v>39.0</v>
      </c>
      <c r="U171" s="9">
        <v>7814.262494</v>
      </c>
    </row>
    <row r="172">
      <c r="A172" s="4" t="s">
        <v>301</v>
      </c>
      <c r="B172" s="4" t="str">
        <f>IFERROR(__xludf.DUMMYFUNCTION("SPLIT(A172,""&gt;"")"),"Online Behavior")</f>
        <v>Online Behavior</v>
      </c>
      <c r="C172" s="4" t="str">
        <f>IFERROR(__xludf.DUMMYFUNCTION("""COMPUTED_VALUE"""),"United States")</f>
        <v>United States</v>
      </c>
      <c r="D172" s="4" t="str">
        <f>IFERROR(__xludf.DUMMYFUNCTION("""COMPUTED_VALUE"""),"Life Event")</f>
        <v>Life Event</v>
      </c>
      <c r="E172" s="4" t="str">
        <f>IFERROR(__xludf.DUMMYFUNCTION("""COMPUTED_VALUE"""),"New Parent")</f>
        <v>New Parent</v>
      </c>
      <c r="F172" s="4"/>
      <c r="G172" s="4"/>
      <c r="H172" s="4"/>
      <c r="I172" s="4"/>
      <c r="J172" s="5" t="s">
        <v>15</v>
      </c>
      <c r="K172" s="5" t="s">
        <v>42</v>
      </c>
      <c r="L172" s="5" t="s">
        <v>39</v>
      </c>
      <c r="M172" s="6" t="s">
        <v>297</v>
      </c>
      <c r="N172" s="5" t="s">
        <v>1046</v>
      </c>
      <c r="O172" s="5" t="s">
        <v>27</v>
      </c>
      <c r="P172" s="5">
        <v>569171.0</v>
      </c>
      <c r="Q172" s="5">
        <v>1354.0</v>
      </c>
      <c r="R172" s="5">
        <v>343050.0</v>
      </c>
      <c r="S172" s="5">
        <v>541133.0</v>
      </c>
      <c r="T172" s="5">
        <v>78.0</v>
      </c>
      <c r="U172" s="9">
        <v>7129.633287</v>
      </c>
    </row>
    <row r="173" hidden="1">
      <c r="A173" s="4" t="s">
        <v>1224</v>
      </c>
      <c r="B173" s="4" t="str">
        <f>IFERROR(__xludf.DUMMYFUNCTION("SPLIT(A173,""&gt;"")"),"Online Behavior")</f>
        <v>Online Behavior</v>
      </c>
      <c r="C173" s="4" t="str">
        <f>IFERROR(__xludf.DUMMYFUNCTION("""COMPUTED_VALUE"""),"United States")</f>
        <v>United States</v>
      </c>
      <c r="D173" s="4" t="str">
        <f>IFERROR(__xludf.DUMMYFUNCTION("""COMPUTED_VALUE"""),"Hobbies and Leisure")</f>
        <v>Hobbies and Leisure</v>
      </c>
      <c r="E173" s="4" t="str">
        <f>IFERROR(__xludf.DUMMYFUNCTION("""COMPUTED_VALUE"""),"Outdoors ")</f>
        <v>Outdoors </v>
      </c>
      <c r="F173" s="4" t="str">
        <f>IFERROR(__xludf.DUMMYFUNCTION("""COMPUTED_VALUE""")," Hiking and Camping")</f>
        <v> Hiking and Camping</v>
      </c>
      <c r="G173" s="4"/>
      <c r="H173" s="4"/>
      <c r="I173" s="4"/>
      <c r="J173" s="5" t="s">
        <v>15</v>
      </c>
      <c r="K173" s="5" t="s">
        <v>42</v>
      </c>
      <c r="L173" s="5" t="s">
        <v>35</v>
      </c>
      <c r="M173" s="6" t="s">
        <v>297</v>
      </c>
      <c r="N173" s="5" t="s">
        <v>36</v>
      </c>
      <c r="O173" s="5" t="s">
        <v>20</v>
      </c>
      <c r="P173" s="5">
        <v>27592.0</v>
      </c>
      <c r="Q173" s="5">
        <v>80.0</v>
      </c>
      <c r="R173" s="5">
        <v>10901.0</v>
      </c>
      <c r="S173" s="5">
        <v>24980.0</v>
      </c>
      <c r="T173" s="5">
        <v>17.0</v>
      </c>
      <c r="U173" s="9">
        <v>6809.356022</v>
      </c>
    </row>
    <row r="174">
      <c r="A174" s="4" t="s">
        <v>1225</v>
      </c>
      <c r="B174" s="4" t="str">
        <f>IFERROR(__xludf.DUMMYFUNCTION("SPLIT(A174,""&gt;"")"),"Online Behavior")</f>
        <v>Online Behavior</v>
      </c>
      <c r="C174" s="4" t="str">
        <f>IFERROR(__xludf.DUMMYFUNCTION("""COMPUTED_VALUE"""),"United States")</f>
        <v>United States</v>
      </c>
      <c r="D174" s="4" t="str">
        <f>IFERROR(__xludf.DUMMYFUNCTION("""COMPUTED_VALUE"""),"Intent ")</f>
        <v>Intent </v>
      </c>
      <c r="E174" s="4" t="str">
        <f>IFERROR(__xludf.DUMMYFUNCTION("""COMPUTED_VALUE""")," Financial Intent")</f>
        <v> Financial Intent</v>
      </c>
      <c r="F174" s="4" t="str">
        <f>IFERROR(__xludf.DUMMYFUNCTION("""COMPUTED_VALUE"""),"Loans and Credit")</f>
        <v>Loans and Credit</v>
      </c>
      <c r="G174" s="4"/>
      <c r="H174" s="4"/>
      <c r="I174" s="4"/>
      <c r="J174" s="5" t="s">
        <v>22</v>
      </c>
      <c r="K174" s="5" t="s">
        <v>31</v>
      </c>
      <c r="L174" s="5" t="s">
        <v>304</v>
      </c>
      <c r="M174" s="6" t="s">
        <v>297</v>
      </c>
      <c r="N174" s="5" t="s">
        <v>167</v>
      </c>
      <c r="O174" s="5" t="s">
        <v>27</v>
      </c>
      <c r="P174" s="5">
        <v>83957.0</v>
      </c>
      <c r="Q174" s="5">
        <v>185.0</v>
      </c>
      <c r="R174" s="5">
        <v>1420.0</v>
      </c>
      <c r="S174" s="5">
        <v>69246.0</v>
      </c>
      <c r="T174" s="5">
        <v>19.0</v>
      </c>
      <c r="U174" s="9">
        <v>6651.51451</v>
      </c>
    </row>
    <row r="175">
      <c r="A175" s="4" t="s">
        <v>305</v>
      </c>
      <c r="B175" s="4" t="str">
        <f>IFERROR(__xludf.DUMMYFUNCTION("SPLIT(A175,""&gt;"")"),"Online Behavior")</f>
        <v>Online Behavior</v>
      </c>
      <c r="C175" s="4" t="str">
        <f>IFERROR(__xludf.DUMMYFUNCTION("""COMPUTED_VALUE"""),"United States")</f>
        <v>United States</v>
      </c>
      <c r="D175" s="4" t="str">
        <f>IFERROR(__xludf.DUMMYFUNCTION("""COMPUTED_VALUE"""),"Real Estate")</f>
        <v>Real Estate</v>
      </c>
      <c r="E175" s="4" t="str">
        <f>IFERROR(__xludf.DUMMYFUNCTION("""COMPUTED_VALUE"""),"Homeowner")</f>
        <v>Homeowner</v>
      </c>
      <c r="F175" s="4"/>
      <c r="G175" s="4"/>
      <c r="H175" s="4"/>
      <c r="I175" s="4"/>
      <c r="J175" s="5" t="s">
        <v>15</v>
      </c>
      <c r="K175" s="5" t="s">
        <v>42</v>
      </c>
      <c r="L175" s="5" t="s">
        <v>78</v>
      </c>
      <c r="M175" s="6" t="s">
        <v>297</v>
      </c>
      <c r="N175" s="5" t="s">
        <v>19</v>
      </c>
      <c r="O175" s="5" t="s">
        <v>27</v>
      </c>
      <c r="P175" s="5">
        <v>161178.0</v>
      </c>
      <c r="Q175" s="5">
        <v>492.0</v>
      </c>
      <c r="R175" s="5">
        <v>70181.0</v>
      </c>
      <c r="S175" s="5">
        <v>150003.0</v>
      </c>
      <c r="T175" s="5">
        <v>11.0</v>
      </c>
      <c r="U175" s="9">
        <v>5892.48218</v>
      </c>
    </row>
    <row r="176">
      <c r="A176" s="4" t="s">
        <v>1226</v>
      </c>
      <c r="B176" s="4" t="str">
        <f>IFERROR(__xludf.DUMMYFUNCTION("SPLIT(A176,""&gt;"")"),"Online Behavior")</f>
        <v>Online Behavior</v>
      </c>
      <c r="C176" s="4" t="str">
        <f>IFERROR(__xludf.DUMMYFUNCTION("""COMPUTED_VALUE"""),"United States")</f>
        <v>United States</v>
      </c>
      <c r="D176" s="4" t="str">
        <f>IFERROR(__xludf.DUMMYFUNCTION("""COMPUTED_VALUE"""),"Arts and Entertainment")</f>
        <v>Arts and Entertainment</v>
      </c>
      <c r="E176" s="4" t="str">
        <f>IFERROR(__xludf.DUMMYFUNCTION("""COMPUTED_VALUE"""),"Events and Listings ")</f>
        <v>Events and Listings </v>
      </c>
      <c r="F176" s="4" t="str">
        <f>IFERROR(__xludf.DUMMYFUNCTION("""COMPUTED_VALUE""")," Film Festivals")</f>
        <v> Film Festivals</v>
      </c>
      <c r="G176" s="4"/>
      <c r="H176" s="4"/>
      <c r="I176" s="4"/>
      <c r="J176" s="5" t="s">
        <v>22</v>
      </c>
      <c r="K176" s="5" t="s">
        <v>31</v>
      </c>
      <c r="L176" s="5" t="s">
        <v>17</v>
      </c>
      <c r="M176" s="6" t="s">
        <v>297</v>
      </c>
      <c r="N176" s="5" t="s">
        <v>19</v>
      </c>
      <c r="O176" s="5" t="s">
        <v>27</v>
      </c>
      <c r="P176" s="5">
        <v>405957.0</v>
      </c>
      <c r="Q176" s="5">
        <v>874.0</v>
      </c>
      <c r="R176" s="5">
        <v>204189.0</v>
      </c>
      <c r="S176" s="5">
        <v>385654.0</v>
      </c>
      <c r="T176" s="5">
        <v>16.0</v>
      </c>
      <c r="U176" s="9">
        <v>5864.126493</v>
      </c>
    </row>
    <row r="177" hidden="1">
      <c r="A177" s="4" t="s">
        <v>307</v>
      </c>
      <c r="B177" s="4" t="str">
        <f>IFERROR(__xludf.DUMMYFUNCTION("SPLIT(A177,""&gt;"")"),"Online Behavior")</f>
        <v>Online Behavior</v>
      </c>
      <c r="C177" s="4" t="str">
        <f>IFERROR(__xludf.DUMMYFUNCTION("""COMPUTED_VALUE"""),"United States")</f>
        <v>United States</v>
      </c>
      <c r="D177" s="4" t="str">
        <f>IFERROR(__xludf.DUMMYFUNCTION("""COMPUTED_VALUE"""),"Travel")</f>
        <v>Travel</v>
      </c>
      <c r="E177" s="4" t="str">
        <f>IFERROR(__xludf.DUMMYFUNCTION("""COMPUTED_VALUE"""),"Cruises and Charters")</f>
        <v>Cruises and Charters</v>
      </c>
      <c r="F177" s="4"/>
      <c r="G177" s="4"/>
      <c r="H177" s="4"/>
      <c r="I177" s="4"/>
      <c r="J177" s="5" t="s">
        <v>15</v>
      </c>
      <c r="K177" s="5" t="s">
        <v>31</v>
      </c>
      <c r="L177" s="5" t="s">
        <v>17</v>
      </c>
      <c r="M177" s="6" t="s">
        <v>297</v>
      </c>
      <c r="N177" s="5" t="s">
        <v>36</v>
      </c>
      <c r="O177" s="5" t="s">
        <v>20</v>
      </c>
      <c r="P177" s="5">
        <v>161222.0</v>
      </c>
      <c r="Q177" s="5">
        <v>500.0</v>
      </c>
      <c r="R177" s="5">
        <v>66740.0</v>
      </c>
      <c r="S177" s="5">
        <v>149743.0</v>
      </c>
      <c r="T177" s="5">
        <v>19.0</v>
      </c>
      <c r="U177" s="9">
        <v>5767.797381</v>
      </c>
    </row>
    <row r="178" hidden="1">
      <c r="A178" s="4" t="s">
        <v>1227</v>
      </c>
      <c r="B178" s="4" t="str">
        <f>IFERROR(__xludf.DUMMYFUNCTION("SPLIT(A178,""&gt;"")"),"Online Behavior")</f>
        <v>Online Behavior</v>
      </c>
      <c r="C178" s="4" t="str">
        <f>IFERROR(__xludf.DUMMYFUNCTION("""COMPUTED_VALUE"""),"United States")</f>
        <v>United States</v>
      </c>
      <c r="D178" s="4" t="str">
        <f>IFERROR(__xludf.DUMMYFUNCTION("""COMPUTED_VALUE"""),"B2B ")</f>
        <v>B2B </v>
      </c>
      <c r="E178" s="4" t="str">
        <f>IFERROR(__xludf.DUMMYFUNCTION("""COMPUTED_VALUE""")," Occupation")</f>
        <v> Occupation</v>
      </c>
      <c r="F178" s="4" t="str">
        <f>IFERROR(__xludf.DUMMYFUNCTION("""COMPUTED_VALUE"""),"Student")</f>
        <v>Student</v>
      </c>
      <c r="G178" s="4"/>
      <c r="H178" s="4"/>
      <c r="I178" s="4"/>
      <c r="J178" s="5" t="s">
        <v>15</v>
      </c>
      <c r="K178" s="5" t="s">
        <v>42</v>
      </c>
      <c r="L178" s="5" t="s">
        <v>29</v>
      </c>
      <c r="M178" s="6" t="s">
        <v>297</v>
      </c>
      <c r="N178" s="5" t="s">
        <v>19</v>
      </c>
      <c r="O178" s="5" t="s">
        <v>52</v>
      </c>
      <c r="P178" s="5">
        <v>39163.0</v>
      </c>
      <c r="Q178" s="5">
        <v>113.0</v>
      </c>
      <c r="R178" s="5">
        <v>16254.0</v>
      </c>
      <c r="S178" s="5">
        <v>36526.0</v>
      </c>
      <c r="T178" s="5">
        <v>15.0</v>
      </c>
      <c r="U178" s="9">
        <v>5692.765813</v>
      </c>
    </row>
    <row r="179">
      <c r="A179" s="4" t="s">
        <v>309</v>
      </c>
      <c r="B179" s="4" t="str">
        <f>IFERROR(__xludf.DUMMYFUNCTION("SPLIT(A179,""&gt;"")"),"Online Behavior")</f>
        <v>Online Behavior</v>
      </c>
      <c r="C179" s="4" t="str">
        <f>IFERROR(__xludf.DUMMYFUNCTION("""COMPUTED_VALUE"""),"United States")</f>
        <v>United States</v>
      </c>
      <c r="D179" s="4" t="str">
        <f>IFERROR(__xludf.DUMMYFUNCTION("""COMPUTED_VALUE"""),"Online Communities")</f>
        <v>Online Communities</v>
      </c>
      <c r="E179" s="4" t="str">
        <f>IFERROR(__xludf.DUMMYFUNCTION("""COMPUTED_VALUE"""),"File Sharing and Hosting")</f>
        <v>File Sharing and Hosting</v>
      </c>
      <c r="F179" s="4"/>
      <c r="G179" s="4"/>
      <c r="H179" s="4"/>
      <c r="I179" s="4"/>
      <c r="J179" s="5" t="s">
        <v>22</v>
      </c>
      <c r="K179" s="5" t="s">
        <v>23</v>
      </c>
      <c r="L179" s="5" t="s">
        <v>29</v>
      </c>
      <c r="M179" s="6" t="s">
        <v>297</v>
      </c>
      <c r="N179" s="5" t="s">
        <v>117</v>
      </c>
      <c r="O179" s="5" t="s">
        <v>27</v>
      </c>
      <c r="P179" s="5">
        <v>39794.0</v>
      </c>
      <c r="Q179" s="5">
        <v>101.0</v>
      </c>
      <c r="R179" s="5">
        <v>17539.0</v>
      </c>
      <c r="S179" s="5">
        <v>37664.0</v>
      </c>
      <c r="T179" s="5">
        <v>12.0</v>
      </c>
      <c r="U179" s="9">
        <v>5328.524514</v>
      </c>
    </row>
    <row r="180" hidden="1">
      <c r="A180" s="4" t="s">
        <v>1228</v>
      </c>
      <c r="B180" s="4" t="str">
        <f>IFERROR(__xludf.DUMMYFUNCTION("SPLIT(A180,""&gt;"")"),"Online Behavior")</f>
        <v>Online Behavior</v>
      </c>
      <c r="C180" s="4" t="str">
        <f>IFERROR(__xludf.DUMMYFUNCTION("""COMPUTED_VALUE"""),"United States")</f>
        <v>United States</v>
      </c>
      <c r="D180" s="4" t="str">
        <f>IFERROR(__xludf.DUMMYFUNCTION("""COMPUTED_VALUE"""),"Autos and Vehicles ")</f>
        <v>Autos and Vehicles </v>
      </c>
      <c r="E180" s="4" t="str">
        <f>IFERROR(__xludf.DUMMYFUNCTION("""COMPUTED_VALUE""")," Brands")</f>
        <v> Brands</v>
      </c>
      <c r="F180" s="4" t="str">
        <f>IFERROR(__xludf.DUMMYFUNCTION("""COMPUTED_VALUE"""),"LandRover")</f>
        <v>LandRover</v>
      </c>
      <c r="G180" s="4"/>
      <c r="H180" s="4"/>
      <c r="I180" s="4"/>
      <c r="J180" s="5" t="s">
        <v>15</v>
      </c>
      <c r="K180" s="5" t="s">
        <v>31</v>
      </c>
      <c r="L180" s="5" t="s">
        <v>84</v>
      </c>
      <c r="M180" s="6" t="s">
        <v>297</v>
      </c>
      <c r="N180" s="5" t="s">
        <v>19</v>
      </c>
      <c r="O180" s="5" t="s">
        <v>20</v>
      </c>
      <c r="P180" s="5">
        <v>104538.0</v>
      </c>
      <c r="Q180" s="5">
        <v>347.0</v>
      </c>
      <c r="R180" s="5">
        <v>49049.0</v>
      </c>
      <c r="S180" s="5">
        <v>97093.0</v>
      </c>
      <c r="T180" s="5">
        <v>2.0</v>
      </c>
      <c r="U180" s="9">
        <v>5266.424233</v>
      </c>
    </row>
    <row r="181">
      <c r="A181" s="4" t="s">
        <v>311</v>
      </c>
      <c r="B181" s="4" t="str">
        <f>IFERROR(__xludf.DUMMYFUNCTION("SPLIT(A181,""&gt;"")"),"Online Behavior")</f>
        <v>Online Behavior</v>
      </c>
      <c r="C181" s="4" t="str">
        <f>IFERROR(__xludf.DUMMYFUNCTION("""COMPUTED_VALUE"""),"United States")</f>
        <v>United States</v>
      </c>
      <c r="D181" s="4" t="str">
        <f>IFERROR(__xludf.DUMMYFUNCTION("""COMPUTED_VALUE"""),"Food and Drink")</f>
        <v>Food and Drink</v>
      </c>
      <c r="E181" s="4" t="str">
        <f>IFERROR(__xludf.DUMMYFUNCTION("""COMPUTED_VALUE"""),"Food and Grocery Delivery")</f>
        <v>Food and Grocery Delivery</v>
      </c>
      <c r="F181" s="4"/>
      <c r="G181" s="4"/>
      <c r="H181" s="4"/>
      <c r="I181" s="4"/>
      <c r="J181" s="5" t="s">
        <v>15</v>
      </c>
      <c r="K181" s="5" t="s">
        <v>31</v>
      </c>
      <c r="L181" s="5" t="s">
        <v>35</v>
      </c>
      <c r="M181" s="6" t="s">
        <v>297</v>
      </c>
      <c r="N181" s="5" t="s">
        <v>19</v>
      </c>
      <c r="O181" s="5" t="s">
        <v>27</v>
      </c>
      <c r="P181" s="5">
        <v>262807.0</v>
      </c>
      <c r="Q181" s="5">
        <v>684.0</v>
      </c>
      <c r="R181" s="5">
        <v>109871.0</v>
      </c>
      <c r="S181" s="5">
        <v>236426.0</v>
      </c>
      <c r="T181" s="5">
        <v>12.0</v>
      </c>
      <c r="U181" s="9">
        <v>5150.468923</v>
      </c>
    </row>
    <row r="182">
      <c r="A182" s="4" t="s">
        <v>1229</v>
      </c>
      <c r="B182" s="4" t="str">
        <f>IFERROR(__xludf.DUMMYFUNCTION("SPLIT(A182,""&gt;"")"),"Online Behavior")</f>
        <v>Online Behavior</v>
      </c>
      <c r="C182" s="4" t="str">
        <f>IFERROR(__xludf.DUMMYFUNCTION("""COMPUTED_VALUE"""),"United States")</f>
        <v>United States</v>
      </c>
      <c r="D182" s="4" t="str">
        <f>IFERROR(__xludf.DUMMYFUNCTION("""COMPUTED_VALUE"""),"Sports")</f>
        <v>Sports</v>
      </c>
      <c r="E182" s="4" t="str">
        <f>IFERROR(__xludf.DUMMYFUNCTION("""COMPUTED_VALUE"""),"Sports League ")</f>
        <v>Sports League </v>
      </c>
      <c r="F182" s="4" t="str">
        <f>IFERROR(__xludf.DUMMYFUNCTION("""COMPUTED_VALUE""")," NHL")</f>
        <v> NHL</v>
      </c>
      <c r="G182" s="4"/>
      <c r="H182" s="4"/>
      <c r="I182" s="4"/>
      <c r="J182" s="5" t="s">
        <v>15</v>
      </c>
      <c r="K182" s="5" t="s">
        <v>31</v>
      </c>
      <c r="L182" s="5" t="s">
        <v>35</v>
      </c>
      <c r="M182" s="6" t="s">
        <v>297</v>
      </c>
      <c r="N182" s="5" t="s">
        <v>117</v>
      </c>
      <c r="O182" s="5" t="s">
        <v>27</v>
      </c>
      <c r="P182" s="5">
        <v>56945.0</v>
      </c>
      <c r="Q182" s="5">
        <v>152.0</v>
      </c>
      <c r="R182" s="5">
        <v>20750.0</v>
      </c>
      <c r="S182" s="5">
        <v>50714.0</v>
      </c>
      <c r="T182" s="5">
        <v>9.0</v>
      </c>
      <c r="U182" s="9">
        <v>5144.474371</v>
      </c>
    </row>
    <row r="183">
      <c r="A183" s="4" t="s">
        <v>1230</v>
      </c>
      <c r="B183" s="4" t="str">
        <f>IFERROR(__xludf.DUMMYFUNCTION("SPLIT(A183,""&gt;"")"),"Online Behavior")</f>
        <v>Online Behavior</v>
      </c>
      <c r="C183" s="4" t="str">
        <f>IFERROR(__xludf.DUMMYFUNCTION("""COMPUTED_VALUE"""),"United States")</f>
        <v>United States</v>
      </c>
      <c r="D183" s="4" t="str">
        <f>IFERROR(__xludf.DUMMYFUNCTION("""COMPUTED_VALUE"""),"Sports")</f>
        <v>Sports</v>
      </c>
      <c r="E183" s="4" t="str">
        <f>IFERROR(__xludf.DUMMYFUNCTION("""COMPUTED_VALUE"""),"Water Sports ")</f>
        <v>Water Sports </v>
      </c>
      <c r="F183" s="4" t="str">
        <f>IFERROR(__xludf.DUMMYFUNCTION("""COMPUTED_VALUE""")," Surfing")</f>
        <v> Surfing</v>
      </c>
      <c r="G183" s="4"/>
      <c r="H183" s="4"/>
      <c r="I183" s="4"/>
      <c r="J183" s="5" t="s">
        <v>15</v>
      </c>
      <c r="K183" s="5" t="s">
        <v>23</v>
      </c>
      <c r="L183" s="5" t="s">
        <v>39</v>
      </c>
      <c r="M183" s="6" t="s">
        <v>297</v>
      </c>
      <c r="N183" s="5" t="s">
        <v>19</v>
      </c>
      <c r="O183" s="5" t="s">
        <v>27</v>
      </c>
      <c r="P183" s="5">
        <v>23983.0</v>
      </c>
      <c r="Q183" s="5">
        <v>0.0</v>
      </c>
      <c r="R183" s="5">
        <v>464.0</v>
      </c>
      <c r="S183" s="5">
        <v>19802.0</v>
      </c>
      <c r="T183" s="5">
        <v>9.0</v>
      </c>
      <c r="U183" s="9">
        <v>4574.34827</v>
      </c>
    </row>
    <row r="184">
      <c r="A184" s="4" t="s">
        <v>1231</v>
      </c>
      <c r="B184" s="4" t="str">
        <f>IFERROR(__xludf.DUMMYFUNCTION("SPLIT(A184,""&gt;"")"),"United States ")</f>
        <v>United States </v>
      </c>
      <c r="C184" s="4" t="str">
        <f>IFERROR(__xludf.DUMMYFUNCTION("""COMPUTED_VALUE""")," AUTO ")</f>
        <v> AUTO </v>
      </c>
      <c r="D184" s="4" t="str">
        <f>IFERROR(__xludf.DUMMYFUNCTION("""COMPUTED_VALUE""")," Decision Maker for Auto Purchase ")</f>
        <v> Decision Maker for Auto Purchase </v>
      </c>
      <c r="E184" s="4" t="str">
        <f>IFERROR(__xludf.DUMMYFUNCTION("""COMPUTED_VALUE""")," I shared equally in the decision")</f>
        <v> I shared equally in the decision</v>
      </c>
      <c r="F184" s="4"/>
      <c r="G184" s="4"/>
      <c r="H184" s="4"/>
      <c r="I184" s="4"/>
      <c r="J184" s="5" t="s">
        <v>22</v>
      </c>
      <c r="K184" s="5" t="s">
        <v>23</v>
      </c>
      <c r="L184" s="5" t="s">
        <v>35</v>
      </c>
      <c r="M184" s="6" t="s">
        <v>297</v>
      </c>
      <c r="N184" s="5" t="s">
        <v>19</v>
      </c>
      <c r="O184" s="5" t="s">
        <v>27</v>
      </c>
      <c r="P184" s="5">
        <v>102884.0</v>
      </c>
      <c r="Q184" s="5">
        <v>299.0</v>
      </c>
      <c r="R184" s="5">
        <v>42841.0</v>
      </c>
      <c r="S184" s="5">
        <v>96539.0</v>
      </c>
      <c r="T184" s="5">
        <v>6.0</v>
      </c>
      <c r="U184" s="9">
        <v>2015.448331</v>
      </c>
    </row>
    <row r="185" hidden="1">
      <c r="A185" s="4" t="s">
        <v>1232</v>
      </c>
      <c r="B185" s="4" t="str">
        <f>IFERROR(__xludf.DUMMYFUNCTION("SPLIT(A185,""&gt;"")"),"United States ")</f>
        <v>United States </v>
      </c>
      <c r="C185" s="4" t="str">
        <f>IFERROR(__xludf.DUMMYFUNCTION("""COMPUTED_VALUE""")," B2B ")</f>
        <v> B2B </v>
      </c>
      <c r="D185" s="4" t="str">
        <f>IFERROR(__xludf.DUMMYFUNCTION("""COMPUTED_VALUE""")," B2B Decision Maker Responsibilities ")</f>
        <v> B2B Decision Maker Responsibilities </v>
      </c>
      <c r="E185" s="4" t="str">
        <f>IFERROR(__xludf.DUMMYFUNCTION("""COMPUTED_VALUE""")," Office Supplies or Equipment")</f>
        <v> Office Supplies or Equipment</v>
      </c>
      <c r="F185" s="4"/>
      <c r="G185" s="4"/>
      <c r="H185" s="4"/>
      <c r="I185" s="4"/>
      <c r="J185" s="5" t="s">
        <v>15</v>
      </c>
      <c r="K185" s="5" t="s">
        <v>23</v>
      </c>
      <c r="L185" s="5" t="s">
        <v>17</v>
      </c>
      <c r="M185" s="6" t="s">
        <v>297</v>
      </c>
      <c r="N185" s="5" t="s">
        <v>19</v>
      </c>
      <c r="O185" s="5" t="s">
        <v>52</v>
      </c>
      <c r="P185" s="5">
        <v>55692.0</v>
      </c>
      <c r="Q185" s="5">
        <v>184.0</v>
      </c>
      <c r="R185" s="5">
        <v>3596.0</v>
      </c>
      <c r="S185" s="5">
        <v>51209.0</v>
      </c>
      <c r="T185" s="5">
        <v>9.0</v>
      </c>
      <c r="U185" s="9">
        <v>1981.050288</v>
      </c>
    </row>
    <row r="186" hidden="1">
      <c r="A186" s="4" t="s">
        <v>1233</v>
      </c>
      <c r="B186" s="4" t="str">
        <f>IFERROR(__xludf.DUMMYFUNCTION("SPLIT(A186,""&gt;"")"),"United States ")</f>
        <v>United States </v>
      </c>
      <c r="C186" s="4" t="str">
        <f>IFERROR(__xludf.DUMMYFUNCTION("""COMPUTED_VALUE""")," Reach ")</f>
        <v> Reach </v>
      </c>
      <c r="D186" s="4" t="str">
        <f>IFERROR(__xludf.DUMMYFUNCTION("""COMPUTED_VALUE""")," Propensity Models ")</f>
        <v> Propensity Models </v>
      </c>
      <c r="E186" s="4" t="str">
        <f>IFERROR(__xludf.DUMMYFUNCTION("""COMPUTED_VALUE""")," Hobbies and Interest ")</f>
        <v> Hobbies and Interest </v>
      </c>
      <c r="F186" s="4" t="str">
        <f>IFERROR(__xludf.DUMMYFUNCTION("""COMPUTED_VALUE""")," Pets ")</f>
        <v> Pets </v>
      </c>
      <c r="G186" s="4" t="str">
        <f>IFERROR(__xludf.DUMMYFUNCTION("""COMPUTED_VALUE""")," Cat Owners")</f>
        <v> Cat Owners</v>
      </c>
      <c r="H186" s="4"/>
      <c r="I186" s="4"/>
      <c r="J186" s="5" t="s">
        <v>15</v>
      </c>
      <c r="K186" s="5" t="s">
        <v>23</v>
      </c>
      <c r="L186" s="5" t="s">
        <v>17</v>
      </c>
      <c r="M186" s="6" t="s">
        <v>297</v>
      </c>
      <c r="N186" s="5" t="s">
        <v>46</v>
      </c>
      <c r="O186" s="5" t="s">
        <v>20</v>
      </c>
      <c r="P186" s="5">
        <v>63460.0</v>
      </c>
      <c r="Q186" s="5">
        <v>212.0</v>
      </c>
      <c r="R186" s="5">
        <v>26978.0</v>
      </c>
      <c r="S186" s="5">
        <v>59516.0</v>
      </c>
      <c r="T186" s="5">
        <v>4.0</v>
      </c>
      <c r="U186" s="9">
        <v>1945.433188</v>
      </c>
    </row>
    <row r="187">
      <c r="A187" s="4" t="s">
        <v>1234</v>
      </c>
      <c r="B187" s="4" t="str">
        <f>IFERROR(__xludf.DUMMYFUNCTION("SPLIT(A187,""&gt;"")"),"OnAudience ")</f>
        <v>OnAudience </v>
      </c>
      <c r="C187" s="4" t="str">
        <f>IFERROR(__xludf.DUMMYFUNCTION("""COMPUTED_VALUE""")," Interest ")</f>
        <v> Interest </v>
      </c>
      <c r="D187" s="4" t="str">
        <f>IFERROR(__xludf.DUMMYFUNCTION("""COMPUTED_VALUE""")," Life Stage")</f>
        <v> Life Stage</v>
      </c>
      <c r="E187" s="4"/>
      <c r="F187" s="4"/>
      <c r="G187" s="4"/>
      <c r="H187" s="4"/>
      <c r="I187" s="4"/>
      <c r="J187" s="5" t="s">
        <v>15</v>
      </c>
      <c r="K187" s="5" t="s">
        <v>42</v>
      </c>
      <c r="L187" s="5" t="s">
        <v>142</v>
      </c>
      <c r="M187" s="6" t="s">
        <v>297</v>
      </c>
      <c r="N187" s="5" t="s">
        <v>19</v>
      </c>
      <c r="O187" s="5" t="s">
        <v>27</v>
      </c>
      <c r="P187" s="5">
        <v>189462.0</v>
      </c>
      <c r="Q187" s="5">
        <v>478.0</v>
      </c>
      <c r="R187" s="5">
        <v>53431.0</v>
      </c>
      <c r="S187" s="5">
        <v>163634.0</v>
      </c>
      <c r="T187" s="5">
        <v>5.0</v>
      </c>
      <c r="U187" s="9">
        <v>1625.17488</v>
      </c>
    </row>
    <row r="188" hidden="1">
      <c r="A188" s="4" t="s">
        <v>1235</v>
      </c>
      <c r="B188" s="4" t="str">
        <f>IFERROR(__xludf.DUMMYFUNCTION("SPLIT(A188,""&gt;"")"),"United States ")</f>
        <v>United States </v>
      </c>
      <c r="C188" s="4" t="str">
        <f>IFERROR(__xludf.DUMMYFUNCTION("""COMPUTED_VALUE""")," Interest Propensities ")</f>
        <v> Interest Propensities </v>
      </c>
      <c r="D188" s="4" t="str">
        <f>IFERROR(__xludf.DUMMYFUNCTION("""COMPUTED_VALUE""")," Activities and Interests ")</f>
        <v> Activities and Interests </v>
      </c>
      <c r="E188" s="4" t="str">
        <f>IFERROR(__xludf.DUMMYFUNCTION("""COMPUTED_VALUE""")," Fashion")</f>
        <v> Fashion</v>
      </c>
      <c r="F188" s="4"/>
      <c r="G188" s="4"/>
      <c r="H188" s="4"/>
      <c r="I188" s="4"/>
      <c r="J188" s="5" t="s">
        <v>15</v>
      </c>
      <c r="K188" s="5" t="s">
        <v>31</v>
      </c>
      <c r="L188" s="5" t="s">
        <v>95</v>
      </c>
      <c r="M188" s="6" t="s">
        <v>297</v>
      </c>
      <c r="N188" s="5" t="s">
        <v>26</v>
      </c>
      <c r="O188" s="5" t="s">
        <v>52</v>
      </c>
      <c r="P188" s="5">
        <v>61442.0</v>
      </c>
      <c r="Q188" s="5">
        <v>190.0</v>
      </c>
      <c r="R188" s="5">
        <v>17048.0</v>
      </c>
      <c r="S188" s="5">
        <v>54166.0</v>
      </c>
      <c r="T188" s="5">
        <v>1.0</v>
      </c>
      <c r="U188" s="9">
        <v>1609.149933</v>
      </c>
    </row>
    <row r="189">
      <c r="A189" s="4" t="s">
        <v>1236</v>
      </c>
      <c r="B189" s="4" t="str">
        <f>IFERROR(__xludf.DUMMYFUNCTION("SPLIT(A189,""&gt;"")"),"Mobile - United States ")</f>
        <v>Mobile - United States </v>
      </c>
      <c r="C189" s="4" t="str">
        <f>IFERROR(__xludf.DUMMYFUNCTION("""COMPUTED_VALUE""")," Travel ")</f>
        <v> Travel </v>
      </c>
      <c r="D189" s="4" t="str">
        <f>IFERROR(__xludf.DUMMYFUNCTION("""COMPUTED_VALUE""")," Car Rentals ")</f>
        <v> Car Rentals </v>
      </c>
      <c r="E189" s="4" t="str">
        <f>IFERROR(__xludf.DUMMYFUNCTION("""COMPUTED_VALUE""")," Hertz")</f>
        <v> Hertz</v>
      </c>
      <c r="F189" s="4"/>
      <c r="G189" s="4"/>
      <c r="H189" s="4"/>
      <c r="I189" s="4"/>
      <c r="J189" s="5" t="s">
        <v>22</v>
      </c>
      <c r="K189" s="5" t="s">
        <v>23</v>
      </c>
      <c r="L189" s="5" t="s">
        <v>35</v>
      </c>
      <c r="M189" s="6" t="s">
        <v>297</v>
      </c>
      <c r="N189" s="5" t="s">
        <v>46</v>
      </c>
      <c r="O189" s="5" t="s">
        <v>27</v>
      </c>
      <c r="P189" s="5">
        <v>87287.0</v>
      </c>
      <c r="Q189" s="5">
        <v>203.0</v>
      </c>
      <c r="R189" s="5">
        <v>40039.0</v>
      </c>
      <c r="S189" s="5">
        <v>80040.0</v>
      </c>
      <c r="T189" s="5">
        <v>18.0</v>
      </c>
      <c r="U189" s="9">
        <v>1579.367346</v>
      </c>
    </row>
    <row r="190">
      <c r="A190" s="4" t="s">
        <v>1237</v>
      </c>
      <c r="B190" s="4" t="str">
        <f>IFERROR(__xludf.DUMMYFUNCTION("SPLIT(A190,""&gt;"")"),"OnAudience ")</f>
        <v>OnAudience </v>
      </c>
      <c r="C190" s="4" t="str">
        <f>IFERROR(__xludf.DUMMYFUNCTION("""COMPUTED_VALUE""")," Interest ")</f>
        <v> Interest </v>
      </c>
      <c r="D190" s="4" t="str">
        <f>IFERROR(__xludf.DUMMYFUNCTION("""COMPUTED_VALUE""")," Arts &amp; Entertainment ")</f>
        <v> Arts &amp; Entertainment </v>
      </c>
      <c r="E190" s="4" t="str">
        <f>IFERROR(__xludf.DUMMYFUNCTION("""COMPUTED_VALUE""")," Celebrity Fan ")</f>
        <v> Celebrity Fan </v>
      </c>
      <c r="F190" s="4" t="str">
        <f>IFERROR(__xludf.DUMMYFUNCTION("""COMPUTED_VALUE""")," Gossip")</f>
        <v> Gossip</v>
      </c>
      <c r="G190" s="4"/>
      <c r="H190" s="4"/>
      <c r="I190" s="4"/>
      <c r="J190" s="5" t="s">
        <v>15</v>
      </c>
      <c r="K190" s="5" t="s">
        <v>16</v>
      </c>
      <c r="L190" s="5" t="s">
        <v>17</v>
      </c>
      <c r="M190" s="6" t="s">
        <v>297</v>
      </c>
      <c r="N190" s="5" t="s">
        <v>46</v>
      </c>
      <c r="O190" s="5" t="s">
        <v>27</v>
      </c>
      <c r="P190" s="5">
        <v>77703.0</v>
      </c>
      <c r="Q190" s="5">
        <v>204.0</v>
      </c>
      <c r="R190" s="5">
        <v>33478.0</v>
      </c>
      <c r="S190" s="5">
        <v>72874.0</v>
      </c>
      <c r="T190" s="5">
        <v>3.0</v>
      </c>
      <c r="U190" s="9">
        <v>1566.912406</v>
      </c>
    </row>
    <row r="191" hidden="1">
      <c r="A191" s="4" t="s">
        <v>1238</v>
      </c>
      <c r="B191" s="4" t="str">
        <f>IFERROR(__xludf.DUMMYFUNCTION("SPLIT(A191,""&gt;"")"),"Mobile - United States ")</f>
        <v>Mobile - United States </v>
      </c>
      <c r="C191" s="4" t="str">
        <f>IFERROR(__xludf.DUMMYFUNCTION("""COMPUTED_VALUE""")," Device Ownership ")</f>
        <v> Device Ownership </v>
      </c>
      <c r="D191" s="4" t="str">
        <f>IFERROR(__xludf.DUMMYFUNCTION("""COMPUTED_VALUE""")," Smartphones ")</f>
        <v> Smartphones </v>
      </c>
      <c r="E191" s="4" t="str">
        <f>IFERROR(__xludf.DUMMYFUNCTION("""COMPUTED_VALUE""")," ZTE")</f>
        <v> ZTE</v>
      </c>
      <c r="F191" s="4"/>
      <c r="G191" s="4"/>
      <c r="H191" s="4"/>
      <c r="I191" s="4"/>
      <c r="J191" s="5" t="s">
        <v>15</v>
      </c>
      <c r="K191" s="5" t="s">
        <v>42</v>
      </c>
      <c r="L191" s="5" t="s">
        <v>84</v>
      </c>
      <c r="M191" s="6" t="s">
        <v>297</v>
      </c>
      <c r="N191" s="5" t="s">
        <v>46</v>
      </c>
      <c r="O191" s="5" t="s">
        <v>52</v>
      </c>
      <c r="P191" s="5">
        <v>74436.0</v>
      </c>
      <c r="Q191" s="5">
        <v>175.0</v>
      </c>
      <c r="R191" s="5">
        <v>30158.0</v>
      </c>
      <c r="S191" s="5">
        <v>69150.0</v>
      </c>
      <c r="T191" s="5">
        <v>21.0</v>
      </c>
      <c r="U191" s="9">
        <v>1558.549138</v>
      </c>
    </row>
    <row r="192">
      <c r="A192" s="4" t="s">
        <v>1239</v>
      </c>
      <c r="B192" s="4" t="str">
        <f>IFERROR(__xludf.DUMMYFUNCTION("SPLIT(A192,""&gt;"")"),"United States ")</f>
        <v>United States </v>
      </c>
      <c r="C192" s="4" t="str">
        <f>IFERROR(__xludf.DUMMYFUNCTION("""COMPUTED_VALUE""")," Brand Propensities ")</f>
        <v> Brand Propensities </v>
      </c>
      <c r="D192" s="4" t="str">
        <f>IFERROR(__xludf.DUMMYFUNCTION("""COMPUTED_VALUE""")," Health ")</f>
        <v> Health </v>
      </c>
      <c r="E192" s="4" t="str">
        <f>IFERROR(__xludf.DUMMYFUNCTION("""COMPUTED_VALUE""")," Beauty and Cosmetics ")</f>
        <v> Beauty and Cosmetics </v>
      </c>
      <c r="F192" s="4" t="str">
        <f>IFERROR(__xludf.DUMMYFUNCTION("""COMPUTED_VALUE""")," SkinCareRx Buyer Propensity")</f>
        <v> SkinCareRx Buyer Propensity</v>
      </c>
      <c r="G192" s="4"/>
      <c r="H192" s="4"/>
      <c r="I192" s="4"/>
      <c r="J192" s="5" t="s">
        <v>15</v>
      </c>
      <c r="K192" s="5" t="s">
        <v>42</v>
      </c>
      <c r="L192" s="5" t="s">
        <v>39</v>
      </c>
      <c r="M192" s="6" t="s">
        <v>297</v>
      </c>
      <c r="N192" s="5" t="s">
        <v>50</v>
      </c>
      <c r="O192" s="5" t="s">
        <v>27</v>
      </c>
      <c r="P192" s="5">
        <v>435848.0</v>
      </c>
      <c r="Q192" s="5">
        <v>1058.0</v>
      </c>
      <c r="R192" s="5">
        <v>274912.0</v>
      </c>
      <c r="S192" s="5">
        <v>415601.0</v>
      </c>
      <c r="T192" s="5">
        <v>15.0</v>
      </c>
      <c r="U192" s="9">
        <v>1554.439959</v>
      </c>
    </row>
    <row r="193">
      <c r="A193" s="4" t="s">
        <v>1240</v>
      </c>
      <c r="B193" s="4" t="str">
        <f>IFERROR(__xludf.DUMMYFUNCTION("SPLIT(A193,""&gt;"")"),"Mobile - United States ")</f>
        <v>Mobile - United States </v>
      </c>
      <c r="C193" s="4" t="str">
        <f>IFERROR(__xludf.DUMMYFUNCTION("""COMPUTED_VALUE""")," Food ")</f>
        <v> Food </v>
      </c>
      <c r="D193" s="4" t="str">
        <f>IFERROR(__xludf.DUMMYFUNCTION("""COMPUTED_VALUE""")," Restaurant ")</f>
        <v> Restaurant </v>
      </c>
      <c r="E193" s="4" t="str">
        <f>IFERROR(__xludf.DUMMYFUNCTION("""COMPUTED_VALUE""")," Brand ")</f>
        <v> Brand </v>
      </c>
      <c r="F193" s="4" t="str">
        <f>IFERROR(__xludf.DUMMYFUNCTION("""COMPUTED_VALUE""")," Five Guys")</f>
        <v> Five Guys</v>
      </c>
      <c r="G193" s="4"/>
      <c r="H193" s="4"/>
      <c r="I193" s="4"/>
      <c r="J193" s="5" t="s">
        <v>15</v>
      </c>
      <c r="K193" s="5" t="s">
        <v>42</v>
      </c>
      <c r="L193" s="5" t="s">
        <v>35</v>
      </c>
      <c r="M193" s="6" t="s">
        <v>297</v>
      </c>
      <c r="N193" s="5" t="s">
        <v>46</v>
      </c>
      <c r="O193" s="5" t="s">
        <v>27</v>
      </c>
      <c r="P193" s="5">
        <v>9210.0</v>
      </c>
      <c r="Q193" s="5">
        <v>80.0</v>
      </c>
      <c r="R193" s="5">
        <v>3798.0</v>
      </c>
      <c r="S193" s="5">
        <v>8619.0</v>
      </c>
      <c r="T193" s="5">
        <v>2.0</v>
      </c>
      <c r="U193" s="9">
        <v>1536.629068</v>
      </c>
    </row>
    <row r="194">
      <c r="A194" s="4" t="s">
        <v>1241</v>
      </c>
      <c r="B194" s="4" t="str">
        <f>IFERROR(__xludf.DUMMYFUNCTION("SPLIT(A194,""&gt;"")"),"United States ")</f>
        <v>United States </v>
      </c>
      <c r="C194" s="4" t="str">
        <f>IFERROR(__xludf.DUMMYFUNCTION("""COMPUTED_VALUE""")," Brand Propensities ")</f>
        <v> Brand Propensities </v>
      </c>
      <c r="D194" s="4" t="str">
        <f>IFERROR(__xludf.DUMMYFUNCTION("""COMPUTED_VALUE""")," Health ")</f>
        <v> Health </v>
      </c>
      <c r="E194" s="4" t="str">
        <f>IFERROR(__xludf.DUMMYFUNCTION("""COMPUTED_VALUE""")," Beauty and Cosmetics ")</f>
        <v> Beauty and Cosmetics </v>
      </c>
      <c r="F194" s="4" t="str">
        <f>IFERROR(__xludf.DUMMYFUNCTION("""COMPUTED_VALUE""")," Mary Kay Buyer Propensity")</f>
        <v> Mary Kay Buyer Propensity</v>
      </c>
      <c r="G194" s="4"/>
      <c r="H194" s="4"/>
      <c r="I194" s="4"/>
      <c r="J194" s="5" t="s">
        <v>22</v>
      </c>
      <c r="K194" s="5" t="s">
        <v>31</v>
      </c>
      <c r="L194" s="5" t="s">
        <v>35</v>
      </c>
      <c r="M194" s="6" t="s">
        <v>297</v>
      </c>
      <c r="N194" s="5" t="s">
        <v>36</v>
      </c>
      <c r="O194" s="5" t="s">
        <v>27</v>
      </c>
      <c r="P194" s="5">
        <v>12088.0</v>
      </c>
      <c r="Q194" s="5">
        <v>88.0</v>
      </c>
      <c r="R194" s="5">
        <v>1124.0</v>
      </c>
      <c r="S194" s="5">
        <v>10003.0</v>
      </c>
      <c r="T194" s="5">
        <v>2.0</v>
      </c>
      <c r="U194" s="9">
        <v>1500.026152</v>
      </c>
    </row>
    <row r="195">
      <c r="A195" s="4" t="s">
        <v>1242</v>
      </c>
      <c r="B195" s="4" t="str">
        <f>IFERROR(__xludf.DUMMYFUNCTION("SPLIT(A195,""&gt;"")"),"United States Financial ")</f>
        <v>United States Financial </v>
      </c>
      <c r="C195" s="4" t="str">
        <f>IFERROR(__xludf.DUMMYFUNCTION("""COMPUTED_VALUE""")," Estimated Discretionary Spending ")</f>
        <v> Estimated Discretionary Spending </v>
      </c>
      <c r="D195" s="4" t="str">
        <f>IFERROR(__xludf.DUMMYFUNCTION("""COMPUTED_VALUE""")," Greater than $2,500")</f>
        <v> Greater than $2,500</v>
      </c>
      <c r="E195" s="4"/>
      <c r="F195" s="4"/>
      <c r="G195" s="4"/>
      <c r="H195" s="4"/>
      <c r="I195" s="4"/>
      <c r="J195" s="5" t="s">
        <v>22</v>
      </c>
      <c r="K195" s="5" t="s">
        <v>31</v>
      </c>
      <c r="L195" s="5" t="s">
        <v>35</v>
      </c>
      <c r="M195" s="6" t="s">
        <v>297</v>
      </c>
      <c r="N195" s="5" t="s">
        <v>19</v>
      </c>
      <c r="O195" s="5" t="s">
        <v>27</v>
      </c>
      <c r="P195" s="5">
        <v>126337.0</v>
      </c>
      <c r="Q195" s="5">
        <v>325.0</v>
      </c>
      <c r="R195" s="5">
        <v>51394.0</v>
      </c>
      <c r="S195" s="5">
        <v>117635.0</v>
      </c>
      <c r="T195" s="5">
        <v>5.0</v>
      </c>
      <c r="U195" s="9">
        <v>1487.088288</v>
      </c>
    </row>
    <row r="196">
      <c r="A196" s="4" t="s">
        <v>1243</v>
      </c>
      <c r="B196" s="4" t="str">
        <f>IFERROR(__xludf.DUMMYFUNCTION("SPLIT(A196,""&gt;"")"),"United States ")</f>
        <v>United States </v>
      </c>
      <c r="C196" s="4" t="str">
        <f>IFERROR(__xludf.DUMMYFUNCTION("""COMPUTED_VALUE""")," Interest Propensities ")</f>
        <v> Interest Propensities </v>
      </c>
      <c r="D196" s="4" t="str">
        <f>IFERROR(__xludf.DUMMYFUNCTION("""COMPUTED_VALUE""")," Insurance ")</f>
        <v> Insurance </v>
      </c>
      <c r="E196" s="4" t="str">
        <f>IFERROR(__xludf.DUMMYFUNCTION("""COMPUTED_VALUE""")," Northwestern Mutual")</f>
        <v> Northwestern Mutual</v>
      </c>
      <c r="F196" s="4"/>
      <c r="G196" s="4"/>
      <c r="H196" s="4"/>
      <c r="I196" s="4"/>
      <c r="J196" s="5" t="s">
        <v>15</v>
      </c>
      <c r="K196" s="5" t="s">
        <v>23</v>
      </c>
      <c r="L196" s="5" t="s">
        <v>35</v>
      </c>
      <c r="M196" s="6" t="s">
        <v>297</v>
      </c>
      <c r="N196" s="5" t="s">
        <v>327</v>
      </c>
      <c r="O196" s="5" t="s">
        <v>27</v>
      </c>
      <c r="P196" s="5">
        <v>229908.0</v>
      </c>
      <c r="Q196" s="5">
        <v>489.0</v>
      </c>
      <c r="R196" s="5">
        <v>98259.0</v>
      </c>
      <c r="S196" s="5">
        <v>212073.0</v>
      </c>
      <c r="T196" s="5">
        <v>4.0</v>
      </c>
      <c r="U196" s="9">
        <v>1464.348944</v>
      </c>
    </row>
    <row r="197">
      <c r="A197" s="4" t="s">
        <v>1244</v>
      </c>
      <c r="B197" s="4" t="str">
        <f>IFERROR(__xludf.DUMMYFUNCTION("SPLIT(A197,""&gt;"")"),"Transactional ")</f>
        <v>Transactional </v>
      </c>
      <c r="C197" s="4" t="str">
        <f>IFERROR(__xludf.DUMMYFUNCTION("""COMPUTED_VALUE""")," Q2 Graduation Gift Shoppers")</f>
        <v> Q2 Graduation Gift Shoppers</v>
      </c>
      <c r="D197" s="4"/>
      <c r="E197" s="4"/>
      <c r="F197" s="4"/>
      <c r="G197" s="4"/>
      <c r="H197" s="4"/>
      <c r="I197" s="4"/>
      <c r="J197" s="5" t="s">
        <v>15</v>
      </c>
      <c r="K197" s="5" t="s">
        <v>23</v>
      </c>
      <c r="L197" s="5" t="s">
        <v>17</v>
      </c>
      <c r="M197" s="6" t="s">
        <v>297</v>
      </c>
      <c r="N197" s="5" t="s">
        <v>117</v>
      </c>
      <c r="O197" s="5" t="s">
        <v>27</v>
      </c>
      <c r="P197" s="5">
        <v>144088.0</v>
      </c>
      <c r="Q197" s="5">
        <v>490.0</v>
      </c>
      <c r="R197" s="5">
        <v>26416.0</v>
      </c>
      <c r="S197" s="5">
        <v>137369.0</v>
      </c>
      <c r="T197" s="5">
        <v>7.0</v>
      </c>
      <c r="U197" s="9">
        <v>1464.064235</v>
      </c>
    </row>
    <row r="198">
      <c r="A198" s="4" t="s">
        <v>1245</v>
      </c>
      <c r="B198" s="4" t="str">
        <f>IFERROR(__xludf.DUMMYFUNCTION("SPLIT(A198,""&gt;"")"),"OnAudience ")</f>
        <v>OnAudience </v>
      </c>
      <c r="C198" s="4" t="str">
        <f>IFERROR(__xludf.DUMMYFUNCTION("""COMPUTED_VALUE""")," Intent ")</f>
        <v> Intent </v>
      </c>
      <c r="D198" s="4" t="str">
        <f>IFERROR(__xludf.DUMMYFUNCTION("""COMPUTED_VALUE""")," Auto ")</f>
        <v> Auto </v>
      </c>
      <c r="E198" s="4" t="str">
        <f>IFERROR(__xludf.DUMMYFUNCTION("""COMPUTED_VALUE""")," Vehicle Parts &amp; Accessories")</f>
        <v> Vehicle Parts &amp; Accessories</v>
      </c>
      <c r="F198" s="4"/>
      <c r="G198" s="4"/>
      <c r="H198" s="4"/>
      <c r="I198" s="4"/>
      <c r="J198" s="5" t="s">
        <v>22</v>
      </c>
      <c r="K198" s="5" t="s">
        <v>16</v>
      </c>
      <c r="L198" s="5" t="s">
        <v>32</v>
      </c>
      <c r="M198" s="6" t="s">
        <v>297</v>
      </c>
      <c r="N198" s="5" t="s">
        <v>46</v>
      </c>
      <c r="O198" s="5" t="s">
        <v>27</v>
      </c>
      <c r="P198" s="5">
        <v>37269.0</v>
      </c>
      <c r="Q198" s="5">
        <v>106.0</v>
      </c>
      <c r="R198" s="5">
        <v>11667.0</v>
      </c>
      <c r="S198" s="5">
        <v>33260.0</v>
      </c>
      <c r="T198" s="5">
        <v>6.0</v>
      </c>
      <c r="U198" s="9">
        <v>1453.075462</v>
      </c>
    </row>
    <row r="199">
      <c r="A199" s="4" t="s">
        <v>1246</v>
      </c>
      <c r="B199" s="4" t="str">
        <f>IFERROR(__xludf.DUMMYFUNCTION("SPLIT(A199,""&gt;"")"),"Lotame ")</f>
        <v>Lotame </v>
      </c>
      <c r="C199" s="4" t="str">
        <f>IFERROR(__xludf.DUMMYFUNCTION("""COMPUTED_VALUE""")," Offline CPG Purchasers ")</f>
        <v> Offline CPG Purchasers </v>
      </c>
      <c r="D199" s="4" t="str">
        <f>IFERROR(__xludf.DUMMYFUNCTION("""COMPUTED_VALUE""")," Product Segment ")</f>
        <v> Product Segment </v>
      </c>
      <c r="E199" s="4" t="str">
        <f>IFERROR(__xludf.DUMMYFUNCTION("""COMPUTED_VALUE""")," Home Supplies")</f>
        <v> Home Supplies</v>
      </c>
      <c r="F199" s="4"/>
      <c r="G199" s="4"/>
      <c r="H199" s="4"/>
      <c r="I199" s="4"/>
      <c r="J199" s="5" t="s">
        <v>15</v>
      </c>
      <c r="K199" s="5" t="s">
        <v>23</v>
      </c>
      <c r="L199" s="5" t="s">
        <v>17</v>
      </c>
      <c r="M199" s="6" t="s">
        <v>297</v>
      </c>
      <c r="N199" s="5" t="s">
        <v>26</v>
      </c>
      <c r="O199" s="5" t="s">
        <v>27</v>
      </c>
      <c r="P199" s="5">
        <v>13326.0</v>
      </c>
      <c r="Q199" s="5">
        <v>98.0</v>
      </c>
      <c r="R199" s="5">
        <v>3568.0</v>
      </c>
      <c r="S199" s="5">
        <v>11388.0</v>
      </c>
      <c r="T199" s="5">
        <v>2.0</v>
      </c>
      <c r="U199" s="9">
        <v>1442.032183</v>
      </c>
    </row>
    <row r="200">
      <c r="A200" s="4" t="s">
        <v>1247</v>
      </c>
      <c r="B200" s="4" t="str">
        <f>IFERROR(__xludf.DUMMYFUNCTION("SPLIT(A200,""&gt;"")"),"Media and Entertainment ")</f>
        <v>Media and Entertainment </v>
      </c>
      <c r="C200" s="4" t="str">
        <f>IFERROR(__xludf.DUMMYFUNCTION("""COMPUTED_VALUE""")," Consumer Entertainment Technology")</f>
        <v> Consumer Entertainment Technology</v>
      </c>
      <c r="D200" s="4"/>
      <c r="E200" s="4"/>
      <c r="F200" s="4"/>
      <c r="G200" s="4"/>
      <c r="H200" s="4"/>
      <c r="I200" s="4"/>
      <c r="J200" s="5" t="s">
        <v>15</v>
      </c>
      <c r="K200" s="5" t="s">
        <v>31</v>
      </c>
      <c r="L200" s="5" t="s">
        <v>78</v>
      </c>
      <c r="M200" s="6" t="s">
        <v>332</v>
      </c>
      <c r="N200" s="5" t="s">
        <v>19</v>
      </c>
      <c r="O200" s="5" t="s">
        <v>27</v>
      </c>
      <c r="P200" s="5">
        <v>10942.0</v>
      </c>
      <c r="Q200" s="5">
        <v>66.0</v>
      </c>
      <c r="R200" s="5">
        <v>4578.0</v>
      </c>
      <c r="S200" s="5">
        <v>9155.0</v>
      </c>
      <c r="T200" s="5">
        <v>3.0</v>
      </c>
      <c r="U200" s="9">
        <v>1595.752624</v>
      </c>
    </row>
    <row r="201">
      <c r="A201" s="4" t="s">
        <v>1248</v>
      </c>
      <c r="B201" s="4" t="str">
        <f>IFERROR(__xludf.DUMMYFUNCTION("SPLIT(A201,""&gt;"")"),"Online Behavior")</f>
        <v>Online Behavior</v>
      </c>
      <c r="C201" s="4" t="str">
        <f>IFERROR(__xludf.DUMMYFUNCTION("""COMPUTED_VALUE"""),"United States")</f>
        <v>United States</v>
      </c>
      <c r="D201" s="4" t="str">
        <f>IFERROR(__xludf.DUMMYFUNCTION("""COMPUTED_VALUE"""),"Autos and Vehicles ")</f>
        <v>Autos and Vehicles </v>
      </c>
      <c r="E201" s="4" t="str">
        <f>IFERROR(__xludf.DUMMYFUNCTION("""COMPUTED_VALUE""")," Brands")</f>
        <v> Brands</v>
      </c>
      <c r="F201" s="4" t="str">
        <f>IFERROR(__xludf.DUMMYFUNCTION("""COMPUTED_VALUE"""),"Cadillac")</f>
        <v>Cadillac</v>
      </c>
      <c r="G201" s="4"/>
      <c r="H201" s="4"/>
      <c r="I201" s="4"/>
      <c r="J201" s="5" t="s">
        <v>22</v>
      </c>
      <c r="K201" s="5" t="s">
        <v>16</v>
      </c>
      <c r="L201" s="5" t="s">
        <v>150</v>
      </c>
      <c r="M201" s="6" t="s">
        <v>334</v>
      </c>
      <c r="N201" s="5" t="s">
        <v>19</v>
      </c>
      <c r="O201" s="5" t="s">
        <v>27</v>
      </c>
      <c r="P201" s="5">
        <v>14011.0</v>
      </c>
      <c r="Q201" s="5">
        <v>40.0</v>
      </c>
      <c r="R201" s="5">
        <v>5060.0</v>
      </c>
      <c r="S201" s="5">
        <v>12459.0</v>
      </c>
      <c r="T201" s="5">
        <v>5.0</v>
      </c>
      <c r="U201" s="9">
        <v>5632.087973</v>
      </c>
    </row>
    <row r="202">
      <c r="A202" s="4" t="s">
        <v>1249</v>
      </c>
      <c r="B202" s="4" t="str">
        <f>IFERROR(__xludf.DUMMYFUNCTION("SPLIT(A202,""&gt;"")"),"Lotame ")</f>
        <v>Lotame </v>
      </c>
      <c r="C202" s="4" t="str">
        <f>IFERROR(__xludf.DUMMYFUNCTION("""COMPUTED_VALUE""")," Travel ")</f>
        <v> Travel </v>
      </c>
      <c r="D202" s="4" t="str">
        <f>IFERROR(__xludf.DUMMYFUNCTION("""COMPUTED_VALUE""")," International Travel")</f>
        <v> International Travel</v>
      </c>
      <c r="E202" s="4"/>
      <c r="F202" s="4"/>
      <c r="G202" s="4"/>
      <c r="H202" s="4"/>
      <c r="I202" s="4"/>
      <c r="J202" s="5" t="s">
        <v>15</v>
      </c>
      <c r="K202" s="5" t="s">
        <v>42</v>
      </c>
      <c r="L202" s="5" t="s">
        <v>29</v>
      </c>
      <c r="M202" s="6" t="s">
        <v>336</v>
      </c>
      <c r="N202" s="5" t="s">
        <v>19</v>
      </c>
      <c r="O202" s="5" t="s">
        <v>27</v>
      </c>
      <c r="P202" s="5">
        <v>13464.0</v>
      </c>
      <c r="Q202" s="5">
        <v>84.0</v>
      </c>
      <c r="R202" s="5">
        <v>1698.0</v>
      </c>
      <c r="S202" s="5">
        <v>11234.0</v>
      </c>
      <c r="T202" s="5">
        <v>1.0</v>
      </c>
      <c r="U202" s="9">
        <v>1466.285104</v>
      </c>
    </row>
    <row r="203">
      <c r="A203" s="4" t="s">
        <v>1250</v>
      </c>
      <c r="B203" s="4" t="str">
        <f>IFERROR(__xludf.DUMMYFUNCTION("SPLIT(A203,""&gt;"")"),"Online Behavior")</f>
        <v>Online Behavior</v>
      </c>
      <c r="C203" s="4" t="str">
        <f>IFERROR(__xludf.DUMMYFUNCTION("""COMPUTED_VALUE"""),"United States")</f>
        <v>United States</v>
      </c>
      <c r="D203" s="4" t="str">
        <f>IFERROR(__xludf.DUMMYFUNCTION("""COMPUTED_VALUE"""),"Validated Demographic ")</f>
        <v>Validated Demographic </v>
      </c>
      <c r="E203" s="4" t="str">
        <f>IFERROR(__xludf.DUMMYFUNCTION("""COMPUTED_VALUE""")," Gender and Age Combined")</f>
        <v> Gender and Age Combined</v>
      </c>
      <c r="F203" s="4" t="str">
        <f>IFERROR(__xludf.DUMMYFUNCTION("""COMPUTED_VALUE"""),"Females 35-44")</f>
        <v>Females 35-44</v>
      </c>
      <c r="G203" s="4"/>
      <c r="H203" s="4"/>
      <c r="I203" s="4"/>
      <c r="J203" s="5" t="s">
        <v>15</v>
      </c>
      <c r="K203" s="5" t="s">
        <v>31</v>
      </c>
      <c r="L203" s="5" t="s">
        <v>84</v>
      </c>
      <c r="M203" s="6" t="s">
        <v>338</v>
      </c>
      <c r="N203" s="5" t="s">
        <v>26</v>
      </c>
      <c r="O203" s="5" t="s">
        <v>27</v>
      </c>
      <c r="P203" s="5">
        <v>121991.0</v>
      </c>
      <c r="Q203" s="5">
        <v>369.0</v>
      </c>
      <c r="R203" s="5">
        <v>43079.0</v>
      </c>
      <c r="S203" s="5">
        <v>99312.0</v>
      </c>
      <c r="T203" s="5">
        <v>4.0</v>
      </c>
      <c r="U203" s="9">
        <v>3993.214585</v>
      </c>
    </row>
    <row r="204">
      <c r="A204" s="4" t="s">
        <v>1251</v>
      </c>
      <c r="B204" s="4" t="str">
        <f>IFERROR(__xludf.DUMMYFUNCTION("SPLIT(A204,""&gt;"")"),"Online Behavior")</f>
        <v>Online Behavior</v>
      </c>
      <c r="C204" s="4" t="str">
        <f>IFERROR(__xludf.DUMMYFUNCTION("""COMPUTED_VALUE"""),"United States")</f>
        <v>United States</v>
      </c>
      <c r="D204" s="4" t="str">
        <f>IFERROR(__xludf.DUMMYFUNCTION("""COMPUTED_VALUE"""),"B2B ")</f>
        <v>B2B </v>
      </c>
      <c r="E204" s="4" t="str">
        <f>IFERROR(__xludf.DUMMYFUNCTION("""COMPUTED_VALUE""")," Occupation")</f>
        <v> Occupation</v>
      </c>
      <c r="F204" s="4" t="str">
        <f>IFERROR(__xludf.DUMMYFUNCTION("""COMPUTED_VALUE"""),"SystemsAnalyst")</f>
        <v>SystemsAnalyst</v>
      </c>
      <c r="G204" s="4"/>
      <c r="H204" s="4"/>
      <c r="I204" s="4"/>
      <c r="J204" s="5" t="s">
        <v>22</v>
      </c>
      <c r="K204" s="5" t="s">
        <v>31</v>
      </c>
      <c r="L204" s="5" t="s">
        <v>35</v>
      </c>
      <c r="M204" s="6" t="s">
        <v>338</v>
      </c>
      <c r="N204" s="5" t="s">
        <v>19</v>
      </c>
      <c r="O204" s="5" t="s">
        <v>27</v>
      </c>
      <c r="P204" s="5">
        <v>95289.0</v>
      </c>
      <c r="Q204" s="5">
        <v>199.0</v>
      </c>
      <c r="R204" s="5">
        <v>19527.0</v>
      </c>
      <c r="S204" s="5">
        <v>82800.0</v>
      </c>
      <c r="T204" s="5">
        <v>5.0</v>
      </c>
      <c r="U204" s="9">
        <v>3223.535948</v>
      </c>
    </row>
    <row r="205">
      <c r="A205" s="4" t="s">
        <v>1252</v>
      </c>
      <c r="B205" s="4" t="str">
        <f>IFERROR(__xludf.DUMMYFUNCTION("SPLIT(A205,""&gt;"")"),"OnAudience ")</f>
        <v>OnAudience </v>
      </c>
      <c r="C205" s="4" t="str">
        <f>IFERROR(__xludf.DUMMYFUNCTION("""COMPUTED_VALUE""")," Interest ")</f>
        <v> Interest </v>
      </c>
      <c r="D205" s="4" t="str">
        <f>IFERROR(__xludf.DUMMYFUNCTION("""COMPUTED_VALUE""")," Personal Finance")</f>
        <v> Personal Finance</v>
      </c>
      <c r="E205" s="4"/>
      <c r="F205" s="4"/>
      <c r="G205" s="4"/>
      <c r="H205" s="4"/>
      <c r="I205" s="4"/>
      <c r="J205" s="5" t="s">
        <v>22</v>
      </c>
      <c r="K205" s="5" t="s">
        <v>16</v>
      </c>
      <c r="L205" s="5" t="s">
        <v>35</v>
      </c>
      <c r="M205" s="6" t="s">
        <v>341</v>
      </c>
      <c r="N205" s="5" t="s">
        <v>19</v>
      </c>
      <c r="O205" s="5" t="s">
        <v>27</v>
      </c>
      <c r="P205" s="5">
        <v>80408.0</v>
      </c>
      <c r="Q205" s="5">
        <v>199.0</v>
      </c>
      <c r="R205" s="5">
        <v>13127.0</v>
      </c>
      <c r="S205" s="5">
        <v>67027.0</v>
      </c>
      <c r="T205" s="5">
        <v>9.0</v>
      </c>
      <c r="U205" s="9">
        <v>1788.111618</v>
      </c>
    </row>
    <row r="206">
      <c r="A206" s="4" t="s">
        <v>1253</v>
      </c>
      <c r="B206" s="4" t="str">
        <f>IFERROR(__xludf.DUMMYFUNCTION("SPLIT(A206,""&gt;"")"),"Mobile - United States ")</f>
        <v>Mobile - United States </v>
      </c>
      <c r="C206" s="4" t="str">
        <f>IFERROR(__xludf.DUMMYFUNCTION("""COMPUTED_VALUE""")," Demographics ")</f>
        <v> Demographics </v>
      </c>
      <c r="D206" s="4" t="str">
        <f>IFERROR(__xludf.DUMMYFUNCTION("""COMPUTED_VALUE""")," Education ")</f>
        <v> Education </v>
      </c>
      <c r="E206" s="4" t="str">
        <f>IFERROR(__xludf.DUMMYFUNCTION("""COMPUTED_VALUE""")," Lowest Education Achievement")</f>
        <v> Lowest Education Achievement</v>
      </c>
      <c r="F206" s="4"/>
      <c r="G206" s="4"/>
      <c r="H206" s="4"/>
      <c r="I206" s="4"/>
      <c r="J206" s="5" t="s">
        <v>22</v>
      </c>
      <c r="K206" s="5" t="s">
        <v>42</v>
      </c>
      <c r="L206" s="5" t="s">
        <v>55</v>
      </c>
      <c r="M206" s="6" t="s">
        <v>341</v>
      </c>
      <c r="N206" s="5" t="s">
        <v>46</v>
      </c>
      <c r="O206" s="5" t="s">
        <v>27</v>
      </c>
      <c r="P206" s="5">
        <v>82916.0</v>
      </c>
      <c r="Q206" s="5">
        <v>199.0</v>
      </c>
      <c r="R206" s="5">
        <v>24951.0</v>
      </c>
      <c r="S206" s="5">
        <v>77333.0</v>
      </c>
      <c r="T206" s="5">
        <v>12.0</v>
      </c>
      <c r="U206" s="9">
        <v>1584.821247</v>
      </c>
    </row>
    <row r="207" hidden="1">
      <c r="A207" s="4" t="s">
        <v>1254</v>
      </c>
      <c r="B207" s="4" t="str">
        <f>IFERROR(__xludf.DUMMYFUNCTION("SPLIT(A207,""&gt;"")"),"Mobile - United States ")</f>
        <v>Mobile - United States </v>
      </c>
      <c r="C207" s="4" t="str">
        <f>IFERROR(__xludf.DUMMYFUNCTION("""COMPUTED_VALUE""")," Food ")</f>
        <v> Food </v>
      </c>
      <c r="D207" s="4" t="str">
        <f>IFERROR(__xludf.DUMMYFUNCTION("""COMPUTED_VALUE""")," Restaurant ")</f>
        <v> Restaurant </v>
      </c>
      <c r="E207" s="4" t="str">
        <f>IFERROR(__xludf.DUMMYFUNCTION("""COMPUTED_VALUE""")," Brand ")</f>
        <v> Brand </v>
      </c>
      <c r="F207" s="4" t="str">
        <f>IFERROR(__xludf.DUMMYFUNCTION("""COMPUTED_VALUE""")," Buffalo Wild Wings")</f>
        <v> Buffalo Wild Wings</v>
      </c>
      <c r="G207" s="4"/>
      <c r="H207" s="4"/>
      <c r="I207" s="4"/>
      <c r="J207" s="5" t="s">
        <v>15</v>
      </c>
      <c r="K207" s="5" t="s">
        <v>16</v>
      </c>
      <c r="L207" s="5" t="s">
        <v>29</v>
      </c>
      <c r="M207" s="6" t="s">
        <v>344</v>
      </c>
      <c r="N207" s="5" t="s">
        <v>19</v>
      </c>
      <c r="O207" s="5" t="s">
        <v>52</v>
      </c>
      <c r="P207" s="5">
        <v>16354.0</v>
      </c>
      <c r="Q207" s="5">
        <v>40.0</v>
      </c>
      <c r="R207" s="5">
        <v>8061.0</v>
      </c>
      <c r="S207" s="5">
        <v>15667.0</v>
      </c>
      <c r="T207" s="5">
        <v>4.0</v>
      </c>
      <c r="U207" s="9">
        <v>1610.319977</v>
      </c>
    </row>
    <row r="208">
      <c r="A208" s="4" t="s">
        <v>1255</v>
      </c>
      <c r="B208" s="4" t="str">
        <f>IFERROR(__xludf.DUMMYFUNCTION("SPLIT(A208,""&gt;"")"),"United States Interest ")</f>
        <v>United States Interest </v>
      </c>
      <c r="C208" s="4" t="str">
        <f>IFERROR(__xludf.DUMMYFUNCTION("""COMPUTED_VALUE""")," Cooking ")</f>
        <v> Cooking </v>
      </c>
      <c r="D208" s="4" t="str">
        <f>IFERROR(__xludf.DUMMYFUNCTION("""COMPUTED_VALUE""")," General")</f>
        <v> General</v>
      </c>
      <c r="E208" s="4"/>
      <c r="F208" s="4"/>
      <c r="G208" s="4"/>
      <c r="H208" s="4"/>
      <c r="I208" s="4"/>
      <c r="J208" s="5" t="s">
        <v>22</v>
      </c>
      <c r="K208" s="5" t="s">
        <v>31</v>
      </c>
      <c r="L208" s="5" t="s">
        <v>35</v>
      </c>
      <c r="M208" s="6" t="s">
        <v>346</v>
      </c>
      <c r="N208" s="5" t="s">
        <v>1046</v>
      </c>
      <c r="O208" s="5" t="s">
        <v>27</v>
      </c>
      <c r="P208" s="5">
        <v>9920.0</v>
      </c>
      <c r="Q208" s="5">
        <v>20.0</v>
      </c>
      <c r="R208" s="5">
        <v>6702.0</v>
      </c>
      <c r="S208" s="5">
        <v>9096.0</v>
      </c>
      <c r="T208" s="5">
        <v>10.0</v>
      </c>
      <c r="U208" s="9">
        <v>1453.11439</v>
      </c>
    </row>
    <row r="209">
      <c r="A209" s="4" t="s">
        <v>1256</v>
      </c>
      <c r="B209" s="4" t="str">
        <f>IFERROR(__xludf.DUMMYFUNCTION("SPLIT(A209,""&gt;"")"),"Travel and Tourism ")</f>
        <v>Travel and Tourism </v>
      </c>
      <c r="C209" s="4" t="str">
        <f>IFERROR(__xludf.DUMMYFUNCTION("""COMPUTED_VALUE""")," Interest (Affinity) ")</f>
        <v> Interest (Affinity) </v>
      </c>
      <c r="D209" s="4" t="str">
        <f>IFERROR(__xludf.DUMMYFUNCTION("""COMPUTED_VALUE""")," Destinations ")</f>
        <v> Destinations </v>
      </c>
      <c r="E209" s="4" t="str">
        <f>IFERROR(__xludf.DUMMYFUNCTION("""COMPUTED_VALUE""")," Latin America")</f>
        <v> Latin America</v>
      </c>
      <c r="F209" s="4"/>
      <c r="G209" s="4"/>
      <c r="H209" s="4"/>
      <c r="I209" s="4"/>
      <c r="J209" s="5" t="s">
        <v>22</v>
      </c>
      <c r="K209" s="5" t="s">
        <v>42</v>
      </c>
      <c r="L209" s="5" t="s">
        <v>24</v>
      </c>
      <c r="M209" s="6" t="s">
        <v>348</v>
      </c>
      <c r="N209" s="5" t="s">
        <v>36</v>
      </c>
      <c r="O209" s="5" t="s">
        <v>27</v>
      </c>
      <c r="P209" s="5">
        <v>31243.0</v>
      </c>
      <c r="Q209" s="5">
        <v>100.0</v>
      </c>
      <c r="R209" s="5">
        <v>16326.0</v>
      </c>
      <c r="S209" s="5">
        <v>25991.0</v>
      </c>
      <c r="T209" s="5">
        <v>21.0</v>
      </c>
      <c r="U209" s="9">
        <v>1452.59056</v>
      </c>
    </row>
    <row r="210" hidden="1">
      <c r="A210" s="4" t="s">
        <v>1257</v>
      </c>
      <c r="B210" s="4" t="str">
        <f>IFERROR(__xludf.DUMMYFUNCTION("SPLIT(A210,""&gt;"")"),"Online Behavior")</f>
        <v>Online Behavior</v>
      </c>
      <c r="C210" s="4" t="str">
        <f>IFERROR(__xludf.DUMMYFUNCTION("""COMPUTED_VALUE"""),"United States")</f>
        <v>United States</v>
      </c>
      <c r="D210" s="4" t="str">
        <f>IFERROR(__xludf.DUMMYFUNCTION("""COMPUTED_VALUE"""),"Intent ")</f>
        <v>Intent </v>
      </c>
      <c r="E210" s="4" t="str">
        <f>IFERROR(__xludf.DUMMYFUNCTION("""COMPUTED_VALUE""")," Shopping")</f>
        <v> Shopping</v>
      </c>
      <c r="F210" s="4" t="str">
        <f>IFERROR(__xludf.DUMMYFUNCTION("""COMPUTED_VALUE"""),"Consumer Electronics ")</f>
        <v>Consumer Electronics </v>
      </c>
      <c r="G210" s="4" t="str">
        <f>IFERROR(__xludf.DUMMYFUNCTION("""COMPUTED_VALUE""")," Video Game Consoles")</f>
        <v> Video Game Consoles</v>
      </c>
      <c r="H210" s="4"/>
      <c r="I210" s="4"/>
      <c r="J210" s="5" t="s">
        <v>15</v>
      </c>
      <c r="K210" s="5" t="s">
        <v>42</v>
      </c>
      <c r="L210" s="5" t="s">
        <v>35</v>
      </c>
      <c r="M210" s="6" t="s">
        <v>350</v>
      </c>
      <c r="N210" s="5" t="s">
        <v>36</v>
      </c>
      <c r="O210" s="5" t="s">
        <v>20</v>
      </c>
      <c r="P210" s="5">
        <v>39314.0</v>
      </c>
      <c r="Q210" s="5">
        <v>100.0</v>
      </c>
      <c r="R210" s="5">
        <v>27671.0</v>
      </c>
      <c r="S210" s="5">
        <v>35488.0</v>
      </c>
      <c r="T210" s="5">
        <v>8.0</v>
      </c>
      <c r="U210" s="9">
        <v>5530.800458</v>
      </c>
    </row>
    <row r="211">
      <c r="A211" s="4" t="s">
        <v>1258</v>
      </c>
      <c r="B211" s="4" t="str">
        <f>IFERROR(__xludf.DUMMYFUNCTION("SPLIT(A211,""&gt;"")"),"Online Behavior")</f>
        <v>Online Behavior</v>
      </c>
      <c r="C211" s="4" t="str">
        <f>IFERROR(__xludf.DUMMYFUNCTION("""COMPUTED_VALUE"""),"United States")</f>
        <v>United States</v>
      </c>
      <c r="D211" s="4" t="str">
        <f>IFERROR(__xludf.DUMMYFUNCTION("""COMPUTED_VALUE"""),"Intent ")</f>
        <v>Intent </v>
      </c>
      <c r="E211" s="4" t="str">
        <f>IFERROR(__xludf.DUMMYFUNCTION("""COMPUTED_VALUE""")," Auto Buyers ")</f>
        <v> Auto Buyers </v>
      </c>
      <c r="F211" s="4" t="str">
        <f>IFERROR(__xludf.DUMMYFUNCTION("""COMPUTED_VALUE""")," Category")</f>
        <v> Category</v>
      </c>
      <c r="G211" s="4" t="str">
        <f>IFERROR(__xludf.DUMMYFUNCTION("""COMPUTED_VALUE"""),"Motorcycle")</f>
        <v>Motorcycle</v>
      </c>
      <c r="H211" s="4"/>
      <c r="I211" s="4"/>
      <c r="J211" s="5" t="s">
        <v>22</v>
      </c>
      <c r="K211" s="5" t="s">
        <v>42</v>
      </c>
      <c r="L211" s="5" t="s">
        <v>17</v>
      </c>
      <c r="M211" s="6" t="s">
        <v>352</v>
      </c>
      <c r="N211" s="5" t="s">
        <v>1046</v>
      </c>
      <c r="O211" s="5" t="s">
        <v>27</v>
      </c>
      <c r="P211" s="5">
        <v>15252.0</v>
      </c>
      <c r="Q211" s="5">
        <v>55.0</v>
      </c>
      <c r="R211" s="5">
        <v>2152.0</v>
      </c>
      <c r="S211" s="5">
        <v>3482.0</v>
      </c>
      <c r="T211" s="5">
        <v>7.0</v>
      </c>
      <c r="U211" s="9">
        <v>6211.200147</v>
      </c>
    </row>
    <row r="212">
      <c r="A212" s="4" t="s">
        <v>1259</v>
      </c>
      <c r="B212" s="4" t="str">
        <f>IFERROR(__xludf.DUMMYFUNCTION("SPLIT(A212,""&gt;"")"),"United States Financial ")</f>
        <v>United States Financial </v>
      </c>
      <c r="C212" s="4" t="str">
        <f>IFERROR(__xludf.DUMMYFUNCTION("""COMPUTED_VALUE""")," Credit Card Type ")</f>
        <v> Credit Card Type </v>
      </c>
      <c r="D212" s="4" t="str">
        <f>IFERROR(__xludf.DUMMYFUNCTION("""COMPUTED_VALUE""")," Credit Card Holder - Unknown Type")</f>
        <v> Credit Card Holder - Unknown Type</v>
      </c>
      <c r="E212" s="4"/>
      <c r="F212" s="4"/>
      <c r="G212" s="4"/>
      <c r="H212" s="4"/>
      <c r="I212" s="4"/>
      <c r="J212" s="5" t="s">
        <v>61</v>
      </c>
      <c r="K212" s="5" t="s">
        <v>42</v>
      </c>
      <c r="L212" s="5" t="s">
        <v>304</v>
      </c>
      <c r="M212" s="6" t="s">
        <v>352</v>
      </c>
      <c r="N212" s="5" t="s">
        <v>19</v>
      </c>
      <c r="O212" s="5" t="s">
        <v>27</v>
      </c>
      <c r="P212" s="5">
        <v>7394.0</v>
      </c>
      <c r="Q212" s="5">
        <v>20.0</v>
      </c>
      <c r="R212" s="5">
        <v>3441.0</v>
      </c>
      <c r="S212" s="5">
        <v>6663.0</v>
      </c>
      <c r="T212" s="5">
        <v>1.0</v>
      </c>
      <c r="U212" s="9">
        <v>1624.840774</v>
      </c>
    </row>
    <row r="213">
      <c r="A213" s="4" t="s">
        <v>1260</v>
      </c>
      <c r="B213" s="4" t="str">
        <f>IFERROR(__xludf.DUMMYFUNCTION("SPLIT(A213,""&gt;"")"),"United States ")</f>
        <v>United States </v>
      </c>
      <c r="C213" s="4" t="str">
        <f>IFERROR(__xludf.DUMMYFUNCTION("""COMPUTED_VALUE""")," Brand Propensities ")</f>
        <v> Brand Propensities </v>
      </c>
      <c r="D213" s="4" t="str">
        <f>IFERROR(__xludf.DUMMYFUNCTION("""COMPUTED_VALUE""")," Travel ")</f>
        <v> Travel </v>
      </c>
      <c r="E213" s="4" t="str">
        <f>IFERROR(__xludf.DUMMYFUNCTION("""COMPUTED_VALUE""")," Booking.com Buyer Propensity")</f>
        <v> Booking.com Buyer Propensity</v>
      </c>
      <c r="F213" s="4"/>
      <c r="G213" s="4"/>
      <c r="H213" s="4"/>
      <c r="I213" s="4"/>
      <c r="J213" s="5" t="s">
        <v>22</v>
      </c>
      <c r="K213" s="5" t="s">
        <v>16</v>
      </c>
      <c r="L213" s="5" t="s">
        <v>55</v>
      </c>
      <c r="M213" s="6" t="s">
        <v>352</v>
      </c>
      <c r="N213" s="5" t="s">
        <v>19</v>
      </c>
      <c r="O213" s="5" t="s">
        <v>27</v>
      </c>
      <c r="P213" s="5">
        <v>22259.0</v>
      </c>
      <c r="Q213" s="5">
        <v>120.0</v>
      </c>
      <c r="R213" s="5">
        <v>12405.0</v>
      </c>
      <c r="S213" s="5">
        <v>17609.0</v>
      </c>
      <c r="T213" s="5">
        <v>14.0</v>
      </c>
      <c r="U213" s="9">
        <v>1611.340211</v>
      </c>
    </row>
    <row r="214" hidden="1">
      <c r="A214" s="4" t="s">
        <v>1261</v>
      </c>
      <c r="B214" s="4" t="str">
        <f>IFERROR(__xludf.DUMMYFUNCTION("SPLIT(A214,""&gt;"")"),"United States Financial ")</f>
        <v>United States Financial </v>
      </c>
      <c r="C214" s="4" t="str">
        <f>IFERROR(__xludf.DUMMYFUNCTION("""COMPUTED_VALUE""")," Estimated Disposable Income ")</f>
        <v> Estimated Disposable Income </v>
      </c>
      <c r="D214" s="4" t="str">
        <f>IFERROR(__xludf.DUMMYFUNCTION("""COMPUTED_VALUE""")," $0 - $99,999")</f>
        <v> $0 - $99,999</v>
      </c>
      <c r="E214" s="4"/>
      <c r="F214" s="4"/>
      <c r="G214" s="4"/>
      <c r="H214" s="4"/>
      <c r="I214" s="4"/>
      <c r="J214" s="5" t="s">
        <v>15</v>
      </c>
      <c r="K214" s="5" t="s">
        <v>16</v>
      </c>
      <c r="L214" s="5" t="s">
        <v>356</v>
      </c>
      <c r="M214" s="6" t="s">
        <v>352</v>
      </c>
      <c r="N214" s="5" t="s">
        <v>48</v>
      </c>
      <c r="O214" s="5" t="s">
        <v>52</v>
      </c>
      <c r="P214" s="5">
        <v>21143.0</v>
      </c>
      <c r="Q214" s="5">
        <v>56.0</v>
      </c>
      <c r="R214" s="5">
        <v>3798.0</v>
      </c>
      <c r="S214" s="5">
        <v>19588.0</v>
      </c>
      <c r="T214" s="5">
        <v>3.0</v>
      </c>
      <c r="U214" s="9">
        <v>1500.41822</v>
      </c>
    </row>
    <row r="215">
      <c r="A215" s="4" t="s">
        <v>357</v>
      </c>
      <c r="B215" s="4" t="str">
        <f>IFERROR(__xludf.DUMMYFUNCTION("SPLIT(A215,""&gt;"")"),"Online Behavior")</f>
        <v>Online Behavior</v>
      </c>
      <c r="C215" s="4" t="str">
        <f>IFERROR(__xludf.DUMMYFUNCTION("""COMPUTED_VALUE"""),"United States")</f>
        <v>United States</v>
      </c>
      <c r="D215" s="4" t="str">
        <f>IFERROR(__xludf.DUMMYFUNCTION("""COMPUTED_VALUE"""),"Autos and Vehicles")</f>
        <v>Autos and Vehicles</v>
      </c>
      <c r="E215" s="4" t="str">
        <f>IFERROR(__xludf.DUMMYFUNCTION("""COMPUTED_VALUE"""),"Boats and Watercraft")</f>
        <v>Boats and Watercraft</v>
      </c>
      <c r="F215" s="4"/>
      <c r="G215" s="4"/>
      <c r="H215" s="4"/>
      <c r="I215" s="4"/>
      <c r="J215" s="5" t="s">
        <v>22</v>
      </c>
      <c r="K215" s="5" t="s">
        <v>16</v>
      </c>
      <c r="L215" s="5" t="s">
        <v>35</v>
      </c>
      <c r="M215" s="6" t="s">
        <v>358</v>
      </c>
      <c r="N215" s="5" t="s">
        <v>48</v>
      </c>
      <c r="O215" s="5" t="s">
        <v>27</v>
      </c>
      <c r="P215" s="5">
        <v>111624.0</v>
      </c>
      <c r="Q215" s="5">
        <v>590.0</v>
      </c>
      <c r="R215" s="5">
        <v>40343.0</v>
      </c>
      <c r="S215" s="5">
        <v>101306.0</v>
      </c>
      <c r="T215" s="5">
        <v>21.0</v>
      </c>
      <c r="U215" s="9">
        <v>6510.446656</v>
      </c>
    </row>
    <row r="216" hidden="1">
      <c r="A216" s="4" t="s">
        <v>1262</v>
      </c>
      <c r="B216" s="4" t="str">
        <f>IFERROR(__xludf.DUMMYFUNCTION("SPLIT(A216,""&gt;"")"),"Online Behavior")</f>
        <v>Online Behavior</v>
      </c>
      <c r="C216" s="4" t="str">
        <f>IFERROR(__xludf.DUMMYFUNCTION("""COMPUTED_VALUE"""),"United States")</f>
        <v>United States</v>
      </c>
      <c r="D216" s="4" t="str">
        <f>IFERROR(__xludf.DUMMYFUNCTION("""COMPUTED_VALUE"""),"Beauty and Fitness")</f>
        <v>Beauty and Fitness</v>
      </c>
      <c r="E216" s="4" t="str">
        <f>IFERROR(__xludf.DUMMYFUNCTION("""COMPUTED_VALUE"""),"Fitness ")</f>
        <v>Fitness </v>
      </c>
      <c r="F216" s="4" t="str">
        <f>IFERROR(__xludf.DUMMYFUNCTION("""COMPUTED_VALUE""")," Yoga and Pilates")</f>
        <v> Yoga and Pilates</v>
      </c>
      <c r="G216" s="4"/>
      <c r="H216" s="4"/>
      <c r="I216" s="4"/>
      <c r="J216" s="5" t="s">
        <v>15</v>
      </c>
      <c r="K216" s="5" t="s">
        <v>42</v>
      </c>
      <c r="L216" s="5" t="s">
        <v>78</v>
      </c>
      <c r="M216" s="6" t="s">
        <v>358</v>
      </c>
      <c r="N216" s="5" t="s">
        <v>26</v>
      </c>
      <c r="O216" s="5" t="s">
        <v>52</v>
      </c>
      <c r="P216" s="5">
        <v>95644.0</v>
      </c>
      <c r="Q216" s="5">
        <v>240.0</v>
      </c>
      <c r="R216" s="5">
        <v>13294.0</v>
      </c>
      <c r="S216" s="5">
        <v>86775.0</v>
      </c>
      <c r="T216" s="5">
        <v>9.0</v>
      </c>
      <c r="U216" s="9">
        <v>5587.763675</v>
      </c>
    </row>
    <row r="217" hidden="1">
      <c r="A217" s="4" t="s">
        <v>1263</v>
      </c>
      <c r="B217" s="4" t="str">
        <f>IFERROR(__xludf.DUMMYFUNCTION("SPLIT(A217,""&gt;"")"),"United States ")</f>
        <v>United States </v>
      </c>
      <c r="C217" s="4" t="str">
        <f>IFERROR(__xludf.DUMMYFUNCTION("""COMPUTED_VALUE""")," Reach ")</f>
        <v> Reach </v>
      </c>
      <c r="D217" s="4" t="str">
        <f>IFERROR(__xludf.DUMMYFUNCTION("""COMPUTED_VALUE""")," Propensity Models ")</f>
        <v> Propensity Models </v>
      </c>
      <c r="E217" s="4" t="str">
        <f>IFERROR(__xludf.DUMMYFUNCTION("""COMPUTED_VALUE""")," Hobbies and Interest ")</f>
        <v> Hobbies and Interest </v>
      </c>
      <c r="F217" s="4" t="str">
        <f>IFERROR(__xludf.DUMMYFUNCTION("""COMPUTED_VALUE""")," Sports ")</f>
        <v> Sports </v>
      </c>
      <c r="G217" s="4" t="str">
        <f>IFERROR(__xludf.DUMMYFUNCTION("""COMPUTED_VALUE""")," Fitness EnthUnited Statesiasts")</f>
        <v> Fitness EnthUnited Statesiasts</v>
      </c>
      <c r="H217" s="4"/>
      <c r="I217" s="4"/>
      <c r="J217" s="5" t="s">
        <v>15</v>
      </c>
      <c r="K217" s="5" t="s">
        <v>42</v>
      </c>
      <c r="L217" s="5" t="s">
        <v>35</v>
      </c>
      <c r="M217" s="6" t="s">
        <v>358</v>
      </c>
      <c r="N217" s="5" t="s">
        <v>19</v>
      </c>
      <c r="O217" s="5" t="s">
        <v>52</v>
      </c>
      <c r="P217" s="5">
        <v>65238.0</v>
      </c>
      <c r="Q217" s="5">
        <v>240.0</v>
      </c>
      <c r="R217" s="5">
        <v>23741.0</v>
      </c>
      <c r="S217" s="5">
        <v>59893.0</v>
      </c>
      <c r="T217" s="5">
        <v>15.0</v>
      </c>
      <c r="U217" s="9">
        <v>3132.519209</v>
      </c>
    </row>
    <row r="218">
      <c r="A218" s="4" t="s">
        <v>361</v>
      </c>
      <c r="B218" s="4" t="str">
        <f>IFERROR(__xludf.DUMMYFUNCTION("SPLIT(A218,""&gt;"")"),"Online Behavior")</f>
        <v>Online Behavior</v>
      </c>
      <c r="C218" s="4" t="str">
        <f>IFERROR(__xludf.DUMMYFUNCTION("""COMPUTED_VALUE"""),"United States")</f>
        <v>United States</v>
      </c>
      <c r="D218" s="4" t="str">
        <f>IFERROR(__xludf.DUMMYFUNCTION("""COMPUTED_VALUE"""),"News")</f>
        <v>News</v>
      </c>
      <c r="E218" s="4" t="str">
        <f>IFERROR(__xludf.DUMMYFUNCTION("""COMPUTED_VALUE"""),"Technology News")</f>
        <v>Technology News</v>
      </c>
      <c r="F218" s="4"/>
      <c r="G218" s="4"/>
      <c r="H218" s="4"/>
      <c r="I218" s="4"/>
      <c r="J218" s="5" t="s">
        <v>61</v>
      </c>
      <c r="K218" s="5" t="s">
        <v>42</v>
      </c>
      <c r="L218" s="5" t="s">
        <v>55</v>
      </c>
      <c r="M218" s="6" t="s">
        <v>362</v>
      </c>
      <c r="N218" s="5" t="s">
        <v>46</v>
      </c>
      <c r="O218" s="5" t="s">
        <v>27</v>
      </c>
      <c r="P218" s="5">
        <v>115412.0</v>
      </c>
      <c r="Q218" s="5">
        <v>490.0</v>
      </c>
      <c r="R218" s="5">
        <v>71564.0</v>
      </c>
      <c r="S218" s="5">
        <v>81785.0</v>
      </c>
      <c r="T218" s="5">
        <v>21.0</v>
      </c>
      <c r="U218" s="9">
        <v>6861.53638</v>
      </c>
    </row>
    <row r="219">
      <c r="A219" s="4" t="s">
        <v>1264</v>
      </c>
      <c r="B219" s="4" t="str">
        <f>IFERROR(__xludf.DUMMYFUNCTION("SPLIT(A219,""&gt;"")"),"OnAudience ")</f>
        <v>OnAudience </v>
      </c>
      <c r="C219" s="4" t="str">
        <f>IFERROR(__xludf.DUMMYFUNCTION("""COMPUTED_VALUE""")," Interest ")</f>
        <v> Interest </v>
      </c>
      <c r="D219" s="4" t="str">
        <f>IFERROR(__xludf.DUMMYFUNCTION("""COMPUTED_VALUE""")," Sports")</f>
        <v> Sports</v>
      </c>
      <c r="E219" s="4"/>
      <c r="F219" s="4"/>
      <c r="G219" s="4"/>
      <c r="H219" s="4"/>
      <c r="I219" s="4"/>
      <c r="J219" s="5" t="s">
        <v>15</v>
      </c>
      <c r="K219" s="5" t="s">
        <v>31</v>
      </c>
      <c r="L219" s="5" t="s">
        <v>35</v>
      </c>
      <c r="M219" s="6" t="s">
        <v>362</v>
      </c>
      <c r="N219" s="5" t="s">
        <v>19</v>
      </c>
      <c r="O219" s="5" t="s">
        <v>27</v>
      </c>
      <c r="P219" s="5">
        <v>11375.0</v>
      </c>
      <c r="Q219" s="5">
        <v>87.0</v>
      </c>
      <c r="R219" s="5">
        <v>7171.0</v>
      </c>
      <c r="S219" s="5">
        <v>8151.0</v>
      </c>
      <c r="T219" s="5">
        <v>4.0</v>
      </c>
      <c r="U219" s="9">
        <v>1763.784061</v>
      </c>
    </row>
    <row r="220" hidden="1">
      <c r="A220" s="4" t="s">
        <v>364</v>
      </c>
      <c r="B220" s="4" t="str">
        <f>IFERROR(__xludf.DUMMYFUNCTION("SPLIT(A220,""&gt;"")"),"Online Behavior")</f>
        <v>Online Behavior</v>
      </c>
      <c r="C220" s="4" t="str">
        <f>IFERROR(__xludf.DUMMYFUNCTION("""COMPUTED_VALUE"""),"United States")</f>
        <v>United States</v>
      </c>
      <c r="D220" s="4" t="str">
        <f>IFERROR(__xludf.DUMMYFUNCTION("""COMPUTED_VALUE"""),"Travel")</f>
        <v>Travel</v>
      </c>
      <c r="E220" s="4" t="str">
        <f>IFERROR(__xludf.DUMMYFUNCTION("""COMPUTED_VALUE"""),"Air Travel")</f>
        <v>Air Travel</v>
      </c>
      <c r="F220" s="4"/>
      <c r="G220" s="4"/>
      <c r="H220" s="4"/>
      <c r="I220" s="4"/>
      <c r="J220" s="5" t="s">
        <v>15</v>
      </c>
      <c r="K220" s="5" t="s">
        <v>31</v>
      </c>
      <c r="L220" s="5" t="s">
        <v>35</v>
      </c>
      <c r="M220" s="6" t="s">
        <v>365</v>
      </c>
      <c r="N220" s="5" t="s">
        <v>19</v>
      </c>
      <c r="O220" s="5" t="s">
        <v>52</v>
      </c>
      <c r="P220" s="5">
        <v>27394.0</v>
      </c>
      <c r="Q220" s="5">
        <v>74.0</v>
      </c>
      <c r="R220" s="5">
        <v>16144.0</v>
      </c>
      <c r="S220" s="5">
        <v>24752.0</v>
      </c>
      <c r="T220" s="5">
        <v>78.0</v>
      </c>
      <c r="U220" s="9">
        <v>7264.58761</v>
      </c>
    </row>
    <row r="221">
      <c r="A221" s="4" t="s">
        <v>366</v>
      </c>
      <c r="B221" s="4" t="str">
        <f>IFERROR(__xludf.DUMMYFUNCTION("SPLIT(A221,""&gt;"")"),"Online Behavior")</f>
        <v>Online Behavior</v>
      </c>
      <c r="C221" s="4" t="str">
        <f>IFERROR(__xludf.DUMMYFUNCTION("""COMPUTED_VALUE"""),"United States")</f>
        <v>United States</v>
      </c>
      <c r="D221" s="4" t="str">
        <f>IFERROR(__xludf.DUMMYFUNCTION("""COMPUTED_VALUE"""),"Beauty and Fitness")</f>
        <v>Beauty and Fitness</v>
      </c>
      <c r="E221" s="4" t="str">
        <f>IFERROR(__xludf.DUMMYFUNCTION("""COMPUTED_VALUE"""),"Body Art")</f>
        <v>Body Art</v>
      </c>
      <c r="F221" s="4"/>
      <c r="G221" s="4"/>
      <c r="H221" s="4"/>
      <c r="I221" s="4"/>
      <c r="J221" s="5" t="s">
        <v>22</v>
      </c>
      <c r="K221" s="5" t="s">
        <v>42</v>
      </c>
      <c r="L221" s="5" t="s">
        <v>39</v>
      </c>
      <c r="M221" s="6" t="s">
        <v>365</v>
      </c>
      <c r="N221" s="5" t="s">
        <v>19</v>
      </c>
      <c r="O221" s="5" t="s">
        <v>27</v>
      </c>
      <c r="P221" s="5">
        <v>22690.0</v>
      </c>
      <c r="Q221" s="5">
        <v>68.0</v>
      </c>
      <c r="R221" s="5">
        <v>10212.0</v>
      </c>
      <c r="S221" s="5">
        <v>19934.0</v>
      </c>
      <c r="T221" s="5">
        <v>19.0</v>
      </c>
      <c r="U221" s="9">
        <v>7210.686506</v>
      </c>
    </row>
    <row r="222">
      <c r="A222" s="4" t="s">
        <v>367</v>
      </c>
      <c r="B222" s="4" t="str">
        <f>IFERROR(__xludf.DUMMYFUNCTION("SPLIT(A222,""&gt;"")"),"Online Behavior")</f>
        <v>Online Behavior</v>
      </c>
      <c r="C222" s="4" t="str">
        <f>IFERROR(__xludf.DUMMYFUNCTION("""COMPUTED_VALUE"""),"United States")</f>
        <v>United States</v>
      </c>
      <c r="D222" s="4" t="str">
        <f>IFERROR(__xludf.DUMMYFUNCTION("""COMPUTED_VALUE"""),"Home and Garden")</f>
        <v>Home and Garden</v>
      </c>
      <c r="E222" s="4" t="str">
        <f>IFERROR(__xludf.DUMMYFUNCTION("""COMPUTED_VALUE"""),"Home Improvement")</f>
        <v>Home Improvement</v>
      </c>
      <c r="F222" s="4"/>
      <c r="G222" s="4"/>
      <c r="H222" s="4"/>
      <c r="I222" s="4"/>
      <c r="J222" s="5" t="s">
        <v>22</v>
      </c>
      <c r="K222" s="5" t="s">
        <v>42</v>
      </c>
      <c r="L222" s="5" t="s">
        <v>78</v>
      </c>
      <c r="M222" s="6" t="s">
        <v>365</v>
      </c>
      <c r="N222" s="5" t="s">
        <v>36</v>
      </c>
      <c r="O222" s="5" t="s">
        <v>27</v>
      </c>
      <c r="P222" s="5">
        <v>76049.0</v>
      </c>
      <c r="Q222" s="5">
        <v>199.0</v>
      </c>
      <c r="R222" s="5">
        <v>34921.0</v>
      </c>
      <c r="S222" s="5">
        <v>69138.0</v>
      </c>
      <c r="T222" s="5">
        <v>8.0</v>
      </c>
      <c r="U222" s="9">
        <v>6942.800458</v>
      </c>
    </row>
    <row r="223">
      <c r="A223" s="4" t="s">
        <v>1265</v>
      </c>
      <c r="B223" s="4" t="str">
        <f>IFERROR(__xludf.DUMMYFUNCTION("SPLIT(A223,""&gt;"")"),"Online Behavior")</f>
        <v>Online Behavior</v>
      </c>
      <c r="C223" s="4" t="str">
        <f>IFERROR(__xludf.DUMMYFUNCTION("""COMPUTED_VALUE"""),"United States")</f>
        <v>United States</v>
      </c>
      <c r="D223" s="4" t="str">
        <f>IFERROR(__xludf.DUMMYFUNCTION("""COMPUTED_VALUE"""),"News")</f>
        <v>News</v>
      </c>
      <c r="E223" s="4" t="str">
        <f>IFERROR(__xludf.DUMMYFUNCTION("""COMPUTED_VALUE"""),"BUnited Statesiness News")</f>
        <v>BUnited Statesiness News</v>
      </c>
      <c r="F223" s="4"/>
      <c r="G223" s="4"/>
      <c r="H223" s="4"/>
      <c r="I223" s="4"/>
      <c r="J223" s="5" t="s">
        <v>22</v>
      </c>
      <c r="K223" s="5" t="s">
        <v>16</v>
      </c>
      <c r="L223" s="5" t="s">
        <v>173</v>
      </c>
      <c r="M223" s="6" t="s">
        <v>365</v>
      </c>
      <c r="N223" s="5" t="s">
        <v>48</v>
      </c>
      <c r="O223" s="5" t="s">
        <v>27</v>
      </c>
      <c r="P223" s="5">
        <v>44505.0</v>
      </c>
      <c r="Q223" s="5">
        <v>125.0</v>
      </c>
      <c r="R223" s="5">
        <v>18993.0</v>
      </c>
      <c r="S223" s="5">
        <v>39522.0</v>
      </c>
      <c r="T223" s="5">
        <v>16.0</v>
      </c>
      <c r="U223" s="9">
        <v>6766.475368</v>
      </c>
    </row>
    <row r="224">
      <c r="A224" s="4" t="s">
        <v>1266</v>
      </c>
      <c r="B224" s="4" t="str">
        <f>IFERROR(__xludf.DUMMYFUNCTION("SPLIT(A224,""&gt;"")"),"Online Behavior")</f>
        <v>Online Behavior</v>
      </c>
      <c r="C224" s="4" t="str">
        <f>IFERROR(__xludf.DUMMYFUNCTION("""COMPUTED_VALUE"""),"United States")</f>
        <v>United States</v>
      </c>
      <c r="D224" s="4" t="str">
        <f>IFERROR(__xludf.DUMMYFUNCTION("""COMPUTED_VALUE"""),"Intent ")</f>
        <v>Intent </v>
      </c>
      <c r="E224" s="4" t="str">
        <f>IFERROR(__xludf.DUMMYFUNCTION("""COMPUTED_VALUE""")," Auto Buyers ")</f>
        <v> Auto Buyers </v>
      </c>
      <c r="F224" s="4" t="str">
        <f>IFERROR(__xludf.DUMMYFUNCTION("""COMPUTED_VALUE""")," Car Make")</f>
        <v> Car Make</v>
      </c>
      <c r="G224" s="4" t="str">
        <f>IFERROR(__xludf.DUMMYFUNCTION("""COMPUTED_VALUE"""),"Opel")</f>
        <v>Opel</v>
      </c>
      <c r="H224" s="4"/>
      <c r="I224" s="4"/>
      <c r="J224" s="5" t="s">
        <v>15</v>
      </c>
      <c r="K224" s="5" t="s">
        <v>16</v>
      </c>
      <c r="L224" s="5" t="s">
        <v>78</v>
      </c>
      <c r="M224" s="6" t="s">
        <v>365</v>
      </c>
      <c r="N224" s="5" t="s">
        <v>19</v>
      </c>
      <c r="O224" s="5" t="s">
        <v>27</v>
      </c>
      <c r="P224" s="5">
        <v>286998.0</v>
      </c>
      <c r="Q224" s="5">
        <v>815.0</v>
      </c>
      <c r="R224" s="5">
        <v>61586.0</v>
      </c>
      <c r="S224" s="5">
        <v>247500.0</v>
      </c>
      <c r="T224" s="5">
        <v>13.0</v>
      </c>
      <c r="U224" s="9">
        <v>6395.550624</v>
      </c>
    </row>
    <row r="225" hidden="1">
      <c r="A225" s="4" t="s">
        <v>1267</v>
      </c>
      <c r="B225" s="4" t="str">
        <f>IFERROR(__xludf.DUMMYFUNCTION("SPLIT(A225,""&gt;"")"),"Online Behavior")</f>
        <v>Online Behavior</v>
      </c>
      <c r="C225" s="4" t="str">
        <f>IFERROR(__xludf.DUMMYFUNCTION("""COMPUTED_VALUE"""),"United States")</f>
        <v>United States</v>
      </c>
      <c r="D225" s="4" t="str">
        <f>IFERROR(__xludf.DUMMYFUNCTION("""COMPUTED_VALUE"""),"The Changing Consumer")</f>
        <v>The Changing Consumer</v>
      </c>
      <c r="E225" s="4" t="str">
        <f>IFERROR(__xludf.DUMMYFUNCTION("""COMPUTED_VALUE"""),"Active Facebook United Statesers")</f>
        <v>Active Facebook United Statesers</v>
      </c>
      <c r="F225" s="4"/>
      <c r="G225" s="4"/>
      <c r="H225" s="4"/>
      <c r="I225" s="4"/>
      <c r="J225" s="5" t="s">
        <v>15</v>
      </c>
      <c r="K225" s="5" t="s">
        <v>23</v>
      </c>
      <c r="L225" s="5" t="s">
        <v>29</v>
      </c>
      <c r="M225" s="6" t="s">
        <v>365</v>
      </c>
      <c r="N225" s="5" t="s">
        <v>19</v>
      </c>
      <c r="O225" s="5" t="s">
        <v>52</v>
      </c>
      <c r="P225" s="5">
        <v>127090.0</v>
      </c>
      <c r="Q225" s="5">
        <v>299.0</v>
      </c>
      <c r="R225" s="5">
        <v>30178.0</v>
      </c>
      <c r="S225" s="5">
        <v>113438.0</v>
      </c>
      <c r="T225" s="5">
        <v>24.0</v>
      </c>
      <c r="U225" s="9">
        <v>5808.911254</v>
      </c>
    </row>
    <row r="226">
      <c r="A226" s="4" t="s">
        <v>1268</v>
      </c>
      <c r="B226" s="4" t="str">
        <f>IFERROR(__xludf.DUMMYFUNCTION("SPLIT(A226,""&gt;"")"),"Online Behavior")</f>
        <v>Online Behavior</v>
      </c>
      <c r="C226" s="4" t="str">
        <f>IFERROR(__xludf.DUMMYFUNCTION("""COMPUTED_VALUE"""),"United States")</f>
        <v>United States</v>
      </c>
      <c r="D226" s="4" t="str">
        <f>IFERROR(__xludf.DUMMYFUNCTION("""COMPUTED_VALUE"""),"Validated Demographic ")</f>
        <v>Validated Demographic </v>
      </c>
      <c r="E226" s="4" t="str">
        <f>IFERROR(__xludf.DUMMYFUNCTION("""COMPUTED_VALUE""")," Gender and Age Combined")</f>
        <v> Gender and Age Combined</v>
      </c>
      <c r="F226" s="4" t="str">
        <f>IFERROR(__xludf.DUMMYFUNCTION("""COMPUTED_VALUE"""),"Females 65 or older")</f>
        <v>Females 65 or older</v>
      </c>
      <c r="G226" s="4"/>
      <c r="H226" s="4"/>
      <c r="I226" s="4"/>
      <c r="J226" s="5" t="s">
        <v>22</v>
      </c>
      <c r="K226" s="5" t="s">
        <v>23</v>
      </c>
      <c r="L226" s="5" t="s">
        <v>35</v>
      </c>
      <c r="M226" s="6" t="s">
        <v>365</v>
      </c>
      <c r="N226" s="5" t="s">
        <v>19</v>
      </c>
      <c r="O226" s="5" t="s">
        <v>27</v>
      </c>
      <c r="P226" s="5">
        <v>232470.0</v>
      </c>
      <c r="Q226" s="5">
        <v>504.0</v>
      </c>
      <c r="R226" s="5">
        <v>40870.0</v>
      </c>
      <c r="S226" s="5">
        <v>195447.0</v>
      </c>
      <c r="T226" s="5">
        <v>36.0</v>
      </c>
      <c r="U226" s="9">
        <v>5401.365085</v>
      </c>
    </row>
    <row r="227">
      <c r="A227" s="4" t="s">
        <v>1269</v>
      </c>
      <c r="B227" s="4" t="str">
        <f>IFERROR(__xludf.DUMMYFUNCTION("SPLIT(A227,""&gt;"")"),"United States ")</f>
        <v>United States </v>
      </c>
      <c r="C227" s="4" t="str">
        <f>IFERROR(__xludf.DUMMYFUNCTION("""COMPUTED_VALUE""")," B2B ")</f>
        <v> B2B </v>
      </c>
      <c r="D227" s="4" t="str">
        <f>IFERROR(__xludf.DUMMYFUNCTION("""COMPUTED_VALUE""")," B2B Decision Maker Responsibilities ")</f>
        <v> B2B Decision Maker Responsibilities </v>
      </c>
      <c r="E227" s="4" t="str">
        <f>IFERROR(__xludf.DUMMYFUNCTION("""COMPUTED_VALUE""")," Computer Hardware")</f>
        <v> Computer Hardware</v>
      </c>
      <c r="F227" s="4"/>
      <c r="G227" s="4"/>
      <c r="H227" s="4"/>
      <c r="I227" s="4"/>
      <c r="J227" s="5" t="s">
        <v>22</v>
      </c>
      <c r="K227" s="5" t="s">
        <v>42</v>
      </c>
      <c r="L227" s="5" t="s">
        <v>29</v>
      </c>
      <c r="M227" s="6" t="s">
        <v>365</v>
      </c>
      <c r="N227" s="5" t="s">
        <v>191</v>
      </c>
      <c r="O227" s="5" t="s">
        <v>27</v>
      </c>
      <c r="P227" s="5">
        <v>51056.0</v>
      </c>
      <c r="Q227" s="5">
        <v>120.0</v>
      </c>
      <c r="R227" s="5">
        <v>24672.0</v>
      </c>
      <c r="S227" s="5">
        <v>45563.0</v>
      </c>
      <c r="T227" s="5">
        <v>4.0</v>
      </c>
      <c r="U227" s="9">
        <v>2215.631845</v>
      </c>
    </row>
    <row r="228">
      <c r="A228" s="4" t="s">
        <v>1270</v>
      </c>
      <c r="B228" s="4" t="str">
        <f>IFERROR(__xludf.DUMMYFUNCTION("SPLIT(A228,""&gt;"")"),"United States ")</f>
        <v>United States </v>
      </c>
      <c r="C228" s="4" t="str">
        <f>IFERROR(__xludf.DUMMYFUNCTION("""COMPUTED_VALUE""")," Brand Propensities ")</f>
        <v> Brand Propensities </v>
      </c>
      <c r="D228" s="4" t="str">
        <f>IFERROR(__xludf.DUMMYFUNCTION("""COMPUTED_VALUE""")," Media and Entertainment ")</f>
        <v> Media and Entertainment </v>
      </c>
      <c r="E228" s="4" t="str">
        <f>IFERROR(__xludf.DUMMYFUNCTION("""COMPUTED_VALUE""")," Regal Cinemas Buyer Propensity")</f>
        <v> Regal Cinemas Buyer Propensity</v>
      </c>
      <c r="F228" s="4"/>
      <c r="G228" s="4"/>
      <c r="H228" s="4"/>
      <c r="I228" s="4"/>
      <c r="J228" s="5" t="s">
        <v>22</v>
      </c>
      <c r="K228" s="5" t="s">
        <v>42</v>
      </c>
      <c r="L228" s="5" t="s">
        <v>84</v>
      </c>
      <c r="M228" s="6" t="s">
        <v>365</v>
      </c>
      <c r="N228" s="5" t="s">
        <v>19</v>
      </c>
      <c r="O228" s="5" t="s">
        <v>27</v>
      </c>
      <c r="P228" s="5">
        <v>52582.0</v>
      </c>
      <c r="Q228" s="5">
        <v>140.0</v>
      </c>
      <c r="R228" s="5">
        <v>22065.0</v>
      </c>
      <c r="S228" s="5">
        <v>46126.0</v>
      </c>
      <c r="T228" s="5">
        <v>10.0</v>
      </c>
      <c r="U228" s="9">
        <v>1631.741712</v>
      </c>
    </row>
    <row r="229">
      <c r="A229" s="4" t="s">
        <v>1271</v>
      </c>
      <c r="B229" s="4" t="str">
        <f>IFERROR(__xludf.DUMMYFUNCTION("SPLIT(A229,""&gt;"")"),"United States ")</f>
        <v>United States </v>
      </c>
      <c r="C229" s="4" t="str">
        <f>IFERROR(__xludf.DUMMYFUNCTION("""COMPUTED_VALUE""")," Premium Entertainment and Pastimes ")</f>
        <v> Premium Entertainment and Pastimes </v>
      </c>
      <c r="D229" s="4" t="str">
        <f>IFERROR(__xludf.DUMMYFUNCTION("""COMPUTED_VALUE""")," Premium Magazine EnthUnited Statesiasts")</f>
        <v> Premium Magazine EnthUnited Statesiasts</v>
      </c>
      <c r="E229" s="4"/>
      <c r="F229" s="4"/>
      <c r="G229" s="4"/>
      <c r="H229" s="4"/>
      <c r="I229" s="4"/>
      <c r="J229" s="5" t="s">
        <v>15</v>
      </c>
      <c r="K229" s="5" t="s">
        <v>16</v>
      </c>
      <c r="L229" s="5" t="s">
        <v>35</v>
      </c>
      <c r="M229" s="6" t="s">
        <v>365</v>
      </c>
      <c r="N229" s="5" t="s">
        <v>26</v>
      </c>
      <c r="O229" s="5" t="s">
        <v>27</v>
      </c>
      <c r="P229" s="5">
        <v>109567.0</v>
      </c>
      <c r="Q229" s="5">
        <v>345.0</v>
      </c>
      <c r="R229" s="5">
        <v>57620.0</v>
      </c>
      <c r="S229" s="5">
        <v>97903.0</v>
      </c>
      <c r="T229" s="5">
        <v>5.0</v>
      </c>
      <c r="U229" s="9">
        <v>1616.714722</v>
      </c>
    </row>
    <row r="230" hidden="1">
      <c r="A230" s="4" t="s">
        <v>1272</v>
      </c>
      <c r="B230" s="4" t="str">
        <f>IFERROR(__xludf.DUMMYFUNCTION("SPLIT(A230,""&gt;"")"),"Mobile - United States ")</f>
        <v>Mobile - United States </v>
      </c>
      <c r="C230" s="4" t="str">
        <f>IFERROR(__xludf.DUMMYFUNCTION("""COMPUTED_VALUE""")," Device Ownership ")</f>
        <v> Device Ownership </v>
      </c>
      <c r="D230" s="4" t="str">
        <f>IFERROR(__xludf.DUMMYFUNCTION("""COMPUTED_VALUE""")," Smartphones ")</f>
        <v> Smartphones </v>
      </c>
      <c r="E230" s="4" t="str">
        <f>IFERROR(__xludf.DUMMYFUNCTION("""COMPUTED_VALUE""")," iOS (Apple) ")</f>
        <v> iOS (Apple) </v>
      </c>
      <c r="F230" s="4" t="str">
        <f>IFERROR(__xludf.DUMMYFUNCTION("""COMPUTED_VALUE""")," iPhone X")</f>
        <v> iPhone X</v>
      </c>
      <c r="G230" s="4"/>
      <c r="H230" s="4"/>
      <c r="I230" s="4"/>
      <c r="J230" s="5" t="s">
        <v>15</v>
      </c>
      <c r="K230" s="5" t="s">
        <v>31</v>
      </c>
      <c r="L230" s="5" t="s">
        <v>24</v>
      </c>
      <c r="M230" s="6" t="s">
        <v>365</v>
      </c>
      <c r="N230" s="5" t="s">
        <v>80</v>
      </c>
      <c r="O230" s="5" t="s">
        <v>52</v>
      </c>
      <c r="P230" s="5">
        <v>74426.0</v>
      </c>
      <c r="Q230" s="5">
        <v>150.0</v>
      </c>
      <c r="R230" s="5">
        <v>39257.0</v>
      </c>
      <c r="S230" s="5">
        <v>67151.0</v>
      </c>
      <c r="T230" s="5">
        <v>15.0</v>
      </c>
      <c r="U230" s="9">
        <v>1519.596552</v>
      </c>
    </row>
    <row r="231">
      <c r="A231" s="4" t="s">
        <v>1273</v>
      </c>
      <c r="B231" s="4" t="str">
        <f>IFERROR(__xludf.DUMMYFUNCTION("SPLIT(A231,""&gt;"")"),"Mobile - United States ")</f>
        <v>Mobile - United States </v>
      </c>
      <c r="C231" s="4" t="str">
        <f>IFERROR(__xludf.DUMMYFUNCTION("""COMPUTED_VALUE""")," Device Ownership ")</f>
        <v> Device Ownership </v>
      </c>
      <c r="D231" s="4" t="str">
        <f>IFERROR(__xludf.DUMMYFUNCTION("""COMPUTED_VALUE""")," Smartphones ")</f>
        <v> Smartphones </v>
      </c>
      <c r="E231" s="4" t="str">
        <f>IFERROR(__xludf.DUMMYFUNCTION("""COMPUTED_VALUE""")," iOS (Apple) ")</f>
        <v> iOS (Apple) </v>
      </c>
      <c r="F231" s="4" t="str">
        <f>IFERROR(__xludf.DUMMYFUNCTION("""COMPUTED_VALUE""")," iPhone 11")</f>
        <v> iPhone 11</v>
      </c>
      <c r="G231" s="4"/>
      <c r="H231" s="4"/>
      <c r="I231" s="4"/>
      <c r="J231" s="5" t="s">
        <v>22</v>
      </c>
      <c r="K231" s="5" t="s">
        <v>42</v>
      </c>
      <c r="L231" s="5" t="s">
        <v>78</v>
      </c>
      <c r="M231" s="6" t="s">
        <v>365</v>
      </c>
      <c r="N231" s="5" t="s">
        <v>19</v>
      </c>
      <c r="O231" s="5" t="s">
        <v>27</v>
      </c>
      <c r="P231" s="5">
        <v>22163.0</v>
      </c>
      <c r="Q231" s="5">
        <v>55.0</v>
      </c>
      <c r="R231" s="5">
        <v>2368.0</v>
      </c>
      <c r="S231" s="5">
        <v>8130.0</v>
      </c>
      <c r="T231" s="5">
        <v>3.0</v>
      </c>
      <c r="U231" s="9">
        <v>1493.779328</v>
      </c>
    </row>
    <row r="232" hidden="1">
      <c r="A232" s="4" t="s">
        <v>377</v>
      </c>
      <c r="B232" s="4" t="str">
        <f>IFERROR(__xludf.DUMMYFUNCTION("SPLIT(A232,""&gt;"")"),"Online Behavior")</f>
        <v>Online Behavior</v>
      </c>
      <c r="C232" s="4" t="str">
        <f>IFERROR(__xludf.DUMMYFUNCTION("""COMPUTED_VALUE"""),"United States")</f>
        <v>United States</v>
      </c>
      <c r="D232" s="4" t="str">
        <f>IFERROR(__xludf.DUMMYFUNCTION("""COMPUTED_VALUE"""),"Games")</f>
        <v>Games</v>
      </c>
      <c r="E232" s="4" t="str">
        <f>IFERROR(__xludf.DUMMYFUNCTION("""COMPUTED_VALUE"""),"Family-Oriented Games and Activities")</f>
        <v>Family-Oriented Games and Activities</v>
      </c>
      <c r="F232" s="4"/>
      <c r="G232" s="4"/>
      <c r="H232" s="4"/>
      <c r="I232" s="4"/>
      <c r="J232" s="5" t="s">
        <v>15</v>
      </c>
      <c r="K232" s="5" t="s">
        <v>31</v>
      </c>
      <c r="L232" s="5" t="s">
        <v>17</v>
      </c>
      <c r="M232" s="6" t="s">
        <v>378</v>
      </c>
      <c r="N232" s="5" t="s">
        <v>46</v>
      </c>
      <c r="O232" s="5" t="s">
        <v>52</v>
      </c>
      <c r="P232" s="5">
        <v>25021.0</v>
      </c>
      <c r="Q232" s="5">
        <v>50.0</v>
      </c>
      <c r="R232" s="5">
        <v>11084.0</v>
      </c>
      <c r="S232" s="5">
        <v>18079.0</v>
      </c>
      <c r="T232" s="5">
        <v>9.0</v>
      </c>
      <c r="U232" s="9">
        <v>4961.478884</v>
      </c>
    </row>
    <row r="233">
      <c r="A233" s="4" t="s">
        <v>1274</v>
      </c>
      <c r="B233" s="4" t="str">
        <f>IFERROR(__xludf.DUMMYFUNCTION("SPLIT(A233,""&gt;"")"),"Online Behavior")</f>
        <v>Online Behavior</v>
      </c>
      <c r="C233" s="4" t="str">
        <f>IFERROR(__xludf.DUMMYFUNCTION("""COMPUTED_VALUE"""),"United States")</f>
        <v>United States</v>
      </c>
      <c r="D233" s="4" t="str">
        <f>IFERROR(__xludf.DUMMYFUNCTION("""COMPUTED_VALUE"""),"Intent ")</f>
        <v>Intent </v>
      </c>
      <c r="E233" s="4" t="str">
        <f>IFERROR(__xludf.DUMMYFUNCTION("""COMPUTED_VALUE""")," Shopping")</f>
        <v> Shopping</v>
      </c>
      <c r="F233" s="4" t="str">
        <f>IFERROR(__xludf.DUMMYFUNCTION("""COMPUTED_VALUE"""),"Sports and Outdoors")</f>
        <v>Sports and Outdoors</v>
      </c>
      <c r="G233" s="4"/>
      <c r="H233" s="4"/>
      <c r="I233" s="4"/>
      <c r="J233" s="5" t="s">
        <v>22</v>
      </c>
      <c r="K233" s="5" t="s">
        <v>16</v>
      </c>
      <c r="L233" s="5" t="s">
        <v>78</v>
      </c>
      <c r="M233" s="6" t="s">
        <v>378</v>
      </c>
      <c r="N233" s="5" t="s">
        <v>36</v>
      </c>
      <c r="O233" s="5" t="s">
        <v>27</v>
      </c>
      <c r="P233" s="5">
        <v>26304.0</v>
      </c>
      <c r="Q233" s="5">
        <v>75.0</v>
      </c>
      <c r="R233" s="5">
        <v>12354.0</v>
      </c>
      <c r="S233" s="5">
        <v>17500.0</v>
      </c>
      <c r="T233" s="5">
        <v>11.0</v>
      </c>
      <c r="U233" s="9">
        <v>4727.813916</v>
      </c>
    </row>
    <row r="234">
      <c r="A234" s="4" t="s">
        <v>1275</v>
      </c>
      <c r="B234" s="4" t="str">
        <f>IFERROR(__xludf.DUMMYFUNCTION("SPLIT(A234,""&gt;"")"),"United States ")</f>
        <v>United States </v>
      </c>
      <c r="C234" s="4" t="str">
        <f>IFERROR(__xludf.DUMMYFUNCTION("""COMPUTED_VALUE""")," Reach ")</f>
        <v> Reach </v>
      </c>
      <c r="D234" s="4" t="str">
        <f>IFERROR(__xludf.DUMMYFUNCTION("""COMPUTED_VALUE""")," Propensity Models ")</f>
        <v> Propensity Models </v>
      </c>
      <c r="E234" s="4" t="str">
        <f>IFERROR(__xludf.DUMMYFUNCTION("""COMPUTED_VALUE""")," Lifestyle ")</f>
        <v> Lifestyle </v>
      </c>
      <c r="F234" s="4" t="str">
        <f>IFERROR(__xludf.DUMMYFUNCTION("""COMPUTED_VALUE""")," Loyalty Programs ")</f>
        <v> Loyalty Programs </v>
      </c>
      <c r="G234" s="4" t="str">
        <f>IFERROR(__xludf.DUMMYFUNCTION("""COMPUTED_VALUE""")," Loyalty Card United Stateser")</f>
        <v> Loyalty Card United Stateser</v>
      </c>
      <c r="H234" s="4"/>
      <c r="I234" s="4"/>
      <c r="J234" s="5" t="s">
        <v>15</v>
      </c>
      <c r="K234" s="5" t="s">
        <v>23</v>
      </c>
      <c r="L234" s="5" t="s">
        <v>78</v>
      </c>
      <c r="M234" s="6" t="s">
        <v>378</v>
      </c>
      <c r="N234" s="5" t="s">
        <v>26</v>
      </c>
      <c r="O234" s="5" t="s">
        <v>27</v>
      </c>
      <c r="P234" s="5">
        <v>13100.0</v>
      </c>
      <c r="Q234" s="5">
        <v>80.0</v>
      </c>
      <c r="R234" s="5">
        <v>6507.0</v>
      </c>
      <c r="S234" s="5">
        <v>10895.0</v>
      </c>
      <c r="T234" s="5">
        <v>5.0</v>
      </c>
      <c r="U234" s="9">
        <v>3411.590029</v>
      </c>
    </row>
    <row r="235">
      <c r="A235" s="4" t="s">
        <v>1276</v>
      </c>
      <c r="B235" s="4" t="str">
        <f>IFERROR(__xludf.DUMMYFUNCTION("SPLIT(A235,""&gt;"")"),"Online Behavior")</f>
        <v>Online Behavior</v>
      </c>
      <c r="C235" s="4" t="str">
        <f>IFERROR(__xludf.DUMMYFUNCTION("""COMPUTED_VALUE"""),"United States")</f>
        <v>United States</v>
      </c>
      <c r="D235" s="4" t="str">
        <f>IFERROR(__xludf.DUMMYFUNCTION("""COMPUTED_VALUE"""),"Intent ")</f>
        <v>Intent </v>
      </c>
      <c r="E235" s="4" t="str">
        <f>IFERROR(__xludf.DUMMYFUNCTION("""COMPUTED_VALUE""")," Shopping")</f>
        <v> Shopping</v>
      </c>
      <c r="F235" s="4" t="str">
        <f>IFERROR(__xludf.DUMMYFUNCTION("""COMPUTED_VALUE"""),"Consumer Electronics ")</f>
        <v>Consumer Electronics </v>
      </c>
      <c r="G235" s="4" t="str">
        <f>IFERROR(__xludf.DUMMYFUNCTION("""COMPUTED_VALUE""")," Tablets")</f>
        <v> Tablets</v>
      </c>
      <c r="H235" s="4"/>
      <c r="I235" s="4"/>
      <c r="J235" s="5" t="s">
        <v>22</v>
      </c>
      <c r="K235" s="5" t="s">
        <v>16</v>
      </c>
      <c r="L235" s="5" t="s">
        <v>39</v>
      </c>
      <c r="M235" s="6" t="s">
        <v>382</v>
      </c>
      <c r="N235" s="5" t="s">
        <v>19</v>
      </c>
      <c r="O235" s="5" t="s">
        <v>27</v>
      </c>
      <c r="P235" s="5">
        <v>9533.0</v>
      </c>
      <c r="Q235" s="5">
        <v>66.0</v>
      </c>
      <c r="R235" s="5">
        <v>6548.0</v>
      </c>
      <c r="S235" s="5">
        <v>9042.0</v>
      </c>
      <c r="T235" s="5">
        <v>16.0</v>
      </c>
      <c r="U235" s="9">
        <v>5574.543505</v>
      </c>
    </row>
    <row r="236">
      <c r="A236" s="4" t="s">
        <v>1277</v>
      </c>
      <c r="B236" s="4" t="str">
        <f>IFERROR(__xludf.DUMMYFUNCTION("SPLIT(A236,""&gt;"")"),"Online Behavior")</f>
        <v>Online Behavior</v>
      </c>
      <c r="C236" s="4" t="str">
        <f>IFERROR(__xludf.DUMMYFUNCTION("""COMPUTED_VALUE"""),"United States")</f>
        <v>United States</v>
      </c>
      <c r="D236" s="4" t="str">
        <f>IFERROR(__xludf.DUMMYFUNCTION("""COMPUTED_VALUE"""),"Intent ")</f>
        <v>Intent </v>
      </c>
      <c r="E236" s="4" t="str">
        <f>IFERROR(__xludf.DUMMYFUNCTION("""COMPUTED_VALUE""")," Auto Buyers ")</f>
        <v> Auto Buyers </v>
      </c>
      <c r="F236" s="4" t="str">
        <f>IFERROR(__xludf.DUMMYFUNCTION("""COMPUTED_VALUE""")," Car Make")</f>
        <v> Car Make</v>
      </c>
      <c r="G236" s="4" t="str">
        <f>IFERROR(__xludf.DUMMYFUNCTION("""COMPUTED_VALUE"""),"BMW")</f>
        <v>BMW</v>
      </c>
      <c r="H236" s="4"/>
      <c r="I236" s="4"/>
      <c r="J236" s="5" t="s">
        <v>15</v>
      </c>
      <c r="K236" s="5" t="s">
        <v>23</v>
      </c>
      <c r="L236" s="5" t="s">
        <v>95</v>
      </c>
      <c r="M236" s="6" t="s">
        <v>384</v>
      </c>
      <c r="N236" s="5" t="s">
        <v>46</v>
      </c>
      <c r="O236" s="5" t="s">
        <v>27</v>
      </c>
      <c r="P236" s="5">
        <v>12092.0</v>
      </c>
      <c r="Q236" s="5">
        <v>30.0</v>
      </c>
      <c r="R236" s="5">
        <v>2042.0</v>
      </c>
      <c r="S236" s="5">
        <v>10315.0</v>
      </c>
      <c r="T236" s="5">
        <v>8.0</v>
      </c>
      <c r="U236" s="9">
        <v>6245.134793</v>
      </c>
    </row>
    <row r="237">
      <c r="A237" s="4" t="s">
        <v>1278</v>
      </c>
      <c r="B237" s="4" t="str">
        <f>IFERROR(__xludf.DUMMYFUNCTION("SPLIT(A237,""&gt;"")"),"Online Behavior")</f>
        <v>Online Behavior</v>
      </c>
      <c r="C237" s="4" t="str">
        <f>IFERROR(__xludf.DUMMYFUNCTION("""COMPUTED_VALUE"""),"United States")</f>
        <v>United States</v>
      </c>
      <c r="D237" s="4" t="str">
        <f>IFERROR(__xludf.DUMMYFUNCTION("""COMPUTED_VALUE"""),"Travel")</f>
        <v>Travel</v>
      </c>
      <c r="E237" s="4" t="str">
        <f>IFERROR(__xludf.DUMMYFUNCTION("""COMPUTED_VALUE"""),"Tourist Destinations ")</f>
        <v>Tourist Destinations </v>
      </c>
      <c r="F237" s="4" t="str">
        <f>IFERROR(__xludf.DUMMYFUNCTION("""COMPUTED_VALUE""")," Lakes and Rivers")</f>
        <v> Lakes and Rivers</v>
      </c>
      <c r="G237" s="4"/>
      <c r="H237" s="4"/>
      <c r="I237" s="4"/>
      <c r="J237" s="5" t="s">
        <v>15</v>
      </c>
      <c r="K237" s="5" t="s">
        <v>16</v>
      </c>
      <c r="L237" s="5" t="s">
        <v>35</v>
      </c>
      <c r="M237" s="6" t="s">
        <v>386</v>
      </c>
      <c r="N237" s="5" t="s">
        <v>117</v>
      </c>
      <c r="O237" s="5" t="s">
        <v>27</v>
      </c>
      <c r="P237" s="5">
        <v>12710.0</v>
      </c>
      <c r="Q237" s="5">
        <v>10.0</v>
      </c>
      <c r="R237" s="5">
        <v>8159.0</v>
      </c>
      <c r="S237" s="5">
        <v>11984.0</v>
      </c>
      <c r="T237" s="5">
        <v>11.0</v>
      </c>
      <c r="U237" s="9">
        <v>7851.397478</v>
      </c>
    </row>
    <row r="238">
      <c r="A238" s="4" t="s">
        <v>387</v>
      </c>
      <c r="B238" s="4" t="str">
        <f>IFERROR(__xludf.DUMMYFUNCTION("SPLIT(A238,""&gt;"")"),"Online Behavior")</f>
        <v>Online Behavior</v>
      </c>
      <c r="C238" s="4" t="str">
        <f>IFERROR(__xludf.DUMMYFUNCTION("""COMPUTED_VALUE"""),"United States")</f>
        <v>United States</v>
      </c>
      <c r="D238" s="4" t="str">
        <f>IFERROR(__xludf.DUMMYFUNCTION("""COMPUTED_VALUE"""),"Online Communities")</f>
        <v>Online Communities</v>
      </c>
      <c r="E238" s="4" t="str">
        <f>IFERROR(__xludf.DUMMYFUNCTION("""COMPUTED_VALUE"""),"Social Networks")</f>
        <v>Social Networks</v>
      </c>
      <c r="F238" s="4"/>
      <c r="G238" s="4"/>
      <c r="H238" s="4"/>
      <c r="I238" s="4"/>
      <c r="J238" s="5" t="s">
        <v>22</v>
      </c>
      <c r="K238" s="5" t="s">
        <v>42</v>
      </c>
      <c r="L238" s="5" t="s">
        <v>35</v>
      </c>
      <c r="M238" s="6" t="s">
        <v>386</v>
      </c>
      <c r="N238" s="5" t="s">
        <v>19</v>
      </c>
      <c r="O238" s="5" t="s">
        <v>27</v>
      </c>
      <c r="P238" s="5">
        <v>9463.0</v>
      </c>
      <c r="Q238" s="5">
        <v>56.0</v>
      </c>
      <c r="R238" s="5">
        <v>1518.0</v>
      </c>
      <c r="S238" s="5">
        <v>8191.0</v>
      </c>
      <c r="T238" s="5">
        <v>4.0</v>
      </c>
      <c r="U238" s="9">
        <v>6879.601707</v>
      </c>
    </row>
    <row r="239">
      <c r="A239" s="4" t="s">
        <v>388</v>
      </c>
      <c r="B239" s="4" t="str">
        <f>IFERROR(__xludf.DUMMYFUNCTION("SPLIT(A239,""&gt;"")"),"Online Behavior")</f>
        <v>Online Behavior</v>
      </c>
      <c r="C239" s="4" t="str">
        <f>IFERROR(__xludf.DUMMYFUNCTION("""COMPUTED_VALUE"""),"United States")</f>
        <v>United States</v>
      </c>
      <c r="D239" s="4" t="str">
        <f>IFERROR(__xludf.DUMMYFUNCTION("""COMPUTED_VALUE"""),"Online Communities")</f>
        <v>Online Communities</v>
      </c>
      <c r="E239" s="4" t="str">
        <f>IFERROR(__xludf.DUMMYFUNCTION("""COMPUTED_VALUE"""),"Photo and Video Sharing")</f>
        <v>Photo and Video Sharing</v>
      </c>
      <c r="F239" s="4"/>
      <c r="G239" s="4"/>
      <c r="H239" s="4"/>
      <c r="I239" s="4"/>
      <c r="J239" s="5" t="s">
        <v>15</v>
      </c>
      <c r="K239" s="5" t="s">
        <v>16</v>
      </c>
      <c r="L239" s="5" t="s">
        <v>35</v>
      </c>
      <c r="M239" s="6" t="s">
        <v>386</v>
      </c>
      <c r="N239" s="5" t="s">
        <v>26</v>
      </c>
      <c r="O239" s="5" t="s">
        <v>27</v>
      </c>
      <c r="P239" s="5">
        <v>12136.0</v>
      </c>
      <c r="Q239" s="5">
        <v>97.0</v>
      </c>
      <c r="R239" s="5">
        <v>2089.0</v>
      </c>
      <c r="S239" s="5">
        <v>11500.0</v>
      </c>
      <c r="T239" s="5">
        <v>3.0</v>
      </c>
      <c r="U239" s="9">
        <v>5224.932463</v>
      </c>
    </row>
    <row r="240">
      <c r="A240" s="4" t="s">
        <v>389</v>
      </c>
      <c r="B240" s="4" t="str">
        <f>IFERROR(__xludf.DUMMYFUNCTION("SPLIT(A240,""&gt;"")"),"Online Behavior")</f>
        <v>Online Behavior</v>
      </c>
      <c r="C240" s="4" t="str">
        <f>IFERROR(__xludf.DUMMYFUNCTION("""COMPUTED_VALUE"""),"United States")</f>
        <v>United States</v>
      </c>
      <c r="D240" s="4" t="str">
        <f>IFERROR(__xludf.DUMMYFUNCTION("""COMPUTED_VALUE"""),"Internet and Telecom")</f>
        <v>Internet and Telecom</v>
      </c>
      <c r="E240" s="4" t="str">
        <f>IFERROR(__xludf.DUMMYFUNCTION("""COMPUTED_VALUE"""),"Mobile and Wireless")</f>
        <v>Mobile and Wireless</v>
      </c>
      <c r="F240" s="4"/>
      <c r="G240" s="4"/>
      <c r="H240" s="4"/>
      <c r="I240" s="4"/>
      <c r="J240" s="5" t="s">
        <v>22</v>
      </c>
      <c r="K240" s="5" t="s">
        <v>31</v>
      </c>
      <c r="L240" s="5" t="s">
        <v>39</v>
      </c>
      <c r="M240" s="6" t="s">
        <v>390</v>
      </c>
      <c r="N240" s="5" t="s">
        <v>19</v>
      </c>
      <c r="O240" s="5" t="s">
        <v>27</v>
      </c>
      <c r="P240" s="5">
        <v>15326.0</v>
      </c>
      <c r="Q240" s="5">
        <v>68.0</v>
      </c>
      <c r="R240" s="5">
        <v>7941.0</v>
      </c>
      <c r="S240" s="5">
        <v>14331.0</v>
      </c>
      <c r="T240" s="5">
        <v>8.0</v>
      </c>
      <c r="U240" s="9">
        <v>6943.515824</v>
      </c>
    </row>
    <row r="241">
      <c r="A241" s="4" t="s">
        <v>1279</v>
      </c>
      <c r="B241" s="4" t="str">
        <f>IFERROR(__xludf.DUMMYFUNCTION("SPLIT(A241,""&gt;"")"),"Online Behavior")</f>
        <v>Online Behavior</v>
      </c>
      <c r="C241" s="4" t="str">
        <f>IFERROR(__xludf.DUMMYFUNCTION("""COMPUTED_VALUE"""),"United States")</f>
        <v>United States</v>
      </c>
      <c r="D241" s="4" t="str">
        <f>IFERROR(__xludf.DUMMYFUNCTION("""COMPUTED_VALUE"""),"Beauty and Fitness")</f>
        <v>Beauty and Fitness</v>
      </c>
      <c r="E241" s="4" t="str">
        <f>IFERROR(__xludf.DUMMYFUNCTION("""COMPUTED_VALUE"""),"Fashion and Style ")</f>
        <v>Fashion and Style </v>
      </c>
      <c r="F241" s="4" t="str">
        <f>IFERROR(__xludf.DUMMYFUNCTION("""COMPUTED_VALUE""")," Fashion Modeling")</f>
        <v> Fashion Modeling</v>
      </c>
      <c r="G241" s="4"/>
      <c r="H241" s="4"/>
      <c r="I241" s="4"/>
      <c r="J241" s="5" t="s">
        <v>22</v>
      </c>
      <c r="K241" s="5" t="s">
        <v>31</v>
      </c>
      <c r="L241" s="5" t="s">
        <v>35</v>
      </c>
      <c r="M241" s="6" t="s">
        <v>390</v>
      </c>
      <c r="N241" s="5" t="s">
        <v>19</v>
      </c>
      <c r="O241" s="5" t="s">
        <v>27</v>
      </c>
      <c r="P241" s="5">
        <v>18095.0</v>
      </c>
      <c r="Q241" s="5">
        <v>50.0</v>
      </c>
      <c r="R241" s="5">
        <v>10021.0</v>
      </c>
      <c r="S241" s="5">
        <v>16755.0</v>
      </c>
      <c r="T241" s="5">
        <v>24.0</v>
      </c>
      <c r="U241" s="9">
        <v>6768.758768</v>
      </c>
    </row>
    <row r="242">
      <c r="A242" s="4" t="s">
        <v>392</v>
      </c>
      <c r="B242" s="4" t="str">
        <f>IFERROR(__xludf.DUMMYFUNCTION("SPLIT(A242,""&gt;"")"),"Online Behavior")</f>
        <v>Online Behavior</v>
      </c>
      <c r="C242" s="4" t="str">
        <f>IFERROR(__xludf.DUMMYFUNCTION("""COMPUTED_VALUE"""),"United States")</f>
        <v>United States</v>
      </c>
      <c r="D242" s="4" t="str">
        <f>IFERROR(__xludf.DUMMYFUNCTION("""COMPUTED_VALUE"""),"Games")</f>
        <v>Games</v>
      </c>
      <c r="E242" s="4" t="str">
        <f>IFERROR(__xludf.DUMMYFUNCTION("""COMPUTED_VALUE"""),"Educational Games")</f>
        <v>Educational Games</v>
      </c>
      <c r="F242" s="4"/>
      <c r="G242" s="4"/>
      <c r="H242" s="4"/>
      <c r="I242" s="4"/>
      <c r="J242" s="5" t="s">
        <v>61</v>
      </c>
      <c r="K242" s="5" t="s">
        <v>23</v>
      </c>
      <c r="L242" s="5" t="s">
        <v>55</v>
      </c>
      <c r="M242" s="6" t="s">
        <v>390</v>
      </c>
      <c r="N242" s="5" t="s">
        <v>19</v>
      </c>
      <c r="O242" s="5" t="s">
        <v>27</v>
      </c>
      <c r="P242" s="5">
        <v>119280.0</v>
      </c>
      <c r="Q242" s="5">
        <v>400.0</v>
      </c>
      <c r="R242" s="5">
        <v>55665.0</v>
      </c>
      <c r="S242" s="5">
        <v>112913.0</v>
      </c>
      <c r="T242" s="5">
        <v>23.0</v>
      </c>
      <c r="U242" s="9">
        <v>6492.676343</v>
      </c>
    </row>
    <row r="243">
      <c r="A243" s="4" t="s">
        <v>393</v>
      </c>
      <c r="B243" s="4" t="str">
        <f>IFERROR(__xludf.DUMMYFUNCTION("SPLIT(A243,""&gt;"")"),"Online Behavior")</f>
        <v>Online Behavior</v>
      </c>
      <c r="C243" s="4" t="str">
        <f>IFERROR(__xludf.DUMMYFUNCTION("""COMPUTED_VALUE"""),"United States")</f>
        <v>United States</v>
      </c>
      <c r="D243" s="4" t="str">
        <f>IFERROR(__xludf.DUMMYFUNCTION("""COMPUTED_VALUE"""),"Sports")</f>
        <v>Sports</v>
      </c>
      <c r="E243" s="4" t="str">
        <f>IFERROR(__xludf.DUMMYFUNCTION("""COMPUTED_VALUE"""),"Motor Sports")</f>
        <v>Motor Sports</v>
      </c>
      <c r="F243" s="4"/>
      <c r="G243" s="4"/>
      <c r="H243" s="4"/>
      <c r="I243" s="4"/>
      <c r="J243" s="5" t="s">
        <v>22</v>
      </c>
      <c r="K243" s="5" t="s">
        <v>31</v>
      </c>
      <c r="L243" s="5" t="s">
        <v>150</v>
      </c>
      <c r="M243" s="6" t="s">
        <v>390</v>
      </c>
      <c r="N243" s="5" t="s">
        <v>46</v>
      </c>
      <c r="O243" s="5" t="s">
        <v>27</v>
      </c>
      <c r="P243" s="5">
        <v>8204.0</v>
      </c>
      <c r="Q243" s="5">
        <v>20.0</v>
      </c>
      <c r="R243" s="5">
        <v>1348.0</v>
      </c>
      <c r="S243" s="5">
        <v>7832.0</v>
      </c>
      <c r="T243" s="5">
        <v>1.0</v>
      </c>
      <c r="U243" s="9">
        <v>5973.379892</v>
      </c>
    </row>
    <row r="244">
      <c r="A244" s="4" t="s">
        <v>1280</v>
      </c>
      <c r="B244" s="4" t="str">
        <f>IFERROR(__xludf.DUMMYFUNCTION("SPLIT(A244,""&gt;"")"),"Online Behavior")</f>
        <v>Online Behavior</v>
      </c>
      <c r="C244" s="4" t="str">
        <f>IFERROR(__xludf.DUMMYFUNCTION("""COMPUTED_VALUE"""),"United States")</f>
        <v>United States</v>
      </c>
      <c r="D244" s="4" t="str">
        <f>IFERROR(__xludf.DUMMYFUNCTION("""COMPUTED_VALUE"""),"Autos and Vehicles ")</f>
        <v>Autos and Vehicles </v>
      </c>
      <c r="E244" s="4" t="str">
        <f>IFERROR(__xludf.DUMMYFUNCTION("""COMPUTED_VALUE""")," Brands")</f>
        <v> Brands</v>
      </c>
      <c r="F244" s="4" t="str">
        <f>IFERROR(__xludf.DUMMYFUNCTION("""COMPUTED_VALUE"""),"BMW")</f>
        <v>BMW</v>
      </c>
      <c r="G244" s="4"/>
      <c r="H244" s="4"/>
      <c r="I244" s="4"/>
      <c r="J244" s="5" t="s">
        <v>61</v>
      </c>
      <c r="K244" s="5" t="s">
        <v>31</v>
      </c>
      <c r="L244" s="5" t="s">
        <v>95</v>
      </c>
      <c r="M244" s="6" t="s">
        <v>390</v>
      </c>
      <c r="N244" s="5" t="s">
        <v>161</v>
      </c>
      <c r="O244" s="5" t="s">
        <v>27</v>
      </c>
      <c r="P244" s="5">
        <v>88022.0</v>
      </c>
      <c r="Q244" s="5">
        <v>370.0</v>
      </c>
      <c r="R244" s="5">
        <v>45972.0</v>
      </c>
      <c r="S244" s="5">
        <v>83922.0</v>
      </c>
      <c r="T244" s="5">
        <v>11.0</v>
      </c>
      <c r="U244" s="9">
        <v>5669.14476</v>
      </c>
    </row>
    <row r="245">
      <c r="A245" s="4" t="s">
        <v>1281</v>
      </c>
      <c r="B245" s="4" t="str">
        <f>IFERROR(__xludf.DUMMYFUNCTION("SPLIT(A245,""&gt;"")"),"Online Behavior")</f>
        <v>Online Behavior</v>
      </c>
      <c r="C245" s="4" t="str">
        <f>IFERROR(__xludf.DUMMYFUNCTION("""COMPUTED_VALUE"""),"United States")</f>
        <v>United States</v>
      </c>
      <c r="D245" s="4" t="str">
        <f>IFERROR(__xludf.DUMMYFUNCTION("""COMPUTED_VALUE"""),"Food and Drink")</f>
        <v>Food and Drink</v>
      </c>
      <c r="E245" s="4" t="str">
        <f>IFERROR(__xludf.DUMMYFUNCTION("""COMPUTED_VALUE"""),"Beverages ")</f>
        <v>Beverages </v>
      </c>
      <c r="F245" s="4" t="str">
        <f>IFERROR(__xludf.DUMMYFUNCTION("""COMPUTED_VALUE""")," Bottled Water")</f>
        <v> Bottled Water</v>
      </c>
      <c r="G245" s="4"/>
      <c r="H245" s="4"/>
      <c r="I245" s="4"/>
      <c r="J245" s="5" t="s">
        <v>22</v>
      </c>
      <c r="K245" s="5" t="s">
        <v>31</v>
      </c>
      <c r="L245" s="5" t="s">
        <v>78</v>
      </c>
      <c r="M245" s="6" t="s">
        <v>390</v>
      </c>
      <c r="N245" s="5" t="s">
        <v>19</v>
      </c>
      <c r="O245" s="5" t="s">
        <v>27</v>
      </c>
      <c r="P245" s="5">
        <v>12879.0</v>
      </c>
      <c r="Q245" s="5">
        <v>71.0</v>
      </c>
      <c r="R245" s="5">
        <v>7225.0</v>
      </c>
      <c r="S245" s="5">
        <v>12173.0</v>
      </c>
      <c r="T245" s="5">
        <v>9.0</v>
      </c>
      <c r="U245" s="9">
        <v>5099.28249</v>
      </c>
    </row>
    <row r="246" hidden="1">
      <c r="A246" s="4" t="s">
        <v>1282</v>
      </c>
      <c r="B246" s="4" t="str">
        <f>IFERROR(__xludf.DUMMYFUNCTION("SPLIT(A246,""&gt;"")"),"United States ")</f>
        <v>United States </v>
      </c>
      <c r="C246" s="4" t="str">
        <f>IFERROR(__xludf.DUMMYFUNCTION("""COMPUTED_VALUE""")," Reach ")</f>
        <v> Reach </v>
      </c>
      <c r="D246" s="4" t="str">
        <f>IFERROR(__xludf.DUMMYFUNCTION("""COMPUTED_VALUE""")," Sociodemographic ")</f>
        <v> Sociodemographic </v>
      </c>
      <c r="E246" s="4" t="str">
        <f>IFERROR(__xludf.DUMMYFUNCTION("""COMPUTED_VALUE""")," Age ")</f>
        <v> Age </v>
      </c>
      <c r="F246" s="4" t="str">
        <f>IFERROR(__xludf.DUMMYFUNCTION("""COMPUTED_VALUE""")," 45-49")</f>
        <v> 45-49</v>
      </c>
      <c r="G246" s="4"/>
      <c r="H246" s="4"/>
      <c r="I246" s="4"/>
      <c r="J246" s="5" t="s">
        <v>15</v>
      </c>
      <c r="K246" s="5" t="s">
        <v>16</v>
      </c>
      <c r="L246" s="5" t="s">
        <v>39</v>
      </c>
      <c r="M246" s="6" t="s">
        <v>390</v>
      </c>
      <c r="N246" s="5" t="s">
        <v>19</v>
      </c>
      <c r="O246" s="5" t="s">
        <v>52</v>
      </c>
      <c r="P246" s="5">
        <v>69239.0</v>
      </c>
      <c r="Q246" s="5">
        <v>160.0</v>
      </c>
      <c r="R246" s="5">
        <v>23112.0</v>
      </c>
      <c r="S246" s="5">
        <v>65390.0</v>
      </c>
      <c r="T246" s="5">
        <v>1.0</v>
      </c>
      <c r="U246" s="9">
        <v>4514.952724</v>
      </c>
    </row>
    <row r="247">
      <c r="A247" s="4" t="s">
        <v>1283</v>
      </c>
      <c r="B247" s="4" t="str">
        <f>IFERROR(__xludf.DUMMYFUNCTION("SPLIT(A247,""&gt;"")"),"Real Estate ")</f>
        <v>Real Estate </v>
      </c>
      <c r="C247" s="4" t="str">
        <f>IFERROR(__xludf.DUMMYFUNCTION("""COMPUTED_VALUE""")," Sale Activity ")</f>
        <v> Sale Activity </v>
      </c>
      <c r="D247" s="4" t="str">
        <f>IFERROR(__xludf.DUMMYFUNCTION("""COMPUTED_VALUE""")," JUnited Statest Sold")</f>
        <v> JUnited Statest Sold</v>
      </c>
      <c r="E247" s="4"/>
      <c r="F247" s="4"/>
      <c r="G247" s="4"/>
      <c r="H247" s="4"/>
      <c r="I247" s="4"/>
      <c r="J247" s="5" t="s">
        <v>22</v>
      </c>
      <c r="K247" s="5" t="s">
        <v>31</v>
      </c>
      <c r="L247" s="5" t="s">
        <v>398</v>
      </c>
      <c r="M247" s="6" t="s">
        <v>390</v>
      </c>
      <c r="N247" s="5" t="s">
        <v>19</v>
      </c>
      <c r="O247" s="5" t="s">
        <v>27</v>
      </c>
      <c r="P247" s="5">
        <v>111884.0</v>
      </c>
      <c r="Q247" s="5">
        <v>220.0</v>
      </c>
      <c r="R247" s="5">
        <v>53017.0</v>
      </c>
      <c r="S247" s="5">
        <v>106432.0</v>
      </c>
      <c r="T247" s="5">
        <v>7.0</v>
      </c>
      <c r="U247" s="9">
        <v>1786.105122</v>
      </c>
    </row>
    <row r="248">
      <c r="A248" s="4" t="s">
        <v>1284</v>
      </c>
      <c r="B248" s="4" t="str">
        <f>IFERROR(__xludf.DUMMYFUNCTION("SPLIT(A248,""&gt;"")"),"United States ")</f>
        <v>United States </v>
      </c>
      <c r="C248" s="4" t="str">
        <f>IFERROR(__xludf.DUMMYFUNCTION("""COMPUTED_VALUE""")," Sociodemographic ")</f>
        <v> Sociodemographic </v>
      </c>
      <c r="D248" s="4" t="str">
        <f>IFERROR(__xludf.DUMMYFUNCTION("""COMPUTED_VALUE""")," ConneXions Lifestage ")</f>
        <v> ConneXions Lifestage </v>
      </c>
      <c r="E248" s="4" t="str">
        <f>IFERROR(__xludf.DUMMYFUNCTION("""COMPUTED_VALUE""")," F1 Early Adopting Elite")</f>
        <v> F1 Early Adopting Elite</v>
      </c>
      <c r="F248" s="4"/>
      <c r="G248" s="4"/>
      <c r="H248" s="4"/>
      <c r="I248" s="4"/>
      <c r="J248" s="5" t="s">
        <v>22</v>
      </c>
      <c r="K248" s="5" t="s">
        <v>23</v>
      </c>
      <c r="L248" s="5" t="s">
        <v>78</v>
      </c>
      <c r="M248" s="6" t="s">
        <v>390</v>
      </c>
      <c r="N248" s="5" t="s">
        <v>19</v>
      </c>
      <c r="O248" s="5" t="s">
        <v>27</v>
      </c>
      <c r="P248" s="5">
        <v>20899.0</v>
      </c>
      <c r="Q248" s="5">
        <v>20.0</v>
      </c>
      <c r="R248" s="5">
        <v>11394.0</v>
      </c>
      <c r="S248" s="5">
        <v>19576.0</v>
      </c>
      <c r="T248" s="5">
        <v>19.0</v>
      </c>
      <c r="U248" s="9">
        <v>1649.459852</v>
      </c>
    </row>
    <row r="249" hidden="1">
      <c r="A249" s="4" t="s">
        <v>1285</v>
      </c>
      <c r="B249" s="4" t="str">
        <f>IFERROR(__xludf.DUMMYFUNCTION("SPLIT(A249,""&gt;"")"),"OnAudience ")</f>
        <v>OnAudience </v>
      </c>
      <c r="C249" s="4" t="str">
        <f>IFERROR(__xludf.DUMMYFUNCTION("""COMPUTED_VALUE""")," Interest ")</f>
        <v> Interest </v>
      </c>
      <c r="D249" s="4" t="str">
        <f>IFERROR(__xludf.DUMMYFUNCTION("""COMPUTED_VALUE""")," Arts &amp; Entertainment ")</f>
        <v> Arts &amp; Entertainment </v>
      </c>
      <c r="E249" s="4" t="str">
        <f>IFERROR(__xludf.DUMMYFUNCTION("""COMPUTED_VALUE""")," Television")</f>
        <v> Television</v>
      </c>
      <c r="F249" s="4"/>
      <c r="G249" s="4"/>
      <c r="H249" s="4"/>
      <c r="I249" s="4"/>
      <c r="J249" s="5" t="s">
        <v>15</v>
      </c>
      <c r="K249" s="5" t="s">
        <v>42</v>
      </c>
      <c r="L249" s="5" t="s">
        <v>1095</v>
      </c>
      <c r="M249" s="6" t="s">
        <v>390</v>
      </c>
      <c r="N249" s="5" t="s">
        <v>19</v>
      </c>
      <c r="O249" s="5" t="s">
        <v>52</v>
      </c>
      <c r="P249" s="5">
        <v>22800.0</v>
      </c>
      <c r="Q249" s="5">
        <v>79.0</v>
      </c>
      <c r="R249" s="5">
        <v>8298.0</v>
      </c>
      <c r="S249" s="5">
        <v>21161.0</v>
      </c>
      <c r="T249" s="5">
        <v>24.0</v>
      </c>
      <c r="U249" s="9">
        <v>1620.1655</v>
      </c>
    </row>
    <row r="250">
      <c r="A250" s="4" t="s">
        <v>1286</v>
      </c>
      <c r="B250" s="4" t="str">
        <f>IFERROR(__xludf.DUMMYFUNCTION("SPLIT(A250,""&gt;"")"),"United States Interest ")</f>
        <v>United States Interest </v>
      </c>
      <c r="C250" s="4" t="str">
        <f>IFERROR(__xludf.DUMMYFUNCTION("""COMPUTED_VALUE""")," Consumer Electronics")</f>
        <v> Consumer Electronics</v>
      </c>
      <c r="D250" s="4"/>
      <c r="E250" s="4"/>
      <c r="F250" s="4"/>
      <c r="G250" s="4"/>
      <c r="H250" s="4"/>
      <c r="I250" s="4"/>
      <c r="J250" s="5" t="s">
        <v>22</v>
      </c>
      <c r="K250" s="5" t="s">
        <v>31</v>
      </c>
      <c r="L250" s="5" t="s">
        <v>78</v>
      </c>
      <c r="M250" s="6" t="s">
        <v>390</v>
      </c>
      <c r="N250" s="5" t="s">
        <v>19</v>
      </c>
      <c r="O250" s="5" t="s">
        <v>27</v>
      </c>
      <c r="P250" s="5">
        <v>15441.0</v>
      </c>
      <c r="Q250" s="5">
        <v>48.0</v>
      </c>
      <c r="R250" s="5">
        <v>7626.0</v>
      </c>
      <c r="S250" s="5">
        <v>14456.0</v>
      </c>
      <c r="T250" s="5">
        <v>19.0</v>
      </c>
      <c r="U250" s="9">
        <v>1614.309013</v>
      </c>
    </row>
    <row r="251">
      <c r="A251" s="4" t="s">
        <v>1287</v>
      </c>
      <c r="B251" s="4" t="str">
        <f>IFERROR(__xludf.DUMMYFUNCTION("SPLIT(A251,""&gt;"")"),"United States ")</f>
        <v>United States </v>
      </c>
      <c r="C251" s="4" t="str">
        <f>IFERROR(__xludf.DUMMYFUNCTION("""COMPUTED_VALUE""")," Interest Propensities ")</f>
        <v> Interest Propensities </v>
      </c>
      <c r="D251" s="4" t="str">
        <f>IFERROR(__xludf.DUMMYFUNCTION("""COMPUTED_VALUE""")," Insurance ")</f>
        <v> Insurance </v>
      </c>
      <c r="E251" s="4" t="str">
        <f>IFERROR(__xludf.DUMMYFUNCTION("""COMPUTED_VALUE""")," Unitedhealth Group")</f>
        <v> Unitedhealth Group</v>
      </c>
      <c r="F251" s="4"/>
      <c r="G251" s="4"/>
      <c r="H251" s="4"/>
      <c r="I251" s="4"/>
      <c r="J251" s="5" t="s">
        <v>22</v>
      </c>
      <c r="K251" s="5" t="s">
        <v>23</v>
      </c>
      <c r="L251" s="5" t="s">
        <v>78</v>
      </c>
      <c r="M251" s="6" t="s">
        <v>390</v>
      </c>
      <c r="N251" s="5" t="s">
        <v>19</v>
      </c>
      <c r="O251" s="5" t="s">
        <v>27</v>
      </c>
      <c r="P251" s="5">
        <v>33069.0</v>
      </c>
      <c r="Q251" s="5">
        <v>140.0</v>
      </c>
      <c r="R251" s="5">
        <v>17744.0</v>
      </c>
      <c r="S251" s="5">
        <v>31192.0</v>
      </c>
      <c r="T251" s="5">
        <v>14.0</v>
      </c>
      <c r="U251" s="9">
        <v>1543.310611</v>
      </c>
    </row>
    <row r="252">
      <c r="A252" s="4" t="s">
        <v>1288</v>
      </c>
      <c r="B252" s="4" t="str">
        <f>IFERROR(__xludf.DUMMYFUNCTION("SPLIT(A252,""&gt;"")"),"United States ")</f>
        <v>United States </v>
      </c>
      <c r="C252" s="4" t="str">
        <f>IFERROR(__xludf.DUMMYFUNCTION("""COMPUTED_VALUE""")," B2B ")</f>
        <v> B2B </v>
      </c>
      <c r="D252" s="4" t="str">
        <f>IFERROR(__xludf.DUMMYFUNCTION("""COMPUTED_VALUE""")," B2B Decision Maker Responsibilities ")</f>
        <v> B2B Decision Maker Responsibilities </v>
      </c>
      <c r="E252" s="4" t="str">
        <f>IFERROR(__xludf.DUMMYFUNCTION("""COMPUTED_VALUE""")," Marketing or Market Research")</f>
        <v> Marketing or Market Research</v>
      </c>
      <c r="F252" s="4"/>
      <c r="G252" s="4"/>
      <c r="H252" s="4"/>
      <c r="I252" s="4"/>
      <c r="J252" s="5" t="s">
        <v>22</v>
      </c>
      <c r="K252" s="5" t="s">
        <v>31</v>
      </c>
      <c r="L252" s="5" t="s">
        <v>84</v>
      </c>
      <c r="M252" s="6" t="s">
        <v>404</v>
      </c>
      <c r="N252" s="5" t="s">
        <v>19</v>
      </c>
      <c r="O252" s="5" t="s">
        <v>27</v>
      </c>
      <c r="P252" s="5">
        <v>54134.0</v>
      </c>
      <c r="Q252" s="5">
        <v>155.0</v>
      </c>
      <c r="R252" s="5">
        <v>37418.0</v>
      </c>
      <c r="S252" s="5">
        <v>51299.0</v>
      </c>
      <c r="T252" s="5">
        <v>4.0</v>
      </c>
      <c r="U252" s="9">
        <v>1502.01775</v>
      </c>
    </row>
    <row r="253">
      <c r="A253" s="4" t="s">
        <v>405</v>
      </c>
      <c r="B253" s="4" t="str">
        <f>IFERROR(__xludf.DUMMYFUNCTION("SPLIT(A253,""&gt;"")"),"Online Behavior")</f>
        <v>Online Behavior</v>
      </c>
      <c r="C253" s="4" t="str">
        <f>IFERROR(__xludf.DUMMYFUNCTION("""COMPUTED_VALUE"""),"United States")</f>
        <v>United States</v>
      </c>
      <c r="D253" s="4" t="str">
        <f>IFERROR(__xludf.DUMMYFUNCTION("""COMPUTED_VALUE"""),"Arts and Entertainment")</f>
        <v>Arts and Entertainment</v>
      </c>
      <c r="E253" s="4" t="str">
        <f>IFERROR(__xludf.DUMMYFUNCTION("""COMPUTED_VALUE"""),"Comics and Animation")</f>
        <v>Comics and Animation</v>
      </c>
      <c r="F253" s="4"/>
      <c r="G253" s="4"/>
      <c r="H253" s="4"/>
      <c r="I253" s="4"/>
      <c r="J253" s="5" t="s">
        <v>15</v>
      </c>
      <c r="K253" s="5" t="s">
        <v>16</v>
      </c>
      <c r="L253" s="5" t="s">
        <v>173</v>
      </c>
      <c r="M253" s="6" t="s">
        <v>406</v>
      </c>
      <c r="N253" s="5" t="s">
        <v>19</v>
      </c>
      <c r="O253" s="5" t="s">
        <v>27</v>
      </c>
      <c r="P253" s="5">
        <v>7583.0</v>
      </c>
      <c r="Q253" s="5">
        <v>45.0</v>
      </c>
      <c r="R253" s="5">
        <v>4608.0</v>
      </c>
      <c r="S253" s="5">
        <v>5881.0</v>
      </c>
      <c r="T253" s="5">
        <v>1.0</v>
      </c>
      <c r="U253" s="9">
        <v>5033.482578</v>
      </c>
    </row>
    <row r="254" hidden="1">
      <c r="A254" s="4" t="s">
        <v>1289</v>
      </c>
      <c r="B254" s="4" t="str">
        <f>IFERROR(__xludf.DUMMYFUNCTION("SPLIT(A254,""&gt;"")"),"United States ")</f>
        <v>United States </v>
      </c>
      <c r="C254" s="4" t="str">
        <f>IFERROR(__xludf.DUMMYFUNCTION("""COMPUTED_VALUE""")," Interest Propensities ")</f>
        <v> Interest Propensities </v>
      </c>
      <c r="D254" s="4" t="str">
        <f>IFERROR(__xludf.DUMMYFUNCTION("""COMPUTED_VALUE""")," Insurance ")</f>
        <v> Insurance </v>
      </c>
      <c r="E254" s="4" t="str">
        <f>IFERROR(__xludf.DUMMYFUNCTION("""COMPUTED_VALUE""")," Aetna Group")</f>
        <v> Aetna Group</v>
      </c>
      <c r="F254" s="4"/>
      <c r="G254" s="4"/>
      <c r="H254" s="4"/>
      <c r="I254" s="4"/>
      <c r="J254" s="5" t="s">
        <v>15</v>
      </c>
      <c r="K254" s="5" t="s">
        <v>42</v>
      </c>
      <c r="L254" s="5" t="s">
        <v>39</v>
      </c>
      <c r="M254" s="13" t="s">
        <v>1290</v>
      </c>
      <c r="N254" s="5" t="s">
        <v>19</v>
      </c>
      <c r="O254" s="5" t="s">
        <v>20</v>
      </c>
      <c r="P254" s="5">
        <v>12436.0</v>
      </c>
      <c r="Q254" s="5">
        <v>84.0</v>
      </c>
      <c r="R254" s="5">
        <v>7055.0</v>
      </c>
      <c r="S254" s="5">
        <v>11497.0</v>
      </c>
      <c r="T254" s="5">
        <v>9.0</v>
      </c>
      <c r="U254" s="9">
        <v>1720.870126</v>
      </c>
    </row>
    <row r="255">
      <c r="A255" s="4" t="s">
        <v>1291</v>
      </c>
      <c r="B255" s="4" t="str">
        <f>IFERROR(__xludf.DUMMYFUNCTION("SPLIT(A255,""&gt;"")"),"Online Behavior")</f>
        <v>Online Behavior</v>
      </c>
      <c r="C255" s="4" t="str">
        <f>IFERROR(__xludf.DUMMYFUNCTION("""COMPUTED_VALUE"""),"United States")</f>
        <v>United States</v>
      </c>
      <c r="D255" s="4" t="str">
        <f>IFERROR(__xludf.DUMMYFUNCTION("""COMPUTED_VALUE"""),"Finance ")</f>
        <v>Finance </v>
      </c>
      <c r="E255" s="4" t="str">
        <f>IFERROR(__xludf.DUMMYFUNCTION("""COMPUTED_VALUE""")," Insurance")</f>
        <v> Insurance</v>
      </c>
      <c r="F255" s="4" t="str">
        <f>IFERROR(__xludf.DUMMYFUNCTION("""COMPUTED_VALUE"""),"Insurance")</f>
        <v>Insurance</v>
      </c>
      <c r="G255" s="4"/>
      <c r="H255" s="4"/>
      <c r="I255" s="4"/>
      <c r="J255" s="5" t="s">
        <v>22</v>
      </c>
      <c r="K255" s="5" t="s">
        <v>31</v>
      </c>
      <c r="L255" s="5" t="s">
        <v>35</v>
      </c>
      <c r="M255" s="6" t="s">
        <v>410</v>
      </c>
      <c r="N255" s="5" t="s">
        <v>36</v>
      </c>
      <c r="O255" s="5" t="s">
        <v>27</v>
      </c>
      <c r="P255" s="5">
        <v>122086.0</v>
      </c>
      <c r="Q255" s="5">
        <v>299.0</v>
      </c>
      <c r="R255" s="5">
        <v>82898.0</v>
      </c>
      <c r="S255" s="5">
        <v>116235.0</v>
      </c>
      <c r="T255" s="5">
        <v>16.0</v>
      </c>
      <c r="U255" s="9">
        <v>7663.695294</v>
      </c>
    </row>
    <row r="256">
      <c r="A256" s="4" t="s">
        <v>1292</v>
      </c>
      <c r="B256" s="4" t="str">
        <f>IFERROR(__xludf.DUMMYFUNCTION("SPLIT(A256,""&gt;"")"),"Online Behavior")</f>
        <v>Online Behavior</v>
      </c>
      <c r="C256" s="4" t="str">
        <f>IFERROR(__xludf.DUMMYFUNCTION("""COMPUTED_VALUE"""),"United States")</f>
        <v>United States</v>
      </c>
      <c r="D256" s="4" t="str">
        <f>IFERROR(__xludf.DUMMYFUNCTION("""COMPUTED_VALUE"""),"Food and Drink")</f>
        <v>Food and Drink</v>
      </c>
      <c r="E256" s="4" t="str">
        <f>IFERROR(__xludf.DUMMYFUNCTION("""COMPUTED_VALUE"""),"Beverages ")</f>
        <v>Beverages </v>
      </c>
      <c r="F256" s="4" t="str">
        <f>IFERROR(__xludf.DUMMYFUNCTION("""COMPUTED_VALUE""")," Coffee and Tea")</f>
        <v> Coffee and Tea</v>
      </c>
      <c r="G256" s="4"/>
      <c r="H256" s="4"/>
      <c r="I256" s="4"/>
      <c r="J256" s="5" t="s">
        <v>22</v>
      </c>
      <c r="K256" s="5" t="s">
        <v>16</v>
      </c>
      <c r="L256" s="5" t="s">
        <v>66</v>
      </c>
      <c r="M256" s="6" t="s">
        <v>410</v>
      </c>
      <c r="N256" s="5" t="s">
        <v>46</v>
      </c>
      <c r="O256" s="5" t="s">
        <v>27</v>
      </c>
      <c r="P256" s="5">
        <v>63794.0</v>
      </c>
      <c r="Q256" s="5">
        <v>200.0</v>
      </c>
      <c r="R256" s="5">
        <v>46557.0</v>
      </c>
      <c r="S256" s="5">
        <v>60868.0</v>
      </c>
      <c r="T256" s="5">
        <v>9.0</v>
      </c>
      <c r="U256" s="9">
        <v>6832.940067</v>
      </c>
    </row>
    <row r="257" hidden="1">
      <c r="A257" s="4" t="s">
        <v>1293</v>
      </c>
      <c r="B257" s="4" t="str">
        <f>IFERROR(__xludf.DUMMYFUNCTION("SPLIT(A257,""&gt;"")"),"Online Behavior")</f>
        <v>Online Behavior</v>
      </c>
      <c r="C257" s="4" t="str">
        <f>IFERROR(__xludf.DUMMYFUNCTION("""COMPUTED_VALUE"""),"United States")</f>
        <v>United States</v>
      </c>
      <c r="D257" s="4" t="str">
        <f>IFERROR(__xludf.DUMMYFUNCTION("""COMPUTED_VALUE"""),"Intent ")</f>
        <v>Intent </v>
      </c>
      <c r="E257" s="4" t="str">
        <f>IFERROR(__xludf.DUMMYFUNCTION("""COMPUTED_VALUE""")," Auto Buyers ")</f>
        <v> Auto Buyers </v>
      </c>
      <c r="F257" s="4" t="str">
        <f>IFERROR(__xludf.DUMMYFUNCTION("""COMPUTED_VALUE""")," Car Make")</f>
        <v> Car Make</v>
      </c>
      <c r="G257" s="4" t="str">
        <f>IFERROR(__xludf.DUMMYFUNCTION("""COMPUTED_VALUE"""),"Ford")</f>
        <v>Ford</v>
      </c>
      <c r="H257" s="4"/>
      <c r="I257" s="4"/>
      <c r="J257" s="5" t="s">
        <v>15</v>
      </c>
      <c r="K257" s="5" t="s">
        <v>42</v>
      </c>
      <c r="L257" s="5" t="s">
        <v>39</v>
      </c>
      <c r="M257" s="6" t="s">
        <v>410</v>
      </c>
      <c r="N257" s="5" t="s">
        <v>46</v>
      </c>
      <c r="O257" s="5" t="s">
        <v>20</v>
      </c>
      <c r="P257" s="5">
        <v>29323.0</v>
      </c>
      <c r="Q257" s="5">
        <v>88.0</v>
      </c>
      <c r="R257" s="5">
        <v>13822.0</v>
      </c>
      <c r="S257" s="5">
        <v>26934.0</v>
      </c>
      <c r="T257" s="5">
        <v>9.0</v>
      </c>
      <c r="U257" s="9">
        <v>6096.045521</v>
      </c>
    </row>
    <row r="258">
      <c r="A258" s="4" t="s">
        <v>1294</v>
      </c>
      <c r="B258" s="4" t="str">
        <f>IFERROR(__xludf.DUMMYFUNCTION("SPLIT(A258,""&gt;"")"),"Online Behavior")</f>
        <v>Online Behavior</v>
      </c>
      <c r="C258" s="4" t="str">
        <f>IFERROR(__xludf.DUMMYFUNCTION("""COMPUTED_VALUE"""),"United States")</f>
        <v>United States</v>
      </c>
      <c r="D258" s="4" t="str">
        <f>IFERROR(__xludf.DUMMYFUNCTION("""COMPUTED_VALUE"""),"Autos and Vehicles ")</f>
        <v>Autos and Vehicles </v>
      </c>
      <c r="E258" s="4" t="str">
        <f>IFERROR(__xludf.DUMMYFUNCTION("""COMPUTED_VALUE""")," Brands")</f>
        <v> Brands</v>
      </c>
      <c r="F258" s="4" t="str">
        <f>IFERROR(__xludf.DUMMYFUNCTION("""COMPUTED_VALUE"""),"Maserati")</f>
        <v>Maserati</v>
      </c>
      <c r="G258" s="4"/>
      <c r="H258" s="4"/>
      <c r="I258" s="4"/>
      <c r="J258" s="5" t="s">
        <v>22</v>
      </c>
      <c r="K258" s="5" t="s">
        <v>23</v>
      </c>
      <c r="L258" s="5" t="s">
        <v>45</v>
      </c>
      <c r="M258" s="6" t="s">
        <v>410</v>
      </c>
      <c r="N258" s="5" t="s">
        <v>46</v>
      </c>
      <c r="O258" s="5" t="s">
        <v>27</v>
      </c>
      <c r="P258" s="5">
        <v>38408.0</v>
      </c>
      <c r="Q258" s="5">
        <v>101.0</v>
      </c>
      <c r="R258" s="5">
        <v>23557.0</v>
      </c>
      <c r="S258" s="5">
        <v>35247.0</v>
      </c>
      <c r="T258" s="5">
        <v>7.0</v>
      </c>
      <c r="U258" s="9">
        <v>5343.459431</v>
      </c>
    </row>
    <row r="259">
      <c r="A259" s="4" t="s">
        <v>1295</v>
      </c>
      <c r="B259" s="4" t="str">
        <f>IFERROR(__xludf.DUMMYFUNCTION("SPLIT(A259,""&gt;"")"),"United States ")</f>
        <v>United States </v>
      </c>
      <c r="C259" s="4" t="str">
        <f>IFERROR(__xludf.DUMMYFUNCTION("""COMPUTED_VALUE""")," Reach ")</f>
        <v> Reach </v>
      </c>
      <c r="D259" s="4" t="str">
        <f>IFERROR(__xludf.DUMMYFUNCTION("""COMPUTED_VALUE""")," Sociodemographic ")</f>
        <v> Sociodemographic </v>
      </c>
      <c r="E259" s="4" t="str">
        <f>IFERROR(__xludf.DUMMYFUNCTION("""COMPUTED_VALUE""")," Homeowner StatUnited States ")</f>
        <v> Homeowner StatUnited States </v>
      </c>
      <c r="F259" s="4" t="str">
        <f>IFERROR(__xludf.DUMMYFUNCTION("""COMPUTED_VALUE""")," Renter")</f>
        <v> Renter</v>
      </c>
      <c r="G259" s="4"/>
      <c r="H259" s="4"/>
      <c r="I259" s="4"/>
      <c r="J259" s="5" t="s">
        <v>22</v>
      </c>
      <c r="K259" s="5" t="s">
        <v>23</v>
      </c>
      <c r="L259" s="5" t="s">
        <v>173</v>
      </c>
      <c r="M259" s="6" t="s">
        <v>410</v>
      </c>
      <c r="N259" s="5" t="s">
        <v>19</v>
      </c>
      <c r="O259" s="5" t="s">
        <v>27</v>
      </c>
      <c r="P259" s="5">
        <v>70134.0</v>
      </c>
      <c r="Q259" s="5">
        <v>169.0</v>
      </c>
      <c r="R259" s="5">
        <v>48862.0</v>
      </c>
      <c r="S259" s="5">
        <v>66739.0</v>
      </c>
      <c r="T259" s="5">
        <v>14.0</v>
      </c>
      <c r="U259" s="9">
        <v>2514.868116</v>
      </c>
    </row>
    <row r="260" hidden="1">
      <c r="A260" s="4" t="s">
        <v>1296</v>
      </c>
      <c r="B260" s="4" t="str">
        <f>IFERROR(__xludf.DUMMYFUNCTION("SPLIT(A260,""&gt;"")"),"United States ")</f>
        <v>United States </v>
      </c>
      <c r="C260" s="4" t="str">
        <f>IFERROR(__xludf.DUMMYFUNCTION("""COMPUTED_VALUE""")," B2B ")</f>
        <v> B2B </v>
      </c>
      <c r="D260" s="4" t="str">
        <f>IFERROR(__xludf.DUMMYFUNCTION("""COMPUTED_VALUE""")," B2B Decision Maker Responsibilities ")</f>
        <v> B2B Decision Maker Responsibilities </v>
      </c>
      <c r="E260" s="4" t="str">
        <f>IFERROR(__xludf.DUMMYFUNCTION("""COMPUTED_VALUE""")," HR or Personnel Services")</f>
        <v> HR or Personnel Services</v>
      </c>
      <c r="F260" s="4"/>
      <c r="G260" s="4"/>
      <c r="H260" s="4"/>
      <c r="I260" s="4"/>
      <c r="J260" s="5" t="s">
        <v>15</v>
      </c>
      <c r="K260" s="5" t="s">
        <v>23</v>
      </c>
      <c r="L260" s="5" t="s">
        <v>17</v>
      </c>
      <c r="M260" s="6" t="s">
        <v>410</v>
      </c>
      <c r="N260" s="5" t="s">
        <v>19</v>
      </c>
      <c r="O260" s="5" t="s">
        <v>52</v>
      </c>
      <c r="P260" s="5">
        <v>51889.0</v>
      </c>
      <c r="Q260" s="5">
        <v>174.0</v>
      </c>
      <c r="R260" s="5">
        <v>33879.0</v>
      </c>
      <c r="S260" s="5">
        <v>49382.0</v>
      </c>
      <c r="T260" s="5">
        <v>5.0</v>
      </c>
      <c r="U260" s="9">
        <v>2172.841747</v>
      </c>
    </row>
    <row r="261" hidden="1">
      <c r="A261" s="4" t="s">
        <v>1297</v>
      </c>
      <c r="B261" s="4" t="str">
        <f>IFERROR(__xludf.DUMMYFUNCTION("SPLIT(A261,""&gt;"")"),"United States ")</f>
        <v>United States </v>
      </c>
      <c r="C261" s="4" t="str">
        <f>IFERROR(__xludf.DUMMYFUNCTION("""COMPUTED_VALUE""")," B2B ")</f>
        <v> B2B </v>
      </c>
      <c r="D261" s="4" t="str">
        <f>IFERROR(__xludf.DUMMYFUNCTION("""COMPUTED_VALUE""")," B2B Decision Maker Responsibilities ")</f>
        <v> B2B Decision Maker Responsibilities </v>
      </c>
      <c r="E261" s="4" t="str">
        <f>IFERROR(__xludf.DUMMYFUNCTION("""COMPUTED_VALUE""")," Sales")</f>
        <v> Sales</v>
      </c>
      <c r="F261" s="4"/>
      <c r="G261" s="4"/>
      <c r="H261" s="4"/>
      <c r="I261" s="4"/>
      <c r="J261" s="5" t="s">
        <v>15</v>
      </c>
      <c r="K261" s="5" t="s">
        <v>23</v>
      </c>
      <c r="L261" s="5" t="s">
        <v>66</v>
      </c>
      <c r="M261" s="6" t="s">
        <v>410</v>
      </c>
      <c r="N261" s="5" t="s">
        <v>19</v>
      </c>
      <c r="O261" s="5" t="s">
        <v>52</v>
      </c>
      <c r="P261" s="5">
        <v>19951.0</v>
      </c>
      <c r="Q261" s="5">
        <v>81.0</v>
      </c>
      <c r="R261" s="5">
        <v>10511.0</v>
      </c>
      <c r="S261" s="5">
        <v>18132.0</v>
      </c>
      <c r="T261" s="5">
        <v>15.0</v>
      </c>
      <c r="U261" s="9">
        <v>1801.14885</v>
      </c>
    </row>
    <row r="262">
      <c r="A262" s="4" t="s">
        <v>1298</v>
      </c>
      <c r="B262" s="4" t="str">
        <f>IFERROR(__xludf.DUMMYFUNCTION("SPLIT(A262,""&gt;"")"),"Mobile - United States ")</f>
        <v>Mobile - United States </v>
      </c>
      <c r="C262" s="4" t="str">
        <f>IFERROR(__xludf.DUMMYFUNCTION("""COMPUTED_VALUE""")," Travel ")</f>
        <v> Travel </v>
      </c>
      <c r="D262" s="4" t="str">
        <f>IFERROR(__xludf.DUMMYFUNCTION("""COMPUTED_VALUE""")," Vacation Rentals ")</f>
        <v> Vacation Rentals </v>
      </c>
      <c r="E262" s="4" t="str">
        <f>IFERROR(__xludf.DUMMYFUNCTION("""COMPUTED_VALUE""")," HomeAway")</f>
        <v> HomeAway</v>
      </c>
      <c r="F262" s="4"/>
      <c r="G262" s="4"/>
      <c r="H262" s="4"/>
      <c r="I262" s="4"/>
      <c r="J262" s="5" t="s">
        <v>22</v>
      </c>
      <c r="K262" s="5" t="s">
        <v>23</v>
      </c>
      <c r="L262" s="5" t="s">
        <v>240</v>
      </c>
      <c r="M262" s="6" t="s">
        <v>410</v>
      </c>
      <c r="N262" s="5" t="s">
        <v>19</v>
      </c>
      <c r="O262" s="5" t="s">
        <v>27</v>
      </c>
      <c r="P262" s="5">
        <v>91593.0</v>
      </c>
      <c r="Q262" s="5">
        <v>40.0</v>
      </c>
      <c r="R262" s="5">
        <v>51004.0</v>
      </c>
      <c r="S262" s="5">
        <v>82985.0</v>
      </c>
      <c r="T262" s="5">
        <v>18.0</v>
      </c>
      <c r="U262" s="9">
        <v>1731.584862</v>
      </c>
    </row>
    <row r="263">
      <c r="A263" s="4" t="s">
        <v>1299</v>
      </c>
      <c r="B263" s="4" t="str">
        <f>IFERROR(__xludf.DUMMYFUNCTION("SPLIT(A263,""&gt;"")"),"OnAudience ")</f>
        <v>OnAudience </v>
      </c>
      <c r="C263" s="4" t="str">
        <f>IFERROR(__xludf.DUMMYFUNCTION("""COMPUTED_VALUE""")," Interest ")</f>
        <v> Interest </v>
      </c>
      <c r="D263" s="4" t="str">
        <f>IFERROR(__xludf.DUMMYFUNCTION("""COMPUTED_VALUE""")," News ")</f>
        <v> News </v>
      </c>
      <c r="E263" s="4" t="str">
        <f>IFERROR(__xludf.DUMMYFUNCTION("""COMPUTED_VALUE""")," Local News")</f>
        <v> Local News</v>
      </c>
      <c r="F263" s="4"/>
      <c r="G263" s="4"/>
      <c r="H263" s="4"/>
      <c r="I263" s="4"/>
      <c r="J263" s="5" t="s">
        <v>61</v>
      </c>
      <c r="K263" s="5" t="s">
        <v>31</v>
      </c>
      <c r="L263" s="5" t="s">
        <v>95</v>
      </c>
      <c r="M263" s="6" t="s">
        <v>410</v>
      </c>
      <c r="N263" s="5" t="s">
        <v>46</v>
      </c>
      <c r="O263" s="5" t="s">
        <v>27</v>
      </c>
      <c r="P263" s="5">
        <v>69722.0</v>
      </c>
      <c r="Q263" s="5">
        <v>194.0</v>
      </c>
      <c r="R263" s="5">
        <v>40640.0</v>
      </c>
      <c r="S263" s="5">
        <v>64819.0</v>
      </c>
      <c r="T263" s="5">
        <v>10.0</v>
      </c>
      <c r="U263" s="9">
        <v>1667.655895</v>
      </c>
    </row>
    <row r="264" hidden="1">
      <c r="A264" s="4" t="s">
        <v>1300</v>
      </c>
      <c r="B264" s="4" t="str">
        <f>IFERROR(__xludf.DUMMYFUNCTION("SPLIT(A264,""&gt;"")"),"OnAudience ")</f>
        <v>OnAudience </v>
      </c>
      <c r="C264" s="4" t="str">
        <f>IFERROR(__xludf.DUMMYFUNCTION("""COMPUTED_VALUE""")," Interest ")</f>
        <v> Interest </v>
      </c>
      <c r="D264" s="4" t="str">
        <f>IFERROR(__xludf.DUMMYFUNCTION("""COMPUTED_VALUE""")," Arts &amp; Entertainment ")</f>
        <v> Arts &amp; Entertainment </v>
      </c>
      <c r="E264" s="4" t="str">
        <f>IFERROR(__xludf.DUMMYFUNCTION("""COMPUTED_VALUE""")," MUnited Statesic Lovers")</f>
        <v> MUnited Statesic Lovers</v>
      </c>
      <c r="F264" s="4"/>
      <c r="G264" s="4"/>
      <c r="H264" s="4"/>
      <c r="I264" s="4"/>
      <c r="J264" s="5" t="s">
        <v>15</v>
      </c>
      <c r="K264" s="5" t="s">
        <v>23</v>
      </c>
      <c r="L264" s="5" t="s">
        <v>95</v>
      </c>
      <c r="M264" s="6" t="s">
        <v>410</v>
      </c>
      <c r="N264" s="5" t="s">
        <v>48</v>
      </c>
      <c r="O264" s="5" t="s">
        <v>52</v>
      </c>
      <c r="P264" s="5">
        <v>76724.0</v>
      </c>
      <c r="Q264" s="5">
        <v>187.0</v>
      </c>
      <c r="R264" s="5">
        <v>43209.0</v>
      </c>
      <c r="S264" s="5">
        <v>69530.0</v>
      </c>
      <c r="T264" s="5">
        <v>9.0</v>
      </c>
      <c r="U264" s="9">
        <v>1493.204528</v>
      </c>
    </row>
    <row r="265">
      <c r="A265" s="4" t="s">
        <v>1301</v>
      </c>
      <c r="B265" s="4" t="str">
        <f>IFERROR(__xludf.DUMMYFUNCTION("SPLIT(A265,""&gt;"")"),"United States ")</f>
        <v>United States </v>
      </c>
      <c r="C265" s="4" t="str">
        <f>IFERROR(__xludf.DUMMYFUNCTION("""COMPUTED_VALUE""")," Sociodemographic ")</f>
        <v> Sociodemographic </v>
      </c>
      <c r="D265" s="4" t="str">
        <f>IFERROR(__xludf.DUMMYFUNCTION("""COMPUTED_VALUE""")," PRIZM Premier Social ")</f>
        <v> PRIZM Premier Social </v>
      </c>
      <c r="E265" s="4" t="str">
        <f>IFERROR(__xludf.DUMMYFUNCTION("""COMPUTED_VALUE""")," T2 Country Comfort")</f>
        <v> T2 Country Comfort</v>
      </c>
      <c r="F265" s="4"/>
      <c r="G265" s="4"/>
      <c r="H265" s="4"/>
      <c r="I265" s="4"/>
      <c r="J265" s="5" t="s">
        <v>22</v>
      </c>
      <c r="K265" s="5" t="s">
        <v>16</v>
      </c>
      <c r="L265" s="5" t="s">
        <v>78</v>
      </c>
      <c r="M265" s="6" t="s">
        <v>410</v>
      </c>
      <c r="N265" s="5" t="s">
        <v>231</v>
      </c>
      <c r="O265" s="5" t="s">
        <v>27</v>
      </c>
      <c r="P265" s="5">
        <v>34959.0</v>
      </c>
      <c r="Q265" s="5">
        <v>122.0</v>
      </c>
      <c r="R265" s="5">
        <v>17511.0</v>
      </c>
      <c r="S265" s="5">
        <v>31974.0</v>
      </c>
      <c r="T265" s="5">
        <v>5.0</v>
      </c>
      <c r="U265" s="9">
        <v>1477.493357</v>
      </c>
    </row>
    <row r="266">
      <c r="A266" s="4" t="s">
        <v>421</v>
      </c>
      <c r="B266" s="4" t="str">
        <f>IFERROR(__xludf.DUMMYFUNCTION("SPLIT(A266,""&gt;"")"),"Online Behavior")</f>
        <v>Online Behavior</v>
      </c>
      <c r="C266" s="4" t="str">
        <f>IFERROR(__xludf.DUMMYFUNCTION("""COMPUTED_VALUE"""),"United States")</f>
        <v>United States</v>
      </c>
      <c r="D266" s="4" t="str">
        <f>IFERROR(__xludf.DUMMYFUNCTION("""COMPUTED_VALUE"""),"Arts and Entertainment")</f>
        <v>Arts and Entertainment</v>
      </c>
      <c r="E266" s="4" t="str">
        <f>IFERROR(__xludf.DUMMYFUNCTION("""COMPUTED_VALUE"""),"Movies")</f>
        <v>Movies</v>
      </c>
      <c r="F266" s="4"/>
      <c r="G266" s="4"/>
      <c r="H266" s="4"/>
      <c r="I266" s="4"/>
      <c r="J266" s="5" t="s">
        <v>15</v>
      </c>
      <c r="K266" s="5" t="s">
        <v>42</v>
      </c>
      <c r="L266" s="5" t="s">
        <v>39</v>
      </c>
      <c r="M266" s="6" t="s">
        <v>422</v>
      </c>
      <c r="N266" s="5" t="s">
        <v>19</v>
      </c>
      <c r="O266" s="5" t="s">
        <v>27</v>
      </c>
      <c r="P266" s="5">
        <v>9273.0</v>
      </c>
      <c r="Q266" s="5">
        <v>70.0</v>
      </c>
      <c r="R266" s="5">
        <v>4648.0</v>
      </c>
      <c r="S266" s="5">
        <v>8751.0</v>
      </c>
      <c r="T266" s="5">
        <v>5.0</v>
      </c>
      <c r="U266" s="9">
        <v>4986.51937</v>
      </c>
    </row>
    <row r="267">
      <c r="A267" s="4" t="s">
        <v>1302</v>
      </c>
      <c r="B267" s="4" t="str">
        <f>IFERROR(__xludf.DUMMYFUNCTION("SPLIT(A267,""&gt;"")"),"Online Behavior")</f>
        <v>Online Behavior</v>
      </c>
      <c r="C267" s="4" t="str">
        <f>IFERROR(__xludf.DUMMYFUNCTION("""COMPUTED_VALUE"""),"United States")</f>
        <v>United States</v>
      </c>
      <c r="D267" s="4" t="str">
        <f>IFERROR(__xludf.DUMMYFUNCTION("""COMPUTED_VALUE"""),"Intent ")</f>
        <v>Intent </v>
      </c>
      <c r="E267" s="4" t="str">
        <f>IFERROR(__xludf.DUMMYFUNCTION("""COMPUTED_VALUE""")," Shopping")</f>
        <v> Shopping</v>
      </c>
      <c r="F267" s="4" t="str">
        <f>IFERROR(__xludf.DUMMYFUNCTION("""COMPUTED_VALUE"""),"Consumer Electronics ")</f>
        <v>Consumer Electronics </v>
      </c>
      <c r="G267" s="4" t="str">
        <f>IFERROR(__xludf.DUMMYFUNCTION("""COMPUTED_VALUE""")," Cameras and Photography Equip")</f>
        <v> Cameras and Photography Equip</v>
      </c>
      <c r="H267" s="4"/>
      <c r="I267" s="4"/>
      <c r="J267" s="5" t="s">
        <v>15</v>
      </c>
      <c r="K267" s="5" t="s">
        <v>23</v>
      </c>
      <c r="L267" s="5" t="s">
        <v>35</v>
      </c>
      <c r="M267" s="6" t="s">
        <v>424</v>
      </c>
      <c r="N267" s="5" t="s">
        <v>46</v>
      </c>
      <c r="O267" s="5" t="s">
        <v>27</v>
      </c>
      <c r="P267" s="5">
        <v>11681.0</v>
      </c>
      <c r="Q267" s="5">
        <v>88.0</v>
      </c>
      <c r="R267" s="5">
        <v>4713.0</v>
      </c>
      <c r="S267" s="5">
        <v>8230.0</v>
      </c>
      <c r="T267" s="5">
        <v>4.0</v>
      </c>
      <c r="U267" s="9">
        <v>5216.648879</v>
      </c>
    </row>
    <row r="268">
      <c r="A268" s="4" t="s">
        <v>1303</v>
      </c>
      <c r="B268" s="4" t="str">
        <f>IFERROR(__xludf.DUMMYFUNCTION("SPLIT(A268,""&gt;"")"),"Online Behavior")</f>
        <v>Online Behavior</v>
      </c>
      <c r="C268" s="4" t="str">
        <f>IFERROR(__xludf.DUMMYFUNCTION("""COMPUTED_VALUE"""),"United States")</f>
        <v>United States</v>
      </c>
      <c r="D268" s="4" t="str">
        <f>IFERROR(__xludf.DUMMYFUNCTION("""COMPUTED_VALUE"""),"Intent ")</f>
        <v>Intent </v>
      </c>
      <c r="E268" s="4" t="str">
        <f>IFERROR(__xludf.DUMMYFUNCTION("""COMPUTED_VALUE""")," Travel")</f>
        <v> Travel</v>
      </c>
      <c r="F268" s="4" t="str">
        <f>IFERROR(__xludf.DUMMYFUNCTION("""COMPUTED_VALUE"""),"BUnited Statesiness Travel")</f>
        <v>BUnited Statesiness Travel</v>
      </c>
      <c r="G268" s="4"/>
      <c r="H268" s="4"/>
      <c r="I268" s="4"/>
      <c r="J268" s="5" t="s">
        <v>15</v>
      </c>
      <c r="K268" s="5" t="s">
        <v>31</v>
      </c>
      <c r="L268" s="5" t="s">
        <v>78</v>
      </c>
      <c r="M268" s="6" t="s">
        <v>426</v>
      </c>
      <c r="N268" s="5" t="s">
        <v>19</v>
      </c>
      <c r="O268" s="5" t="s">
        <v>27</v>
      </c>
      <c r="P268" s="5">
        <v>17770.0</v>
      </c>
      <c r="Q268" s="5">
        <v>70.0</v>
      </c>
      <c r="R268" s="5">
        <v>12771.0</v>
      </c>
      <c r="S268" s="5">
        <v>16749.0</v>
      </c>
      <c r="T268" s="5">
        <v>9.0</v>
      </c>
      <c r="U268" s="9">
        <v>5195.234677</v>
      </c>
    </row>
    <row r="269" hidden="1">
      <c r="A269" s="4" t="s">
        <v>1304</v>
      </c>
      <c r="B269" s="4" t="str">
        <f>IFERROR(__xludf.DUMMYFUNCTION("SPLIT(A269,""&gt;"")"),"United States Home ")</f>
        <v>United States Home </v>
      </c>
      <c r="C269" s="4" t="str">
        <f>IFERROR(__xludf.DUMMYFUNCTION("""COMPUTED_VALUE""")," Dwelling Type ")</f>
        <v> Dwelling Type </v>
      </c>
      <c r="D269" s="4" t="str">
        <f>IFERROR(__xludf.DUMMYFUNCTION("""COMPUTED_VALUE""")," Single-Family")</f>
        <v> Single-Family</v>
      </c>
      <c r="E269" s="4"/>
      <c r="F269" s="4"/>
      <c r="G269" s="4"/>
      <c r="H269" s="4"/>
      <c r="I269" s="4"/>
      <c r="J269" s="5" t="s">
        <v>15</v>
      </c>
      <c r="K269" s="5" t="s">
        <v>42</v>
      </c>
      <c r="L269" s="5" t="s">
        <v>35</v>
      </c>
      <c r="M269" s="6" t="s">
        <v>426</v>
      </c>
      <c r="N269" s="5" t="s">
        <v>19</v>
      </c>
      <c r="O269" s="5" t="s">
        <v>52</v>
      </c>
      <c r="P269" s="5">
        <v>16202.0</v>
      </c>
      <c r="Q269" s="5">
        <v>80.0</v>
      </c>
      <c r="R269" s="5">
        <v>11786.0</v>
      </c>
      <c r="S269" s="5">
        <v>15365.0</v>
      </c>
      <c r="T269" s="5">
        <v>2.0</v>
      </c>
      <c r="U269" s="9">
        <v>1570.34276</v>
      </c>
    </row>
    <row r="270">
      <c r="A270" s="4" t="s">
        <v>1305</v>
      </c>
      <c r="B270" s="4" t="str">
        <f>IFERROR(__xludf.DUMMYFUNCTION("SPLIT(A270,""&gt;"")"),"OnAudience ")</f>
        <v>OnAudience </v>
      </c>
      <c r="C270" s="4" t="str">
        <f>IFERROR(__xludf.DUMMYFUNCTION("""COMPUTED_VALUE""")," Interest ")</f>
        <v> Interest </v>
      </c>
      <c r="D270" s="4" t="str">
        <f>IFERROR(__xludf.DUMMYFUNCTION("""COMPUTED_VALUE""")," Games")</f>
        <v> Games</v>
      </c>
      <c r="E270" s="4"/>
      <c r="F270" s="4"/>
      <c r="G270" s="4"/>
      <c r="H270" s="4"/>
      <c r="I270" s="4"/>
      <c r="J270" s="5" t="s">
        <v>22</v>
      </c>
      <c r="K270" s="5" t="s">
        <v>31</v>
      </c>
      <c r="L270" s="5" t="s">
        <v>17</v>
      </c>
      <c r="M270" s="6" t="s">
        <v>429</v>
      </c>
      <c r="N270" s="5" t="s">
        <v>46</v>
      </c>
      <c r="O270" s="5" t="s">
        <v>27</v>
      </c>
      <c r="P270" s="5">
        <v>13779.0</v>
      </c>
      <c r="Q270" s="5">
        <v>96.0</v>
      </c>
      <c r="R270" s="5">
        <v>3482.0</v>
      </c>
      <c r="S270" s="5">
        <v>12487.0</v>
      </c>
      <c r="T270" s="5">
        <v>4.0</v>
      </c>
      <c r="U270" s="9">
        <v>1530.041892</v>
      </c>
    </row>
    <row r="271">
      <c r="A271" s="4" t="s">
        <v>1306</v>
      </c>
      <c r="B271" s="4" t="str">
        <f>IFERROR(__xludf.DUMMYFUNCTION("SPLIT(A271,""&gt;"")"),"United States ")</f>
        <v>United States </v>
      </c>
      <c r="C271" s="4" t="str">
        <f>IFERROR(__xludf.DUMMYFUNCTION("""COMPUTED_VALUE""")," Response Performance ")</f>
        <v> Response Performance </v>
      </c>
      <c r="D271" s="4" t="str">
        <f>IFERROR(__xludf.DUMMYFUNCTION("""COMPUTED_VALUE""")," Direct Marketing Purchasers")</f>
        <v> Direct Marketing Purchasers</v>
      </c>
      <c r="E271" s="4"/>
      <c r="F271" s="4"/>
      <c r="G271" s="4"/>
      <c r="H271" s="4"/>
      <c r="I271" s="4"/>
      <c r="J271" s="5" t="s">
        <v>15</v>
      </c>
      <c r="K271" s="5" t="s">
        <v>16</v>
      </c>
      <c r="L271" s="5" t="s">
        <v>43</v>
      </c>
      <c r="M271" s="6" t="s">
        <v>431</v>
      </c>
      <c r="N271" s="5" t="s">
        <v>19</v>
      </c>
      <c r="O271" s="5" t="s">
        <v>27</v>
      </c>
      <c r="P271" s="5">
        <v>13183.0</v>
      </c>
      <c r="Q271" s="5">
        <v>100.0</v>
      </c>
      <c r="R271" s="5">
        <v>4337.0</v>
      </c>
      <c r="S271" s="5">
        <v>10596.0</v>
      </c>
      <c r="T271" s="5">
        <v>1.0</v>
      </c>
      <c r="U271" s="9">
        <v>2430.243664</v>
      </c>
    </row>
    <row r="272">
      <c r="A272" s="4" t="s">
        <v>1307</v>
      </c>
      <c r="B272" s="4" t="str">
        <f>IFERROR(__xludf.DUMMYFUNCTION("SPLIT(A272,""&gt;"")"),"Online Behavior")</f>
        <v>Online Behavior</v>
      </c>
      <c r="C272" s="4" t="str">
        <f>IFERROR(__xludf.DUMMYFUNCTION("""COMPUTED_VALUE"""),"United States")</f>
        <v>United States</v>
      </c>
      <c r="D272" s="4" t="str">
        <f>IFERROR(__xludf.DUMMYFUNCTION("""COMPUTED_VALUE"""),"Autos and Vehicles ")</f>
        <v>Autos and Vehicles </v>
      </c>
      <c r="E272" s="4" t="str">
        <f>IFERROR(__xludf.DUMMYFUNCTION("""COMPUTED_VALUE""")," Brands")</f>
        <v> Brands</v>
      </c>
      <c r="F272" s="4" t="str">
        <f>IFERROR(__xludf.DUMMYFUNCTION("""COMPUTED_VALUE"""),"Saab")</f>
        <v>Saab</v>
      </c>
      <c r="G272" s="4"/>
      <c r="H272" s="4"/>
      <c r="I272" s="4"/>
      <c r="J272" s="5" t="s">
        <v>22</v>
      </c>
      <c r="K272" s="5" t="s">
        <v>42</v>
      </c>
      <c r="L272" s="5" t="s">
        <v>433</v>
      </c>
      <c r="M272" s="6" t="s">
        <v>434</v>
      </c>
      <c r="N272" s="5" t="s">
        <v>19</v>
      </c>
      <c r="O272" s="5" t="s">
        <v>27</v>
      </c>
      <c r="P272" s="5">
        <v>109709.0</v>
      </c>
      <c r="Q272" s="5">
        <v>278.0</v>
      </c>
      <c r="R272" s="5">
        <v>3064.0</v>
      </c>
      <c r="S272" s="5">
        <v>15428.0</v>
      </c>
      <c r="T272" s="5">
        <v>20.0</v>
      </c>
      <c r="U272" s="9">
        <v>5409.083955</v>
      </c>
    </row>
    <row r="273" hidden="1">
      <c r="A273" s="4" t="s">
        <v>435</v>
      </c>
      <c r="B273" s="4" t="str">
        <f>IFERROR(__xludf.DUMMYFUNCTION("SPLIT(A273,""&gt;"")"),"Online Behavior")</f>
        <v>Online Behavior</v>
      </c>
      <c r="C273" s="4" t="str">
        <f>IFERROR(__xludf.DUMMYFUNCTION("""COMPUTED_VALUE"""),"United States")</f>
        <v>United States</v>
      </c>
      <c r="D273" s="4" t="str">
        <f>IFERROR(__xludf.DUMMYFUNCTION("""COMPUTED_VALUE"""),"Hobbies and Leisure")</f>
        <v>Hobbies and Leisure</v>
      </c>
      <c r="E273" s="4" t="str">
        <f>IFERROR(__xludf.DUMMYFUNCTION("""COMPUTED_VALUE"""),"Contests, Awards and Prizes")</f>
        <v>Contests, Awards and Prizes</v>
      </c>
      <c r="F273" s="4"/>
      <c r="G273" s="4"/>
      <c r="H273" s="4"/>
      <c r="I273" s="4"/>
      <c r="J273" s="5" t="s">
        <v>15</v>
      </c>
      <c r="K273" s="5" t="s">
        <v>16</v>
      </c>
      <c r="L273" s="5" t="s">
        <v>17</v>
      </c>
      <c r="M273" s="6" t="s">
        <v>434</v>
      </c>
      <c r="N273" s="5" t="s">
        <v>46</v>
      </c>
      <c r="O273" s="5" t="s">
        <v>20</v>
      </c>
      <c r="P273" s="5">
        <v>120902.0</v>
      </c>
      <c r="Q273" s="5">
        <v>333.0</v>
      </c>
      <c r="R273" s="5">
        <v>9964.0</v>
      </c>
      <c r="S273" s="5">
        <v>70015.0</v>
      </c>
      <c r="T273" s="5">
        <v>15.0</v>
      </c>
      <c r="U273" s="9">
        <v>4669.013669</v>
      </c>
    </row>
    <row r="274">
      <c r="A274" s="4" t="s">
        <v>436</v>
      </c>
      <c r="B274" s="4" t="str">
        <f>IFERROR(__xludf.DUMMYFUNCTION("SPLIT(A274,""&gt;"")"),"Online Behavior")</f>
        <v>Online Behavior</v>
      </c>
      <c r="C274" s="4" t="str">
        <f>IFERROR(__xludf.DUMMYFUNCTION("""COMPUTED_VALUE"""),"United States")</f>
        <v>United States</v>
      </c>
      <c r="D274" s="4" t="str">
        <f>IFERROR(__xludf.DUMMYFUNCTION("""COMPUTED_VALUE"""),"The Changing Consumer")</f>
        <v>The Changing Consumer</v>
      </c>
      <c r="E274" s="4" t="str">
        <f>IFERROR(__xludf.DUMMYFUNCTION("""COMPUTED_VALUE"""),"B2B Work from Home")</f>
        <v>B2B Work from Home</v>
      </c>
      <c r="F274" s="4"/>
      <c r="G274" s="4"/>
      <c r="H274" s="4"/>
      <c r="I274" s="4"/>
      <c r="J274" s="5" t="s">
        <v>22</v>
      </c>
      <c r="K274" s="5" t="s">
        <v>42</v>
      </c>
      <c r="L274" s="5" t="s">
        <v>78</v>
      </c>
      <c r="M274" s="6" t="s">
        <v>434</v>
      </c>
      <c r="N274" s="5" t="s">
        <v>46</v>
      </c>
      <c r="O274" s="5" t="s">
        <v>27</v>
      </c>
      <c r="P274" s="5">
        <v>45397.0</v>
      </c>
      <c r="Q274" s="5">
        <v>114.0</v>
      </c>
      <c r="R274" s="5">
        <v>716.0</v>
      </c>
      <c r="S274" s="5">
        <v>6867.0</v>
      </c>
      <c r="T274" s="5">
        <v>15.0</v>
      </c>
      <c r="U274" s="9">
        <v>4582.453291</v>
      </c>
    </row>
    <row r="275">
      <c r="A275" s="4" t="s">
        <v>1308</v>
      </c>
      <c r="B275" s="4" t="str">
        <f>IFERROR(__xludf.DUMMYFUNCTION("SPLIT(A275,""&gt;"")"),"United States ")</f>
        <v>United States </v>
      </c>
      <c r="C275" s="4" t="str">
        <f>IFERROR(__xludf.DUMMYFUNCTION("""COMPUTED_VALUE""")," Sociodemographic ")</f>
        <v> Sociodemographic </v>
      </c>
      <c r="D275" s="4" t="str">
        <f>IFERROR(__xludf.DUMMYFUNCTION("""COMPUTED_VALUE""")," ConneXions Lifestage ")</f>
        <v> ConneXions Lifestage </v>
      </c>
      <c r="E275" s="4" t="str">
        <f>IFERROR(__xludf.DUMMYFUNCTION("""COMPUTED_VALUE""")," M3 Offline Seniors")</f>
        <v> M3 Offline Seniors</v>
      </c>
      <c r="F275" s="4"/>
      <c r="G275" s="4"/>
      <c r="H275" s="4"/>
      <c r="I275" s="4"/>
      <c r="J275" s="5" t="s">
        <v>22</v>
      </c>
      <c r="K275" s="5" t="s">
        <v>16</v>
      </c>
      <c r="L275" s="5" t="s">
        <v>84</v>
      </c>
      <c r="M275" s="6" t="s">
        <v>434</v>
      </c>
      <c r="N275" s="5" t="s">
        <v>117</v>
      </c>
      <c r="O275" s="5" t="s">
        <v>27</v>
      </c>
      <c r="P275" s="5">
        <v>13293.0</v>
      </c>
      <c r="Q275" s="5">
        <v>74.0</v>
      </c>
      <c r="R275" s="5">
        <v>9054.0</v>
      </c>
      <c r="S275" s="5">
        <v>12676.0</v>
      </c>
      <c r="T275" s="5">
        <v>5.0</v>
      </c>
      <c r="U275" s="9">
        <v>2901.209509</v>
      </c>
    </row>
    <row r="276" hidden="1">
      <c r="A276" s="4" t="s">
        <v>1309</v>
      </c>
      <c r="B276" s="4" t="str">
        <f>IFERROR(__xludf.DUMMYFUNCTION("SPLIT(A276,""&gt;"")"),"United States ")</f>
        <v>United States </v>
      </c>
      <c r="C276" s="4" t="str">
        <f>IFERROR(__xludf.DUMMYFUNCTION("""COMPUTED_VALUE""")," Brand Propensities ")</f>
        <v> Brand Propensities </v>
      </c>
      <c r="D276" s="4" t="str">
        <f>IFERROR(__xludf.DUMMYFUNCTION("""COMPUTED_VALUE""")," Apparel ")</f>
        <v> Apparel </v>
      </c>
      <c r="E276" s="4" t="str">
        <f>IFERROR(__xludf.DUMMYFUNCTION("""COMPUTED_VALUE""")," JCPenney Buyer Propensity")</f>
        <v> JCPenney Buyer Propensity</v>
      </c>
      <c r="F276" s="4"/>
      <c r="G276" s="4"/>
      <c r="H276" s="4"/>
      <c r="I276" s="4"/>
      <c r="J276" s="5" t="s">
        <v>15</v>
      </c>
      <c r="K276" s="5" t="s">
        <v>42</v>
      </c>
      <c r="L276" s="5" t="s">
        <v>17</v>
      </c>
      <c r="M276" s="6" t="s">
        <v>439</v>
      </c>
      <c r="N276" s="5" t="s">
        <v>46</v>
      </c>
      <c r="O276" s="5" t="s">
        <v>20</v>
      </c>
      <c r="P276" s="5">
        <v>12001.0</v>
      </c>
      <c r="Q276" s="5">
        <v>40.0</v>
      </c>
      <c r="R276" s="5">
        <v>7173.0</v>
      </c>
      <c r="S276" s="5">
        <v>11432.0</v>
      </c>
      <c r="T276" s="5">
        <v>2.0</v>
      </c>
      <c r="U276" s="9">
        <v>1659.932713</v>
      </c>
    </row>
    <row r="277">
      <c r="A277" s="4" t="s">
        <v>1310</v>
      </c>
      <c r="B277" s="4" t="str">
        <f>IFERROR(__xludf.DUMMYFUNCTION("SPLIT(A277,""&gt;"")"),"OnAudience ")</f>
        <v>OnAudience </v>
      </c>
      <c r="C277" s="4" t="str">
        <f>IFERROR(__xludf.DUMMYFUNCTION("""COMPUTED_VALUE""")," Interest ")</f>
        <v> Interest </v>
      </c>
      <c r="D277" s="4" t="str">
        <f>IFERROR(__xludf.DUMMYFUNCTION("""COMPUTED_VALUE""")," News ")</f>
        <v> News </v>
      </c>
      <c r="E277" s="4" t="str">
        <f>IFERROR(__xludf.DUMMYFUNCTION("""COMPUTED_VALUE""")," National News")</f>
        <v> National News</v>
      </c>
      <c r="F277" s="4"/>
      <c r="G277" s="4"/>
      <c r="H277" s="4"/>
      <c r="I277" s="4"/>
      <c r="J277" s="5" t="s">
        <v>61</v>
      </c>
      <c r="K277" s="5" t="s">
        <v>31</v>
      </c>
      <c r="L277" s="5" t="s">
        <v>17</v>
      </c>
      <c r="M277" s="6" t="s">
        <v>441</v>
      </c>
      <c r="N277" s="5" t="s">
        <v>19</v>
      </c>
      <c r="O277" s="5" t="s">
        <v>27</v>
      </c>
      <c r="P277" s="5">
        <v>20537.0</v>
      </c>
      <c r="Q277" s="5">
        <v>84.0</v>
      </c>
      <c r="R277" s="5">
        <v>15587.0</v>
      </c>
      <c r="S277" s="5">
        <v>19288.0</v>
      </c>
      <c r="T277" s="5">
        <v>10.0</v>
      </c>
      <c r="U277" s="9">
        <v>1609.880674</v>
      </c>
    </row>
    <row r="278">
      <c r="A278" s="4" t="s">
        <v>1311</v>
      </c>
      <c r="B278" s="4" t="str">
        <f>IFERROR(__xludf.DUMMYFUNCTION("SPLIT(A278,""&gt;"")"),"United States ")</f>
        <v>United States </v>
      </c>
      <c r="C278" s="4" t="str">
        <f>IFERROR(__xludf.DUMMYFUNCTION("""COMPUTED_VALUE""")," Reach ")</f>
        <v> Reach </v>
      </c>
      <c r="D278" s="4" t="str">
        <f>IFERROR(__xludf.DUMMYFUNCTION("""COMPUTED_VALUE""")," Propensity Models ")</f>
        <v> Propensity Models </v>
      </c>
      <c r="E278" s="4" t="str">
        <f>IFERROR(__xludf.DUMMYFUNCTION("""COMPUTED_VALUE""")," Hobbies and Interest ")</f>
        <v> Hobbies and Interest </v>
      </c>
      <c r="F278" s="4" t="str">
        <f>IFERROR(__xludf.DUMMYFUNCTION("""COMPUTED_VALUE""")," Sports ")</f>
        <v> Sports </v>
      </c>
      <c r="G278" s="4" t="str">
        <f>IFERROR(__xludf.DUMMYFUNCTION("""COMPUTED_VALUE""")," Plays Soccer")</f>
        <v> Plays Soccer</v>
      </c>
      <c r="H278" s="4"/>
      <c r="I278" s="4"/>
      <c r="J278" s="5" t="s">
        <v>15</v>
      </c>
      <c r="K278" s="5" t="s">
        <v>31</v>
      </c>
      <c r="L278" s="5" t="s">
        <v>304</v>
      </c>
      <c r="M278" s="13" t="s">
        <v>1312</v>
      </c>
      <c r="N278" s="5" t="s">
        <v>19</v>
      </c>
      <c r="O278" s="5" t="s">
        <v>27</v>
      </c>
      <c r="P278" s="5">
        <v>8730.0</v>
      </c>
      <c r="Q278" s="5">
        <v>22.0</v>
      </c>
      <c r="R278" s="5">
        <v>3725.0</v>
      </c>
      <c r="S278" s="5">
        <v>7413.0</v>
      </c>
      <c r="T278" s="5">
        <v>3.0</v>
      </c>
      <c r="U278" s="9">
        <v>3268.007134</v>
      </c>
    </row>
    <row r="279">
      <c r="A279" s="4" t="s">
        <v>444</v>
      </c>
      <c r="B279" s="4" t="str">
        <f>IFERROR(__xludf.DUMMYFUNCTION("SPLIT(A279,""&gt;"")"),"Online Behavior")</f>
        <v>Online Behavior</v>
      </c>
      <c r="C279" s="4" t="str">
        <f>IFERROR(__xludf.DUMMYFUNCTION("""COMPUTED_VALUE"""),"United States")</f>
        <v>United States</v>
      </c>
      <c r="D279" s="4" t="str">
        <f>IFERROR(__xludf.DUMMYFUNCTION("""COMPUTED_VALUE"""),"People and Society")</f>
        <v>People and Society</v>
      </c>
      <c r="E279" s="4" t="str">
        <f>IFERROR(__xludf.DUMMYFUNCTION("""COMPUTED_VALUE"""),"Seniors and Retirement")</f>
        <v>Seniors and Retirement</v>
      </c>
      <c r="F279" s="4"/>
      <c r="G279" s="4"/>
      <c r="H279" s="4"/>
      <c r="I279" s="4"/>
      <c r="J279" s="5" t="s">
        <v>22</v>
      </c>
      <c r="K279" s="5" t="s">
        <v>31</v>
      </c>
      <c r="L279" s="5" t="s">
        <v>95</v>
      </c>
      <c r="M279" s="6" t="s">
        <v>445</v>
      </c>
      <c r="N279" s="5" t="s">
        <v>19</v>
      </c>
      <c r="O279" s="5" t="s">
        <v>27</v>
      </c>
      <c r="P279" s="5">
        <v>26820.0</v>
      </c>
      <c r="Q279" s="5">
        <v>80.0</v>
      </c>
      <c r="R279" s="5">
        <v>13553.0</v>
      </c>
      <c r="S279" s="5">
        <v>21192.0</v>
      </c>
      <c r="T279" s="5">
        <v>12.0</v>
      </c>
      <c r="U279" s="9">
        <v>6745.10344</v>
      </c>
    </row>
    <row r="280">
      <c r="A280" s="4" t="s">
        <v>446</v>
      </c>
      <c r="B280" s="4" t="str">
        <f>IFERROR(__xludf.DUMMYFUNCTION("SPLIT(A280,""&gt;"")"),"Media Source")</f>
        <v>Media Source</v>
      </c>
      <c r="C280" s="4"/>
      <c r="D280" s="4"/>
      <c r="E280" s="4"/>
      <c r="F280" s="4"/>
      <c r="G280" s="4"/>
      <c r="H280" s="4"/>
      <c r="I280" s="4"/>
      <c r="J280" s="5" t="s">
        <v>15</v>
      </c>
      <c r="K280" s="5" t="s">
        <v>42</v>
      </c>
      <c r="L280" s="5" t="s">
        <v>17</v>
      </c>
      <c r="M280" s="6" t="s">
        <v>447</v>
      </c>
      <c r="N280" s="5" t="s">
        <v>167</v>
      </c>
      <c r="O280" s="5" t="s">
        <v>27</v>
      </c>
      <c r="P280" s="5">
        <v>9149.0</v>
      </c>
      <c r="Q280" s="5">
        <v>40.0</v>
      </c>
      <c r="R280" s="5">
        <v>4568.0</v>
      </c>
      <c r="S280" s="5">
        <v>8648.0</v>
      </c>
      <c r="T280" s="5">
        <v>4.0</v>
      </c>
      <c r="U280" s="9">
        <v>1758.098365</v>
      </c>
    </row>
    <row r="281">
      <c r="A281" s="4" t="s">
        <v>1313</v>
      </c>
      <c r="B281" s="4" t="str">
        <f>IFERROR(__xludf.DUMMYFUNCTION("SPLIT(A281,""&gt;"")"),"Mobile - United States ")</f>
        <v>Mobile - United States </v>
      </c>
      <c r="C281" s="4" t="str">
        <f>IFERROR(__xludf.DUMMYFUNCTION("""COMPUTED_VALUE""")," Sports ")</f>
        <v> Sports </v>
      </c>
      <c r="D281" s="4" t="str">
        <f>IFERROR(__xludf.DUMMYFUNCTION("""COMPUTED_VALUE""")," Water Sports ")</f>
        <v> Water Sports </v>
      </c>
      <c r="E281" s="4" t="str">
        <f>IFERROR(__xludf.DUMMYFUNCTION("""COMPUTED_VALUE""")," Boating")</f>
        <v> Boating</v>
      </c>
      <c r="F281" s="4"/>
      <c r="G281" s="4"/>
      <c r="H281" s="4"/>
      <c r="I281" s="4"/>
      <c r="J281" s="5" t="s">
        <v>22</v>
      </c>
      <c r="K281" s="5" t="s">
        <v>42</v>
      </c>
      <c r="L281" s="5" t="s">
        <v>78</v>
      </c>
      <c r="M281" s="6" t="s">
        <v>449</v>
      </c>
      <c r="N281" s="5" t="s">
        <v>184</v>
      </c>
      <c r="O281" s="5" t="s">
        <v>27</v>
      </c>
      <c r="P281" s="5">
        <v>13655.0</v>
      </c>
      <c r="Q281" s="5">
        <v>66.0</v>
      </c>
      <c r="R281" s="5">
        <v>9519.0</v>
      </c>
      <c r="S281" s="5">
        <v>13041.0</v>
      </c>
      <c r="T281" s="5">
        <v>3.0</v>
      </c>
      <c r="U281" s="9">
        <v>1475.245119</v>
      </c>
    </row>
    <row r="282">
      <c r="A282" s="4" t="s">
        <v>450</v>
      </c>
      <c r="B282" s="4" t="str">
        <f>IFERROR(__xludf.DUMMYFUNCTION("SPLIT(A282,""&gt;"")"),"Online Behavior")</f>
        <v>Online Behavior</v>
      </c>
      <c r="C282" s="4" t="str">
        <f>IFERROR(__xludf.DUMMYFUNCTION("""COMPUTED_VALUE"""),"United States")</f>
        <v>United States</v>
      </c>
      <c r="D282" s="4" t="str">
        <f>IFERROR(__xludf.DUMMYFUNCTION("""COMPUTED_VALUE"""),"Autos and Vehicles")</f>
        <v>Autos and Vehicles</v>
      </c>
      <c r="E282" s="4" t="str">
        <f>IFERROR(__xludf.DUMMYFUNCTION("""COMPUTED_VALUE"""),"Hybrid and Alternative Vehicles")</f>
        <v>Hybrid and Alternative Vehicles</v>
      </c>
      <c r="F282" s="4"/>
      <c r="G282" s="4"/>
      <c r="H282" s="4"/>
      <c r="I282" s="4"/>
      <c r="J282" s="5" t="s">
        <v>61</v>
      </c>
      <c r="K282" s="5" t="s">
        <v>31</v>
      </c>
      <c r="L282" s="5" t="s">
        <v>78</v>
      </c>
      <c r="M282" s="13" t="s">
        <v>1314</v>
      </c>
      <c r="N282" s="5" t="s">
        <v>19</v>
      </c>
      <c r="O282" s="5" t="s">
        <v>27</v>
      </c>
      <c r="P282" s="5">
        <v>17518.0</v>
      </c>
      <c r="Q282" s="5">
        <v>60.0</v>
      </c>
      <c r="R282" s="5">
        <v>11513.0</v>
      </c>
      <c r="S282" s="5">
        <v>16192.0</v>
      </c>
      <c r="T282" s="5">
        <v>12.0</v>
      </c>
      <c r="U282" s="9">
        <v>6765.0004</v>
      </c>
    </row>
    <row r="283">
      <c r="A283" s="4" t="s">
        <v>1315</v>
      </c>
      <c r="B283" s="4" t="str">
        <f>IFERROR(__xludf.DUMMYFUNCTION("SPLIT(A283,""&gt;"")"),"Mobile - United States ")</f>
        <v>Mobile - United States </v>
      </c>
      <c r="C283" s="4" t="str">
        <f>IFERROR(__xludf.DUMMYFUNCTION("""COMPUTED_VALUE""")," Travel ")</f>
        <v> Travel </v>
      </c>
      <c r="D283" s="4" t="str">
        <f>IFERROR(__xludf.DUMMYFUNCTION("""COMPUTED_VALUE""")," Activity ")</f>
        <v> Activity </v>
      </c>
      <c r="E283" s="4" t="str">
        <f>IFERROR(__xludf.DUMMYFUNCTION("""COMPUTED_VALUE""")," Ski Travelers")</f>
        <v> Ski Travelers</v>
      </c>
      <c r="F283" s="4"/>
      <c r="G283" s="4"/>
      <c r="H283" s="4"/>
      <c r="I283" s="4"/>
      <c r="J283" s="5" t="s">
        <v>22</v>
      </c>
      <c r="K283" s="5" t="s">
        <v>16</v>
      </c>
      <c r="L283" s="5" t="s">
        <v>55</v>
      </c>
      <c r="M283" s="13" t="s">
        <v>1314</v>
      </c>
      <c r="N283" s="5" t="s">
        <v>19</v>
      </c>
      <c r="O283" s="5" t="s">
        <v>27</v>
      </c>
      <c r="P283" s="5">
        <v>16580.0</v>
      </c>
      <c r="Q283" s="5">
        <v>84.0</v>
      </c>
      <c r="R283" s="5">
        <v>11928.0</v>
      </c>
      <c r="S283" s="5">
        <v>14527.0</v>
      </c>
      <c r="T283" s="5">
        <v>6.0</v>
      </c>
      <c r="U283" s="9">
        <v>1965.738947</v>
      </c>
    </row>
    <row r="284">
      <c r="A284" s="4" t="s">
        <v>1316</v>
      </c>
      <c r="B284" s="4" t="str">
        <f>IFERROR(__xludf.DUMMYFUNCTION("SPLIT(A284,""&gt;"")"),"United States ")</f>
        <v>United States </v>
      </c>
      <c r="C284" s="4" t="str">
        <f>IFERROR(__xludf.DUMMYFUNCTION("""COMPUTED_VALUE""")," Sociodemographic ")</f>
        <v> Sociodemographic </v>
      </c>
      <c r="D284" s="4" t="str">
        <f>IFERROR(__xludf.DUMMYFUNCTION("""COMPUTED_VALUE""")," P$YCLE Premier Lifestage ")</f>
        <v> P$YCLE Premier Lifestage </v>
      </c>
      <c r="E284" s="4" t="str">
        <f>IFERROR(__xludf.DUMMYFUNCTION("""COMPUTED_VALUE""")," M3 Upscale Empty Nests")</f>
        <v> M3 Upscale Empty Nests</v>
      </c>
      <c r="F284" s="4"/>
      <c r="G284" s="4"/>
      <c r="H284" s="4"/>
      <c r="I284" s="4"/>
      <c r="J284" s="5" t="s">
        <v>22</v>
      </c>
      <c r="K284" s="5" t="s">
        <v>23</v>
      </c>
      <c r="L284" s="5" t="s">
        <v>55</v>
      </c>
      <c r="M284" s="6" t="s">
        <v>454</v>
      </c>
      <c r="N284" s="5" t="s">
        <v>46</v>
      </c>
      <c r="O284" s="5" t="s">
        <v>27</v>
      </c>
      <c r="P284" s="5">
        <v>14379.0</v>
      </c>
      <c r="Q284" s="5">
        <v>30.0</v>
      </c>
      <c r="R284" s="5">
        <v>6272.0</v>
      </c>
      <c r="S284" s="5">
        <v>11886.0</v>
      </c>
      <c r="T284" s="5">
        <v>18.0</v>
      </c>
      <c r="U284" s="9">
        <v>1973.562233</v>
      </c>
    </row>
    <row r="285">
      <c r="A285" s="4" t="s">
        <v>1317</v>
      </c>
      <c r="B285" s="4" t="str">
        <f>IFERROR(__xludf.DUMMYFUNCTION("SPLIT(A285,""&gt;"")"),"Online Behavior")</f>
        <v>Online Behavior</v>
      </c>
      <c r="C285" s="4" t="str">
        <f>IFERROR(__xludf.DUMMYFUNCTION("""COMPUTED_VALUE"""),"United States")</f>
        <v>United States</v>
      </c>
      <c r="D285" s="4" t="str">
        <f>IFERROR(__xludf.DUMMYFUNCTION("""COMPUTED_VALUE"""),"Intent ")</f>
        <v>Intent </v>
      </c>
      <c r="E285" s="4" t="str">
        <f>IFERROR(__xludf.DUMMYFUNCTION("""COMPUTED_VALUE""")," Auto Buyers ")</f>
        <v> Auto Buyers </v>
      </c>
      <c r="F285" s="4" t="str">
        <f>IFERROR(__xludf.DUMMYFUNCTION("""COMPUTED_VALUE""")," Car Make")</f>
        <v> Car Make</v>
      </c>
      <c r="G285" s="4" t="str">
        <f>IFERROR(__xludf.DUMMYFUNCTION("""COMPUTED_VALUE"""),"Dodge")</f>
        <v>Dodge</v>
      </c>
      <c r="H285" s="4"/>
      <c r="I285" s="4"/>
      <c r="J285" s="5" t="s">
        <v>22</v>
      </c>
      <c r="K285" s="5" t="s">
        <v>16</v>
      </c>
      <c r="L285" s="5" t="s">
        <v>43</v>
      </c>
      <c r="M285" s="6" t="s">
        <v>456</v>
      </c>
      <c r="N285" s="5" t="s">
        <v>19</v>
      </c>
      <c r="O285" s="5" t="s">
        <v>27</v>
      </c>
      <c r="P285" s="5">
        <v>138904.0</v>
      </c>
      <c r="Q285" s="5">
        <v>399.0</v>
      </c>
      <c r="R285" s="5">
        <v>98952.0</v>
      </c>
      <c r="S285" s="5">
        <v>120688.0</v>
      </c>
      <c r="T285" s="5">
        <v>25.0</v>
      </c>
      <c r="U285" s="9">
        <v>5038.644724</v>
      </c>
    </row>
    <row r="286" hidden="1">
      <c r="A286" s="4" t="s">
        <v>1318</v>
      </c>
      <c r="B286" s="4" t="str">
        <f>IFERROR(__xludf.DUMMYFUNCTION("SPLIT(A286,""&gt;"")"),"Online Behavior")</f>
        <v>Online Behavior</v>
      </c>
      <c r="C286" s="4" t="str">
        <f>IFERROR(__xludf.DUMMYFUNCTION("""COMPUTED_VALUE"""),"United States")</f>
        <v>United States</v>
      </c>
      <c r="D286" s="4" t="str">
        <f>IFERROR(__xludf.DUMMYFUNCTION("""COMPUTED_VALUE"""),"Intent ")</f>
        <v>Intent </v>
      </c>
      <c r="E286" s="4" t="str">
        <f>IFERROR(__xludf.DUMMYFUNCTION("""COMPUTED_VALUE""")," Auto Buyers ")</f>
        <v> Auto Buyers </v>
      </c>
      <c r="F286" s="4" t="str">
        <f>IFERROR(__xludf.DUMMYFUNCTION("""COMPUTED_VALUE""")," Type")</f>
        <v> Type</v>
      </c>
      <c r="G286" s="4" t="str">
        <f>IFERROR(__xludf.DUMMYFUNCTION("""COMPUTED_VALUE"""),"SUV")</f>
        <v>SUV</v>
      </c>
      <c r="H286" s="4"/>
      <c r="I286" s="4"/>
      <c r="J286" s="5" t="s">
        <v>15</v>
      </c>
      <c r="K286" s="5" t="s">
        <v>23</v>
      </c>
      <c r="L286" s="5" t="s">
        <v>78</v>
      </c>
      <c r="M286" s="6" t="s">
        <v>458</v>
      </c>
      <c r="N286" s="5" t="s">
        <v>46</v>
      </c>
      <c r="O286" s="5" t="s">
        <v>52</v>
      </c>
      <c r="P286" s="5">
        <v>99205.0</v>
      </c>
      <c r="Q286" s="5">
        <v>230.0</v>
      </c>
      <c r="R286" s="5">
        <v>49240.0</v>
      </c>
      <c r="S286" s="5">
        <v>72687.0</v>
      </c>
      <c r="T286" s="5">
        <v>21.0</v>
      </c>
      <c r="U286" s="9">
        <v>6185.002486</v>
      </c>
    </row>
    <row r="287" hidden="1">
      <c r="A287" s="4" t="s">
        <v>1319</v>
      </c>
      <c r="B287" s="4" t="str">
        <f>IFERROR(__xludf.DUMMYFUNCTION("SPLIT(A287,""&gt;"")"),"Online Behavior")</f>
        <v>Online Behavior</v>
      </c>
      <c r="C287" s="4" t="str">
        <f>IFERROR(__xludf.DUMMYFUNCTION("""COMPUTED_VALUE"""),"United States")</f>
        <v>United States</v>
      </c>
      <c r="D287" s="4" t="str">
        <f>IFERROR(__xludf.DUMMYFUNCTION("""COMPUTED_VALUE"""),"Validated Demographic ")</f>
        <v>Validated Demographic </v>
      </c>
      <c r="E287" s="4" t="str">
        <f>IFERROR(__xludf.DUMMYFUNCTION("""COMPUTED_VALUE""")," Age")</f>
        <v> Age</v>
      </c>
      <c r="F287" s="4" t="str">
        <f>IFERROR(__xludf.DUMMYFUNCTION("""COMPUTED_VALUE"""),"35-44")</f>
        <v>35-44</v>
      </c>
      <c r="G287" s="4"/>
      <c r="H287" s="4"/>
      <c r="I287" s="4"/>
      <c r="J287" s="5" t="s">
        <v>15</v>
      </c>
      <c r="K287" s="5" t="s">
        <v>42</v>
      </c>
      <c r="L287" s="5" t="s">
        <v>29</v>
      </c>
      <c r="M287" s="6" t="s">
        <v>460</v>
      </c>
      <c r="N287" s="5" t="s">
        <v>19</v>
      </c>
      <c r="O287" s="5" t="s">
        <v>52</v>
      </c>
      <c r="P287" s="5">
        <v>27473.0</v>
      </c>
      <c r="Q287" s="5">
        <v>69.0</v>
      </c>
      <c r="R287" s="5">
        <v>11306.0</v>
      </c>
      <c r="S287" s="5">
        <v>20625.0</v>
      </c>
      <c r="T287" s="5">
        <v>2.0</v>
      </c>
      <c r="U287" s="9">
        <v>2922.286102</v>
      </c>
    </row>
    <row r="288">
      <c r="A288" s="4" t="s">
        <v>1320</v>
      </c>
      <c r="B288" s="4" t="str">
        <f>IFERROR(__xludf.DUMMYFUNCTION("SPLIT(A288,""&gt;"")"),"United States Demographic ")</f>
        <v>United States Demographic </v>
      </c>
      <c r="C288" s="4" t="str">
        <f>IFERROR(__xludf.DUMMYFUNCTION("""COMPUTED_VALUE""")," Preferred Language ")</f>
        <v> Preferred Language </v>
      </c>
      <c r="D288" s="4" t="str">
        <f>IFERROR(__xludf.DUMMYFUNCTION("""COMPUTED_VALUE""")," Individual ")</f>
        <v> Individual </v>
      </c>
      <c r="E288" s="4" t="str">
        <f>IFERROR(__xludf.DUMMYFUNCTION("""COMPUTED_VALUE""")," Non-Hispanic")</f>
        <v> Non-Hispanic</v>
      </c>
      <c r="F288" s="4"/>
      <c r="G288" s="4"/>
      <c r="H288" s="4"/>
      <c r="I288" s="4"/>
      <c r="J288" s="5" t="s">
        <v>15</v>
      </c>
      <c r="K288" s="5" t="s">
        <v>16</v>
      </c>
      <c r="L288" s="5" t="s">
        <v>78</v>
      </c>
      <c r="M288" s="13" t="s">
        <v>1321</v>
      </c>
      <c r="N288" s="5" t="s">
        <v>46</v>
      </c>
      <c r="O288" s="5" t="s">
        <v>27</v>
      </c>
      <c r="P288" s="5">
        <v>7356.0</v>
      </c>
      <c r="Q288" s="5">
        <v>10.0</v>
      </c>
      <c r="R288" s="5">
        <v>1588.0</v>
      </c>
      <c r="S288" s="5">
        <v>7088.0</v>
      </c>
      <c r="T288" s="5">
        <v>1.0</v>
      </c>
      <c r="U288" s="9">
        <v>1730.37357</v>
      </c>
    </row>
    <row r="289">
      <c r="A289" s="4" t="s">
        <v>463</v>
      </c>
      <c r="B289" s="4" t="str">
        <f>IFERROR(__xludf.DUMMYFUNCTION("SPLIT(A289,""&gt;"")"),"Online Behavior")</f>
        <v>Online Behavior</v>
      </c>
      <c r="C289" s="4" t="str">
        <f>IFERROR(__xludf.DUMMYFUNCTION("""COMPUTED_VALUE"""),"United States")</f>
        <v>United States</v>
      </c>
      <c r="D289" s="4" t="str">
        <f>IFERROR(__xludf.DUMMYFUNCTION("""COMPUTED_VALUE"""),"Arts and Entertainment")</f>
        <v>Arts and Entertainment</v>
      </c>
      <c r="E289" s="4" t="str">
        <f>IFERROR(__xludf.DUMMYFUNCTION("""COMPUTED_VALUE"""),"Celebrities and Entertainment News")</f>
        <v>Celebrities and Entertainment News</v>
      </c>
      <c r="F289" s="4"/>
      <c r="G289" s="4"/>
      <c r="H289" s="4"/>
      <c r="I289" s="4"/>
      <c r="J289" s="5" t="s">
        <v>22</v>
      </c>
      <c r="K289" s="5" t="s">
        <v>42</v>
      </c>
      <c r="L289" s="5" t="s">
        <v>24</v>
      </c>
      <c r="M289" s="6" t="s">
        <v>464</v>
      </c>
      <c r="N289" s="5" t="s">
        <v>19</v>
      </c>
      <c r="O289" s="5" t="s">
        <v>27</v>
      </c>
      <c r="P289" s="5">
        <v>9261.0</v>
      </c>
      <c r="Q289" s="5">
        <v>66.0</v>
      </c>
      <c r="R289" s="5">
        <v>3852.0</v>
      </c>
      <c r="S289" s="5">
        <v>8526.0</v>
      </c>
      <c r="T289" s="5">
        <v>9.0</v>
      </c>
      <c r="U289" s="9">
        <v>6511.029576</v>
      </c>
    </row>
    <row r="290">
      <c r="A290" s="4" t="s">
        <v>1322</v>
      </c>
      <c r="B290" s="4" t="str">
        <f>IFERROR(__xludf.DUMMYFUNCTION("SPLIT(A290,""&gt;"")"),"OnAudience ")</f>
        <v>OnAudience </v>
      </c>
      <c r="C290" s="4" t="str">
        <f>IFERROR(__xludf.DUMMYFUNCTION("""COMPUTED_VALUE""")," Intent ")</f>
        <v> Intent </v>
      </c>
      <c r="D290" s="4" t="str">
        <f>IFERROR(__xludf.DUMMYFUNCTION("""COMPUTED_VALUE""")," Education")</f>
        <v> Education</v>
      </c>
      <c r="E290" s="4"/>
      <c r="F290" s="4"/>
      <c r="G290" s="4"/>
      <c r="H290" s="4"/>
      <c r="I290" s="4"/>
      <c r="J290" s="5" t="s">
        <v>22</v>
      </c>
      <c r="K290" s="5" t="s">
        <v>16</v>
      </c>
      <c r="L290" s="5" t="s">
        <v>131</v>
      </c>
      <c r="M290" s="6" t="s">
        <v>464</v>
      </c>
      <c r="N290" s="5" t="s">
        <v>26</v>
      </c>
      <c r="O290" s="5" t="s">
        <v>27</v>
      </c>
      <c r="P290" s="5">
        <v>19344.0</v>
      </c>
      <c r="Q290" s="5">
        <v>68.0</v>
      </c>
      <c r="R290" s="5">
        <v>2353.0</v>
      </c>
      <c r="S290" s="5">
        <v>18261.0</v>
      </c>
      <c r="T290" s="5">
        <v>10.0</v>
      </c>
      <c r="U290" s="9">
        <v>1500.722291</v>
      </c>
    </row>
    <row r="291">
      <c r="A291" s="4" t="s">
        <v>1323</v>
      </c>
      <c r="B291" s="4" t="str">
        <f>IFERROR(__xludf.DUMMYFUNCTION("SPLIT(A291,""&gt;"")"),"Online Behavior")</f>
        <v>Online Behavior</v>
      </c>
      <c r="C291" s="4" t="str">
        <f>IFERROR(__xludf.DUMMYFUNCTION("""COMPUTED_VALUE"""),"United States")</f>
        <v>United States</v>
      </c>
      <c r="D291" s="4" t="str">
        <f>IFERROR(__xludf.DUMMYFUNCTION("""COMPUTED_VALUE"""),"Intent ")</f>
        <v>Intent </v>
      </c>
      <c r="E291" s="4" t="str">
        <f>IFERROR(__xludf.DUMMYFUNCTION("""COMPUTED_VALUE""")," Auto Buyers ")</f>
        <v> Auto Buyers </v>
      </c>
      <c r="F291" s="4" t="str">
        <f>IFERROR(__xludf.DUMMYFUNCTION("""COMPUTED_VALUE""")," Car Make")</f>
        <v> Car Make</v>
      </c>
      <c r="G291" s="4" t="str">
        <f>IFERROR(__xludf.DUMMYFUNCTION("""COMPUTED_VALUE"""),"Mazda")</f>
        <v>Mazda</v>
      </c>
      <c r="H291" s="4"/>
      <c r="I291" s="4"/>
      <c r="J291" s="5" t="s">
        <v>15</v>
      </c>
      <c r="K291" s="5" t="s">
        <v>42</v>
      </c>
      <c r="L291" s="5" t="s">
        <v>55</v>
      </c>
      <c r="M291" s="6" t="s">
        <v>467</v>
      </c>
      <c r="N291" s="5" t="s">
        <v>19</v>
      </c>
      <c r="O291" s="5" t="s">
        <v>27</v>
      </c>
      <c r="P291" s="5">
        <v>11672.0</v>
      </c>
      <c r="Q291" s="5">
        <v>84.0</v>
      </c>
      <c r="R291" s="5">
        <v>7619.0</v>
      </c>
      <c r="S291" s="5">
        <v>9999.0</v>
      </c>
      <c r="T291" s="5">
        <v>7.0</v>
      </c>
      <c r="U291" s="9">
        <v>5284.27704</v>
      </c>
    </row>
    <row r="292">
      <c r="A292" s="4" t="s">
        <v>1324</v>
      </c>
      <c r="B292" s="4" t="str">
        <f>IFERROR(__xludf.DUMMYFUNCTION("SPLIT(A292,""&gt;"")"),"Online Behavior")</f>
        <v>Online Behavior</v>
      </c>
      <c r="C292" s="4" t="str">
        <f>IFERROR(__xludf.DUMMYFUNCTION("""COMPUTED_VALUE"""),"United States")</f>
        <v>United States</v>
      </c>
      <c r="D292" s="4" t="str">
        <f>IFERROR(__xludf.DUMMYFUNCTION("""COMPUTED_VALUE"""),"Validated Demographic ")</f>
        <v>Validated Demographic </v>
      </c>
      <c r="E292" s="4" t="str">
        <f>IFERROR(__xludf.DUMMYFUNCTION("""COMPUTED_VALUE""")," Gender and Age Combined")</f>
        <v> Gender and Age Combined</v>
      </c>
      <c r="F292" s="4" t="str">
        <f>IFERROR(__xludf.DUMMYFUNCTION("""COMPUTED_VALUE"""),"Females 25-34")</f>
        <v>Females 25-34</v>
      </c>
      <c r="G292" s="4"/>
      <c r="H292" s="4"/>
      <c r="I292" s="4"/>
      <c r="J292" s="5" t="s">
        <v>15</v>
      </c>
      <c r="K292" s="5" t="s">
        <v>42</v>
      </c>
      <c r="L292" s="5" t="s">
        <v>17</v>
      </c>
      <c r="M292" s="6" t="s">
        <v>469</v>
      </c>
      <c r="N292" s="5" t="s">
        <v>117</v>
      </c>
      <c r="O292" s="5" t="s">
        <v>27</v>
      </c>
      <c r="P292" s="5">
        <v>8273.0</v>
      </c>
      <c r="Q292" s="5">
        <v>24.0</v>
      </c>
      <c r="R292" s="5">
        <v>1929.0</v>
      </c>
      <c r="S292" s="5">
        <v>7441.0</v>
      </c>
      <c r="T292" s="5">
        <v>3.0</v>
      </c>
      <c r="U292" s="9">
        <v>4689.521024</v>
      </c>
    </row>
    <row r="293">
      <c r="A293" s="4" t="s">
        <v>1325</v>
      </c>
      <c r="B293" s="4" t="str">
        <f>IFERROR(__xludf.DUMMYFUNCTION("SPLIT(A293,""&gt;"")"),"OnAudience ")</f>
        <v>OnAudience </v>
      </c>
      <c r="C293" s="4" t="str">
        <f>IFERROR(__xludf.DUMMYFUNCTION("""COMPUTED_VALUE""")," Interest ")</f>
        <v> Interest </v>
      </c>
      <c r="D293" s="4" t="str">
        <f>IFERROR(__xludf.DUMMYFUNCTION("""COMPUTED_VALUE""")," Technology &amp; Computing ")</f>
        <v> Technology &amp; Computing </v>
      </c>
      <c r="E293" s="4" t="str">
        <f>IFERROR(__xludf.DUMMYFUNCTION("""COMPUTED_VALUE""")," Internet Technology")</f>
        <v> Internet Technology</v>
      </c>
      <c r="F293" s="4"/>
      <c r="G293" s="4"/>
      <c r="H293" s="4"/>
      <c r="I293" s="4"/>
      <c r="J293" s="5" t="s">
        <v>15</v>
      </c>
      <c r="K293" s="5" t="s">
        <v>16</v>
      </c>
      <c r="L293" s="5" t="s">
        <v>471</v>
      </c>
      <c r="M293" s="6" t="s">
        <v>469</v>
      </c>
      <c r="N293" s="5" t="s">
        <v>48</v>
      </c>
      <c r="O293" s="5" t="s">
        <v>27</v>
      </c>
      <c r="P293" s="5">
        <v>13833.0</v>
      </c>
      <c r="Q293" s="5">
        <v>84.0</v>
      </c>
      <c r="R293" s="5">
        <v>7693.0</v>
      </c>
      <c r="S293" s="5">
        <v>13237.0</v>
      </c>
      <c r="T293" s="5">
        <v>6.0</v>
      </c>
      <c r="U293" s="9">
        <v>1526.787066</v>
      </c>
    </row>
    <row r="294">
      <c r="A294" s="4" t="s">
        <v>1326</v>
      </c>
      <c r="B294" s="4" t="str">
        <f>IFERROR(__xludf.DUMMYFUNCTION("SPLIT(A294,""&gt;"")"),"Mobile - United States ")</f>
        <v>Mobile - United States </v>
      </c>
      <c r="C294" s="4" t="str">
        <f>IFERROR(__xludf.DUMMYFUNCTION("""COMPUTED_VALUE""")," Sports ")</f>
        <v> Sports </v>
      </c>
      <c r="D294" s="4" t="str">
        <f>IFERROR(__xludf.DUMMYFUNCTION("""COMPUTED_VALUE""")," UFC Fans")</f>
        <v> UFC Fans</v>
      </c>
      <c r="E294" s="4"/>
      <c r="F294" s="4"/>
      <c r="G294" s="4"/>
      <c r="H294" s="4"/>
      <c r="I294" s="4"/>
      <c r="J294" s="5" t="s">
        <v>22</v>
      </c>
      <c r="K294" s="5" t="s">
        <v>23</v>
      </c>
      <c r="L294" s="5" t="s">
        <v>356</v>
      </c>
      <c r="M294" s="6" t="s">
        <v>469</v>
      </c>
      <c r="N294" s="5" t="s">
        <v>19</v>
      </c>
      <c r="O294" s="5" t="s">
        <v>27</v>
      </c>
      <c r="P294" s="5">
        <v>22180.0</v>
      </c>
      <c r="Q294" s="5">
        <v>60.0</v>
      </c>
      <c r="R294" s="5">
        <v>4835.0</v>
      </c>
      <c r="S294" s="5">
        <v>19291.0</v>
      </c>
      <c r="T294" s="5">
        <v>9.0</v>
      </c>
      <c r="U294" s="9">
        <v>1441.631095</v>
      </c>
    </row>
    <row r="295">
      <c r="A295" s="4" t="s">
        <v>1327</v>
      </c>
      <c r="B295" s="4" t="str">
        <f>IFERROR(__xludf.DUMMYFUNCTION("SPLIT(A295,""&gt;"")"),"Online Behavior")</f>
        <v>Online Behavior</v>
      </c>
      <c r="C295" s="4" t="str">
        <f>IFERROR(__xludf.DUMMYFUNCTION("""COMPUTED_VALUE"""),"United States")</f>
        <v>United States</v>
      </c>
      <c r="D295" s="4" t="str">
        <f>IFERROR(__xludf.DUMMYFUNCTION("""COMPUTED_VALUE"""),"Intent ")</f>
        <v>Intent </v>
      </c>
      <c r="E295" s="4" t="str">
        <f>IFERROR(__xludf.DUMMYFUNCTION("""COMPUTED_VALUE""")," Shopping")</f>
        <v> Shopping</v>
      </c>
      <c r="F295" s="4" t="str">
        <f>IFERROR(__xludf.DUMMYFUNCTION("""COMPUTED_VALUE"""),"Auto Parts Stores")</f>
        <v>Auto Parts Stores</v>
      </c>
      <c r="G295" s="4"/>
      <c r="H295" s="4"/>
      <c r="I295" s="4"/>
      <c r="J295" s="5" t="s">
        <v>22</v>
      </c>
      <c r="K295" s="5" t="s">
        <v>16</v>
      </c>
      <c r="L295" s="5" t="s">
        <v>95</v>
      </c>
      <c r="M295" s="6" t="s">
        <v>474</v>
      </c>
      <c r="N295" s="5" t="s">
        <v>19</v>
      </c>
      <c r="O295" s="5" t="s">
        <v>27</v>
      </c>
      <c r="P295" s="5">
        <v>102905.0</v>
      </c>
      <c r="Q295" s="5">
        <v>421.0</v>
      </c>
      <c r="R295" s="5">
        <v>45324.0</v>
      </c>
      <c r="S295" s="5">
        <v>99065.0</v>
      </c>
      <c r="T295" s="5">
        <v>1.0</v>
      </c>
      <c r="U295" s="9">
        <v>6407.581828</v>
      </c>
    </row>
    <row r="296">
      <c r="A296" s="4" t="s">
        <v>1328</v>
      </c>
      <c r="B296" s="4" t="str">
        <f>IFERROR(__xludf.DUMMYFUNCTION("SPLIT(A296,""&gt;"")"),"Online Behavior")</f>
        <v>Online Behavior</v>
      </c>
      <c r="C296" s="4" t="str">
        <f>IFERROR(__xludf.DUMMYFUNCTION("""COMPUTED_VALUE"""),"United States")</f>
        <v>United States</v>
      </c>
      <c r="D296" s="4" t="str">
        <f>IFERROR(__xludf.DUMMYFUNCTION("""COMPUTED_VALUE"""),"Autos and Vehicles ")</f>
        <v>Autos and Vehicles </v>
      </c>
      <c r="E296" s="4" t="str">
        <f>IFERROR(__xludf.DUMMYFUNCTION("""COMPUTED_VALUE""")," Brands")</f>
        <v> Brands</v>
      </c>
      <c r="F296" s="4" t="str">
        <f>IFERROR(__xludf.DUMMYFUNCTION("""COMPUTED_VALUE"""),"Ford")</f>
        <v>Ford</v>
      </c>
      <c r="G296" s="4"/>
      <c r="H296" s="4"/>
      <c r="I296" s="4"/>
      <c r="J296" s="5" t="s">
        <v>61</v>
      </c>
      <c r="K296" s="5" t="s">
        <v>23</v>
      </c>
      <c r="L296" s="5" t="s">
        <v>78</v>
      </c>
      <c r="M296" s="6" t="s">
        <v>474</v>
      </c>
      <c r="N296" s="5" t="s">
        <v>19</v>
      </c>
      <c r="O296" s="5" t="s">
        <v>27</v>
      </c>
      <c r="P296" s="5">
        <v>89744.0</v>
      </c>
      <c r="Q296" s="5">
        <v>311.0</v>
      </c>
      <c r="R296" s="5">
        <v>48786.0</v>
      </c>
      <c r="S296" s="5">
        <v>85900.0</v>
      </c>
      <c r="T296" s="5">
        <v>3.0</v>
      </c>
      <c r="U296" s="9">
        <v>6369.811226</v>
      </c>
    </row>
    <row r="297">
      <c r="A297" s="4" t="s">
        <v>1329</v>
      </c>
      <c r="B297" s="4" t="str">
        <f>IFERROR(__xludf.DUMMYFUNCTION("SPLIT(A297,""&gt;"")"),"Lotame ")</f>
        <v>Lotame </v>
      </c>
      <c r="C297" s="4" t="str">
        <f>IFERROR(__xludf.DUMMYFUNCTION("""COMPUTED_VALUE""")," Technology ")</f>
        <v> Technology </v>
      </c>
      <c r="D297" s="4" t="str">
        <f>IFERROR(__xludf.DUMMYFUNCTION("""COMPUTED_VALUE""")," Mobile Phones")</f>
        <v> Mobile Phones</v>
      </c>
      <c r="E297" s="4"/>
      <c r="F297" s="4"/>
      <c r="G297" s="4"/>
      <c r="H297" s="4"/>
      <c r="I297" s="4"/>
      <c r="J297" s="5" t="s">
        <v>15</v>
      </c>
      <c r="K297" s="5" t="s">
        <v>23</v>
      </c>
      <c r="L297" s="5" t="s">
        <v>43</v>
      </c>
      <c r="M297" s="6" t="s">
        <v>474</v>
      </c>
      <c r="N297" s="5" t="s">
        <v>26</v>
      </c>
      <c r="O297" s="5" t="s">
        <v>27</v>
      </c>
      <c r="P297" s="5">
        <v>39705.0</v>
      </c>
      <c r="Q297" s="5">
        <v>190.0</v>
      </c>
      <c r="R297" s="5">
        <v>12950.0</v>
      </c>
      <c r="S297" s="5">
        <v>38030.0</v>
      </c>
      <c r="T297" s="5">
        <v>3.0</v>
      </c>
      <c r="U297" s="9">
        <v>1476.419509</v>
      </c>
    </row>
    <row r="298">
      <c r="A298" s="4" t="s">
        <v>1330</v>
      </c>
      <c r="B298" s="4" t="str">
        <f>IFERROR(__xludf.DUMMYFUNCTION("SPLIT(A298,""&gt;"")"),"Online Behavior")</f>
        <v>Online Behavior</v>
      </c>
      <c r="C298" s="4" t="str">
        <f>IFERROR(__xludf.DUMMYFUNCTION("""COMPUTED_VALUE"""),"United States")</f>
        <v>United States</v>
      </c>
      <c r="D298" s="4" t="str">
        <f>IFERROR(__xludf.DUMMYFUNCTION("""COMPUTED_VALUE"""),"Autos and Vehicles ")</f>
        <v>Autos and Vehicles </v>
      </c>
      <c r="E298" s="4" t="str">
        <f>IFERROR(__xludf.DUMMYFUNCTION("""COMPUTED_VALUE""")," Brands")</f>
        <v> Brands</v>
      </c>
      <c r="F298" s="4" t="str">
        <f>IFERROR(__xludf.DUMMYFUNCTION("""COMPUTED_VALUE"""),"Maybach")</f>
        <v>Maybach</v>
      </c>
      <c r="G298" s="4"/>
      <c r="H298" s="4"/>
      <c r="I298" s="4"/>
      <c r="J298" s="5" t="s">
        <v>22</v>
      </c>
      <c r="K298" s="5" t="s">
        <v>23</v>
      </c>
      <c r="L298" s="5" t="s">
        <v>55</v>
      </c>
      <c r="M298" s="6" t="s">
        <v>478</v>
      </c>
      <c r="N298" s="5" t="s">
        <v>36</v>
      </c>
      <c r="O298" s="5" t="s">
        <v>27</v>
      </c>
      <c r="P298" s="5">
        <v>23941.0</v>
      </c>
      <c r="Q298" s="5">
        <v>150.0</v>
      </c>
      <c r="R298" s="5">
        <v>13054.0</v>
      </c>
      <c r="S298" s="5">
        <v>22276.0</v>
      </c>
      <c r="T298" s="5">
        <v>6.0</v>
      </c>
      <c r="U298" s="9">
        <v>2856.165425</v>
      </c>
    </row>
    <row r="299">
      <c r="A299" s="4" t="s">
        <v>479</v>
      </c>
      <c r="B299" s="4" t="str">
        <f>IFERROR(__xludf.DUMMYFUNCTION("SPLIT(A299,""&gt;"")"),"Online Behavior")</f>
        <v>Online Behavior</v>
      </c>
      <c r="C299" s="4" t="str">
        <f>IFERROR(__xludf.DUMMYFUNCTION("""COMPUTED_VALUE"""),"United States")</f>
        <v>United States</v>
      </c>
      <c r="D299" s="4" t="str">
        <f>IFERROR(__xludf.DUMMYFUNCTION("""COMPUTED_VALUE"""),"The Changing Consumer")</f>
        <v>The Changing Consumer</v>
      </c>
      <c r="E299" s="4" t="str">
        <f>IFERROR(__xludf.DUMMYFUNCTION("""COMPUTED_VALUE"""),"Online Retailers")</f>
        <v>Online Retailers</v>
      </c>
      <c r="F299" s="4"/>
      <c r="G299" s="4"/>
      <c r="H299" s="4"/>
      <c r="I299" s="4"/>
      <c r="J299" s="5" t="s">
        <v>22</v>
      </c>
      <c r="K299" s="5" t="s">
        <v>16</v>
      </c>
      <c r="L299" s="5" t="s">
        <v>35</v>
      </c>
      <c r="M299" s="6" t="s">
        <v>480</v>
      </c>
      <c r="N299" s="5" t="s">
        <v>19</v>
      </c>
      <c r="O299" s="5" t="s">
        <v>27</v>
      </c>
      <c r="P299" s="5">
        <v>42759.0</v>
      </c>
      <c r="Q299" s="5">
        <v>177.0</v>
      </c>
      <c r="R299" s="5">
        <v>17744.0</v>
      </c>
      <c r="S299" s="5">
        <v>34812.0</v>
      </c>
      <c r="T299" s="5">
        <v>12.0</v>
      </c>
      <c r="U299" s="9">
        <v>6316.488054</v>
      </c>
    </row>
    <row r="300">
      <c r="A300" s="4" t="s">
        <v>1331</v>
      </c>
      <c r="B300" s="4" t="str">
        <f>IFERROR(__xludf.DUMMYFUNCTION("SPLIT(A300,""&gt;"")"),"Online Behavior")</f>
        <v>Online Behavior</v>
      </c>
      <c r="C300" s="4" t="str">
        <f>IFERROR(__xludf.DUMMYFUNCTION("""COMPUTED_VALUE"""),"United States")</f>
        <v>United States</v>
      </c>
      <c r="D300" s="4" t="str">
        <f>IFERROR(__xludf.DUMMYFUNCTION("""COMPUTED_VALUE"""),"Finance ")</f>
        <v>Finance </v>
      </c>
      <c r="E300" s="4" t="str">
        <f>IFERROR(__xludf.DUMMYFUNCTION("""COMPUTED_VALUE""")," Financial Planning and Management")</f>
        <v> Financial Planning and Management</v>
      </c>
      <c r="F300" s="4" t="str">
        <f>IFERROR(__xludf.DUMMYFUNCTION("""COMPUTED_VALUE"""),"Inheritance and Estate Planning")</f>
        <v>Inheritance and Estate Planning</v>
      </c>
      <c r="G300" s="4"/>
      <c r="H300" s="4"/>
      <c r="I300" s="4"/>
      <c r="J300" s="5" t="s">
        <v>22</v>
      </c>
      <c r="K300" s="5" t="s">
        <v>23</v>
      </c>
      <c r="L300" s="5" t="s">
        <v>35</v>
      </c>
      <c r="M300" s="6" t="s">
        <v>480</v>
      </c>
      <c r="N300" s="5" t="s">
        <v>117</v>
      </c>
      <c r="O300" s="5" t="s">
        <v>27</v>
      </c>
      <c r="P300" s="5">
        <v>115673.0</v>
      </c>
      <c r="Q300" s="5">
        <v>410.0</v>
      </c>
      <c r="R300" s="5">
        <v>52475.0</v>
      </c>
      <c r="S300" s="5">
        <v>97166.0</v>
      </c>
      <c r="T300" s="5">
        <v>22.0</v>
      </c>
      <c r="U300" s="9">
        <v>5045.93793</v>
      </c>
    </row>
    <row r="301" hidden="1">
      <c r="A301" s="4" t="s">
        <v>1332</v>
      </c>
      <c r="B301" s="4" t="str">
        <f>IFERROR(__xludf.DUMMYFUNCTION("SPLIT(A301,""&gt;"")"),"Lotame ")</f>
        <v>Lotame </v>
      </c>
      <c r="C301" s="4" t="str">
        <f>IFERROR(__xludf.DUMMYFUNCTION("""COMPUTED_VALUE""")," Travel ")</f>
        <v> Travel </v>
      </c>
      <c r="D301" s="4" t="str">
        <f>IFERROR(__xludf.DUMMYFUNCTION("""COMPUTED_VALUE""")," Winter Holiday Travel")</f>
        <v> Winter Holiday Travel</v>
      </c>
      <c r="E301" s="4"/>
      <c r="F301" s="4"/>
      <c r="G301" s="4"/>
      <c r="H301" s="4"/>
      <c r="I301" s="4"/>
      <c r="J301" s="5" t="s">
        <v>15</v>
      </c>
      <c r="K301" s="5" t="s">
        <v>31</v>
      </c>
      <c r="L301" s="5" t="s">
        <v>29</v>
      </c>
      <c r="M301" s="6" t="s">
        <v>480</v>
      </c>
      <c r="N301" s="5" t="s">
        <v>36</v>
      </c>
      <c r="O301" s="5" t="s">
        <v>20</v>
      </c>
      <c r="P301" s="5">
        <v>81486.0</v>
      </c>
      <c r="Q301" s="5">
        <v>193.0</v>
      </c>
      <c r="R301" s="5">
        <v>57653.0</v>
      </c>
      <c r="S301" s="5">
        <v>76803.0</v>
      </c>
      <c r="T301" s="5">
        <v>6.0</v>
      </c>
      <c r="U301" s="9">
        <v>1463.842874</v>
      </c>
    </row>
    <row r="302" hidden="1">
      <c r="A302" s="4" t="s">
        <v>1333</v>
      </c>
      <c r="B302" s="4" t="str">
        <f>IFERROR(__xludf.DUMMYFUNCTION("SPLIT(A302,""&gt;"")"),"United States ")</f>
        <v>United States </v>
      </c>
      <c r="C302" s="4" t="str">
        <f>IFERROR(__xludf.DUMMYFUNCTION("""COMPUTED_VALUE""")," Brand Propensities ")</f>
        <v> Brand Propensities </v>
      </c>
      <c r="D302" s="4" t="str">
        <f>IFERROR(__xludf.DUMMYFUNCTION("""COMPUTED_VALUE""")," Home and HoUnited Statesehold Goods ")</f>
        <v> Home and HoUnited Statesehold Goods </v>
      </c>
      <c r="E302" s="4" t="str">
        <f>IFERROR(__xludf.DUMMYFUNCTION("""COMPUTED_VALUE""")," Pottery Barn Kids Buyer Propensity")</f>
        <v> Pottery Barn Kids Buyer Propensity</v>
      </c>
      <c r="F302" s="4"/>
      <c r="G302" s="4"/>
      <c r="H302" s="4"/>
      <c r="I302" s="4"/>
      <c r="J302" s="5" t="s">
        <v>15</v>
      </c>
      <c r="K302" s="5" t="s">
        <v>31</v>
      </c>
      <c r="L302" s="5" t="s">
        <v>55</v>
      </c>
      <c r="M302" s="6" t="s">
        <v>484</v>
      </c>
      <c r="N302" s="5" t="s">
        <v>48</v>
      </c>
      <c r="O302" s="5" t="s">
        <v>52</v>
      </c>
      <c r="P302" s="5">
        <v>31813.0</v>
      </c>
      <c r="Q302" s="5">
        <v>84.0</v>
      </c>
      <c r="R302" s="5">
        <v>14149.0</v>
      </c>
      <c r="S302" s="5">
        <v>21281.0</v>
      </c>
      <c r="T302" s="5">
        <v>13.0</v>
      </c>
      <c r="U302" s="9">
        <v>2060.993882</v>
      </c>
    </row>
    <row r="303">
      <c r="A303" s="4" t="s">
        <v>1334</v>
      </c>
      <c r="B303" s="4" t="str">
        <f>IFERROR(__xludf.DUMMYFUNCTION("SPLIT(A303,""&gt;"")"),"Online Behavior")</f>
        <v>Online Behavior</v>
      </c>
      <c r="C303" s="4" t="str">
        <f>IFERROR(__xludf.DUMMYFUNCTION("""COMPUTED_VALUE"""),"United States")</f>
        <v>United States</v>
      </c>
      <c r="D303" s="4" t="str">
        <f>IFERROR(__xludf.DUMMYFUNCTION("""COMPUTED_VALUE"""),"Intent ")</f>
        <v>Intent </v>
      </c>
      <c r="E303" s="4" t="str">
        <f>IFERROR(__xludf.DUMMYFUNCTION("""COMPUTED_VALUE""")," Shopping")</f>
        <v> Shopping</v>
      </c>
      <c r="F303" s="4" t="str">
        <f>IFERROR(__xludf.DUMMYFUNCTION("""COMPUTED_VALUE"""),"Drug Stores")</f>
        <v>Drug Stores</v>
      </c>
      <c r="G303" s="4"/>
      <c r="H303" s="4"/>
      <c r="I303" s="4"/>
      <c r="J303" s="5" t="s">
        <v>22</v>
      </c>
      <c r="K303" s="5" t="s">
        <v>31</v>
      </c>
      <c r="L303" s="5" t="s">
        <v>84</v>
      </c>
      <c r="M303" s="6" t="s">
        <v>486</v>
      </c>
      <c r="N303" s="5" t="s">
        <v>19</v>
      </c>
      <c r="O303" s="5" t="s">
        <v>27</v>
      </c>
      <c r="P303" s="5">
        <v>7687.0</v>
      </c>
      <c r="Q303" s="5">
        <v>10.0</v>
      </c>
      <c r="R303" s="5">
        <v>5311.0</v>
      </c>
      <c r="S303" s="5">
        <v>7266.0</v>
      </c>
      <c r="T303" s="5">
        <v>6.0</v>
      </c>
      <c r="U303" s="9">
        <v>6486.853909</v>
      </c>
    </row>
    <row r="304" hidden="1">
      <c r="A304" s="4" t="s">
        <v>1335</v>
      </c>
      <c r="B304" s="4" t="str">
        <f>IFERROR(__xludf.DUMMYFUNCTION("SPLIT(A304,""&gt;"")"),"Media and Entertainment ")</f>
        <v>Media and Entertainment </v>
      </c>
      <c r="C304" s="4" t="str">
        <f>IFERROR(__xludf.DUMMYFUNCTION("""COMPUTED_VALUE""")," Sports and Recreational Activities ")</f>
        <v> Sports and Recreational Activities </v>
      </c>
      <c r="D304" s="4" t="str">
        <f>IFERROR(__xludf.DUMMYFUNCTION("""COMPUTED_VALUE""")," Interest (Affinity) ")</f>
        <v> Interest (Affinity) </v>
      </c>
      <c r="E304" s="4" t="str">
        <f>IFERROR(__xludf.DUMMYFUNCTION("""COMPUTED_VALUE""")," Individual Sports ")</f>
        <v> Individual Sports </v>
      </c>
      <c r="F304" s="4" t="str">
        <f>IFERROR(__xludf.DUMMYFUNCTION("""COMPUTED_VALUE""")," Tennis and Racquet Sports")</f>
        <v> Tennis and Racquet Sports</v>
      </c>
      <c r="G304" s="4"/>
      <c r="H304" s="4"/>
      <c r="I304" s="4"/>
      <c r="J304" s="5" t="s">
        <v>15</v>
      </c>
      <c r="K304" s="5" t="s">
        <v>31</v>
      </c>
      <c r="L304" s="5" t="s">
        <v>24</v>
      </c>
      <c r="M304" s="6" t="s">
        <v>486</v>
      </c>
      <c r="N304" s="5" t="s">
        <v>46</v>
      </c>
      <c r="O304" s="5" t="s">
        <v>20</v>
      </c>
      <c r="P304" s="5">
        <v>17228.0</v>
      </c>
      <c r="Q304" s="5">
        <v>30.0</v>
      </c>
      <c r="R304" s="5">
        <v>11116.0</v>
      </c>
      <c r="S304" s="5">
        <v>16044.0</v>
      </c>
      <c r="T304" s="5">
        <v>3.0</v>
      </c>
      <c r="U304" s="9">
        <v>1547.513459</v>
      </c>
    </row>
    <row r="305">
      <c r="A305" s="4" t="s">
        <v>1336</v>
      </c>
      <c r="B305" s="4" t="str">
        <f>IFERROR(__xludf.DUMMYFUNCTION("SPLIT(A305,""&gt;"")"),"United States ")</f>
        <v>United States </v>
      </c>
      <c r="C305" s="4" t="str">
        <f>IFERROR(__xludf.DUMMYFUNCTION("""COMPUTED_VALUE""")," Reach ")</f>
        <v> Reach </v>
      </c>
      <c r="D305" s="4" t="str">
        <f>IFERROR(__xludf.DUMMYFUNCTION("""COMPUTED_VALUE""")," Propensity Models ")</f>
        <v> Propensity Models </v>
      </c>
      <c r="E305" s="4" t="str">
        <f>IFERROR(__xludf.DUMMYFUNCTION("""COMPUTED_VALUE""")," Hobbies and Interest ")</f>
        <v> Hobbies and Interest </v>
      </c>
      <c r="F305" s="4" t="str">
        <f>IFERROR(__xludf.DUMMYFUNCTION("""COMPUTED_VALUE""")," Sports ")</f>
        <v> Sports </v>
      </c>
      <c r="G305" s="4" t="str">
        <f>IFERROR(__xludf.DUMMYFUNCTION("""COMPUTED_VALUE""")," NBA EnthUnited Statesiast")</f>
        <v> NBA EnthUnited Statesiast</v>
      </c>
      <c r="H305" s="4"/>
      <c r="I305" s="4"/>
      <c r="J305" s="5" t="s">
        <v>22</v>
      </c>
      <c r="K305" s="5" t="s">
        <v>42</v>
      </c>
      <c r="L305" s="5" t="s">
        <v>78</v>
      </c>
      <c r="M305" s="6" t="s">
        <v>489</v>
      </c>
      <c r="N305" s="5" t="s">
        <v>48</v>
      </c>
      <c r="O305" s="5" t="s">
        <v>27</v>
      </c>
      <c r="P305" s="5">
        <v>21482.0</v>
      </c>
      <c r="Q305" s="5">
        <v>67.0</v>
      </c>
      <c r="R305" s="5">
        <v>10473.0</v>
      </c>
      <c r="S305" s="5">
        <v>19679.0</v>
      </c>
      <c r="T305" s="5">
        <v>3.0</v>
      </c>
      <c r="U305" s="9">
        <v>3563.098841</v>
      </c>
    </row>
    <row r="306">
      <c r="A306" s="4" t="s">
        <v>1337</v>
      </c>
      <c r="B306" s="4" t="str">
        <f>IFERROR(__xludf.DUMMYFUNCTION("SPLIT(A306,""&gt;"")"),"Mobile - United States ")</f>
        <v>Mobile - United States </v>
      </c>
      <c r="C306" s="4" t="str">
        <f>IFERROR(__xludf.DUMMYFUNCTION("""COMPUTED_VALUE""")," Device Ownership ")</f>
        <v> Device Ownership </v>
      </c>
      <c r="D306" s="4" t="str">
        <f>IFERROR(__xludf.DUMMYFUNCTION("""COMPUTED_VALUE""")," Smartphones ")</f>
        <v> Smartphones </v>
      </c>
      <c r="E306" s="4" t="str">
        <f>IFERROR(__xludf.DUMMYFUNCTION("""COMPUTED_VALUE""")," Vivo")</f>
        <v> Vivo</v>
      </c>
      <c r="F306" s="4"/>
      <c r="G306" s="4"/>
      <c r="H306" s="4"/>
      <c r="I306" s="4"/>
      <c r="J306" s="5" t="s">
        <v>61</v>
      </c>
      <c r="K306" s="5" t="s">
        <v>16</v>
      </c>
      <c r="L306" s="5" t="s">
        <v>17</v>
      </c>
      <c r="M306" s="6" t="s">
        <v>489</v>
      </c>
      <c r="N306" s="5" t="s">
        <v>19</v>
      </c>
      <c r="O306" s="5" t="s">
        <v>27</v>
      </c>
      <c r="P306" s="5">
        <v>9178.0</v>
      </c>
      <c r="Q306" s="5">
        <v>25.0</v>
      </c>
      <c r="R306" s="5">
        <v>4644.0</v>
      </c>
      <c r="S306" s="5">
        <v>8462.0</v>
      </c>
      <c r="T306" s="5">
        <v>2.0</v>
      </c>
      <c r="U306" s="9">
        <v>1503.205183</v>
      </c>
    </row>
    <row r="307">
      <c r="A307" s="4" t="s">
        <v>1338</v>
      </c>
      <c r="B307" s="4" t="str">
        <f>IFERROR(__xludf.DUMMYFUNCTION("SPLIT(A307,""&gt;"")"),"Lotame ")</f>
        <v>Lotame </v>
      </c>
      <c r="C307" s="4" t="str">
        <f>IFERROR(__xludf.DUMMYFUNCTION("""COMPUTED_VALUE""")," Style, Fashion &amp; Clothing ")</f>
        <v> Style, Fashion &amp; Clothing </v>
      </c>
      <c r="D307" s="4" t="str">
        <f>IFERROR(__xludf.DUMMYFUNCTION("""COMPUTED_VALUE""")," Women's Clothing Shoppers")</f>
        <v> Women's Clothing Shoppers</v>
      </c>
      <c r="E307" s="4"/>
      <c r="F307" s="4"/>
      <c r="G307" s="4"/>
      <c r="H307" s="4"/>
      <c r="I307" s="4"/>
      <c r="J307" s="5" t="s">
        <v>22</v>
      </c>
      <c r="K307" s="5" t="s">
        <v>16</v>
      </c>
      <c r="L307" s="5" t="s">
        <v>24</v>
      </c>
      <c r="M307" s="6" t="s">
        <v>489</v>
      </c>
      <c r="N307" s="5" t="s">
        <v>36</v>
      </c>
      <c r="O307" s="5" t="s">
        <v>27</v>
      </c>
      <c r="P307" s="5">
        <v>9040.0</v>
      </c>
      <c r="Q307" s="5">
        <v>21.0</v>
      </c>
      <c r="R307" s="5">
        <v>3585.0</v>
      </c>
      <c r="S307" s="5">
        <v>8450.0</v>
      </c>
      <c r="T307" s="5">
        <v>3.0</v>
      </c>
      <c r="U307" s="9">
        <v>1473.192464</v>
      </c>
    </row>
    <row r="308">
      <c r="A308" s="4" t="s">
        <v>1339</v>
      </c>
      <c r="B308" s="4" t="str">
        <f>IFERROR(__xludf.DUMMYFUNCTION("SPLIT(A308,""&gt;"")"),"Online Behavior")</f>
        <v>Online Behavior</v>
      </c>
      <c r="C308" s="4" t="str">
        <f>IFERROR(__xludf.DUMMYFUNCTION("""COMPUTED_VALUE"""),"United States")</f>
        <v>United States</v>
      </c>
      <c r="D308" s="4" t="str">
        <f>IFERROR(__xludf.DUMMYFUNCTION("""COMPUTED_VALUE"""),"Intent ")</f>
        <v>Intent </v>
      </c>
      <c r="E308" s="4" t="str">
        <f>IFERROR(__xludf.DUMMYFUNCTION("""COMPUTED_VALUE""")," Shopping")</f>
        <v> Shopping</v>
      </c>
      <c r="F308" s="4" t="str">
        <f>IFERROR(__xludf.DUMMYFUNCTION("""COMPUTED_VALUE"""),"Office Supplies")</f>
        <v>Office Supplies</v>
      </c>
      <c r="G308" s="4"/>
      <c r="H308" s="4"/>
      <c r="I308" s="4"/>
      <c r="J308" s="5" t="s">
        <v>22</v>
      </c>
      <c r="K308" s="5" t="s">
        <v>16</v>
      </c>
      <c r="L308" s="5" t="s">
        <v>78</v>
      </c>
      <c r="M308" s="6" t="s">
        <v>493</v>
      </c>
      <c r="N308" s="5" t="s">
        <v>36</v>
      </c>
      <c r="O308" s="5" t="s">
        <v>27</v>
      </c>
      <c r="P308" s="5">
        <v>96728.0</v>
      </c>
      <c r="Q308" s="5">
        <v>341.0</v>
      </c>
      <c r="R308" s="5">
        <v>69700.0</v>
      </c>
      <c r="S308" s="5">
        <v>91910.0</v>
      </c>
      <c r="T308" s="5">
        <v>15.0</v>
      </c>
      <c r="U308" s="9">
        <v>6587.243331</v>
      </c>
    </row>
    <row r="309">
      <c r="A309" s="4" t="s">
        <v>1340</v>
      </c>
      <c r="B309" s="4" t="str">
        <f>IFERROR(__xludf.DUMMYFUNCTION("SPLIT(A309,""&gt;"")"),"Online Behavior")</f>
        <v>Online Behavior</v>
      </c>
      <c r="C309" s="4" t="str">
        <f>IFERROR(__xludf.DUMMYFUNCTION("""COMPUTED_VALUE"""),"United States")</f>
        <v>United States</v>
      </c>
      <c r="D309" s="4" t="str">
        <f>IFERROR(__xludf.DUMMYFUNCTION("""COMPUTED_VALUE"""),"Validated Demographic ")</f>
        <v>Validated Demographic </v>
      </c>
      <c r="E309" s="4" t="str">
        <f>IFERROR(__xludf.DUMMYFUNCTION("""COMPUTED_VALUE""")," Gender")</f>
        <v> Gender</v>
      </c>
      <c r="F309" s="4" t="str">
        <f>IFERROR(__xludf.DUMMYFUNCTION("""COMPUTED_VALUE"""),"Male")</f>
        <v>Male</v>
      </c>
      <c r="G309" s="4"/>
      <c r="H309" s="4"/>
      <c r="I309" s="4"/>
      <c r="J309" s="5" t="s">
        <v>22</v>
      </c>
      <c r="K309" s="5" t="s">
        <v>23</v>
      </c>
      <c r="L309" s="5" t="s">
        <v>29</v>
      </c>
      <c r="M309" s="6" t="s">
        <v>493</v>
      </c>
      <c r="N309" s="5" t="s">
        <v>19</v>
      </c>
      <c r="O309" s="5" t="s">
        <v>27</v>
      </c>
      <c r="P309" s="5">
        <v>48947.0</v>
      </c>
      <c r="Q309" s="5">
        <v>230.0</v>
      </c>
      <c r="R309" s="5">
        <v>32089.0</v>
      </c>
      <c r="S309" s="5">
        <v>45597.0</v>
      </c>
      <c r="T309" s="5">
        <v>21.0</v>
      </c>
      <c r="U309" s="9">
        <v>5702.290265</v>
      </c>
    </row>
    <row r="310">
      <c r="A310" s="4" t="s">
        <v>495</v>
      </c>
      <c r="B310" s="4" t="str">
        <f>IFERROR(__xludf.DUMMYFUNCTION("SPLIT(A310,""&gt;"")"),"Online Behavior")</f>
        <v>Online Behavior</v>
      </c>
      <c r="C310" s="4" t="str">
        <f>IFERROR(__xludf.DUMMYFUNCTION("""COMPUTED_VALUE"""),"United States")</f>
        <v>United States</v>
      </c>
      <c r="D310" s="4" t="str">
        <f>IFERROR(__xludf.DUMMYFUNCTION("""COMPUTED_VALUE"""),"The Changing Consumer")</f>
        <v>The Changing Consumer</v>
      </c>
      <c r="E310" s="4" t="str">
        <f>IFERROR(__xludf.DUMMYFUNCTION("""COMPUTED_VALUE"""),"Home Cooking")</f>
        <v>Home Cooking</v>
      </c>
      <c r="F310" s="4"/>
      <c r="G310" s="4"/>
      <c r="H310" s="4"/>
      <c r="I310" s="4"/>
      <c r="J310" s="5" t="s">
        <v>61</v>
      </c>
      <c r="K310" s="5" t="s">
        <v>42</v>
      </c>
      <c r="L310" s="5" t="s">
        <v>78</v>
      </c>
      <c r="M310" s="6" t="s">
        <v>493</v>
      </c>
      <c r="N310" s="5" t="s">
        <v>19</v>
      </c>
      <c r="O310" s="5" t="s">
        <v>27</v>
      </c>
      <c r="P310" s="5">
        <v>58938.0</v>
      </c>
      <c r="Q310" s="5">
        <v>175.0</v>
      </c>
      <c r="R310" s="5">
        <v>41861.0</v>
      </c>
      <c r="S310" s="5">
        <v>55929.0</v>
      </c>
      <c r="T310" s="5">
        <v>9.0</v>
      </c>
      <c r="U310" s="9">
        <v>4881.198269</v>
      </c>
    </row>
    <row r="311">
      <c r="A311" s="4" t="s">
        <v>1341</v>
      </c>
      <c r="B311" s="4" t="str">
        <f>IFERROR(__xludf.DUMMYFUNCTION("SPLIT(A311,""&gt;"")"),"Online Behavior")</f>
        <v>Online Behavior</v>
      </c>
      <c r="C311" s="4" t="str">
        <f>IFERROR(__xludf.DUMMYFUNCTION("""COMPUTED_VALUE"""),"United States")</f>
        <v>United States</v>
      </c>
      <c r="D311" s="4" t="str">
        <f>IFERROR(__xludf.DUMMYFUNCTION("""COMPUTED_VALUE"""),"B2B ")</f>
        <v>B2B </v>
      </c>
      <c r="E311" s="4" t="str">
        <f>IFERROR(__xludf.DUMMYFUNCTION("""COMPUTED_VALUE""")," Occupation")</f>
        <v> Occupation</v>
      </c>
      <c r="F311" s="4" t="str">
        <f>IFERROR(__xludf.DUMMYFUNCTION("""COMPUTED_VALUE"""),"Teacher")</f>
        <v>Teacher</v>
      </c>
      <c r="G311" s="4"/>
      <c r="H311" s="4"/>
      <c r="I311" s="4"/>
      <c r="J311" s="5" t="s">
        <v>15</v>
      </c>
      <c r="K311" s="5" t="s">
        <v>23</v>
      </c>
      <c r="L311" s="5" t="s">
        <v>35</v>
      </c>
      <c r="M311" s="6" t="s">
        <v>493</v>
      </c>
      <c r="N311" s="5" t="s">
        <v>48</v>
      </c>
      <c r="O311" s="5" t="s">
        <v>27</v>
      </c>
      <c r="P311" s="5">
        <v>49014.0</v>
      </c>
      <c r="Q311" s="5">
        <v>100.0</v>
      </c>
      <c r="R311" s="5">
        <v>30349.0</v>
      </c>
      <c r="S311" s="5">
        <v>46446.0</v>
      </c>
      <c r="T311" s="5">
        <v>6.0</v>
      </c>
      <c r="U311" s="9">
        <v>3628.34617</v>
      </c>
    </row>
    <row r="312">
      <c r="A312" s="4" t="s">
        <v>1342</v>
      </c>
      <c r="B312" s="4" t="str">
        <f>IFERROR(__xludf.DUMMYFUNCTION("SPLIT(A312,""&gt;"")"),"Online Behavior")</f>
        <v>Online Behavior</v>
      </c>
      <c r="C312" s="4" t="str">
        <f>IFERROR(__xludf.DUMMYFUNCTION("""COMPUTED_VALUE"""),"United States")</f>
        <v>United States</v>
      </c>
      <c r="D312" s="4" t="str">
        <f>IFERROR(__xludf.DUMMYFUNCTION("""COMPUTED_VALUE"""),"Finance ")</f>
        <v>Finance </v>
      </c>
      <c r="E312" s="4" t="str">
        <f>IFERROR(__xludf.DUMMYFUNCTION("""COMPUTED_VALUE""")," Accounting and Auditing")</f>
        <v> Accounting and Auditing</v>
      </c>
      <c r="F312" s="4" t="str">
        <f>IFERROR(__xludf.DUMMYFUNCTION("""COMPUTED_VALUE"""),"Bookkeeping")</f>
        <v>Bookkeeping</v>
      </c>
      <c r="G312" s="4"/>
      <c r="H312" s="4"/>
      <c r="I312" s="4"/>
      <c r="J312" s="5" t="s">
        <v>22</v>
      </c>
      <c r="K312" s="5" t="s">
        <v>42</v>
      </c>
      <c r="L312" s="5" t="s">
        <v>433</v>
      </c>
      <c r="M312" s="6" t="s">
        <v>493</v>
      </c>
      <c r="N312" s="5" t="s">
        <v>46</v>
      </c>
      <c r="O312" s="5" t="s">
        <v>27</v>
      </c>
      <c r="P312" s="5">
        <v>69523.0</v>
      </c>
      <c r="Q312" s="5">
        <v>174.0</v>
      </c>
      <c r="R312" s="5">
        <v>48273.0</v>
      </c>
      <c r="S312" s="5">
        <v>65800.0</v>
      </c>
      <c r="T312" s="5">
        <v>9.0</v>
      </c>
      <c r="U312" s="9">
        <v>2649.997803</v>
      </c>
    </row>
    <row r="313">
      <c r="A313" s="4" t="s">
        <v>1343</v>
      </c>
      <c r="B313" s="4" t="str">
        <f>IFERROR(__xludf.DUMMYFUNCTION("SPLIT(A313,""&gt;"")"),"OnAudience ")</f>
        <v>OnAudience </v>
      </c>
      <c r="C313" s="4" t="str">
        <f>IFERROR(__xludf.DUMMYFUNCTION("""COMPUTED_VALUE""")," Interest ")</f>
        <v> Interest </v>
      </c>
      <c r="D313" s="4" t="str">
        <f>IFERROR(__xludf.DUMMYFUNCTION("""COMPUTED_VALUE""")," Arts &amp; Entertainment ")</f>
        <v> Arts &amp; Entertainment </v>
      </c>
      <c r="E313" s="4" t="str">
        <f>IFERROR(__xludf.DUMMYFUNCTION("""COMPUTED_VALUE""")," Fine Art")</f>
        <v> Fine Art</v>
      </c>
      <c r="F313" s="4"/>
      <c r="G313" s="4"/>
      <c r="H313" s="4"/>
      <c r="I313" s="4"/>
      <c r="J313" s="5" t="s">
        <v>61</v>
      </c>
      <c r="K313" s="5" t="s">
        <v>31</v>
      </c>
      <c r="L313" s="5" t="s">
        <v>95</v>
      </c>
      <c r="M313" s="6" t="s">
        <v>493</v>
      </c>
      <c r="N313" s="5" t="s">
        <v>46</v>
      </c>
      <c r="O313" s="5" t="s">
        <v>27</v>
      </c>
      <c r="P313" s="5">
        <v>37717.0</v>
      </c>
      <c r="Q313" s="5">
        <v>69.0</v>
      </c>
      <c r="R313" s="5">
        <v>26541.0</v>
      </c>
      <c r="S313" s="5">
        <v>35126.0</v>
      </c>
      <c r="T313" s="5">
        <v>5.0</v>
      </c>
      <c r="U313" s="9">
        <v>1725.271363</v>
      </c>
    </row>
    <row r="314" hidden="1">
      <c r="A314" s="4" t="s">
        <v>1344</v>
      </c>
      <c r="B314" s="4" t="str">
        <f>IFERROR(__xludf.DUMMYFUNCTION("SPLIT(A314,""&gt;"")"),"Lotame ")</f>
        <v>Lotame </v>
      </c>
      <c r="C314" s="4" t="str">
        <f>IFERROR(__xludf.DUMMYFUNCTION("""COMPUTED_VALUE""")," Technology ")</f>
        <v> Technology </v>
      </c>
      <c r="D314" s="4" t="str">
        <f>IFERROR(__xludf.DUMMYFUNCTION("""COMPUTED_VALUE""")," Electronics &amp; Gadgets")</f>
        <v> Electronics &amp; Gadgets</v>
      </c>
      <c r="E314" s="4"/>
      <c r="F314" s="4"/>
      <c r="G314" s="4"/>
      <c r="H314" s="4"/>
      <c r="I314" s="4"/>
      <c r="J314" s="5" t="s">
        <v>15</v>
      </c>
      <c r="K314" s="5" t="s">
        <v>42</v>
      </c>
      <c r="L314" s="5" t="s">
        <v>131</v>
      </c>
      <c r="M314" s="6" t="s">
        <v>493</v>
      </c>
      <c r="N314" s="5" t="s">
        <v>19</v>
      </c>
      <c r="O314" s="5" t="s">
        <v>20</v>
      </c>
      <c r="P314" s="5">
        <v>16236.0</v>
      </c>
      <c r="Q314" s="5">
        <v>50.0</v>
      </c>
      <c r="R314" s="5">
        <v>8669.0</v>
      </c>
      <c r="S314" s="5">
        <v>15208.0</v>
      </c>
      <c r="T314" s="5">
        <v>11.0</v>
      </c>
      <c r="U314" s="9">
        <v>1639.813696</v>
      </c>
    </row>
    <row r="315">
      <c r="A315" s="4" t="s">
        <v>1345</v>
      </c>
      <c r="B315" s="4" t="str">
        <f>IFERROR(__xludf.DUMMYFUNCTION("SPLIT(A315,""&gt;"")"),"OnAudience ")</f>
        <v>OnAudience </v>
      </c>
      <c r="C315" s="4" t="str">
        <f>IFERROR(__xludf.DUMMYFUNCTION("""COMPUTED_VALUE""")," Intent ")</f>
        <v> Intent </v>
      </c>
      <c r="D315" s="4" t="str">
        <f>IFERROR(__xludf.DUMMYFUNCTION("""COMPUTED_VALUE""")," Toys &amp; Games")</f>
        <v> Toys &amp; Games</v>
      </c>
      <c r="E315" s="4"/>
      <c r="F315" s="4"/>
      <c r="G315" s="4"/>
      <c r="H315" s="4"/>
      <c r="I315" s="4"/>
      <c r="J315" s="5" t="s">
        <v>22</v>
      </c>
      <c r="K315" s="5" t="s">
        <v>16</v>
      </c>
      <c r="L315" s="5" t="s">
        <v>35</v>
      </c>
      <c r="M315" s="6" t="s">
        <v>493</v>
      </c>
      <c r="N315" s="5" t="s">
        <v>19</v>
      </c>
      <c r="O315" s="5" t="s">
        <v>27</v>
      </c>
      <c r="P315" s="5">
        <v>9222.0</v>
      </c>
      <c r="Q315" s="5">
        <v>33.0</v>
      </c>
      <c r="R315" s="5">
        <v>5352.0</v>
      </c>
      <c r="S315" s="5">
        <v>8141.0</v>
      </c>
      <c r="T315" s="5">
        <v>2.0</v>
      </c>
      <c r="U315" s="9">
        <v>1583.164302</v>
      </c>
    </row>
    <row r="316">
      <c r="A316" s="4" t="s">
        <v>1346</v>
      </c>
      <c r="B316" s="4" t="str">
        <f>IFERROR(__xludf.DUMMYFUNCTION("SPLIT(A316,""&gt;"")"),"Online Behavior")</f>
        <v>Online Behavior</v>
      </c>
      <c r="C316" s="4" t="str">
        <f>IFERROR(__xludf.DUMMYFUNCTION("""COMPUTED_VALUE"""),"United States")</f>
        <v>United States</v>
      </c>
      <c r="D316" s="4" t="str">
        <f>IFERROR(__xludf.DUMMYFUNCTION("""COMPUTED_VALUE"""),"Validated Demographic ")</f>
        <v>Validated Demographic </v>
      </c>
      <c r="E316" s="4" t="str">
        <f>IFERROR(__xludf.DUMMYFUNCTION("""COMPUTED_VALUE""")," Age")</f>
        <v> Age</v>
      </c>
      <c r="F316" s="4" t="str">
        <f>IFERROR(__xludf.DUMMYFUNCTION("""COMPUTED_VALUE"""),"25 or older")</f>
        <v>25 or older</v>
      </c>
      <c r="G316" s="4"/>
      <c r="H316" s="4"/>
      <c r="I316" s="4"/>
      <c r="J316" s="5" t="s">
        <v>22</v>
      </c>
      <c r="K316" s="5" t="s">
        <v>42</v>
      </c>
      <c r="L316" s="5" t="s">
        <v>240</v>
      </c>
      <c r="M316" s="6" t="s">
        <v>502</v>
      </c>
      <c r="N316" s="5" t="s">
        <v>48</v>
      </c>
      <c r="O316" s="5" t="s">
        <v>27</v>
      </c>
      <c r="P316" s="5">
        <v>8233.0</v>
      </c>
      <c r="Q316" s="5">
        <v>65.0</v>
      </c>
      <c r="R316" s="5">
        <v>5361.0</v>
      </c>
      <c r="S316" s="5">
        <v>7643.0</v>
      </c>
      <c r="T316" s="5">
        <v>4.0</v>
      </c>
      <c r="U316" s="9">
        <v>6381.006576</v>
      </c>
    </row>
    <row r="317">
      <c r="A317" s="4" t="s">
        <v>1347</v>
      </c>
      <c r="B317" s="4" t="str">
        <f>IFERROR(__xludf.DUMMYFUNCTION("SPLIT(A317,""&gt;"")"),"Lotame ")</f>
        <v>Lotame </v>
      </c>
      <c r="C317" s="4" t="str">
        <f>IFERROR(__xludf.DUMMYFUNCTION("""COMPUTED_VALUE""")," Style, Fashion &amp; Clothing ")</f>
        <v> Style, Fashion &amp; Clothing </v>
      </c>
      <c r="D317" s="4" t="str">
        <f>IFERROR(__xludf.DUMMYFUNCTION("""COMPUTED_VALUE""")," Children's Clothing Shoppers")</f>
        <v> Children's Clothing Shoppers</v>
      </c>
      <c r="E317" s="4"/>
      <c r="F317" s="4"/>
      <c r="G317" s="4"/>
      <c r="H317" s="4"/>
      <c r="I317" s="4"/>
      <c r="J317" s="5" t="s">
        <v>22</v>
      </c>
      <c r="K317" s="5" t="s">
        <v>23</v>
      </c>
      <c r="L317" s="5" t="s">
        <v>173</v>
      </c>
      <c r="M317" s="6" t="s">
        <v>504</v>
      </c>
      <c r="N317" s="5" t="s">
        <v>167</v>
      </c>
      <c r="O317" s="5" t="s">
        <v>27</v>
      </c>
      <c r="P317" s="5">
        <v>9014.0</v>
      </c>
      <c r="Q317" s="5">
        <v>26.0</v>
      </c>
      <c r="R317" s="5">
        <v>5054.0</v>
      </c>
      <c r="S317" s="5">
        <v>7227.0</v>
      </c>
      <c r="T317" s="5">
        <v>4.0</v>
      </c>
      <c r="U317" s="9">
        <v>1539.60069</v>
      </c>
    </row>
    <row r="318">
      <c r="A318" s="4" t="s">
        <v>1348</v>
      </c>
      <c r="B318" s="4" t="str">
        <f>IFERROR(__xludf.DUMMYFUNCTION("SPLIT(A318,""&gt;"")"),"Online Behavior")</f>
        <v>Online Behavior</v>
      </c>
      <c r="C318" s="4" t="str">
        <f>IFERROR(__xludf.DUMMYFUNCTION("""COMPUTED_VALUE"""),"United States")</f>
        <v>United States</v>
      </c>
      <c r="D318" s="4" t="str">
        <f>IFERROR(__xludf.DUMMYFUNCTION("""COMPUTED_VALUE"""),"Validated Demographic ")</f>
        <v>Validated Demographic </v>
      </c>
      <c r="E318" s="4" t="str">
        <f>IFERROR(__xludf.DUMMYFUNCTION("""COMPUTED_VALUE""")," Gender and Age Combined")</f>
        <v> Gender and Age Combined</v>
      </c>
      <c r="F318" s="4" t="str">
        <f>IFERROR(__xludf.DUMMYFUNCTION("""COMPUTED_VALUE"""),"Males 18-64")</f>
        <v>Males 18-64</v>
      </c>
      <c r="G318" s="4"/>
      <c r="H318" s="4"/>
      <c r="I318" s="4"/>
      <c r="J318" s="5" t="s">
        <v>15</v>
      </c>
      <c r="K318" s="5" t="s">
        <v>23</v>
      </c>
      <c r="L318" s="5" t="s">
        <v>84</v>
      </c>
      <c r="M318" s="6" t="s">
        <v>506</v>
      </c>
      <c r="N318" s="5" t="s">
        <v>46</v>
      </c>
      <c r="O318" s="5" t="s">
        <v>27</v>
      </c>
      <c r="P318" s="5">
        <v>9702.0</v>
      </c>
      <c r="Q318" s="5">
        <v>40.0</v>
      </c>
      <c r="R318" s="5">
        <v>5564.0</v>
      </c>
      <c r="S318" s="5">
        <v>8210.0</v>
      </c>
      <c r="T318" s="5">
        <v>1.0</v>
      </c>
      <c r="U318" s="9">
        <v>5711.39201</v>
      </c>
    </row>
    <row r="319">
      <c r="A319" s="4" t="s">
        <v>1349</v>
      </c>
      <c r="B319" s="4" t="str">
        <f>IFERROR(__xludf.DUMMYFUNCTION("SPLIT(A319,""&gt;"")"),"Online Behavior")</f>
        <v>Online Behavior</v>
      </c>
      <c r="C319" s="4" t="str">
        <f>IFERROR(__xludf.DUMMYFUNCTION("""COMPUTED_VALUE"""),"United States")</f>
        <v>United States</v>
      </c>
      <c r="D319" s="4" t="str">
        <f>IFERROR(__xludf.DUMMYFUNCTION("""COMPUTED_VALUE"""),"Food and Drink")</f>
        <v>Food and Drink</v>
      </c>
      <c r="E319" s="4" t="str">
        <f>IFERROR(__xludf.DUMMYFUNCTION("""COMPUTED_VALUE"""),"Beverages ")</f>
        <v>Beverages </v>
      </c>
      <c r="F319" s="4" t="str">
        <f>IFERROR(__xludf.DUMMYFUNCTION("""COMPUTED_VALUE""")," Soft Drinks")</f>
        <v> Soft Drinks</v>
      </c>
      <c r="G319" s="4"/>
      <c r="H319" s="4"/>
      <c r="I319" s="4"/>
      <c r="J319" s="5" t="s">
        <v>15</v>
      </c>
      <c r="K319" s="5" t="s">
        <v>23</v>
      </c>
      <c r="L319" s="5" t="s">
        <v>173</v>
      </c>
      <c r="M319" s="6" t="s">
        <v>508</v>
      </c>
      <c r="N319" s="5" t="s">
        <v>36</v>
      </c>
      <c r="O319" s="5" t="s">
        <v>27</v>
      </c>
      <c r="P319" s="5">
        <v>150457.0</v>
      </c>
      <c r="Q319" s="5">
        <v>420.0</v>
      </c>
      <c r="R319" s="5">
        <v>58372.0</v>
      </c>
      <c r="S319" s="5">
        <v>135099.0</v>
      </c>
      <c r="T319" s="5">
        <v>14.0</v>
      </c>
      <c r="U319" s="9">
        <v>5906.830006</v>
      </c>
    </row>
    <row r="320">
      <c r="A320" s="4" t="s">
        <v>1350</v>
      </c>
      <c r="B320" s="4" t="str">
        <f>IFERROR(__xludf.DUMMYFUNCTION("SPLIT(A320,""&gt;"")"),"Online Behavior")</f>
        <v>Online Behavior</v>
      </c>
      <c r="C320" s="4" t="str">
        <f>IFERROR(__xludf.DUMMYFUNCTION("""COMPUTED_VALUE"""),"United States")</f>
        <v>United States</v>
      </c>
      <c r="D320" s="4" t="str">
        <f>IFERROR(__xludf.DUMMYFUNCTION("""COMPUTED_VALUE"""),"Validated Demographic ")</f>
        <v>Validated Demographic </v>
      </c>
      <c r="E320" s="4" t="str">
        <f>IFERROR(__xludf.DUMMYFUNCTION("""COMPUTED_VALUE""")," Age")</f>
        <v> Age</v>
      </c>
      <c r="F320" s="4" t="str">
        <f>IFERROR(__xludf.DUMMYFUNCTION("""COMPUTED_VALUE"""),"25-34")</f>
        <v>25-34</v>
      </c>
      <c r="G320" s="4"/>
      <c r="H320" s="4"/>
      <c r="I320" s="4"/>
      <c r="J320" s="5" t="s">
        <v>22</v>
      </c>
      <c r="K320" s="5" t="s">
        <v>42</v>
      </c>
      <c r="L320" s="5" t="s">
        <v>471</v>
      </c>
      <c r="M320" s="6" t="s">
        <v>508</v>
      </c>
      <c r="N320" s="5" t="s">
        <v>48</v>
      </c>
      <c r="O320" s="5" t="s">
        <v>27</v>
      </c>
      <c r="P320" s="5">
        <v>190592.0</v>
      </c>
      <c r="Q320" s="5">
        <v>601.0</v>
      </c>
      <c r="R320" s="5">
        <v>28906.0</v>
      </c>
      <c r="S320" s="5">
        <v>172515.0</v>
      </c>
      <c r="T320" s="5">
        <v>25.0</v>
      </c>
      <c r="U320" s="9">
        <v>4742.047766</v>
      </c>
    </row>
    <row r="321">
      <c r="A321" s="4" t="s">
        <v>1351</v>
      </c>
      <c r="B321" s="4" t="str">
        <f>IFERROR(__xludf.DUMMYFUNCTION("SPLIT(A321,""&gt;"")"),"United States ")</f>
        <v>United States </v>
      </c>
      <c r="C321" s="4" t="str">
        <f>IFERROR(__xludf.DUMMYFUNCTION("""COMPUTED_VALUE""")," Reach ")</f>
        <v> Reach </v>
      </c>
      <c r="D321" s="4" t="str">
        <f>IFERROR(__xludf.DUMMYFUNCTION("""COMPUTED_VALUE""")," Propensity Models ")</f>
        <v> Propensity Models </v>
      </c>
      <c r="E321" s="4" t="str">
        <f>IFERROR(__xludf.DUMMYFUNCTION("""COMPUTED_VALUE""")," Finance ")</f>
        <v> Finance </v>
      </c>
      <c r="F321" s="4" t="str">
        <f>IFERROR(__xludf.DUMMYFUNCTION("""COMPUTED_VALUE""")," Credit ")</f>
        <v> Credit </v>
      </c>
      <c r="G321" s="4" t="str">
        <f>IFERROR(__xludf.DUMMYFUNCTION("""COMPUTED_VALUE""")," Debit Card ")</f>
        <v> Debit Card </v>
      </c>
      <c r="H321" s="4" t="str">
        <f>IFERROR(__xludf.DUMMYFUNCTION("""COMPUTED_VALUE""")," Major Credit Card United Stateser")</f>
        <v> Major Credit Card United Stateser</v>
      </c>
      <c r="I321" s="4"/>
      <c r="J321" s="5" t="s">
        <v>22</v>
      </c>
      <c r="K321" s="5" t="s">
        <v>23</v>
      </c>
      <c r="L321" s="5" t="s">
        <v>35</v>
      </c>
      <c r="M321" s="6" t="s">
        <v>511</v>
      </c>
      <c r="N321" s="5" t="s">
        <v>46</v>
      </c>
      <c r="O321" s="5" t="s">
        <v>27</v>
      </c>
      <c r="P321" s="5">
        <v>12868.0</v>
      </c>
      <c r="Q321" s="5">
        <v>80.0</v>
      </c>
      <c r="R321" s="5">
        <v>6472.0</v>
      </c>
      <c r="S321" s="5">
        <v>11922.0</v>
      </c>
      <c r="T321" s="5">
        <v>6.0</v>
      </c>
      <c r="U321" s="9">
        <v>3137.143043</v>
      </c>
    </row>
    <row r="322">
      <c r="A322" s="4" t="s">
        <v>1352</v>
      </c>
      <c r="B322" s="4" t="str">
        <f>IFERROR(__xludf.DUMMYFUNCTION("SPLIT(A322,""&gt;"")"),"Lotame ")</f>
        <v>Lotame </v>
      </c>
      <c r="C322" s="4" t="str">
        <f>IFERROR(__xludf.DUMMYFUNCTION("""COMPUTED_VALUE""")," Technology")</f>
        <v> Technology</v>
      </c>
      <c r="D322" s="4"/>
      <c r="E322" s="4"/>
      <c r="F322" s="4"/>
      <c r="G322" s="4"/>
      <c r="H322" s="4"/>
      <c r="I322" s="4"/>
      <c r="J322" s="5" t="s">
        <v>22</v>
      </c>
      <c r="K322" s="5" t="s">
        <v>16</v>
      </c>
      <c r="L322" s="5" t="s">
        <v>29</v>
      </c>
      <c r="M322" s="6" t="s">
        <v>511</v>
      </c>
      <c r="N322" s="5" t="s">
        <v>19</v>
      </c>
      <c r="O322" s="5" t="s">
        <v>27</v>
      </c>
      <c r="P322" s="5">
        <v>9059.0</v>
      </c>
      <c r="Q322" s="5">
        <v>22.0</v>
      </c>
      <c r="R322" s="5">
        <v>589.0</v>
      </c>
      <c r="S322" s="5">
        <v>7480.0</v>
      </c>
      <c r="T322" s="5">
        <v>4.0</v>
      </c>
      <c r="U322" s="9">
        <v>1908.526117</v>
      </c>
    </row>
    <row r="323" hidden="1">
      <c r="A323" s="4" t="s">
        <v>1353</v>
      </c>
      <c r="B323" s="4" t="str">
        <f>IFERROR(__xludf.DUMMYFUNCTION("SPLIT(A323,""&gt;"")"),"United States ")</f>
        <v>United States </v>
      </c>
      <c r="C323" s="4" t="str">
        <f>IFERROR(__xludf.DUMMYFUNCTION("""COMPUTED_VALUE""")," Reach ")</f>
        <v> Reach </v>
      </c>
      <c r="D323" s="4" t="str">
        <f>IFERROR(__xludf.DUMMYFUNCTION("""COMPUTED_VALUE""")," Propensity Models ")</f>
        <v> Propensity Models </v>
      </c>
      <c r="E323" s="4" t="str">
        <f>IFERROR(__xludf.DUMMYFUNCTION("""COMPUTED_VALUE""")," Real Estate ")</f>
        <v> Real Estate </v>
      </c>
      <c r="F323" s="4" t="str">
        <f>IFERROR(__xludf.DUMMYFUNCTION("""COMPUTED_VALUE""")," Mortgage Amount ")</f>
        <v> Mortgage Amount </v>
      </c>
      <c r="G323" s="4" t="str">
        <f>IFERROR(__xludf.DUMMYFUNCTION("""COMPUTED_VALUE""")," $120,000-$159,999")</f>
        <v> $120,000-$159,999</v>
      </c>
      <c r="H323" s="4"/>
      <c r="I323" s="4"/>
      <c r="J323" s="5" t="s">
        <v>15</v>
      </c>
      <c r="K323" s="5" t="s">
        <v>23</v>
      </c>
      <c r="L323" s="5" t="s">
        <v>45</v>
      </c>
      <c r="M323" s="6" t="s">
        <v>511</v>
      </c>
      <c r="N323" s="5" t="s">
        <v>191</v>
      </c>
      <c r="O323" s="5" t="s">
        <v>52</v>
      </c>
      <c r="P323" s="5">
        <v>15904.0</v>
      </c>
      <c r="Q323" s="5">
        <v>190.0</v>
      </c>
      <c r="R323" s="5">
        <v>7523.0</v>
      </c>
      <c r="S323" s="5">
        <v>14815.0</v>
      </c>
      <c r="T323" s="5">
        <v>2.0</v>
      </c>
      <c r="U323" s="9">
        <v>1825.725708</v>
      </c>
    </row>
    <row r="324">
      <c r="A324" s="4" t="s">
        <v>1354</v>
      </c>
      <c r="B324" s="4" t="str">
        <f>IFERROR(__xludf.DUMMYFUNCTION("SPLIT(A324,""&gt;"")"),"Online Behavior")</f>
        <v>Online Behavior</v>
      </c>
      <c r="C324" s="4" t="str">
        <f>IFERROR(__xludf.DUMMYFUNCTION("""COMPUTED_VALUE"""),"United States")</f>
        <v>United States</v>
      </c>
      <c r="D324" s="4" t="str">
        <f>IFERROR(__xludf.DUMMYFUNCTION("""COMPUTED_VALUE"""),"Food and Drink")</f>
        <v>Food and Drink</v>
      </c>
      <c r="E324" s="4" t="str">
        <f>IFERROR(__xludf.DUMMYFUNCTION("""COMPUTED_VALUE"""),"Restaurants ")</f>
        <v>Restaurants </v>
      </c>
      <c r="F324" s="4" t="str">
        <f>IFERROR(__xludf.DUMMYFUNCTION("""COMPUTED_VALUE""")," Fast Food")</f>
        <v> Fast Food</v>
      </c>
      <c r="G324" s="4"/>
      <c r="H324" s="4"/>
      <c r="I324" s="4"/>
      <c r="J324" s="5" t="s">
        <v>61</v>
      </c>
      <c r="K324" s="5" t="s">
        <v>31</v>
      </c>
      <c r="L324" s="5" t="s">
        <v>35</v>
      </c>
      <c r="M324" s="6" t="s">
        <v>515</v>
      </c>
      <c r="N324" s="5" t="s">
        <v>19</v>
      </c>
      <c r="O324" s="5" t="s">
        <v>27</v>
      </c>
      <c r="P324" s="5">
        <v>7822.0</v>
      </c>
      <c r="Q324" s="5">
        <v>25.0</v>
      </c>
      <c r="R324" s="5">
        <v>3786.0</v>
      </c>
      <c r="S324" s="5">
        <v>7232.0</v>
      </c>
      <c r="T324" s="5">
        <v>13.0</v>
      </c>
      <c r="U324" s="9">
        <v>6781.821647</v>
      </c>
    </row>
    <row r="325">
      <c r="A325" s="4" t="s">
        <v>1355</v>
      </c>
      <c r="B325" s="4" t="str">
        <f>IFERROR(__xludf.DUMMYFUNCTION("SPLIT(A325,""&gt;"")"),"Online Behavior")</f>
        <v>Online Behavior</v>
      </c>
      <c r="C325" s="4" t="str">
        <f>IFERROR(__xludf.DUMMYFUNCTION("""COMPUTED_VALUE"""),"United States")</f>
        <v>United States</v>
      </c>
      <c r="D325" s="4" t="str">
        <f>IFERROR(__xludf.DUMMYFUNCTION("""COMPUTED_VALUE"""),"Validated Demographic ")</f>
        <v>Validated Demographic </v>
      </c>
      <c r="E325" s="4" t="str">
        <f>IFERROR(__xludf.DUMMYFUNCTION("""COMPUTED_VALUE""")," Age")</f>
        <v> Age</v>
      </c>
      <c r="F325" s="4" t="str">
        <f>IFERROR(__xludf.DUMMYFUNCTION("""COMPUTED_VALUE"""),"18-54")</f>
        <v>18-54</v>
      </c>
      <c r="G325" s="4"/>
      <c r="H325" s="4"/>
      <c r="I325" s="4"/>
      <c r="J325" s="5" t="s">
        <v>22</v>
      </c>
      <c r="K325" s="5" t="s">
        <v>42</v>
      </c>
      <c r="L325" s="5" t="s">
        <v>173</v>
      </c>
      <c r="M325" s="6" t="s">
        <v>515</v>
      </c>
      <c r="N325" s="5" t="s">
        <v>26</v>
      </c>
      <c r="O325" s="5" t="s">
        <v>27</v>
      </c>
      <c r="P325" s="5">
        <v>12214.0</v>
      </c>
      <c r="Q325" s="5">
        <v>50.0</v>
      </c>
      <c r="R325" s="5">
        <v>5376.0</v>
      </c>
      <c r="S325" s="5">
        <v>11490.0</v>
      </c>
      <c r="T325" s="5">
        <v>7.0</v>
      </c>
      <c r="U325" s="9">
        <v>5616.309402</v>
      </c>
    </row>
    <row r="326" hidden="1">
      <c r="A326" s="4" t="s">
        <v>1356</v>
      </c>
      <c r="B326" s="4" t="str">
        <f>IFERROR(__xludf.DUMMYFUNCTION("SPLIT(A326,""&gt;"")"),"Online Behavior")</f>
        <v>Online Behavior</v>
      </c>
      <c r="C326" s="4" t="str">
        <f>IFERROR(__xludf.DUMMYFUNCTION("""COMPUTED_VALUE"""),"United States")</f>
        <v>United States</v>
      </c>
      <c r="D326" s="4" t="str">
        <f>IFERROR(__xludf.DUMMYFUNCTION("""COMPUTED_VALUE"""),"Travel")</f>
        <v>Travel</v>
      </c>
      <c r="E326" s="4" t="str">
        <f>IFERROR(__xludf.DUMMYFUNCTION("""COMPUTED_VALUE"""),"Air Travel ")</f>
        <v>Air Travel </v>
      </c>
      <c r="F326" s="4" t="str">
        <f>IFERROR(__xludf.DUMMYFUNCTION("""COMPUTED_VALUE""")," Airport Parking and Transportation")</f>
        <v> Airport Parking and Transportation</v>
      </c>
      <c r="G326" s="4"/>
      <c r="H326" s="4"/>
      <c r="I326" s="4"/>
      <c r="J326" s="5" t="s">
        <v>15</v>
      </c>
      <c r="K326" s="5" t="s">
        <v>16</v>
      </c>
      <c r="L326" s="5" t="s">
        <v>55</v>
      </c>
      <c r="M326" s="6" t="s">
        <v>518</v>
      </c>
      <c r="N326" s="5" t="s">
        <v>19</v>
      </c>
      <c r="O326" s="5" t="s">
        <v>52</v>
      </c>
      <c r="P326" s="5">
        <v>141165.0</v>
      </c>
      <c r="Q326" s="5">
        <v>250.0</v>
      </c>
      <c r="R326" s="5">
        <v>102776.0</v>
      </c>
      <c r="S326" s="5">
        <v>128004.0</v>
      </c>
      <c r="T326" s="5">
        <v>28.0</v>
      </c>
      <c r="U326" s="9">
        <v>7222.211408</v>
      </c>
    </row>
    <row r="327">
      <c r="A327" s="4" t="s">
        <v>1357</v>
      </c>
      <c r="B327" s="4" t="str">
        <f>IFERROR(__xludf.DUMMYFUNCTION("SPLIT(A327,""&gt;"")"),"Online Behavior")</f>
        <v>Online Behavior</v>
      </c>
      <c r="C327" s="4" t="str">
        <f>IFERROR(__xludf.DUMMYFUNCTION("""COMPUTED_VALUE"""),"United States")</f>
        <v>United States</v>
      </c>
      <c r="D327" s="4" t="str">
        <f>IFERROR(__xludf.DUMMYFUNCTION("""COMPUTED_VALUE"""),"Sports")</f>
        <v>Sports</v>
      </c>
      <c r="E327" s="4" t="str">
        <f>IFERROR(__xludf.DUMMYFUNCTION("""COMPUTED_VALUE"""),"Individual Sports ")</f>
        <v>Individual Sports </v>
      </c>
      <c r="F327" s="4" t="str">
        <f>IFERROR(__xludf.DUMMYFUNCTION("""COMPUTED_VALUE""")," Track and Field")</f>
        <v> Track and Field</v>
      </c>
      <c r="G327" s="4"/>
      <c r="H327" s="4"/>
      <c r="I327" s="4"/>
      <c r="J327" s="5" t="s">
        <v>22</v>
      </c>
      <c r="K327" s="5" t="s">
        <v>31</v>
      </c>
      <c r="L327" s="5" t="s">
        <v>35</v>
      </c>
      <c r="M327" s="6" t="s">
        <v>518</v>
      </c>
      <c r="N327" s="5" t="s">
        <v>19</v>
      </c>
      <c r="O327" s="5" t="s">
        <v>27</v>
      </c>
      <c r="P327" s="5">
        <v>7514.0</v>
      </c>
      <c r="Q327" s="5">
        <v>20.0</v>
      </c>
      <c r="R327" s="5">
        <v>2646.0</v>
      </c>
      <c r="S327" s="5">
        <v>3373.0</v>
      </c>
      <c r="T327" s="5">
        <v>3.0</v>
      </c>
      <c r="U327" s="9">
        <v>6756.295179</v>
      </c>
    </row>
    <row r="328" hidden="1">
      <c r="A328" s="4" t="s">
        <v>1358</v>
      </c>
      <c r="B328" s="4" t="str">
        <f>IFERROR(__xludf.DUMMYFUNCTION("SPLIT(A328,""&gt;"")"),"Online Behavior")</f>
        <v>Online Behavior</v>
      </c>
      <c r="C328" s="4" t="str">
        <f>IFERROR(__xludf.DUMMYFUNCTION("""COMPUTED_VALUE"""),"United States")</f>
        <v>United States</v>
      </c>
      <c r="D328" s="4" t="str">
        <f>IFERROR(__xludf.DUMMYFUNCTION("""COMPUTED_VALUE"""),"Sports")</f>
        <v>Sports</v>
      </c>
      <c r="E328" s="4" t="str">
        <f>IFERROR(__xludf.DUMMYFUNCTION("""COMPUTED_VALUE"""),"Individual Sports ")</f>
        <v>Individual Sports </v>
      </c>
      <c r="F328" s="4" t="str">
        <f>IFERROR(__xludf.DUMMYFUNCTION("""COMPUTED_VALUE""")," Bowling")</f>
        <v> Bowling</v>
      </c>
      <c r="G328" s="4"/>
      <c r="H328" s="4"/>
      <c r="I328" s="4"/>
      <c r="J328" s="5" t="s">
        <v>15</v>
      </c>
      <c r="K328" s="5" t="s">
        <v>23</v>
      </c>
      <c r="L328" s="5" t="s">
        <v>32</v>
      </c>
      <c r="M328" s="6" t="s">
        <v>518</v>
      </c>
      <c r="N328" s="5" t="s">
        <v>136</v>
      </c>
      <c r="O328" s="5" t="s">
        <v>52</v>
      </c>
      <c r="P328" s="5">
        <v>30460.0</v>
      </c>
      <c r="Q328" s="5">
        <v>95.0</v>
      </c>
      <c r="R328" s="5">
        <v>21830.0</v>
      </c>
      <c r="S328" s="5">
        <v>27750.0</v>
      </c>
      <c r="T328" s="5">
        <v>25.0</v>
      </c>
      <c r="U328" s="9">
        <v>6643.966542</v>
      </c>
    </row>
    <row r="329">
      <c r="A329" s="4" t="s">
        <v>1359</v>
      </c>
      <c r="B329" s="4" t="str">
        <f>IFERROR(__xludf.DUMMYFUNCTION("SPLIT(A329,""&gt;"")"),"Online Behavior")</f>
        <v>Online Behavior</v>
      </c>
      <c r="C329" s="4" t="str">
        <f>IFERROR(__xludf.DUMMYFUNCTION("""COMPUTED_VALUE"""),"United States")</f>
        <v>United States</v>
      </c>
      <c r="D329" s="4" t="str">
        <f>IFERROR(__xludf.DUMMYFUNCTION("""COMPUTED_VALUE"""),"Autos and Vehicles ")</f>
        <v>Autos and Vehicles </v>
      </c>
      <c r="E329" s="4" t="str">
        <f>IFERROR(__xludf.DUMMYFUNCTION("""COMPUTED_VALUE""")," Brands")</f>
        <v> Brands</v>
      </c>
      <c r="F329" s="4" t="str">
        <f>IFERROR(__xludf.DUMMYFUNCTION("""COMPUTED_VALUE"""),"SEAT")</f>
        <v>SEAT</v>
      </c>
      <c r="G329" s="4"/>
      <c r="H329" s="4"/>
      <c r="I329" s="4"/>
      <c r="J329" s="5" t="s">
        <v>15</v>
      </c>
      <c r="K329" s="5" t="s">
        <v>31</v>
      </c>
      <c r="L329" s="5" t="s">
        <v>35</v>
      </c>
      <c r="M329" s="6" t="s">
        <v>518</v>
      </c>
      <c r="N329" s="5" t="s">
        <v>46</v>
      </c>
      <c r="O329" s="5" t="s">
        <v>27</v>
      </c>
      <c r="P329" s="5">
        <v>14083.0</v>
      </c>
      <c r="Q329" s="5">
        <v>97.0</v>
      </c>
      <c r="R329" s="5">
        <v>9945.0</v>
      </c>
      <c r="S329" s="5">
        <v>12878.0</v>
      </c>
      <c r="T329" s="5">
        <v>11.0</v>
      </c>
      <c r="U329" s="9">
        <v>5979.67</v>
      </c>
    </row>
    <row r="330">
      <c r="A330" s="4" t="s">
        <v>1360</v>
      </c>
      <c r="B330" s="4" t="str">
        <f>IFERROR(__xludf.DUMMYFUNCTION("SPLIT(A330,""&gt;"")"),"Online Behavior")</f>
        <v>Online Behavior</v>
      </c>
      <c r="C330" s="4" t="str">
        <f>IFERROR(__xludf.DUMMYFUNCTION("""COMPUTED_VALUE"""),"United States")</f>
        <v>United States</v>
      </c>
      <c r="D330" s="4" t="str">
        <f>IFERROR(__xludf.DUMMYFUNCTION("""COMPUTED_VALUE"""),"Intent ")</f>
        <v>Intent </v>
      </c>
      <c r="E330" s="4" t="str">
        <f>IFERROR(__xludf.DUMMYFUNCTION("""COMPUTED_VALUE""")," Services")</f>
        <v> Services</v>
      </c>
      <c r="F330" s="4" t="str">
        <f>IFERROR(__xludf.DUMMYFUNCTION("""COMPUTED_VALUE"""),"Photography")</f>
        <v>Photography</v>
      </c>
      <c r="G330" s="4"/>
      <c r="H330" s="4"/>
      <c r="I330" s="4"/>
      <c r="J330" s="5" t="s">
        <v>61</v>
      </c>
      <c r="K330" s="5" t="s">
        <v>42</v>
      </c>
      <c r="L330" s="5" t="s">
        <v>35</v>
      </c>
      <c r="M330" s="6" t="s">
        <v>518</v>
      </c>
      <c r="N330" s="5" t="s">
        <v>19</v>
      </c>
      <c r="O330" s="5" t="s">
        <v>27</v>
      </c>
      <c r="P330" s="5">
        <v>100058.0</v>
      </c>
      <c r="Q330" s="5">
        <v>435.0</v>
      </c>
      <c r="R330" s="5">
        <v>73422.0</v>
      </c>
      <c r="S330" s="5">
        <v>91976.0</v>
      </c>
      <c r="T330" s="5">
        <v>8.0</v>
      </c>
      <c r="U330" s="9">
        <v>5831.225793</v>
      </c>
    </row>
    <row r="331" hidden="1">
      <c r="A331" s="4" t="s">
        <v>1361</v>
      </c>
      <c r="B331" s="4" t="str">
        <f>IFERROR(__xludf.DUMMYFUNCTION("SPLIT(A331,""&gt;"")"),"Online Behavior")</f>
        <v>Online Behavior</v>
      </c>
      <c r="C331" s="4" t="str">
        <f>IFERROR(__xludf.DUMMYFUNCTION("""COMPUTED_VALUE"""),"United States")</f>
        <v>United States</v>
      </c>
      <c r="D331" s="4" t="str">
        <f>IFERROR(__xludf.DUMMYFUNCTION("""COMPUTED_VALUE"""),"Autos and Vehicles ")</f>
        <v>Autos and Vehicles </v>
      </c>
      <c r="E331" s="4" t="str">
        <f>IFERROR(__xludf.DUMMYFUNCTION("""COMPUTED_VALUE""")," Brands")</f>
        <v> Brands</v>
      </c>
      <c r="F331" s="4" t="str">
        <f>IFERROR(__xludf.DUMMYFUNCTION("""COMPUTED_VALUE"""),"Acura")</f>
        <v>Acura</v>
      </c>
      <c r="G331" s="4"/>
      <c r="H331" s="4"/>
      <c r="I331" s="4"/>
      <c r="J331" s="5" t="s">
        <v>15</v>
      </c>
      <c r="K331" s="5" t="s">
        <v>16</v>
      </c>
      <c r="L331" s="5" t="s">
        <v>78</v>
      </c>
      <c r="M331" s="6" t="s">
        <v>518</v>
      </c>
      <c r="N331" s="5" t="s">
        <v>19</v>
      </c>
      <c r="O331" s="5" t="s">
        <v>52</v>
      </c>
      <c r="P331" s="5">
        <v>83854.0</v>
      </c>
      <c r="Q331" s="5">
        <v>197.0</v>
      </c>
      <c r="R331" s="5">
        <v>60626.0</v>
      </c>
      <c r="S331" s="5">
        <v>76071.0</v>
      </c>
      <c r="T331" s="5">
        <v>15.0</v>
      </c>
      <c r="U331" s="9">
        <v>5783.843758</v>
      </c>
    </row>
    <row r="332">
      <c r="A332" s="4" t="s">
        <v>524</v>
      </c>
      <c r="B332" s="4" t="str">
        <f>IFERROR(__xludf.DUMMYFUNCTION("SPLIT(A332,""&gt;"")"),"Online Behavior")</f>
        <v>Online Behavior</v>
      </c>
      <c r="C332" s="4" t="str">
        <f>IFERROR(__xludf.DUMMYFUNCTION("""COMPUTED_VALUE"""),"United States")</f>
        <v>United States</v>
      </c>
      <c r="D332" s="4" t="str">
        <f>IFERROR(__xludf.DUMMYFUNCTION("""COMPUTED_VALUE"""),"The Changing Consumer")</f>
        <v>The Changing Consumer</v>
      </c>
      <c r="E332" s="4" t="str">
        <f>IFERROR(__xludf.DUMMYFUNCTION("""COMPUTED_VALUE"""),"Delivery Services and Quick Service Restaurants")</f>
        <v>Delivery Services and Quick Service Restaurants</v>
      </c>
      <c r="F332" s="4"/>
      <c r="G332" s="4"/>
      <c r="H332" s="4"/>
      <c r="I332" s="4"/>
      <c r="J332" s="5" t="s">
        <v>15</v>
      </c>
      <c r="K332" s="5" t="s">
        <v>16</v>
      </c>
      <c r="L332" s="5" t="s">
        <v>17</v>
      </c>
      <c r="M332" s="6" t="s">
        <v>518</v>
      </c>
      <c r="N332" s="5" t="s">
        <v>26</v>
      </c>
      <c r="O332" s="5" t="s">
        <v>27</v>
      </c>
      <c r="P332" s="5">
        <v>103665.0</v>
      </c>
      <c r="Q332" s="5">
        <v>270.0</v>
      </c>
      <c r="R332" s="5">
        <v>77283.0</v>
      </c>
      <c r="S332" s="5">
        <v>94019.0</v>
      </c>
      <c r="T332" s="5">
        <v>4.0</v>
      </c>
      <c r="U332" s="9">
        <v>5284.685565</v>
      </c>
    </row>
    <row r="333" hidden="1">
      <c r="A333" s="4" t="s">
        <v>1362</v>
      </c>
      <c r="B333" s="4" t="str">
        <f>IFERROR(__xludf.DUMMYFUNCTION("SPLIT(A333,""&gt;"")"),"Online Behavior")</f>
        <v>Online Behavior</v>
      </c>
      <c r="C333" s="4" t="str">
        <f>IFERROR(__xludf.DUMMYFUNCTION("""COMPUTED_VALUE"""),"United States")</f>
        <v>United States</v>
      </c>
      <c r="D333" s="4" t="str">
        <f>IFERROR(__xludf.DUMMYFUNCTION("""COMPUTED_VALUE"""),"Intent ")</f>
        <v>Intent </v>
      </c>
      <c r="E333" s="4" t="str">
        <f>IFERROR(__xludf.DUMMYFUNCTION("""COMPUTED_VALUE""")," Auto Buyers ")</f>
        <v> Auto Buyers </v>
      </c>
      <c r="F333" s="4" t="str">
        <f>IFERROR(__xludf.DUMMYFUNCTION("""COMPUTED_VALUE""")," Type")</f>
        <v> Type</v>
      </c>
      <c r="G333" s="4" t="str">
        <f>IFERROR(__xludf.DUMMYFUNCTION("""COMPUTED_VALUE"""),"Sedan")</f>
        <v>Sedan</v>
      </c>
      <c r="H333" s="4"/>
      <c r="I333" s="4"/>
      <c r="J333" s="5" t="s">
        <v>15</v>
      </c>
      <c r="K333" s="5" t="s">
        <v>23</v>
      </c>
      <c r="L333" s="5" t="s">
        <v>35</v>
      </c>
      <c r="M333" s="6" t="s">
        <v>518</v>
      </c>
      <c r="N333" s="5" t="s">
        <v>117</v>
      </c>
      <c r="O333" s="5" t="s">
        <v>52</v>
      </c>
      <c r="P333" s="5">
        <v>25889.0</v>
      </c>
      <c r="Q333" s="5">
        <v>110.0</v>
      </c>
      <c r="R333" s="5">
        <v>18382.0</v>
      </c>
      <c r="S333" s="5">
        <v>23328.0</v>
      </c>
      <c r="T333" s="5">
        <v>15.0</v>
      </c>
      <c r="U333" s="9">
        <v>4977.784794</v>
      </c>
    </row>
    <row r="334">
      <c r="A334" s="4" t="s">
        <v>1363</v>
      </c>
      <c r="B334" s="4" t="str">
        <f>IFERROR(__xludf.DUMMYFUNCTION("SPLIT(A334,""&gt;"")"),"Online Behavior")</f>
        <v>Online Behavior</v>
      </c>
      <c r="C334" s="4" t="str">
        <f>IFERROR(__xludf.DUMMYFUNCTION("""COMPUTED_VALUE"""),"United States")</f>
        <v>United States</v>
      </c>
      <c r="D334" s="4" t="str">
        <f>IFERROR(__xludf.DUMMYFUNCTION("""COMPUTED_VALUE"""),"Finance ")</f>
        <v>Finance </v>
      </c>
      <c r="E334" s="4" t="str">
        <f>IFERROR(__xludf.DUMMYFUNCTION("""COMPUTED_VALUE""")," Grants, Scholarships and Financial Aid")</f>
        <v> Grants, Scholarships and Financial Aid</v>
      </c>
      <c r="F334" s="4" t="str">
        <f>IFERROR(__xludf.DUMMYFUNCTION("""COMPUTED_VALUE"""),"Study Grants and Scholarships")</f>
        <v>Study Grants and Scholarships</v>
      </c>
      <c r="G334" s="4"/>
      <c r="H334" s="4"/>
      <c r="I334" s="4"/>
      <c r="J334" s="5" t="s">
        <v>61</v>
      </c>
      <c r="K334" s="5" t="s">
        <v>42</v>
      </c>
      <c r="L334" s="5" t="s">
        <v>24</v>
      </c>
      <c r="M334" s="6" t="s">
        <v>518</v>
      </c>
      <c r="N334" s="5" t="s">
        <v>19</v>
      </c>
      <c r="O334" s="5" t="s">
        <v>27</v>
      </c>
      <c r="P334" s="5">
        <v>39844.0</v>
      </c>
      <c r="Q334" s="5">
        <v>101.0</v>
      </c>
      <c r="R334" s="5">
        <v>28001.0</v>
      </c>
      <c r="S334" s="5">
        <v>36335.0</v>
      </c>
      <c r="T334" s="5">
        <v>3.0</v>
      </c>
      <c r="U334" s="9">
        <v>4439.368082</v>
      </c>
    </row>
    <row r="335">
      <c r="A335" s="4" t="s">
        <v>1364</v>
      </c>
      <c r="B335" s="4" t="str">
        <f>IFERROR(__xludf.DUMMYFUNCTION("SPLIT(A335,""&gt;"")"),"Online Behavior")</f>
        <v>Online Behavior</v>
      </c>
      <c r="C335" s="4" t="str">
        <f>IFERROR(__xludf.DUMMYFUNCTION("""COMPUTED_VALUE"""),"United States")</f>
        <v>United States</v>
      </c>
      <c r="D335" s="4" t="str">
        <f>IFERROR(__xludf.DUMMYFUNCTION("""COMPUTED_VALUE"""),"Arts and Entertainment")</f>
        <v>Arts and Entertainment</v>
      </c>
      <c r="E335" s="4" t="str">
        <f>IFERROR(__xludf.DUMMYFUNCTION("""COMPUTED_VALUE"""),"Events and Listings ")</f>
        <v>Events and Listings </v>
      </c>
      <c r="F335" s="4" t="str">
        <f>IFERROR(__xludf.DUMMYFUNCTION("""COMPUTED_VALUE""")," Food and Beverage Events")</f>
        <v> Food and Beverage Events</v>
      </c>
      <c r="G335" s="4"/>
      <c r="H335" s="4"/>
      <c r="I335" s="4"/>
      <c r="J335" s="5" t="s">
        <v>15</v>
      </c>
      <c r="K335" s="5" t="s">
        <v>23</v>
      </c>
      <c r="L335" s="5" t="s">
        <v>17</v>
      </c>
      <c r="M335" s="6" t="s">
        <v>518</v>
      </c>
      <c r="N335" s="5" t="s">
        <v>19</v>
      </c>
      <c r="O335" s="5" t="s">
        <v>27</v>
      </c>
      <c r="P335" s="5">
        <v>224359.0</v>
      </c>
      <c r="Q335" s="5">
        <v>480.0</v>
      </c>
      <c r="R335" s="5">
        <v>163149.0</v>
      </c>
      <c r="S335" s="5">
        <v>200859.0</v>
      </c>
      <c r="T335" s="5">
        <v>5.0</v>
      </c>
      <c r="U335" s="9">
        <v>4196.936777</v>
      </c>
    </row>
    <row r="336">
      <c r="A336" s="4" t="s">
        <v>1365</v>
      </c>
      <c r="B336" s="4" t="str">
        <f>IFERROR(__xludf.DUMMYFUNCTION("SPLIT(A336,""&gt;"")"),"United States ")</f>
        <v>United States </v>
      </c>
      <c r="C336" s="4" t="str">
        <f>IFERROR(__xludf.DUMMYFUNCTION("""COMPUTED_VALUE""")," Reach ")</f>
        <v> Reach </v>
      </c>
      <c r="D336" s="4" t="str">
        <f>IFERROR(__xludf.DUMMYFUNCTION("""COMPUTED_VALUE""")," Propensity Models ")</f>
        <v> Propensity Models </v>
      </c>
      <c r="E336" s="4" t="str">
        <f>IFERROR(__xludf.DUMMYFUNCTION("""COMPUTED_VALUE""")," Hobbies and Interest ")</f>
        <v> Hobbies and Interest </v>
      </c>
      <c r="F336" s="4" t="str">
        <f>IFERROR(__xludf.DUMMYFUNCTION("""COMPUTED_VALUE""")," MUnited Statesic ")</f>
        <v> MUnited Statesic </v>
      </c>
      <c r="G336" s="4" t="str">
        <f>IFERROR(__xludf.DUMMYFUNCTION("""COMPUTED_VALUE""")," Streaming")</f>
        <v> Streaming</v>
      </c>
      <c r="H336" s="4"/>
      <c r="I336" s="4"/>
      <c r="J336" s="5" t="s">
        <v>22</v>
      </c>
      <c r="K336" s="5" t="s">
        <v>16</v>
      </c>
      <c r="L336" s="5" t="s">
        <v>240</v>
      </c>
      <c r="M336" s="6" t="s">
        <v>518</v>
      </c>
      <c r="N336" s="5" t="s">
        <v>36</v>
      </c>
      <c r="O336" s="5" t="s">
        <v>27</v>
      </c>
      <c r="P336" s="5">
        <v>15399.0</v>
      </c>
      <c r="Q336" s="5">
        <v>35.0</v>
      </c>
      <c r="R336" s="5">
        <v>3398.0</v>
      </c>
      <c r="S336" s="5">
        <v>4324.0</v>
      </c>
      <c r="T336" s="5">
        <v>3.0</v>
      </c>
      <c r="U336" s="9">
        <v>3434.731153</v>
      </c>
    </row>
    <row r="337">
      <c r="A337" s="4" t="s">
        <v>1366</v>
      </c>
      <c r="B337" s="4" t="str">
        <f>IFERROR(__xludf.DUMMYFUNCTION("SPLIT(A337,""&gt;"")"),"United States ")</f>
        <v>United States </v>
      </c>
      <c r="C337" s="4" t="str">
        <f>IFERROR(__xludf.DUMMYFUNCTION("""COMPUTED_VALUE""")," B2B ")</f>
        <v> B2B </v>
      </c>
      <c r="D337" s="4" t="str">
        <f>IFERROR(__xludf.DUMMYFUNCTION("""COMPUTED_VALUE""")," B2B Decision Maker Responsibilities ")</f>
        <v> B2B Decision Maker Responsibilities </v>
      </c>
      <c r="E337" s="4" t="str">
        <f>IFERROR(__xludf.DUMMYFUNCTION("""COMPUTED_VALUE""")," Computer Software")</f>
        <v> Computer Software</v>
      </c>
      <c r="F337" s="4"/>
      <c r="G337" s="4"/>
      <c r="H337" s="4"/>
      <c r="I337" s="4"/>
      <c r="J337" s="5" t="s">
        <v>15</v>
      </c>
      <c r="K337" s="5" t="s">
        <v>16</v>
      </c>
      <c r="L337" s="5" t="s">
        <v>17</v>
      </c>
      <c r="M337" s="6" t="s">
        <v>518</v>
      </c>
      <c r="N337" s="5" t="s">
        <v>46</v>
      </c>
      <c r="O337" s="5" t="s">
        <v>27</v>
      </c>
      <c r="P337" s="5">
        <v>136733.0</v>
      </c>
      <c r="Q337" s="5">
        <v>110.0</v>
      </c>
      <c r="R337" s="5">
        <v>102728.0</v>
      </c>
      <c r="S337" s="5">
        <v>127130.0</v>
      </c>
      <c r="T337" s="5">
        <v>4.0</v>
      </c>
      <c r="U337" s="9">
        <v>1946.050447</v>
      </c>
    </row>
    <row r="338">
      <c r="A338" s="4" t="s">
        <v>1367</v>
      </c>
      <c r="B338" s="4" t="str">
        <f>IFERROR(__xludf.DUMMYFUNCTION("SPLIT(A338,""&gt;"")"),"United States ")</f>
        <v>United States </v>
      </c>
      <c r="C338" s="4" t="str">
        <f>IFERROR(__xludf.DUMMYFUNCTION("""COMPUTED_VALUE""")," Brand Propensities ")</f>
        <v> Brand Propensities </v>
      </c>
      <c r="D338" s="4" t="str">
        <f>IFERROR(__xludf.DUMMYFUNCTION("""COMPUTED_VALUE""")," Health ")</f>
        <v> Health </v>
      </c>
      <c r="E338" s="4" t="str">
        <f>IFERROR(__xludf.DUMMYFUNCTION("""COMPUTED_VALUE""")," Beauty and Cosmetics ")</f>
        <v> Beauty and Cosmetics </v>
      </c>
      <c r="F338" s="4" t="str">
        <f>IFERROR(__xludf.DUMMYFUNCTION("""COMPUTED_VALUE""")," ULTA Buyer Propensity")</f>
        <v> ULTA Buyer Propensity</v>
      </c>
      <c r="G338" s="4"/>
      <c r="H338" s="4"/>
      <c r="I338" s="4"/>
      <c r="J338" s="5" t="s">
        <v>22</v>
      </c>
      <c r="K338" s="5" t="s">
        <v>31</v>
      </c>
      <c r="L338" s="5" t="s">
        <v>531</v>
      </c>
      <c r="M338" s="6" t="s">
        <v>518</v>
      </c>
      <c r="N338" s="5" t="s">
        <v>19</v>
      </c>
      <c r="O338" s="5" t="s">
        <v>27</v>
      </c>
      <c r="P338" s="5">
        <v>198754.0</v>
      </c>
      <c r="Q338" s="5">
        <v>480.0</v>
      </c>
      <c r="R338" s="5">
        <v>137649.0</v>
      </c>
      <c r="S338" s="5">
        <v>178415.0</v>
      </c>
      <c r="T338" s="5">
        <v>4.0</v>
      </c>
      <c r="U338" s="9">
        <v>1803.081497</v>
      </c>
    </row>
    <row r="339">
      <c r="A339" s="4" t="s">
        <v>1368</v>
      </c>
      <c r="B339" s="4" t="str">
        <f>IFERROR(__xludf.DUMMYFUNCTION("SPLIT(A339,""&gt;"")"),"United States ")</f>
        <v>United States </v>
      </c>
      <c r="C339" s="4" t="str">
        <f>IFERROR(__xludf.DUMMYFUNCTION("""COMPUTED_VALUE""")," Home and Garden Interests ")</f>
        <v> Home and Garden Interests </v>
      </c>
      <c r="D339" s="4" t="str">
        <f>IFERROR(__xludf.DUMMYFUNCTION("""COMPUTED_VALUE""")," HoUnited Statese and Garden Merchandise Buyers")</f>
        <v> HoUnited Statese and Garden Merchandise Buyers</v>
      </c>
      <c r="E339" s="4"/>
      <c r="F339" s="4"/>
      <c r="G339" s="4"/>
      <c r="H339" s="4"/>
      <c r="I339" s="4"/>
      <c r="J339" s="5" t="s">
        <v>15</v>
      </c>
      <c r="K339" s="5" t="s">
        <v>16</v>
      </c>
      <c r="L339" s="5" t="s">
        <v>84</v>
      </c>
      <c r="M339" s="6" t="s">
        <v>518</v>
      </c>
      <c r="N339" s="5" t="s">
        <v>117</v>
      </c>
      <c r="O339" s="5" t="s">
        <v>27</v>
      </c>
      <c r="P339" s="5">
        <v>15033.0</v>
      </c>
      <c r="Q339" s="5">
        <v>76.0</v>
      </c>
      <c r="R339" s="5">
        <v>5495.0</v>
      </c>
      <c r="S339" s="5">
        <v>7050.0</v>
      </c>
      <c r="T339" s="5">
        <v>3.0</v>
      </c>
      <c r="U339" s="9">
        <v>1650.72301</v>
      </c>
    </row>
    <row r="340">
      <c r="A340" s="4" t="s">
        <v>1369</v>
      </c>
      <c r="B340" s="4" t="str">
        <f>IFERROR(__xludf.DUMMYFUNCTION("SPLIT(A340,""&gt;"")"),"Lotame ")</f>
        <v>Lotame </v>
      </c>
      <c r="C340" s="4" t="str">
        <f>IFERROR(__xludf.DUMMYFUNCTION("""COMPUTED_VALUE""")," Offline CPG Purchasers ")</f>
        <v> Offline CPG Purchasers </v>
      </c>
      <c r="D340" s="4" t="str">
        <f>IFERROR(__xludf.DUMMYFUNCTION("""COMPUTED_VALUE""")," Product Segment")</f>
        <v> Product Segment</v>
      </c>
      <c r="E340" s="4"/>
      <c r="F340" s="4"/>
      <c r="G340" s="4"/>
      <c r="H340" s="4"/>
      <c r="I340" s="4"/>
      <c r="J340" s="5" t="s">
        <v>15</v>
      </c>
      <c r="K340" s="5" t="s">
        <v>16</v>
      </c>
      <c r="L340" s="5" t="s">
        <v>78</v>
      </c>
      <c r="M340" s="6" t="s">
        <v>518</v>
      </c>
      <c r="N340" s="5" t="s">
        <v>19</v>
      </c>
      <c r="O340" s="5" t="s">
        <v>27</v>
      </c>
      <c r="P340" s="5">
        <v>92806.0</v>
      </c>
      <c r="Q340" s="5">
        <v>212.0</v>
      </c>
      <c r="R340" s="5">
        <v>67534.0</v>
      </c>
      <c r="S340" s="5">
        <v>85013.0</v>
      </c>
      <c r="T340" s="5">
        <v>11.0</v>
      </c>
      <c r="U340" s="9">
        <v>1579.379602</v>
      </c>
    </row>
    <row r="341">
      <c r="A341" s="4" t="s">
        <v>1370</v>
      </c>
      <c r="B341" s="4" t="str">
        <f>IFERROR(__xludf.DUMMYFUNCTION("SPLIT(A341,""&gt;"")"),"United States ")</f>
        <v>United States </v>
      </c>
      <c r="C341" s="4" t="str">
        <f>IFERROR(__xludf.DUMMYFUNCTION("""COMPUTED_VALUE""")," Brand Propensities ")</f>
        <v> Brand Propensities </v>
      </c>
      <c r="D341" s="4" t="str">
        <f>IFERROR(__xludf.DUMMYFUNCTION("""COMPUTED_VALUE""")," Apparel ")</f>
        <v> Apparel </v>
      </c>
      <c r="E341" s="4" t="str">
        <f>IFERROR(__xludf.DUMMYFUNCTION("""COMPUTED_VALUE""")," Bare Necessities Buyer Propensity")</f>
        <v> Bare Necessities Buyer Propensity</v>
      </c>
      <c r="F341" s="4"/>
      <c r="G341" s="4"/>
      <c r="H341" s="4"/>
      <c r="I341" s="4"/>
      <c r="J341" s="5" t="s">
        <v>22</v>
      </c>
      <c r="K341" s="5" t="s">
        <v>16</v>
      </c>
      <c r="L341" s="5" t="s">
        <v>29</v>
      </c>
      <c r="M341" s="6" t="s">
        <v>518</v>
      </c>
      <c r="N341" s="5" t="s">
        <v>46</v>
      </c>
      <c r="O341" s="5" t="s">
        <v>27</v>
      </c>
      <c r="P341" s="5">
        <v>186702.0</v>
      </c>
      <c r="Q341" s="5">
        <v>370.0</v>
      </c>
      <c r="R341" s="5">
        <v>132038.0</v>
      </c>
      <c r="S341" s="5">
        <v>167406.0</v>
      </c>
      <c r="T341" s="5">
        <v>4.0</v>
      </c>
      <c r="U341" s="9">
        <v>1568.73602</v>
      </c>
    </row>
    <row r="342">
      <c r="A342" s="4" t="s">
        <v>1371</v>
      </c>
      <c r="B342" s="4" t="str">
        <f>IFERROR(__xludf.DUMMYFUNCTION("SPLIT(A342,""&gt;"")"),"Mobile - United States ")</f>
        <v>Mobile - United States </v>
      </c>
      <c r="C342" s="4" t="str">
        <f>IFERROR(__xludf.DUMMYFUNCTION("""COMPUTED_VALUE""")," Travel ")</f>
        <v> Travel </v>
      </c>
      <c r="D342" s="4" t="str">
        <f>IFERROR(__xludf.DUMMYFUNCTION("""COMPUTED_VALUE""")," Destination ")</f>
        <v> Destination </v>
      </c>
      <c r="E342" s="4" t="str">
        <f>IFERROR(__xludf.DUMMYFUNCTION("""COMPUTED_VALUE""")," International Travelers ")</f>
        <v> International Travelers </v>
      </c>
      <c r="F342" s="4" t="str">
        <f>IFERROR(__xludf.DUMMYFUNCTION("""COMPUTED_VALUE""")," yes")</f>
        <v> yes</v>
      </c>
      <c r="G342" s="4"/>
      <c r="H342" s="4"/>
      <c r="I342" s="4"/>
      <c r="J342" s="5" t="s">
        <v>22</v>
      </c>
      <c r="K342" s="5" t="s">
        <v>23</v>
      </c>
      <c r="L342" s="5" t="s">
        <v>29</v>
      </c>
      <c r="M342" s="6" t="s">
        <v>518</v>
      </c>
      <c r="N342" s="5" t="s">
        <v>46</v>
      </c>
      <c r="O342" s="5" t="s">
        <v>27</v>
      </c>
      <c r="P342" s="5">
        <v>69136.0</v>
      </c>
      <c r="Q342" s="5">
        <v>190.0</v>
      </c>
      <c r="R342" s="5">
        <v>40571.0</v>
      </c>
      <c r="S342" s="5">
        <v>63614.0</v>
      </c>
      <c r="T342" s="5">
        <v>3.0</v>
      </c>
      <c r="U342" s="9">
        <v>1507.946851</v>
      </c>
    </row>
    <row r="343" hidden="1">
      <c r="A343" s="4" t="s">
        <v>1372</v>
      </c>
      <c r="B343" s="4" t="str">
        <f>IFERROR(__xludf.DUMMYFUNCTION("SPLIT(A343,""&gt;"")"),"United States ")</f>
        <v>United States </v>
      </c>
      <c r="C343" s="4" t="str">
        <f>IFERROR(__xludf.DUMMYFUNCTION("""COMPUTED_VALUE""")," Brand Propensities ")</f>
        <v> Brand Propensities </v>
      </c>
      <c r="D343" s="4" t="str">
        <f>IFERROR(__xludf.DUMMYFUNCTION("""COMPUTED_VALUE""")," Media and Entertainment ")</f>
        <v> Media and Entertainment </v>
      </c>
      <c r="E343" s="4" t="str">
        <f>IFERROR(__xludf.DUMMYFUNCTION("""COMPUTED_VALUE""")," Sony Network Entertainment International Buyer Propensity")</f>
        <v> Sony Network Entertainment International Buyer Propensity</v>
      </c>
      <c r="F343" s="4"/>
      <c r="G343" s="4"/>
      <c r="H343" s="4"/>
      <c r="I343" s="4"/>
      <c r="J343" s="5" t="s">
        <v>15</v>
      </c>
      <c r="K343" s="5" t="s">
        <v>42</v>
      </c>
      <c r="L343" s="5" t="s">
        <v>95</v>
      </c>
      <c r="M343" s="6" t="s">
        <v>518</v>
      </c>
      <c r="N343" s="5" t="s">
        <v>26</v>
      </c>
      <c r="O343" s="5" t="s">
        <v>52</v>
      </c>
      <c r="P343" s="5">
        <v>32173.0</v>
      </c>
      <c r="Q343" s="5">
        <v>104.0</v>
      </c>
      <c r="R343" s="5">
        <v>24427.0</v>
      </c>
      <c r="S343" s="5">
        <v>30084.0</v>
      </c>
      <c r="T343" s="5">
        <v>11.0</v>
      </c>
      <c r="U343" s="9">
        <v>1498.29154</v>
      </c>
    </row>
    <row r="344">
      <c r="A344" s="4" t="s">
        <v>1373</v>
      </c>
      <c r="B344" s="4" t="str">
        <f>IFERROR(__xludf.DUMMYFUNCTION("SPLIT(A344,""&gt;"")"),"Travel and Tourism ")</f>
        <v>Travel and Tourism </v>
      </c>
      <c r="C344" s="4" t="str">
        <f>IFERROR(__xludf.DUMMYFUNCTION("""COMPUTED_VALUE""")," Interest (Affinity) ")</f>
        <v> Interest (Affinity) </v>
      </c>
      <c r="D344" s="4" t="str">
        <f>IFERROR(__xludf.DUMMYFUNCTION("""COMPUTED_VALUE""")," Destinations ")</f>
        <v> Destinations </v>
      </c>
      <c r="E344" s="4" t="str">
        <f>IFERROR(__xludf.DUMMYFUNCTION("""COMPUTED_VALUE""")," Europe")</f>
        <v> Europe</v>
      </c>
      <c r="F344" s="4"/>
      <c r="G344" s="4"/>
      <c r="H344" s="4"/>
      <c r="I344" s="4"/>
      <c r="J344" s="5" t="s">
        <v>22</v>
      </c>
      <c r="K344" s="5" t="s">
        <v>23</v>
      </c>
      <c r="L344" s="5" t="s">
        <v>24</v>
      </c>
      <c r="M344" s="6" t="s">
        <v>518</v>
      </c>
      <c r="N344" s="5" t="s">
        <v>36</v>
      </c>
      <c r="O344" s="5" t="s">
        <v>27</v>
      </c>
      <c r="P344" s="5">
        <v>88819.0</v>
      </c>
      <c r="Q344" s="5">
        <v>200.0</v>
      </c>
      <c r="R344" s="5">
        <v>65488.0</v>
      </c>
      <c r="S344" s="5">
        <v>80451.0</v>
      </c>
      <c r="T344" s="5">
        <v>6.0</v>
      </c>
      <c r="U344" s="9">
        <v>1442.22799</v>
      </c>
    </row>
    <row r="345">
      <c r="A345" s="4" t="s">
        <v>1374</v>
      </c>
      <c r="B345" s="4" t="str">
        <f>IFERROR(__xludf.DUMMYFUNCTION("SPLIT(A345,""&gt;"")"),"Online Behavior")</f>
        <v>Online Behavior</v>
      </c>
      <c r="C345" s="4" t="str">
        <f>IFERROR(__xludf.DUMMYFUNCTION("""COMPUTED_VALUE"""),"United States")</f>
        <v>United States</v>
      </c>
      <c r="D345" s="4" t="str">
        <f>IFERROR(__xludf.DUMMYFUNCTION("""COMPUTED_VALUE"""),"Finance ")</f>
        <v>Finance </v>
      </c>
      <c r="E345" s="4" t="str">
        <f>IFERROR(__xludf.DUMMYFUNCTION("""COMPUTED_VALUE""")," Financial Planning and Management")</f>
        <v> Financial Planning and Management</v>
      </c>
      <c r="F345" s="4" t="str">
        <f>IFERROR(__xludf.DUMMYFUNCTION("""COMPUTED_VALUE"""),"Financial Planning and Management")</f>
        <v>Financial Planning and Management</v>
      </c>
      <c r="G345" s="4"/>
      <c r="H345" s="4"/>
      <c r="I345" s="4"/>
      <c r="J345" s="5" t="s">
        <v>22</v>
      </c>
      <c r="K345" s="5" t="s">
        <v>42</v>
      </c>
      <c r="L345" s="5" t="s">
        <v>35</v>
      </c>
      <c r="M345" s="6" t="s">
        <v>539</v>
      </c>
      <c r="N345" s="5" t="s">
        <v>1046</v>
      </c>
      <c r="O345" s="5" t="s">
        <v>27</v>
      </c>
      <c r="P345" s="5">
        <v>1323451.0</v>
      </c>
      <c r="Q345" s="5">
        <v>3414.0</v>
      </c>
      <c r="R345" s="5">
        <v>737990.0</v>
      </c>
      <c r="S345" s="5">
        <v>1177859.0</v>
      </c>
      <c r="T345" s="5">
        <v>123.0</v>
      </c>
      <c r="U345" s="9">
        <v>8187.114541</v>
      </c>
    </row>
    <row r="346">
      <c r="A346" s="4" t="s">
        <v>540</v>
      </c>
      <c r="B346" s="4" t="str">
        <f>IFERROR(__xludf.DUMMYFUNCTION("SPLIT(A346,""&gt;"")"),"Online Behavior")</f>
        <v>Online Behavior</v>
      </c>
      <c r="C346" s="4" t="str">
        <f>IFERROR(__xludf.DUMMYFUNCTION("""COMPUTED_VALUE"""),"United States")</f>
        <v>United States</v>
      </c>
      <c r="D346" s="4" t="str">
        <f>IFERROR(__xludf.DUMMYFUNCTION("""COMPUTED_VALUE"""),"Beauty and Fitness")</f>
        <v>Beauty and Fitness</v>
      </c>
      <c r="E346" s="4" t="str">
        <f>IFERROR(__xludf.DUMMYFUNCTION("""COMPUTED_VALUE"""),"Fitness")</f>
        <v>Fitness</v>
      </c>
      <c r="F346" s="4"/>
      <c r="G346" s="4"/>
      <c r="H346" s="4"/>
      <c r="I346" s="4"/>
      <c r="J346" s="5" t="s">
        <v>15</v>
      </c>
      <c r="K346" s="5" t="s">
        <v>42</v>
      </c>
      <c r="L346" s="5" t="s">
        <v>35</v>
      </c>
      <c r="M346" s="6" t="s">
        <v>539</v>
      </c>
      <c r="N346" s="5" t="s">
        <v>46</v>
      </c>
      <c r="O346" s="5" t="s">
        <v>27</v>
      </c>
      <c r="P346" s="5">
        <v>728841.0</v>
      </c>
      <c r="Q346" s="5">
        <v>2174.0</v>
      </c>
      <c r="R346" s="5">
        <v>424340.0</v>
      </c>
      <c r="S346" s="5">
        <v>634059.0</v>
      </c>
      <c r="T346" s="5">
        <v>37.0</v>
      </c>
      <c r="U346" s="9">
        <v>8054.141368</v>
      </c>
    </row>
    <row r="347">
      <c r="A347" s="4" t="s">
        <v>1375</v>
      </c>
      <c r="B347" s="4" t="str">
        <f>IFERROR(__xludf.DUMMYFUNCTION("SPLIT(A347,""&gt;"")"),"Online Behavior")</f>
        <v>Online Behavior</v>
      </c>
      <c r="C347" s="4" t="str">
        <f>IFERROR(__xludf.DUMMYFUNCTION("""COMPUTED_VALUE"""),"United States")</f>
        <v>United States</v>
      </c>
      <c r="D347" s="4" t="str">
        <f>IFERROR(__xludf.DUMMYFUNCTION("""COMPUTED_VALUE"""),"The Changing Consumer")</f>
        <v>The Changing Consumer</v>
      </c>
      <c r="E347" s="4" t="str">
        <f>IFERROR(__xludf.DUMMYFUNCTION("""COMPUTED_VALUE"""),"Data For Good ")</f>
        <v>Data For Good </v>
      </c>
      <c r="F347" s="4" t="str">
        <f>IFERROR(__xludf.DUMMYFUNCTION("""COMPUTED_VALUE""")," Current Affairs - Social JUnited Statestice")</f>
        <v> Current Affairs - Social JUnited Statestice</v>
      </c>
      <c r="G347" s="4"/>
      <c r="H347" s="4"/>
      <c r="I347" s="4"/>
      <c r="J347" s="5" t="s">
        <v>22</v>
      </c>
      <c r="K347" s="5" t="s">
        <v>31</v>
      </c>
      <c r="L347" s="5" t="s">
        <v>78</v>
      </c>
      <c r="M347" s="6" t="s">
        <v>539</v>
      </c>
      <c r="N347" s="5" t="s">
        <v>36</v>
      </c>
      <c r="O347" s="5" t="s">
        <v>27</v>
      </c>
      <c r="P347" s="5">
        <v>1010148.0</v>
      </c>
      <c r="Q347" s="5">
        <v>2874.0</v>
      </c>
      <c r="R347" s="5">
        <v>699834.0</v>
      </c>
      <c r="S347" s="5">
        <v>955905.0</v>
      </c>
      <c r="T347" s="5">
        <v>31.0</v>
      </c>
      <c r="U347" s="9">
        <v>7788.701621</v>
      </c>
    </row>
    <row r="348">
      <c r="A348" s="4" t="s">
        <v>1376</v>
      </c>
      <c r="B348" s="4" t="str">
        <f>IFERROR(__xludf.DUMMYFUNCTION("SPLIT(A348,""&gt;"")"),"Online Behavior")</f>
        <v>Online Behavior</v>
      </c>
      <c r="C348" s="4" t="str">
        <f>IFERROR(__xludf.DUMMYFUNCTION("""COMPUTED_VALUE"""),"United States")</f>
        <v>United States</v>
      </c>
      <c r="D348" s="4" t="str">
        <f>IFERROR(__xludf.DUMMYFUNCTION("""COMPUTED_VALUE"""),"Sports")</f>
        <v>Sports</v>
      </c>
      <c r="E348" s="4" t="str">
        <f>IFERROR(__xludf.DUMMYFUNCTION("""COMPUTED_VALUE"""),"Team Sports ")</f>
        <v>Team Sports </v>
      </c>
      <c r="F348" s="4" t="str">
        <f>IFERROR(__xludf.DUMMYFUNCTION("""COMPUTED_VALUE""")," Rugby")</f>
        <v> Rugby</v>
      </c>
      <c r="G348" s="4"/>
      <c r="H348" s="4"/>
      <c r="I348" s="4"/>
      <c r="J348" s="5" t="s">
        <v>15</v>
      </c>
      <c r="K348" s="5" t="s">
        <v>42</v>
      </c>
      <c r="L348" s="5" t="s">
        <v>78</v>
      </c>
      <c r="M348" s="6" t="s">
        <v>539</v>
      </c>
      <c r="N348" s="5" t="s">
        <v>46</v>
      </c>
      <c r="O348" s="5" t="s">
        <v>27</v>
      </c>
      <c r="P348" s="5">
        <v>1956642.0</v>
      </c>
      <c r="Q348" s="5">
        <v>4563.0</v>
      </c>
      <c r="R348" s="5">
        <v>981461.0</v>
      </c>
      <c r="S348" s="5">
        <v>1731673.0</v>
      </c>
      <c r="T348" s="5">
        <v>106.0</v>
      </c>
      <c r="U348" s="9">
        <v>7730.240616</v>
      </c>
    </row>
    <row r="349">
      <c r="A349" s="4" t="s">
        <v>1377</v>
      </c>
      <c r="B349" s="4" t="str">
        <f>IFERROR(__xludf.DUMMYFUNCTION("SPLIT(A349,""&gt;"")"),"Online Behavior")</f>
        <v>Online Behavior</v>
      </c>
      <c r="C349" s="4" t="str">
        <f>IFERROR(__xludf.DUMMYFUNCTION("""COMPUTED_VALUE"""),"United States")</f>
        <v>United States</v>
      </c>
      <c r="D349" s="4" t="str">
        <f>IFERROR(__xludf.DUMMYFUNCTION("""COMPUTED_VALUE"""),"Beauty and Fitness")</f>
        <v>Beauty and Fitness</v>
      </c>
      <c r="E349" s="4" t="str">
        <f>IFERROR(__xludf.DUMMYFUNCTION("""COMPUTED_VALUE"""),"Fashion and Style ")</f>
        <v>Fashion and Style </v>
      </c>
      <c r="F349" s="4" t="str">
        <f>IFERROR(__xludf.DUMMYFUNCTION("""COMPUTED_VALUE""")," Fashion Designers and Collections")</f>
        <v> Fashion Designers and Collections</v>
      </c>
      <c r="G349" s="4"/>
      <c r="H349" s="4"/>
      <c r="I349" s="4"/>
      <c r="J349" s="5" t="s">
        <v>15</v>
      </c>
      <c r="K349" s="5" t="s">
        <v>31</v>
      </c>
      <c r="L349" s="5" t="s">
        <v>55</v>
      </c>
      <c r="M349" s="6" t="s">
        <v>539</v>
      </c>
      <c r="N349" s="5" t="s">
        <v>19</v>
      </c>
      <c r="O349" s="5" t="s">
        <v>27</v>
      </c>
      <c r="P349" s="5">
        <v>23774.0</v>
      </c>
      <c r="Q349" s="5">
        <v>60.0</v>
      </c>
      <c r="R349" s="5">
        <v>10735.0</v>
      </c>
      <c r="S349" s="5">
        <v>21076.0</v>
      </c>
      <c r="T349" s="5">
        <v>24.0</v>
      </c>
      <c r="U349" s="9">
        <v>7657.108034</v>
      </c>
    </row>
    <row r="350">
      <c r="A350" s="4" t="s">
        <v>544</v>
      </c>
      <c r="B350" s="4" t="str">
        <f>IFERROR(__xludf.DUMMYFUNCTION("SPLIT(A350,""&gt;"")"),"Online Behavior")</f>
        <v>Online Behavior</v>
      </c>
      <c r="C350" s="4" t="str">
        <f>IFERROR(__xludf.DUMMYFUNCTION("""COMPUTED_VALUE"""),"United States")</f>
        <v>United States</v>
      </c>
      <c r="D350" s="4" t="str">
        <f>IFERROR(__xludf.DUMMYFUNCTION("""COMPUTED_VALUE"""),"Beauty and Fitness")</f>
        <v>Beauty and Fitness</v>
      </c>
      <c r="E350" s="4" t="str">
        <f>IFERROR(__xludf.DUMMYFUNCTION("""COMPUTED_VALUE"""),"Weight Loss")</f>
        <v>Weight Loss</v>
      </c>
      <c r="F350" s="4"/>
      <c r="G350" s="4"/>
      <c r="H350" s="4"/>
      <c r="I350" s="4"/>
      <c r="J350" s="5" t="s">
        <v>61</v>
      </c>
      <c r="K350" s="5" t="s">
        <v>31</v>
      </c>
      <c r="L350" s="5" t="s">
        <v>35</v>
      </c>
      <c r="M350" s="6" t="s">
        <v>539</v>
      </c>
      <c r="N350" s="5" t="s">
        <v>36</v>
      </c>
      <c r="O350" s="5" t="s">
        <v>27</v>
      </c>
      <c r="P350" s="5">
        <v>1083050.0</v>
      </c>
      <c r="Q350" s="5">
        <v>3984.0</v>
      </c>
      <c r="R350" s="5">
        <v>590156.0</v>
      </c>
      <c r="S350" s="5">
        <v>953556.0</v>
      </c>
      <c r="T350" s="5">
        <v>19.0</v>
      </c>
      <c r="U350" s="9">
        <v>7495.749847</v>
      </c>
    </row>
    <row r="351">
      <c r="A351" s="4" t="s">
        <v>545</v>
      </c>
      <c r="B351" s="4" t="str">
        <f>IFERROR(__xludf.DUMMYFUNCTION("SPLIT(A351,""&gt;"")"),"Online Behavior")</f>
        <v>Online Behavior</v>
      </c>
      <c r="C351" s="4" t="str">
        <f>IFERROR(__xludf.DUMMYFUNCTION("""COMPUTED_VALUE"""),"United States")</f>
        <v>United States</v>
      </c>
      <c r="D351" s="4" t="str">
        <f>IFERROR(__xludf.DUMMYFUNCTION("""COMPUTED_VALUE"""),"Travel")</f>
        <v>Travel</v>
      </c>
      <c r="E351" s="4" t="str">
        <f>IFERROR(__xludf.DUMMYFUNCTION("""COMPUTED_VALUE"""),"Travel Agencies and Services")</f>
        <v>Travel Agencies and Services</v>
      </c>
      <c r="F351" s="4"/>
      <c r="G351" s="4"/>
      <c r="H351" s="4"/>
      <c r="I351" s="4"/>
      <c r="J351" s="5" t="s">
        <v>61</v>
      </c>
      <c r="K351" s="5" t="s">
        <v>16</v>
      </c>
      <c r="L351" s="5" t="s">
        <v>78</v>
      </c>
      <c r="M351" s="6" t="s">
        <v>539</v>
      </c>
      <c r="N351" s="5" t="s">
        <v>19</v>
      </c>
      <c r="O351" s="5" t="s">
        <v>27</v>
      </c>
      <c r="P351" s="5">
        <v>184622.0</v>
      </c>
      <c r="Q351" s="5">
        <v>180.0</v>
      </c>
      <c r="R351" s="5">
        <v>98938.0</v>
      </c>
      <c r="S351" s="5">
        <v>161848.0</v>
      </c>
      <c r="T351" s="5">
        <v>13.0</v>
      </c>
      <c r="U351" s="9">
        <v>7149.816075</v>
      </c>
    </row>
    <row r="352">
      <c r="A352" s="4" t="s">
        <v>1378</v>
      </c>
      <c r="B352" s="4" t="str">
        <f>IFERROR(__xludf.DUMMYFUNCTION("SPLIT(A352,""&gt;"")"),"Online Behavior")</f>
        <v>Online Behavior</v>
      </c>
      <c r="C352" s="4" t="str">
        <f>IFERROR(__xludf.DUMMYFUNCTION("""COMPUTED_VALUE"""),"United States")</f>
        <v>United States</v>
      </c>
      <c r="D352" s="4" t="str">
        <f>IFERROR(__xludf.DUMMYFUNCTION("""COMPUTED_VALUE"""),"Validated Demographic ")</f>
        <v>Validated Demographic </v>
      </c>
      <c r="E352" s="4" t="str">
        <f>IFERROR(__xludf.DUMMYFUNCTION("""COMPUTED_VALUE""")," Gender and Age Combined")</f>
        <v> Gender and Age Combined</v>
      </c>
      <c r="F352" s="4" t="str">
        <f>IFERROR(__xludf.DUMMYFUNCTION("""COMPUTED_VALUE"""),"Females 18-64")</f>
        <v>Females 18-64</v>
      </c>
      <c r="G352" s="4"/>
      <c r="H352" s="4"/>
      <c r="I352" s="4"/>
      <c r="J352" s="5" t="s">
        <v>22</v>
      </c>
      <c r="K352" s="5" t="s">
        <v>31</v>
      </c>
      <c r="L352" s="5" t="s">
        <v>35</v>
      </c>
      <c r="M352" s="6" t="s">
        <v>539</v>
      </c>
      <c r="N352" s="5" t="s">
        <v>50</v>
      </c>
      <c r="O352" s="5" t="s">
        <v>27</v>
      </c>
      <c r="P352" s="5">
        <v>742281.0</v>
      </c>
      <c r="Q352" s="5">
        <v>1999.0</v>
      </c>
      <c r="R352" s="5">
        <v>432673.0</v>
      </c>
      <c r="S352" s="5">
        <v>642404.0</v>
      </c>
      <c r="T352" s="5">
        <v>11.0</v>
      </c>
      <c r="U352" s="9">
        <v>6024.422487</v>
      </c>
    </row>
    <row r="353">
      <c r="A353" s="4" t="s">
        <v>1379</v>
      </c>
      <c r="B353" s="4" t="str">
        <f>IFERROR(__xludf.DUMMYFUNCTION("SPLIT(A353,""&gt;"")"),"Online Behavior")</f>
        <v>Online Behavior</v>
      </c>
      <c r="C353" s="4" t="str">
        <f>IFERROR(__xludf.DUMMYFUNCTION("""COMPUTED_VALUE"""),"United States")</f>
        <v>United States</v>
      </c>
      <c r="D353" s="4" t="str">
        <f>IFERROR(__xludf.DUMMYFUNCTION("""COMPUTED_VALUE"""),"Travel")</f>
        <v>Travel</v>
      </c>
      <c r="E353" s="4" t="str">
        <f>IFERROR(__xludf.DUMMYFUNCTION("""COMPUTED_VALUE"""),"Specialty Travel ")</f>
        <v>Specialty Travel </v>
      </c>
      <c r="F353" s="4" t="str">
        <f>IFERROR(__xludf.DUMMYFUNCTION("""COMPUTED_VALUE""")," Agritourism")</f>
        <v> Agritourism</v>
      </c>
      <c r="G353" s="4"/>
      <c r="H353" s="4"/>
      <c r="I353" s="4"/>
      <c r="J353" s="5" t="s">
        <v>15</v>
      </c>
      <c r="K353" s="5" t="s">
        <v>16</v>
      </c>
      <c r="L353" s="5" t="s">
        <v>17</v>
      </c>
      <c r="M353" s="6" t="s">
        <v>539</v>
      </c>
      <c r="N353" s="5" t="s">
        <v>26</v>
      </c>
      <c r="O353" s="5" t="s">
        <v>27</v>
      </c>
      <c r="P353" s="5">
        <v>1720462.0</v>
      </c>
      <c r="Q353" s="5">
        <v>4865.0</v>
      </c>
      <c r="R353" s="5">
        <v>940296.0</v>
      </c>
      <c r="S353" s="5">
        <v>1516537.0</v>
      </c>
      <c r="T353" s="5">
        <v>20.0</v>
      </c>
      <c r="U353" s="9">
        <v>5906.464967</v>
      </c>
    </row>
    <row r="354">
      <c r="A354" s="4" t="s">
        <v>1380</v>
      </c>
      <c r="B354" s="4" t="str">
        <f>IFERROR(__xludf.DUMMYFUNCTION("SPLIT(A354,""&gt;"")"),"Online Behavior")</f>
        <v>Online Behavior</v>
      </c>
      <c r="C354" s="4" t="str">
        <f>IFERROR(__xludf.DUMMYFUNCTION("""COMPUTED_VALUE"""),"United States")</f>
        <v>United States</v>
      </c>
      <c r="D354" s="4" t="str">
        <f>IFERROR(__xludf.DUMMYFUNCTION("""COMPUTED_VALUE"""),"Validated Demographic ")</f>
        <v>Validated Demographic </v>
      </c>
      <c r="E354" s="4" t="str">
        <f>IFERROR(__xludf.DUMMYFUNCTION("""COMPUTED_VALUE""")," Gender and Age Combined")</f>
        <v> Gender and Age Combined</v>
      </c>
      <c r="F354" s="4" t="str">
        <f>IFERROR(__xludf.DUMMYFUNCTION("""COMPUTED_VALUE"""),"Females 25-64")</f>
        <v>Females 25-64</v>
      </c>
      <c r="G354" s="4"/>
      <c r="H354" s="4"/>
      <c r="I354" s="4"/>
      <c r="J354" s="5" t="s">
        <v>15</v>
      </c>
      <c r="K354" s="5" t="s">
        <v>16</v>
      </c>
      <c r="L354" s="5" t="s">
        <v>45</v>
      </c>
      <c r="M354" s="6" t="s">
        <v>539</v>
      </c>
      <c r="N354" s="5" t="s">
        <v>19</v>
      </c>
      <c r="O354" s="5" t="s">
        <v>27</v>
      </c>
      <c r="P354" s="5">
        <v>766674.0</v>
      </c>
      <c r="Q354" s="5">
        <v>1984.0</v>
      </c>
      <c r="R354" s="5">
        <v>344201.0</v>
      </c>
      <c r="S354" s="5">
        <v>720606.0</v>
      </c>
      <c r="T354" s="5">
        <v>17.0</v>
      </c>
      <c r="U354" s="9">
        <v>5816.234619</v>
      </c>
    </row>
    <row r="355">
      <c r="A355" s="4" t="s">
        <v>549</v>
      </c>
      <c r="B355" s="4" t="str">
        <f>IFERROR(__xludf.DUMMYFUNCTION("SPLIT(A355,""&gt;"")"),"Online Behavior")</f>
        <v>Online Behavior</v>
      </c>
      <c r="C355" s="4" t="str">
        <f>IFERROR(__xludf.DUMMYFUNCTION("""COMPUTED_VALUE"""),"United States")</f>
        <v>United States</v>
      </c>
      <c r="D355" s="4" t="str">
        <f>IFERROR(__xludf.DUMMYFUNCTION("""COMPUTED_VALUE"""),"The Changing Consumer")</f>
        <v>The Changing Consumer</v>
      </c>
      <c r="E355" s="4" t="str">
        <f>IFERROR(__xludf.DUMMYFUNCTION("""COMPUTED_VALUE"""),"Home Entertaining")</f>
        <v>Home Entertaining</v>
      </c>
      <c r="F355" s="4"/>
      <c r="G355" s="4"/>
      <c r="H355" s="4"/>
      <c r="I355" s="4"/>
      <c r="J355" s="5" t="s">
        <v>15</v>
      </c>
      <c r="K355" s="5" t="s">
        <v>23</v>
      </c>
      <c r="L355" s="5" t="s">
        <v>131</v>
      </c>
      <c r="M355" s="6" t="s">
        <v>539</v>
      </c>
      <c r="N355" s="5" t="s">
        <v>19</v>
      </c>
      <c r="O355" s="5" t="s">
        <v>27</v>
      </c>
      <c r="P355" s="5">
        <v>14730.0</v>
      </c>
      <c r="Q355" s="5">
        <v>86.0</v>
      </c>
      <c r="R355" s="5">
        <v>6410.0</v>
      </c>
      <c r="S355" s="5">
        <v>10860.0</v>
      </c>
      <c r="T355" s="5">
        <v>6.0</v>
      </c>
      <c r="U355" s="9">
        <v>5287.567528</v>
      </c>
    </row>
    <row r="356">
      <c r="A356" s="4" t="s">
        <v>1381</v>
      </c>
      <c r="B356" s="4" t="str">
        <f>IFERROR(__xludf.DUMMYFUNCTION("SPLIT(A356,""&gt;"")"),"Online Behavior")</f>
        <v>Online Behavior</v>
      </c>
      <c r="C356" s="4" t="str">
        <f>IFERROR(__xludf.DUMMYFUNCTION("""COMPUTED_VALUE"""),"United States")</f>
        <v>United States</v>
      </c>
      <c r="D356" s="4" t="str">
        <f>IFERROR(__xludf.DUMMYFUNCTION("""COMPUTED_VALUE"""),"Validated Demographic ")</f>
        <v>Validated Demographic </v>
      </c>
      <c r="E356" s="4" t="str">
        <f>IFERROR(__xludf.DUMMYFUNCTION("""COMPUTED_VALUE""")," Gender and Age Combined")</f>
        <v> Gender and Age Combined</v>
      </c>
      <c r="F356" s="4" t="str">
        <f>IFERROR(__xludf.DUMMYFUNCTION("""COMPUTED_VALUE"""),"Females 18-44")</f>
        <v>Females 18-44</v>
      </c>
      <c r="G356" s="4"/>
      <c r="H356" s="4"/>
      <c r="I356" s="4"/>
      <c r="J356" s="5" t="s">
        <v>22</v>
      </c>
      <c r="K356" s="5" t="s">
        <v>42</v>
      </c>
      <c r="L356" s="5" t="s">
        <v>1095</v>
      </c>
      <c r="M356" s="6" t="s">
        <v>539</v>
      </c>
      <c r="N356" s="5" t="s">
        <v>26</v>
      </c>
      <c r="O356" s="5" t="s">
        <v>27</v>
      </c>
      <c r="P356" s="5">
        <v>207685.0</v>
      </c>
      <c r="Q356" s="5">
        <v>512.0</v>
      </c>
      <c r="R356" s="5">
        <v>20134.0</v>
      </c>
      <c r="S356" s="5">
        <v>30708.0</v>
      </c>
      <c r="T356" s="5">
        <v>34.0</v>
      </c>
      <c r="U356" s="9">
        <v>5239.204787</v>
      </c>
    </row>
    <row r="357">
      <c r="A357" s="4" t="s">
        <v>551</v>
      </c>
      <c r="B357" s="4" t="str">
        <f>IFERROR(__xludf.DUMMYFUNCTION("SPLIT(A357,""&gt;"")"),"Online Behavior")</f>
        <v>Online Behavior</v>
      </c>
      <c r="C357" s="4" t="str">
        <f>IFERROR(__xludf.DUMMYFUNCTION("""COMPUTED_VALUE"""),"United States")</f>
        <v>United States</v>
      </c>
      <c r="D357" s="4" t="str">
        <f>IFERROR(__xludf.DUMMYFUNCTION("""COMPUTED_VALUE"""),"Food and Drink")</f>
        <v>Food and Drink</v>
      </c>
      <c r="E357" s="4" t="str">
        <f>IFERROR(__xludf.DUMMYFUNCTION("""COMPUTED_VALUE"""),"Restaurants")</f>
        <v>Restaurants</v>
      </c>
      <c r="F357" s="4"/>
      <c r="G357" s="4"/>
      <c r="H357" s="4"/>
      <c r="I357" s="4"/>
      <c r="J357" s="5" t="s">
        <v>15</v>
      </c>
      <c r="K357" s="5" t="s">
        <v>23</v>
      </c>
      <c r="L357" s="5" t="s">
        <v>17</v>
      </c>
      <c r="M357" s="6" t="s">
        <v>539</v>
      </c>
      <c r="N357" s="5" t="s">
        <v>80</v>
      </c>
      <c r="O357" s="5" t="s">
        <v>27</v>
      </c>
      <c r="P357" s="5">
        <v>908899.0</v>
      </c>
      <c r="Q357" s="5">
        <v>1984.0</v>
      </c>
      <c r="R357" s="5">
        <v>644697.0</v>
      </c>
      <c r="S357" s="5">
        <v>853964.0</v>
      </c>
      <c r="T357" s="5">
        <v>32.0</v>
      </c>
      <c r="U357" s="9">
        <v>5181.087383</v>
      </c>
    </row>
    <row r="358">
      <c r="A358" s="4" t="s">
        <v>1382</v>
      </c>
      <c r="B358" s="4" t="str">
        <f>IFERROR(__xludf.DUMMYFUNCTION("SPLIT(A358,""&gt;"")"),"Online Behavior")</f>
        <v>Online Behavior</v>
      </c>
      <c r="C358" s="4" t="str">
        <f>IFERROR(__xludf.DUMMYFUNCTION("""COMPUTED_VALUE"""),"United States")</f>
        <v>United States</v>
      </c>
      <c r="D358" s="4" t="str">
        <f>IFERROR(__xludf.DUMMYFUNCTION("""COMPUTED_VALUE"""),"Sports")</f>
        <v>Sports</v>
      </c>
      <c r="E358" s="4" t="str">
        <f>IFERROR(__xludf.DUMMYFUNCTION("""COMPUTED_VALUE"""),"Winter Sports ")</f>
        <v>Winter Sports </v>
      </c>
      <c r="F358" s="4" t="str">
        <f>IFERROR(__xludf.DUMMYFUNCTION("""COMPUTED_VALUE""")," Ice Skating")</f>
        <v> Ice Skating</v>
      </c>
      <c r="G358" s="4"/>
      <c r="H358" s="4"/>
      <c r="I358" s="4"/>
      <c r="J358" s="5" t="s">
        <v>15</v>
      </c>
      <c r="K358" s="5" t="s">
        <v>31</v>
      </c>
      <c r="L358" s="5" t="s">
        <v>35</v>
      </c>
      <c r="M358" s="6" t="s">
        <v>539</v>
      </c>
      <c r="N358" s="5" t="s">
        <v>19</v>
      </c>
      <c r="O358" s="5" t="s">
        <v>27</v>
      </c>
      <c r="P358" s="5">
        <v>470192.0</v>
      </c>
      <c r="Q358" s="5">
        <v>940.0</v>
      </c>
      <c r="R358" s="5">
        <v>336480.0</v>
      </c>
      <c r="S358" s="5">
        <v>443202.0</v>
      </c>
      <c r="T358" s="5">
        <v>3.0</v>
      </c>
      <c r="U358" s="9">
        <v>4963.966251</v>
      </c>
    </row>
    <row r="359">
      <c r="A359" s="4" t="s">
        <v>1383</v>
      </c>
      <c r="B359" s="4" t="str">
        <f>IFERROR(__xludf.DUMMYFUNCTION("SPLIT(A359,""&gt;"")"),"United States ")</f>
        <v>United States </v>
      </c>
      <c r="C359" s="4" t="str">
        <f>IFERROR(__xludf.DUMMYFUNCTION("""COMPUTED_VALUE""")," Reach ")</f>
        <v> Reach </v>
      </c>
      <c r="D359" s="4" t="str">
        <f>IFERROR(__xludf.DUMMYFUNCTION("""COMPUTED_VALUE""")," Propensity Models ")</f>
        <v> Propensity Models </v>
      </c>
      <c r="E359" s="4" t="str">
        <f>IFERROR(__xludf.DUMMYFUNCTION("""COMPUTED_VALUE""")," Hobbies and Interest ")</f>
        <v> Hobbies and Interest </v>
      </c>
      <c r="F359" s="4" t="str">
        <f>IFERROR(__xludf.DUMMYFUNCTION("""COMPUTED_VALUE""")," Sports ")</f>
        <v> Sports </v>
      </c>
      <c r="G359" s="4" t="str">
        <f>IFERROR(__xludf.DUMMYFUNCTION("""COMPUTED_VALUE""")," PGA Tour EnthUnited Statesiast")</f>
        <v> PGA Tour EnthUnited Statesiast</v>
      </c>
      <c r="H359" s="4"/>
      <c r="I359" s="4"/>
      <c r="J359" s="5" t="s">
        <v>22</v>
      </c>
      <c r="K359" s="5" t="s">
        <v>31</v>
      </c>
      <c r="L359" s="5" t="s">
        <v>78</v>
      </c>
      <c r="M359" s="6" t="s">
        <v>539</v>
      </c>
      <c r="N359" s="5" t="s">
        <v>26</v>
      </c>
      <c r="O359" s="5" t="s">
        <v>27</v>
      </c>
      <c r="P359" s="5">
        <v>65257.0</v>
      </c>
      <c r="Q359" s="5">
        <v>201.0</v>
      </c>
      <c r="R359" s="5">
        <v>12749.0</v>
      </c>
      <c r="S359" s="5">
        <v>19274.0</v>
      </c>
      <c r="T359" s="5">
        <v>3.0</v>
      </c>
      <c r="U359" s="9">
        <v>2468.135837</v>
      </c>
    </row>
    <row r="360">
      <c r="A360" s="4" t="s">
        <v>1384</v>
      </c>
      <c r="B360" s="4" t="str">
        <f>IFERROR(__xludf.DUMMYFUNCTION("SPLIT(A360,""&gt;"")"),"United States ")</f>
        <v>United States </v>
      </c>
      <c r="C360" s="4" t="str">
        <f>IFERROR(__xludf.DUMMYFUNCTION("""COMPUTED_VALUE""")," Sociodemographic ")</f>
        <v> Sociodemographic </v>
      </c>
      <c r="D360" s="4" t="str">
        <f>IFERROR(__xludf.DUMMYFUNCTION("""COMPUTED_VALUE""")," ConneXions Lifestage ")</f>
        <v> ConneXions Lifestage </v>
      </c>
      <c r="E360" s="4" t="str">
        <f>IFERROR(__xludf.DUMMYFUNCTION("""COMPUTED_VALUE""")," M4 Elderly Traditionalists")</f>
        <v> M4 Elderly Traditionalists</v>
      </c>
      <c r="F360" s="4"/>
      <c r="G360" s="4"/>
      <c r="H360" s="4"/>
      <c r="I360" s="4"/>
      <c r="J360" s="5" t="s">
        <v>22</v>
      </c>
      <c r="K360" s="5" t="s">
        <v>23</v>
      </c>
      <c r="L360" s="5" t="s">
        <v>66</v>
      </c>
      <c r="M360" s="6" t="s">
        <v>539</v>
      </c>
      <c r="N360" s="5" t="s">
        <v>19</v>
      </c>
      <c r="O360" s="5" t="s">
        <v>27</v>
      </c>
      <c r="P360" s="5">
        <v>31003.0</v>
      </c>
      <c r="Q360" s="5">
        <v>87.0</v>
      </c>
      <c r="R360" s="5">
        <v>12591.0</v>
      </c>
      <c r="S360" s="5">
        <v>22656.0</v>
      </c>
      <c r="T360" s="5">
        <v>8.0</v>
      </c>
      <c r="U360" s="9">
        <v>2294.003778</v>
      </c>
    </row>
    <row r="361">
      <c r="A361" s="4" t="s">
        <v>1385</v>
      </c>
      <c r="B361" s="4" t="str">
        <f>IFERROR(__xludf.DUMMYFUNCTION("SPLIT(A361,""&gt;"")"),"United States ")</f>
        <v>United States </v>
      </c>
      <c r="C361" s="4" t="str">
        <f>IFERROR(__xludf.DUMMYFUNCTION("""COMPUTED_VALUE""")," Reach ")</f>
        <v> Reach </v>
      </c>
      <c r="D361" s="4" t="str">
        <f>IFERROR(__xludf.DUMMYFUNCTION("""COMPUTED_VALUE""")," Propensity Models ")</f>
        <v> Propensity Models </v>
      </c>
      <c r="E361" s="4" t="str">
        <f>IFERROR(__xludf.DUMMYFUNCTION("""COMPUTED_VALUE""")," Hobbies and Interest ")</f>
        <v> Hobbies and Interest </v>
      </c>
      <c r="F361" s="4" t="str">
        <f>IFERROR(__xludf.DUMMYFUNCTION("""COMPUTED_VALUE""")," Sports ")</f>
        <v> Sports </v>
      </c>
      <c r="G361" s="4" t="str">
        <f>IFERROR(__xludf.DUMMYFUNCTION("""COMPUTED_VALUE""")," NASCAR EnthUnited Statesiast")</f>
        <v> NASCAR EnthUnited Statesiast</v>
      </c>
      <c r="H361" s="4"/>
      <c r="I361" s="4"/>
      <c r="J361" s="5" t="s">
        <v>15</v>
      </c>
      <c r="K361" s="5" t="s">
        <v>31</v>
      </c>
      <c r="L361" s="5" t="s">
        <v>55</v>
      </c>
      <c r="M361" s="6" t="s">
        <v>539</v>
      </c>
      <c r="N361" s="5" t="s">
        <v>19</v>
      </c>
      <c r="O361" s="5" t="s">
        <v>27</v>
      </c>
      <c r="P361" s="5">
        <v>12988.0</v>
      </c>
      <c r="Q361" s="5">
        <v>69.0</v>
      </c>
      <c r="R361" s="5">
        <v>6514.0</v>
      </c>
      <c r="S361" s="5">
        <v>9378.0</v>
      </c>
      <c r="T361" s="5">
        <v>4.0</v>
      </c>
      <c r="U361" s="9">
        <v>2236.485099</v>
      </c>
    </row>
    <row r="362">
      <c r="A362" s="4" t="s">
        <v>1386</v>
      </c>
      <c r="B362" s="4" t="str">
        <f>IFERROR(__xludf.DUMMYFUNCTION("SPLIT(A362,""&gt;"")"),"Mobile - United States ")</f>
        <v>Mobile - United States </v>
      </c>
      <c r="C362" s="4" t="str">
        <f>IFERROR(__xludf.DUMMYFUNCTION("""COMPUTED_VALUE""")," Automotive ")</f>
        <v> Automotive </v>
      </c>
      <c r="D362" s="4" t="str">
        <f>IFERROR(__xludf.DUMMYFUNCTION("""COMPUTED_VALUE""")," Vehicle Ownership ")</f>
        <v> Vehicle Ownership </v>
      </c>
      <c r="E362" s="4" t="str">
        <f>IFERROR(__xludf.DUMMYFUNCTION("""COMPUTED_VALUE""")," yes")</f>
        <v> yes</v>
      </c>
      <c r="F362" s="4"/>
      <c r="G362" s="4"/>
      <c r="H362" s="4"/>
      <c r="I362" s="4"/>
      <c r="J362" s="5" t="s">
        <v>61</v>
      </c>
      <c r="K362" s="5" t="s">
        <v>23</v>
      </c>
      <c r="L362" s="5" t="s">
        <v>35</v>
      </c>
      <c r="M362" s="6" t="s">
        <v>539</v>
      </c>
      <c r="N362" s="5" t="s">
        <v>19</v>
      </c>
      <c r="O362" s="5" t="s">
        <v>27</v>
      </c>
      <c r="P362" s="5">
        <v>562103.0</v>
      </c>
      <c r="Q362" s="5">
        <v>1450.0</v>
      </c>
      <c r="R362" s="5">
        <v>340616.0</v>
      </c>
      <c r="S362" s="5">
        <v>488921.0</v>
      </c>
      <c r="T362" s="5">
        <v>8.0</v>
      </c>
      <c r="U362" s="9">
        <v>1733.830172</v>
      </c>
    </row>
    <row r="363">
      <c r="A363" s="4" t="s">
        <v>1387</v>
      </c>
      <c r="B363" s="4" t="str">
        <f>IFERROR(__xludf.DUMMYFUNCTION("SPLIT(A363,""&gt;"")"),"United States ")</f>
        <v>United States </v>
      </c>
      <c r="C363" s="4" t="str">
        <f>IFERROR(__xludf.DUMMYFUNCTION("""COMPUTED_VALUE""")," Brand Propensities ")</f>
        <v> Brand Propensities </v>
      </c>
      <c r="D363" s="4" t="str">
        <f>IFERROR(__xludf.DUMMYFUNCTION("""COMPUTED_VALUE""")," Media and Entertainment ")</f>
        <v> Media and Entertainment </v>
      </c>
      <c r="E363" s="4" t="str">
        <f>IFERROR(__xludf.DUMMYFUNCTION("""COMPUTED_VALUE""")," Steam Community Buyer Propensity")</f>
        <v> Steam Community Buyer Propensity</v>
      </c>
      <c r="F363" s="4"/>
      <c r="G363" s="4"/>
      <c r="H363" s="4"/>
      <c r="I363" s="4"/>
      <c r="J363" s="5" t="s">
        <v>22</v>
      </c>
      <c r="K363" s="5" t="s">
        <v>23</v>
      </c>
      <c r="L363" s="5" t="s">
        <v>29</v>
      </c>
      <c r="M363" s="6" t="s">
        <v>539</v>
      </c>
      <c r="N363" s="5" t="s">
        <v>19</v>
      </c>
      <c r="O363" s="5" t="s">
        <v>27</v>
      </c>
      <c r="P363" s="5">
        <v>780475.0</v>
      </c>
      <c r="Q363" s="5">
        <v>2186.0</v>
      </c>
      <c r="R363" s="5">
        <v>453974.0</v>
      </c>
      <c r="S363" s="5">
        <v>691696.0</v>
      </c>
      <c r="T363" s="5">
        <v>11.0</v>
      </c>
      <c r="U363" s="9">
        <v>1726.249457</v>
      </c>
    </row>
    <row r="364">
      <c r="A364" s="4" t="s">
        <v>1388</v>
      </c>
      <c r="B364" s="4" t="str">
        <f>IFERROR(__xludf.DUMMYFUNCTION("SPLIT(A364,""&gt;"")"),"OnAudience ")</f>
        <v>OnAudience </v>
      </c>
      <c r="C364" s="4" t="str">
        <f>IFERROR(__xludf.DUMMYFUNCTION("""COMPUTED_VALUE""")," Interest ")</f>
        <v> Interest </v>
      </c>
      <c r="D364" s="4" t="str">
        <f>IFERROR(__xludf.DUMMYFUNCTION("""COMPUTED_VALUE""")," Travel")</f>
        <v> Travel</v>
      </c>
      <c r="E364" s="4"/>
      <c r="F364" s="4"/>
      <c r="G364" s="4"/>
      <c r="H364" s="4"/>
      <c r="I364" s="4"/>
      <c r="J364" s="5" t="s">
        <v>15</v>
      </c>
      <c r="K364" s="5" t="s">
        <v>16</v>
      </c>
      <c r="L364" s="5" t="s">
        <v>78</v>
      </c>
      <c r="M364" s="6" t="s">
        <v>539</v>
      </c>
      <c r="N364" s="5" t="s">
        <v>46</v>
      </c>
      <c r="O364" s="5" t="s">
        <v>27</v>
      </c>
      <c r="P364" s="5">
        <v>7540.0</v>
      </c>
      <c r="Q364" s="5">
        <v>10.0</v>
      </c>
      <c r="R364" s="5">
        <v>1475.0</v>
      </c>
      <c r="S364" s="5">
        <v>2054.0</v>
      </c>
      <c r="T364" s="5">
        <v>1.0</v>
      </c>
      <c r="U364" s="9">
        <v>1713.978863</v>
      </c>
    </row>
    <row r="365">
      <c r="A365" s="4" t="s">
        <v>1389</v>
      </c>
      <c r="B365" s="4" t="str">
        <f>IFERROR(__xludf.DUMMYFUNCTION("SPLIT(A365,""&gt;"")"),"United States ")</f>
        <v>United States </v>
      </c>
      <c r="C365" s="4" t="str">
        <f>IFERROR(__xludf.DUMMYFUNCTION("""COMPUTED_VALUE""")," Brand Propensities ")</f>
        <v> Brand Propensities </v>
      </c>
      <c r="D365" s="4" t="str">
        <f>IFERROR(__xludf.DUMMYFUNCTION("""COMPUTED_VALUE""")," Automotive ")</f>
        <v> Automotive </v>
      </c>
      <c r="E365" s="4" t="str">
        <f>IFERROR(__xludf.DUMMYFUNCTION("""COMPUTED_VALUE""")," Tirerack.com Buyer Propensity")</f>
        <v> Tirerack.com Buyer Propensity</v>
      </c>
      <c r="F365" s="4"/>
      <c r="G365" s="4"/>
      <c r="H365" s="4"/>
      <c r="I365" s="4"/>
      <c r="J365" s="5" t="s">
        <v>15</v>
      </c>
      <c r="K365" s="5" t="s">
        <v>23</v>
      </c>
      <c r="L365" s="5" t="s">
        <v>39</v>
      </c>
      <c r="M365" s="6" t="s">
        <v>539</v>
      </c>
      <c r="N365" s="5" t="s">
        <v>19</v>
      </c>
      <c r="O365" s="5" t="s">
        <v>27</v>
      </c>
      <c r="P365" s="5">
        <v>482834.0</v>
      </c>
      <c r="Q365" s="5">
        <v>1269.0</v>
      </c>
      <c r="R365" s="5">
        <v>292059.0</v>
      </c>
      <c r="S365" s="5">
        <v>428761.0</v>
      </c>
      <c r="T365" s="5">
        <v>7.0</v>
      </c>
      <c r="U365" s="9">
        <v>1594.463397</v>
      </c>
    </row>
    <row r="366">
      <c r="A366" s="4" t="s">
        <v>1390</v>
      </c>
      <c r="B366" s="4" t="str">
        <f>IFERROR(__xludf.DUMMYFUNCTION("SPLIT(A366,""&gt;"")"),"Lotame ")</f>
        <v>Lotame </v>
      </c>
      <c r="C366" s="4" t="str">
        <f>IFERROR(__xludf.DUMMYFUNCTION("""COMPUTED_VALUE""")," Style, Fashion &amp; Clothing ")</f>
        <v> Style, Fashion &amp; Clothing </v>
      </c>
      <c r="D366" s="4" t="str">
        <f>IFERROR(__xludf.DUMMYFUNCTION("""COMPUTED_VALUE""")," Clothing Shoppers")</f>
        <v> Clothing Shoppers</v>
      </c>
      <c r="E366" s="4"/>
      <c r="F366" s="4"/>
      <c r="G366" s="4"/>
      <c r="H366" s="4"/>
      <c r="I366" s="4"/>
      <c r="J366" s="5" t="s">
        <v>15</v>
      </c>
      <c r="K366" s="5" t="s">
        <v>16</v>
      </c>
      <c r="L366" s="5" t="s">
        <v>39</v>
      </c>
      <c r="M366" s="6" t="s">
        <v>539</v>
      </c>
      <c r="N366" s="5" t="s">
        <v>117</v>
      </c>
      <c r="O366" s="5" t="s">
        <v>27</v>
      </c>
      <c r="P366" s="5">
        <v>19464.0</v>
      </c>
      <c r="Q366" s="5">
        <v>68.0</v>
      </c>
      <c r="R366" s="5">
        <v>11814.0</v>
      </c>
      <c r="S366" s="5">
        <v>17040.0</v>
      </c>
      <c r="T366" s="5">
        <v>9.0</v>
      </c>
      <c r="U366" s="9">
        <v>1540.46935</v>
      </c>
    </row>
    <row r="367">
      <c r="A367" s="4" t="s">
        <v>1391</v>
      </c>
      <c r="B367" s="4" t="str">
        <f>IFERROR(__xludf.DUMMYFUNCTION("SPLIT(A367,""&gt;"")"),"Transactional ")</f>
        <v>Transactional </v>
      </c>
      <c r="C367" s="4" t="str">
        <f>IFERROR(__xludf.DUMMYFUNCTION("""COMPUTED_VALUE""")," Q3 Home Entertainers")</f>
        <v> Q3 Home Entertainers</v>
      </c>
      <c r="D367" s="4"/>
      <c r="E367" s="4"/>
      <c r="F367" s="4"/>
      <c r="G367" s="4"/>
      <c r="H367" s="4"/>
      <c r="I367" s="4"/>
      <c r="J367" s="5" t="s">
        <v>22</v>
      </c>
      <c r="K367" s="5" t="s">
        <v>16</v>
      </c>
      <c r="L367" s="5" t="s">
        <v>17</v>
      </c>
      <c r="M367" s="6" t="s">
        <v>539</v>
      </c>
      <c r="N367" s="5" t="s">
        <v>26</v>
      </c>
      <c r="O367" s="5" t="s">
        <v>27</v>
      </c>
      <c r="P367" s="5">
        <v>50838.0</v>
      </c>
      <c r="Q367" s="5">
        <v>130.0</v>
      </c>
      <c r="R367" s="5">
        <v>23274.0</v>
      </c>
      <c r="S367" s="5">
        <v>35934.0</v>
      </c>
      <c r="T367" s="5">
        <v>11.0</v>
      </c>
      <c r="U367" s="9">
        <v>1521.372273</v>
      </c>
    </row>
    <row r="368">
      <c r="A368" s="4" t="s">
        <v>1392</v>
      </c>
      <c r="B368" s="4" t="str">
        <f>IFERROR(__xludf.DUMMYFUNCTION("SPLIT(A368,""&gt;"")"),"Travel and Tourism ")</f>
        <v>Travel and Tourism </v>
      </c>
      <c r="C368" s="4" t="str">
        <f>IFERROR(__xludf.DUMMYFUNCTION("""COMPUTED_VALUE""")," Interest (Affinity) ")</f>
        <v> Interest (Affinity) </v>
      </c>
      <c r="D368" s="4" t="str">
        <f>IFERROR(__xludf.DUMMYFUNCTION("""COMPUTED_VALUE""")," Products ")</f>
        <v> Products </v>
      </c>
      <c r="E368" s="4" t="str">
        <f>IFERROR(__xludf.DUMMYFUNCTION("""COMPUTED_VALUE""")," Hotels and Lodging")</f>
        <v> Hotels and Lodging</v>
      </c>
      <c r="F368" s="4"/>
      <c r="G368" s="4"/>
      <c r="H368" s="4"/>
      <c r="I368" s="4"/>
      <c r="J368" s="5" t="s">
        <v>15</v>
      </c>
      <c r="K368" s="5" t="s">
        <v>23</v>
      </c>
      <c r="L368" s="5" t="s">
        <v>55</v>
      </c>
      <c r="M368" s="6" t="s">
        <v>539</v>
      </c>
      <c r="N368" s="5" t="s">
        <v>136</v>
      </c>
      <c r="O368" s="5" t="s">
        <v>27</v>
      </c>
      <c r="P368" s="5">
        <v>679098.0</v>
      </c>
      <c r="Q368" s="5">
        <v>1984.0</v>
      </c>
      <c r="R368" s="5">
        <v>467726.0</v>
      </c>
      <c r="S368" s="5">
        <v>634589.0</v>
      </c>
      <c r="T368" s="5">
        <v>9.0</v>
      </c>
      <c r="U368" s="9">
        <v>1477.424856</v>
      </c>
    </row>
    <row r="369" hidden="1">
      <c r="A369" s="4" t="s">
        <v>1393</v>
      </c>
      <c r="B369" s="4" t="str">
        <f>IFERROR(__xludf.DUMMYFUNCTION("SPLIT(A369,""&gt;"")"),"United States ")</f>
        <v>United States </v>
      </c>
      <c r="C369" s="4" t="str">
        <f>IFERROR(__xludf.DUMMYFUNCTION("""COMPUTED_VALUE""")," Demographic ")</f>
        <v> Demographic </v>
      </c>
      <c r="D369" s="4" t="str">
        <f>IFERROR(__xludf.DUMMYFUNCTION("""COMPUTED_VALUE""")," Family ")</f>
        <v> Family </v>
      </c>
      <c r="E369" s="4" t="str">
        <f>IFERROR(__xludf.DUMMYFUNCTION("""COMPUTED_VALUE""")," HoUnited Stateseholds with 3 Adults")</f>
        <v> HoUnited Stateseholds with 3 Adults</v>
      </c>
      <c r="F369" s="4"/>
      <c r="G369" s="4"/>
      <c r="H369" s="4"/>
      <c r="I369" s="4"/>
      <c r="J369" s="5" t="s">
        <v>15</v>
      </c>
      <c r="K369" s="5" t="s">
        <v>42</v>
      </c>
      <c r="L369" s="5" t="s">
        <v>29</v>
      </c>
      <c r="M369" s="6" t="s">
        <v>539</v>
      </c>
      <c r="N369" s="5" t="s">
        <v>19</v>
      </c>
      <c r="O369" s="5" t="s">
        <v>52</v>
      </c>
      <c r="P369" s="5">
        <v>32436.0</v>
      </c>
      <c r="Q369" s="5">
        <v>56.0</v>
      </c>
      <c r="R369" s="5">
        <v>17531.0</v>
      </c>
      <c r="S369" s="5">
        <v>28429.0</v>
      </c>
      <c r="T369" s="5">
        <v>6.0</v>
      </c>
      <c r="U369" s="9">
        <v>1470.670167</v>
      </c>
    </row>
    <row r="370">
      <c r="A370" s="4" t="s">
        <v>1394</v>
      </c>
      <c r="B370" s="4" t="str">
        <f>IFERROR(__xludf.DUMMYFUNCTION("SPLIT(A370,""&gt;"")"),"Online Behavior")</f>
        <v>Online Behavior</v>
      </c>
      <c r="C370" s="4" t="str">
        <f>IFERROR(__xludf.DUMMYFUNCTION("""COMPUTED_VALUE"""),"United States")</f>
        <v>United States</v>
      </c>
      <c r="D370" s="4" t="str">
        <f>IFERROR(__xludf.DUMMYFUNCTION("""COMPUTED_VALUE"""),"Intent ")</f>
        <v>Intent </v>
      </c>
      <c r="E370" s="4" t="str">
        <f>IFERROR(__xludf.DUMMYFUNCTION("""COMPUTED_VALUE""")," Shopping")</f>
        <v> Shopping</v>
      </c>
      <c r="F370" s="4" t="str">
        <f>IFERROR(__xludf.DUMMYFUNCTION("""COMPUTED_VALUE"""),"Entertainment")</f>
        <v>Entertainment</v>
      </c>
      <c r="G370" s="4"/>
      <c r="H370" s="4"/>
      <c r="I370" s="4"/>
      <c r="J370" s="5" t="s">
        <v>61</v>
      </c>
      <c r="K370" s="5" t="s">
        <v>23</v>
      </c>
      <c r="L370" s="5" t="s">
        <v>78</v>
      </c>
      <c r="M370" s="6" t="s">
        <v>565</v>
      </c>
      <c r="N370" s="5" t="s">
        <v>117</v>
      </c>
      <c r="O370" s="5" t="s">
        <v>27</v>
      </c>
      <c r="P370" s="5">
        <v>11734.0</v>
      </c>
      <c r="Q370" s="5">
        <v>78.0</v>
      </c>
      <c r="R370" s="5">
        <v>8741.0</v>
      </c>
      <c r="S370" s="5">
        <v>10606.0</v>
      </c>
      <c r="T370" s="5">
        <v>5.0</v>
      </c>
      <c r="U370" s="9">
        <v>6439.283498</v>
      </c>
    </row>
    <row r="371">
      <c r="A371" s="4" t="s">
        <v>566</v>
      </c>
      <c r="B371" s="4" t="str">
        <f>IFERROR(__xludf.DUMMYFUNCTION("SPLIT(A371,""&gt;"")"),"Online Behavior")</f>
        <v>Online Behavior</v>
      </c>
      <c r="C371" s="4" t="str">
        <f>IFERROR(__xludf.DUMMYFUNCTION("""COMPUTED_VALUE"""),"United States")</f>
        <v>United States</v>
      </c>
      <c r="D371" s="4" t="str">
        <f>IFERROR(__xludf.DUMMYFUNCTION("""COMPUTED_VALUE"""),"The Changing Consumer")</f>
        <v>The Changing Consumer</v>
      </c>
      <c r="E371" s="4" t="str">
        <f>IFERROR(__xludf.DUMMYFUNCTION("""COMPUTED_VALUE"""),"Personal Budgeting")</f>
        <v>Personal Budgeting</v>
      </c>
      <c r="F371" s="4"/>
      <c r="G371" s="4"/>
      <c r="H371" s="4"/>
      <c r="I371" s="4"/>
      <c r="J371" s="5" t="s">
        <v>22</v>
      </c>
      <c r="K371" s="5" t="s">
        <v>23</v>
      </c>
      <c r="L371" s="5" t="s">
        <v>147</v>
      </c>
      <c r="M371" s="6" t="s">
        <v>565</v>
      </c>
      <c r="N371" s="5" t="s">
        <v>36</v>
      </c>
      <c r="O371" s="5" t="s">
        <v>27</v>
      </c>
      <c r="P371" s="5">
        <v>27371.0</v>
      </c>
      <c r="Q371" s="5">
        <v>60.0</v>
      </c>
      <c r="R371" s="5">
        <v>22256.0</v>
      </c>
      <c r="S371" s="5">
        <v>25986.0</v>
      </c>
      <c r="T371" s="5">
        <v>5.0</v>
      </c>
      <c r="U371" s="9">
        <v>4984.485583</v>
      </c>
    </row>
    <row r="372">
      <c r="A372" s="4" t="s">
        <v>1395</v>
      </c>
      <c r="B372" s="4" t="str">
        <f>IFERROR(__xludf.DUMMYFUNCTION("SPLIT(A372,""&gt;"")"),"Mobile - United States ")</f>
        <v>Mobile - United States </v>
      </c>
      <c r="C372" s="4" t="str">
        <f>IFERROR(__xludf.DUMMYFUNCTION("""COMPUTED_VALUE""")," Food ")</f>
        <v> Food </v>
      </c>
      <c r="D372" s="4" t="str">
        <f>IFERROR(__xludf.DUMMYFUNCTION("""COMPUTED_VALUE""")," Restaurant ")</f>
        <v> Restaurant </v>
      </c>
      <c r="E372" s="4" t="str">
        <f>IFERROR(__xludf.DUMMYFUNCTION("""COMPUTED_VALUE""")," Brand ")</f>
        <v> Brand </v>
      </c>
      <c r="F372" s="4" t="str">
        <f>IFERROR(__xludf.DUMMYFUNCTION("""COMPUTED_VALUE""")," Moes Southwest Grill")</f>
        <v> Moes Southwest Grill</v>
      </c>
      <c r="G372" s="4"/>
      <c r="H372" s="4"/>
      <c r="I372" s="4"/>
      <c r="J372" s="5" t="s">
        <v>22</v>
      </c>
      <c r="K372" s="5" t="s">
        <v>23</v>
      </c>
      <c r="L372" s="5" t="s">
        <v>84</v>
      </c>
      <c r="M372" s="6" t="s">
        <v>565</v>
      </c>
      <c r="N372" s="5" t="s">
        <v>117</v>
      </c>
      <c r="O372" s="5" t="s">
        <v>27</v>
      </c>
      <c r="P372" s="5">
        <v>21903.0</v>
      </c>
      <c r="Q372" s="5">
        <v>124.0</v>
      </c>
      <c r="R372" s="5">
        <v>18831.0</v>
      </c>
      <c r="S372" s="5">
        <v>20922.0</v>
      </c>
      <c r="T372" s="5">
        <v>4.0</v>
      </c>
      <c r="U372" s="9">
        <v>1661.167909</v>
      </c>
    </row>
    <row r="373">
      <c r="A373" s="4" t="s">
        <v>1396</v>
      </c>
      <c r="B373" s="4" t="str">
        <f>IFERROR(__xludf.DUMMYFUNCTION("SPLIT(A373,""&gt;"")"),"Online Behavior")</f>
        <v>Online Behavior</v>
      </c>
      <c r="C373" s="4" t="str">
        <f>IFERROR(__xludf.DUMMYFUNCTION("""COMPUTED_VALUE"""),"United States")</f>
        <v>United States</v>
      </c>
      <c r="D373" s="4" t="str">
        <f>IFERROR(__xludf.DUMMYFUNCTION("""COMPUTED_VALUE"""),"Validated Demographic ")</f>
        <v>Validated Demographic </v>
      </c>
      <c r="E373" s="4" t="str">
        <f>IFERROR(__xludf.DUMMYFUNCTION("""COMPUTED_VALUE""")," Gender and Age Combined")</f>
        <v> Gender and Age Combined</v>
      </c>
      <c r="F373" s="4" t="str">
        <f>IFERROR(__xludf.DUMMYFUNCTION("""COMPUTED_VALUE"""),"Males 25-54")</f>
        <v>Males 25-54</v>
      </c>
      <c r="G373" s="4"/>
      <c r="H373" s="4"/>
      <c r="I373" s="4"/>
      <c r="J373" s="5" t="s">
        <v>15</v>
      </c>
      <c r="K373" s="5" t="s">
        <v>16</v>
      </c>
      <c r="L373" s="5" t="s">
        <v>35</v>
      </c>
      <c r="M373" s="6" t="s">
        <v>569</v>
      </c>
      <c r="N373" s="5" t="s">
        <v>184</v>
      </c>
      <c r="O373" s="5" t="s">
        <v>27</v>
      </c>
      <c r="P373" s="5">
        <v>9725.0</v>
      </c>
      <c r="Q373" s="5">
        <v>80.0</v>
      </c>
      <c r="R373" s="5">
        <v>6616.0</v>
      </c>
      <c r="S373" s="5">
        <v>8778.0</v>
      </c>
      <c r="T373" s="5">
        <v>1.0</v>
      </c>
      <c r="U373" s="9">
        <v>4942.283987</v>
      </c>
    </row>
    <row r="374">
      <c r="A374" s="4" t="s">
        <v>1397</v>
      </c>
      <c r="B374" s="4" t="str">
        <f>IFERROR(__xludf.DUMMYFUNCTION("SPLIT(A374,""&gt;"")"),"Online Behavior")</f>
        <v>Online Behavior</v>
      </c>
      <c r="C374" s="4" t="str">
        <f>IFERROR(__xludf.DUMMYFUNCTION("""COMPUTED_VALUE"""),"United States")</f>
        <v>United States</v>
      </c>
      <c r="D374" s="4" t="str">
        <f>IFERROR(__xludf.DUMMYFUNCTION("""COMPUTED_VALUE"""),"Travel")</f>
        <v>Travel</v>
      </c>
      <c r="E374" s="4" t="str">
        <f>IFERROR(__xludf.DUMMYFUNCTION("""COMPUTED_VALUE"""),"BUnited Statesiness Travel")</f>
        <v>BUnited Statesiness Travel</v>
      </c>
      <c r="F374" s="4"/>
      <c r="G374" s="4"/>
      <c r="H374" s="4"/>
      <c r="I374" s="4"/>
      <c r="J374" s="5" t="s">
        <v>22</v>
      </c>
      <c r="K374" s="5" t="s">
        <v>23</v>
      </c>
      <c r="L374" s="5" t="s">
        <v>35</v>
      </c>
      <c r="M374" s="6" t="s">
        <v>569</v>
      </c>
      <c r="N374" s="5" t="s">
        <v>19</v>
      </c>
      <c r="O374" s="5" t="s">
        <v>27</v>
      </c>
      <c r="P374" s="5">
        <v>45965.0</v>
      </c>
      <c r="Q374" s="5">
        <v>190.0</v>
      </c>
      <c r="R374" s="5">
        <v>10028.0</v>
      </c>
      <c r="S374" s="5">
        <v>37295.0</v>
      </c>
      <c r="T374" s="5">
        <v>1.0</v>
      </c>
      <c r="U374" s="9">
        <v>4718.836114</v>
      </c>
    </row>
    <row r="375">
      <c r="A375" s="4" t="s">
        <v>1398</v>
      </c>
      <c r="B375" s="4" t="str">
        <f>IFERROR(__xludf.DUMMYFUNCTION("SPLIT(A375,""&gt;"")"),"United States Financial ")</f>
        <v>United States Financial </v>
      </c>
      <c r="C375" s="4" t="str">
        <f>IFERROR(__xludf.DUMMYFUNCTION("""COMPUTED_VALUE""")," Likely In Market Timing ")</f>
        <v> Likely In Market Timing </v>
      </c>
      <c r="D375" s="4" t="str">
        <f>IFERROR(__xludf.DUMMYFUNCTION("""COMPUTED_VALUE""")," Not At All Likely to Purchase ")</f>
        <v> Not At All Likely to Purchase </v>
      </c>
      <c r="E375" s="4" t="str">
        <f>IFERROR(__xludf.DUMMYFUNCTION("""COMPUTED_VALUE""")," Second HoUnited Statese/Residence In The Next Year (Financial)")</f>
        <v> Second HoUnited Statese/Residence In The Next Year (Financial)</v>
      </c>
      <c r="F375" s="4"/>
      <c r="G375" s="4"/>
      <c r="H375" s="4"/>
      <c r="I375" s="4"/>
      <c r="J375" s="5" t="s">
        <v>15</v>
      </c>
      <c r="K375" s="5" t="s">
        <v>31</v>
      </c>
      <c r="L375" s="5" t="s">
        <v>17</v>
      </c>
      <c r="M375" s="6" t="s">
        <v>572</v>
      </c>
      <c r="N375" s="5" t="s">
        <v>19</v>
      </c>
      <c r="O375" s="5" t="s">
        <v>27</v>
      </c>
      <c r="P375" s="5">
        <v>8944.0</v>
      </c>
      <c r="Q375" s="5">
        <v>45.0</v>
      </c>
      <c r="R375" s="5">
        <v>3002.0</v>
      </c>
      <c r="S375" s="5">
        <v>6361.0</v>
      </c>
      <c r="T375" s="5">
        <v>6.0</v>
      </c>
      <c r="U375" s="9">
        <v>1755.484542</v>
      </c>
    </row>
    <row r="376">
      <c r="A376" s="4" t="s">
        <v>1399</v>
      </c>
      <c r="B376" s="4" t="str">
        <f>IFERROR(__xludf.DUMMYFUNCTION("SPLIT(A376,""&gt;"")"),"Online Behavior")</f>
        <v>Online Behavior</v>
      </c>
      <c r="C376" s="4" t="str">
        <f>IFERROR(__xludf.DUMMYFUNCTION("""COMPUTED_VALUE"""),"United States")</f>
        <v>United States</v>
      </c>
      <c r="D376" s="4" t="str">
        <f>IFERROR(__xludf.DUMMYFUNCTION("""COMPUTED_VALUE"""),"Hobbies and Leisure")</f>
        <v>Hobbies and Leisure</v>
      </c>
      <c r="E376" s="4" t="str">
        <f>IFERROR(__xludf.DUMMYFUNCTION("""COMPUTED_VALUE"""),"Special Occasions ")</f>
        <v>Special Occasions </v>
      </c>
      <c r="F376" s="4" t="str">
        <f>IFERROR(__xludf.DUMMYFUNCTION("""COMPUTED_VALUE""")," Party Planning")</f>
        <v> Party Planning</v>
      </c>
      <c r="G376" s="4"/>
      <c r="H376" s="4"/>
      <c r="I376" s="4"/>
      <c r="J376" s="5" t="s">
        <v>15</v>
      </c>
      <c r="K376" s="5" t="s">
        <v>42</v>
      </c>
      <c r="L376" s="5" t="s">
        <v>29</v>
      </c>
      <c r="M376" s="6" t="s">
        <v>574</v>
      </c>
      <c r="N376" s="5" t="s">
        <v>117</v>
      </c>
      <c r="O376" s="5" t="s">
        <v>27</v>
      </c>
      <c r="P376" s="5">
        <v>14398.0</v>
      </c>
      <c r="Q376" s="5">
        <v>30.0</v>
      </c>
      <c r="R376" s="5">
        <v>2807.0</v>
      </c>
      <c r="S376" s="5">
        <v>13393.0</v>
      </c>
      <c r="T376" s="5">
        <v>7.0</v>
      </c>
      <c r="U376" s="9">
        <v>5154.644555</v>
      </c>
    </row>
    <row r="377">
      <c r="A377" s="4" t="s">
        <v>1400</v>
      </c>
      <c r="B377" s="4" t="str">
        <f>IFERROR(__xludf.DUMMYFUNCTION("SPLIT(A377,""&gt;"")"),"Online Behavior")</f>
        <v>Online Behavior</v>
      </c>
      <c r="C377" s="4" t="str">
        <f>IFERROR(__xludf.DUMMYFUNCTION("""COMPUTED_VALUE"""),"United States")</f>
        <v>United States</v>
      </c>
      <c r="D377" s="4" t="str">
        <f>IFERROR(__xludf.DUMMYFUNCTION("""COMPUTED_VALUE"""),"Sports")</f>
        <v>Sports</v>
      </c>
      <c r="E377" s="4" t="str">
        <f>IFERROR(__xludf.DUMMYFUNCTION("""COMPUTED_VALUE"""),"Individual Sports ")</f>
        <v>Individual Sports </v>
      </c>
      <c r="F377" s="4" t="str">
        <f>IFERROR(__xludf.DUMMYFUNCTION("""COMPUTED_VALUE""")," Skate Sports")</f>
        <v> Skate Sports</v>
      </c>
      <c r="G377" s="4"/>
      <c r="H377" s="4"/>
      <c r="I377" s="4"/>
      <c r="J377" s="5" t="s">
        <v>22</v>
      </c>
      <c r="K377" s="5" t="s">
        <v>23</v>
      </c>
      <c r="L377" s="5" t="s">
        <v>214</v>
      </c>
      <c r="M377" s="6" t="s">
        <v>576</v>
      </c>
      <c r="N377" s="5" t="s">
        <v>50</v>
      </c>
      <c r="O377" s="5" t="s">
        <v>27</v>
      </c>
      <c r="P377" s="5">
        <v>117879.0</v>
      </c>
      <c r="Q377" s="5">
        <v>390.0</v>
      </c>
      <c r="R377" s="5">
        <v>52098.0</v>
      </c>
      <c r="S377" s="5">
        <v>86127.0</v>
      </c>
      <c r="T377" s="5">
        <v>1.0</v>
      </c>
      <c r="U377" s="9">
        <v>5102.706729</v>
      </c>
    </row>
    <row r="378">
      <c r="A378" s="4" t="s">
        <v>1401</v>
      </c>
      <c r="B378" s="4" t="str">
        <f>IFERROR(__xludf.DUMMYFUNCTION("SPLIT(A378,""&gt;"")"),"United States ")</f>
        <v>United States </v>
      </c>
      <c r="C378" s="4" t="str">
        <f>IFERROR(__xludf.DUMMYFUNCTION("""COMPUTED_VALUE""")," Reach ")</f>
        <v> Reach </v>
      </c>
      <c r="D378" s="4" t="str">
        <f>IFERROR(__xludf.DUMMYFUNCTION("""COMPUTED_VALUE""")," Propensity Models ")</f>
        <v> Propensity Models </v>
      </c>
      <c r="E378" s="4" t="str">
        <f>IFERROR(__xludf.DUMMYFUNCTION("""COMPUTED_VALUE""")," Hobbies and Interest ")</f>
        <v> Hobbies and Interest </v>
      </c>
      <c r="F378" s="4" t="str">
        <f>IFERROR(__xludf.DUMMYFUNCTION("""COMPUTED_VALUE""")," Sports ")</f>
        <v> Sports </v>
      </c>
      <c r="G378" s="4" t="str">
        <f>IFERROR(__xludf.DUMMYFUNCTION("""COMPUTED_VALUE""")," NFL EnthUnited Statesiast")</f>
        <v> NFL EnthUnited Statesiast</v>
      </c>
      <c r="H378" s="4"/>
      <c r="I378" s="4"/>
      <c r="J378" s="5" t="s">
        <v>15</v>
      </c>
      <c r="K378" s="5" t="s">
        <v>31</v>
      </c>
      <c r="L378" s="5" t="s">
        <v>32</v>
      </c>
      <c r="M378" s="6" t="s">
        <v>578</v>
      </c>
      <c r="N378" s="5" t="s">
        <v>19</v>
      </c>
      <c r="O378" s="5" t="s">
        <v>27</v>
      </c>
      <c r="P378" s="5">
        <v>22444.0</v>
      </c>
      <c r="Q378" s="5">
        <v>160.0</v>
      </c>
      <c r="R378" s="5">
        <v>12672.0</v>
      </c>
      <c r="S378" s="5">
        <v>21345.0</v>
      </c>
      <c r="T378" s="5">
        <v>5.0</v>
      </c>
      <c r="U378" s="9">
        <v>2539.200563</v>
      </c>
    </row>
    <row r="379" hidden="1">
      <c r="A379" s="4" t="s">
        <v>1402</v>
      </c>
      <c r="B379" s="4" t="str">
        <f>IFERROR(__xludf.DUMMYFUNCTION("SPLIT(A379,""&gt;"")"),"Mobile - United States ")</f>
        <v>Mobile - United States </v>
      </c>
      <c r="C379" s="4" t="str">
        <f>IFERROR(__xludf.DUMMYFUNCTION("""COMPUTED_VALUE""")," Device Ownership ")</f>
        <v> Device Ownership </v>
      </c>
      <c r="D379" s="4" t="str">
        <f>IFERROR(__xludf.DUMMYFUNCTION("""COMPUTED_VALUE""")," Tablets ")</f>
        <v> Tablets </v>
      </c>
      <c r="E379" s="4" t="str">
        <f>IFERROR(__xludf.DUMMYFUNCTION("""COMPUTED_VALUE""")," yes")</f>
        <v> yes</v>
      </c>
      <c r="F379" s="4"/>
      <c r="G379" s="4"/>
      <c r="H379" s="4"/>
      <c r="I379" s="4"/>
      <c r="J379" s="5" t="s">
        <v>15</v>
      </c>
      <c r="K379" s="5" t="s">
        <v>31</v>
      </c>
      <c r="L379" s="5" t="s">
        <v>173</v>
      </c>
      <c r="M379" s="6" t="s">
        <v>578</v>
      </c>
      <c r="N379" s="5" t="s">
        <v>46</v>
      </c>
      <c r="O379" s="5" t="s">
        <v>20</v>
      </c>
      <c r="P379" s="5">
        <v>17645.0</v>
      </c>
      <c r="Q379" s="5">
        <v>40.0</v>
      </c>
      <c r="R379" s="5">
        <v>9673.0</v>
      </c>
      <c r="S379" s="5">
        <v>15088.0</v>
      </c>
      <c r="T379" s="5">
        <v>15.0</v>
      </c>
      <c r="U379" s="9">
        <v>1591.772246</v>
      </c>
    </row>
    <row r="380">
      <c r="A380" s="4" t="s">
        <v>1403</v>
      </c>
      <c r="B380" s="4" t="str">
        <f>IFERROR(__xludf.DUMMYFUNCTION("SPLIT(A380,""&gt;"")"),"United States ")</f>
        <v>United States </v>
      </c>
      <c r="C380" s="4" t="str">
        <f>IFERROR(__xludf.DUMMYFUNCTION("""COMPUTED_VALUE""")," Health and Wellbeing ")</f>
        <v> Health and Wellbeing </v>
      </c>
      <c r="D380" s="4" t="str">
        <f>IFERROR(__xludf.DUMMYFUNCTION("""COMPUTED_VALUE""")," Health and Wellbeing")</f>
        <v> Health and Wellbeing</v>
      </c>
      <c r="E380" s="4"/>
      <c r="F380" s="4"/>
      <c r="G380" s="4"/>
      <c r="H380" s="4"/>
      <c r="I380" s="4"/>
      <c r="J380" s="5" t="s">
        <v>22</v>
      </c>
      <c r="K380" s="5" t="s">
        <v>23</v>
      </c>
      <c r="L380" s="5" t="s">
        <v>35</v>
      </c>
      <c r="M380" s="6" t="s">
        <v>578</v>
      </c>
      <c r="N380" s="5" t="s">
        <v>36</v>
      </c>
      <c r="O380" s="5" t="s">
        <v>27</v>
      </c>
      <c r="P380" s="5">
        <v>9881.0</v>
      </c>
      <c r="Q380" s="5">
        <v>15.0</v>
      </c>
      <c r="R380" s="5">
        <v>2344.0</v>
      </c>
      <c r="S380" s="5">
        <v>7324.0</v>
      </c>
      <c r="T380" s="5">
        <v>1.0</v>
      </c>
      <c r="U380" s="9">
        <v>1505.01155</v>
      </c>
    </row>
    <row r="381">
      <c r="A381" s="4" t="s">
        <v>1404</v>
      </c>
      <c r="B381" s="4" t="str">
        <f>IFERROR(__xludf.DUMMYFUNCTION("SPLIT(A381,""&gt;"")"),"United States ")</f>
        <v>United States </v>
      </c>
      <c r="C381" s="4" t="str">
        <f>IFERROR(__xludf.DUMMYFUNCTION("""COMPUTED_VALUE""")," Brand Propensities ")</f>
        <v> Brand Propensities </v>
      </c>
      <c r="D381" s="4" t="str">
        <f>IFERROR(__xludf.DUMMYFUNCTION("""COMPUTED_VALUE""")," Telecom and Service Providers ")</f>
        <v> Telecom and Service Providers </v>
      </c>
      <c r="E381" s="4" t="str">
        <f>IFERROR(__xludf.DUMMYFUNCTION("""COMPUTED_VALUE""")," Page PlUnited States Cellular Buyer Propensity")</f>
        <v> Page PlUnited States Cellular Buyer Propensity</v>
      </c>
      <c r="F381" s="4"/>
      <c r="G381" s="4"/>
      <c r="H381" s="4"/>
      <c r="I381" s="4"/>
      <c r="J381" s="5" t="s">
        <v>22</v>
      </c>
      <c r="K381" s="5" t="s">
        <v>23</v>
      </c>
      <c r="L381" s="5" t="s">
        <v>273</v>
      </c>
      <c r="M381" s="6" t="s">
        <v>582</v>
      </c>
      <c r="N381" s="5" t="s">
        <v>167</v>
      </c>
      <c r="O381" s="5" t="s">
        <v>27</v>
      </c>
      <c r="P381" s="5">
        <v>12148.0</v>
      </c>
      <c r="Q381" s="5">
        <v>40.0</v>
      </c>
      <c r="R381" s="5">
        <v>7950.0</v>
      </c>
      <c r="S381" s="5">
        <v>11360.0</v>
      </c>
      <c r="T381" s="5">
        <v>9.0</v>
      </c>
      <c r="U381" s="9">
        <v>1936.008049</v>
      </c>
    </row>
    <row r="382">
      <c r="A382" s="4" t="s">
        <v>1405</v>
      </c>
      <c r="B382" s="4" t="str">
        <f>IFERROR(__xludf.DUMMYFUNCTION("SPLIT(A382,""&gt;"")"),"United States ")</f>
        <v>United States </v>
      </c>
      <c r="C382" s="4" t="str">
        <f>IFERROR(__xludf.DUMMYFUNCTION("""COMPUTED_VALUE""")," Reach ")</f>
        <v> Reach </v>
      </c>
      <c r="D382" s="4" t="str">
        <f>IFERROR(__xludf.DUMMYFUNCTION("""COMPUTED_VALUE""")," Propensity Models ")</f>
        <v> Propensity Models </v>
      </c>
      <c r="E382" s="4" t="str">
        <f>IFERROR(__xludf.DUMMYFUNCTION("""COMPUTED_VALUE""")," Hobbies and Interest ")</f>
        <v> Hobbies and Interest </v>
      </c>
      <c r="F382" s="4" t="str">
        <f>IFERROR(__xludf.DUMMYFUNCTION("""COMPUTED_VALUE""")," MUnited Statesic ")</f>
        <v> MUnited Statesic </v>
      </c>
      <c r="G382" s="4" t="str">
        <f>IFERROR(__xludf.DUMMYFUNCTION("""COMPUTED_VALUE""")," Listens to Pop MUnited Statesic")</f>
        <v> Listens to Pop MUnited Statesic</v>
      </c>
      <c r="H382" s="4"/>
      <c r="I382" s="4"/>
      <c r="J382" s="5" t="s">
        <v>22</v>
      </c>
      <c r="K382" s="5" t="s">
        <v>23</v>
      </c>
      <c r="L382" s="5" t="s">
        <v>29</v>
      </c>
      <c r="M382" s="6" t="s">
        <v>584</v>
      </c>
      <c r="N382" s="5" t="s">
        <v>19</v>
      </c>
      <c r="O382" s="5" t="s">
        <v>27</v>
      </c>
      <c r="P382" s="5">
        <v>18771.0</v>
      </c>
      <c r="Q382" s="5">
        <v>69.0</v>
      </c>
      <c r="R382" s="5">
        <v>10871.0</v>
      </c>
      <c r="S382" s="5">
        <v>17138.0</v>
      </c>
      <c r="T382" s="5">
        <v>6.0</v>
      </c>
      <c r="U382" s="9">
        <v>3827.366381</v>
      </c>
    </row>
    <row r="383">
      <c r="A383" s="4" t="s">
        <v>1406</v>
      </c>
      <c r="B383" s="4" t="str">
        <f>IFERROR(__xludf.DUMMYFUNCTION("SPLIT(A383,""&gt;"")"),"Media and Entertainment ")</f>
        <v>Media and Entertainment </v>
      </c>
      <c r="C383" s="4" t="str">
        <f>IFERROR(__xludf.DUMMYFUNCTION("""COMPUTED_VALUE""")," Sports and Recreational Activities ")</f>
        <v> Sports and Recreational Activities </v>
      </c>
      <c r="D383" s="4" t="str">
        <f>IFERROR(__xludf.DUMMYFUNCTION("""COMPUTED_VALUE""")," Interest (Affinity) ")</f>
        <v> Interest (Affinity) </v>
      </c>
      <c r="E383" s="4" t="str">
        <f>IFERROR(__xludf.DUMMYFUNCTION("""COMPUTED_VALUE""")," Team Sports ")</f>
        <v> Team Sports </v>
      </c>
      <c r="F383" s="4" t="str">
        <f>IFERROR(__xludf.DUMMYFUNCTION("""COMPUTED_VALUE""")," Soccer (Football)")</f>
        <v> Soccer (Football)</v>
      </c>
      <c r="G383" s="4"/>
      <c r="H383" s="4"/>
      <c r="I383" s="4"/>
      <c r="J383" s="5" t="s">
        <v>15</v>
      </c>
      <c r="K383" s="5" t="s">
        <v>23</v>
      </c>
      <c r="L383" s="5" t="s">
        <v>39</v>
      </c>
      <c r="M383" s="6" t="s">
        <v>584</v>
      </c>
      <c r="N383" s="5" t="s">
        <v>46</v>
      </c>
      <c r="O383" s="5" t="s">
        <v>27</v>
      </c>
      <c r="P383" s="5">
        <v>7402.0</v>
      </c>
      <c r="Q383" s="5">
        <v>9.0</v>
      </c>
      <c r="R383" s="5">
        <v>3860.0</v>
      </c>
      <c r="S383" s="5">
        <v>6406.0</v>
      </c>
      <c r="T383" s="5">
        <v>1.0</v>
      </c>
      <c r="U383" s="9">
        <v>1560.449936</v>
      </c>
    </row>
    <row r="384">
      <c r="A384" s="4" t="s">
        <v>1407</v>
      </c>
      <c r="B384" s="4" t="str">
        <f>IFERROR(__xludf.DUMMYFUNCTION("SPLIT(A384,""&gt;"")"),"Online Behavior")</f>
        <v>Online Behavior</v>
      </c>
      <c r="C384" s="4" t="str">
        <f>IFERROR(__xludf.DUMMYFUNCTION("""COMPUTED_VALUE"""),"United States")</f>
        <v>United States</v>
      </c>
      <c r="D384" s="4" t="str">
        <f>IFERROR(__xludf.DUMMYFUNCTION("""COMPUTED_VALUE"""),"B2B ")</f>
        <v>B2B </v>
      </c>
      <c r="E384" s="4" t="str">
        <f>IFERROR(__xludf.DUMMYFUNCTION("""COMPUTED_VALUE""")," Occupation")</f>
        <v> Occupation</v>
      </c>
      <c r="F384" s="4" t="str">
        <f>IFERROR(__xludf.DUMMYFUNCTION("""COMPUTED_VALUE"""),"ElectricalEngineer")</f>
        <v>ElectricalEngineer</v>
      </c>
      <c r="G384" s="4"/>
      <c r="H384" s="4"/>
      <c r="I384" s="4"/>
      <c r="J384" s="5" t="s">
        <v>22</v>
      </c>
      <c r="K384" s="5" t="s">
        <v>23</v>
      </c>
      <c r="L384" s="5" t="s">
        <v>35</v>
      </c>
      <c r="M384" s="6" t="s">
        <v>587</v>
      </c>
      <c r="N384" s="5" t="s">
        <v>19</v>
      </c>
      <c r="O384" s="5" t="s">
        <v>27</v>
      </c>
      <c r="P384" s="5">
        <v>38735.0</v>
      </c>
      <c r="Q384" s="5">
        <v>114.0</v>
      </c>
      <c r="R384" s="5">
        <v>28719.0</v>
      </c>
      <c r="S384" s="5">
        <v>36629.0</v>
      </c>
      <c r="T384" s="5">
        <v>4.0</v>
      </c>
      <c r="U384" s="9">
        <v>2127.824066</v>
      </c>
    </row>
    <row r="385">
      <c r="A385" s="4" t="s">
        <v>588</v>
      </c>
      <c r="B385" s="4" t="str">
        <f>IFERROR(__xludf.DUMMYFUNCTION("SPLIT(A385,""&gt;"")"),"Online Behavior")</f>
        <v>Online Behavior</v>
      </c>
      <c r="C385" s="4" t="str">
        <f>IFERROR(__xludf.DUMMYFUNCTION("""COMPUTED_VALUE"""),"United States")</f>
        <v>United States</v>
      </c>
      <c r="D385" s="4" t="str">
        <f>IFERROR(__xludf.DUMMYFUNCTION("""COMPUTED_VALUE"""),"Beauty and Fitness")</f>
        <v>Beauty and Fitness</v>
      </c>
      <c r="E385" s="4" t="str">
        <f>IFERROR(__xludf.DUMMYFUNCTION("""COMPUTED_VALUE"""),"Fashion and Style")</f>
        <v>Fashion and Style</v>
      </c>
      <c r="F385" s="4"/>
      <c r="G385" s="4"/>
      <c r="H385" s="4"/>
      <c r="I385" s="4"/>
      <c r="J385" s="5" t="s">
        <v>22</v>
      </c>
      <c r="K385" s="5" t="s">
        <v>42</v>
      </c>
      <c r="L385" s="5" t="s">
        <v>55</v>
      </c>
      <c r="M385" s="6" t="s">
        <v>587</v>
      </c>
      <c r="N385" s="5" t="s">
        <v>1046</v>
      </c>
      <c r="O385" s="5" t="s">
        <v>27</v>
      </c>
      <c r="P385" s="5">
        <v>7320.0</v>
      </c>
      <c r="Q385" s="5">
        <v>33.0</v>
      </c>
      <c r="R385" s="5">
        <v>4020.0</v>
      </c>
      <c r="S385" s="5">
        <v>6692.0</v>
      </c>
      <c r="T385" s="5">
        <v>15.0</v>
      </c>
      <c r="U385" s="9">
        <v>1730.37357</v>
      </c>
    </row>
    <row r="386">
      <c r="A386" s="4" t="s">
        <v>1408</v>
      </c>
      <c r="B386" s="4" t="str">
        <f>IFERROR(__xludf.DUMMYFUNCTION("SPLIT(A386,""&gt;"")"),"Online Behavior")</f>
        <v>Online Behavior</v>
      </c>
      <c r="C386" s="4" t="str">
        <f>IFERROR(__xludf.DUMMYFUNCTION("""COMPUTED_VALUE"""),"United States")</f>
        <v>United States</v>
      </c>
      <c r="D386" s="4" t="str">
        <f>IFERROR(__xludf.DUMMYFUNCTION("""COMPUTED_VALUE"""),"Autos and Vehicles ")</f>
        <v>Autos and Vehicles </v>
      </c>
      <c r="E386" s="4" t="str">
        <f>IFERROR(__xludf.DUMMYFUNCTION("""COMPUTED_VALUE""")," Brands")</f>
        <v> Brands</v>
      </c>
      <c r="F386" s="4" t="str">
        <f>IFERROR(__xludf.DUMMYFUNCTION("""COMPUTED_VALUE"""),"Honda")</f>
        <v>Honda</v>
      </c>
      <c r="G386" s="4"/>
      <c r="H386" s="4"/>
      <c r="I386" s="4"/>
      <c r="J386" s="5" t="s">
        <v>22</v>
      </c>
      <c r="K386" s="5" t="s">
        <v>42</v>
      </c>
      <c r="L386" s="5" t="s">
        <v>356</v>
      </c>
      <c r="M386" s="6" t="s">
        <v>590</v>
      </c>
      <c r="N386" s="5" t="s">
        <v>26</v>
      </c>
      <c r="O386" s="5" t="s">
        <v>27</v>
      </c>
      <c r="P386" s="5">
        <v>90463.0</v>
      </c>
      <c r="Q386" s="5">
        <v>204.0</v>
      </c>
      <c r="R386" s="5">
        <v>803.0</v>
      </c>
      <c r="S386" s="5">
        <v>2465.0</v>
      </c>
      <c r="T386" s="5">
        <v>9.0</v>
      </c>
      <c r="U386" s="9">
        <v>6120.602514</v>
      </c>
    </row>
    <row r="387">
      <c r="A387" s="4" t="s">
        <v>1409</v>
      </c>
      <c r="B387" s="4" t="str">
        <f>IFERROR(__xludf.DUMMYFUNCTION("SPLIT(A387,""&gt;"")"),"Online Behavior")</f>
        <v>Online Behavior</v>
      </c>
      <c r="C387" s="4" t="str">
        <f>IFERROR(__xludf.DUMMYFUNCTION("""COMPUTED_VALUE"""),"United States")</f>
        <v>United States</v>
      </c>
      <c r="D387" s="4" t="str">
        <f>IFERROR(__xludf.DUMMYFUNCTION("""COMPUTED_VALUE"""),"Validated Demographic ")</f>
        <v>Validated Demographic </v>
      </c>
      <c r="E387" s="4" t="str">
        <f>IFERROR(__xludf.DUMMYFUNCTION("""COMPUTED_VALUE""")," Age")</f>
        <v> Age</v>
      </c>
      <c r="F387" s="4" t="str">
        <f>IFERROR(__xludf.DUMMYFUNCTION("""COMPUTED_VALUE"""),"25-64")</f>
        <v>25-64</v>
      </c>
      <c r="G387" s="4"/>
      <c r="H387" s="4"/>
      <c r="I387" s="4"/>
      <c r="J387" s="5" t="s">
        <v>22</v>
      </c>
      <c r="K387" s="5" t="s">
        <v>31</v>
      </c>
      <c r="L387" s="5" t="s">
        <v>304</v>
      </c>
      <c r="M387" s="6" t="s">
        <v>590</v>
      </c>
      <c r="N387" s="5" t="s">
        <v>36</v>
      </c>
      <c r="O387" s="5" t="s">
        <v>27</v>
      </c>
      <c r="P387" s="5">
        <v>252170.0</v>
      </c>
      <c r="Q387" s="5">
        <v>650.0</v>
      </c>
      <c r="R387" s="5">
        <v>9248.0</v>
      </c>
      <c r="S387" s="5">
        <v>14192.0</v>
      </c>
      <c r="T387" s="5">
        <v>1.0</v>
      </c>
      <c r="U387" s="9">
        <v>5874.00478</v>
      </c>
    </row>
    <row r="388">
      <c r="A388" s="4" t="s">
        <v>1410</v>
      </c>
      <c r="B388" s="4" t="str">
        <f>IFERROR(__xludf.DUMMYFUNCTION("SPLIT(A388,""&gt;"")"),"United States ")</f>
        <v>United States </v>
      </c>
      <c r="C388" s="4" t="str">
        <f>IFERROR(__xludf.DUMMYFUNCTION("""COMPUTED_VALUE""")," Reach ")</f>
        <v> Reach </v>
      </c>
      <c r="D388" s="4" t="str">
        <f>IFERROR(__xludf.DUMMYFUNCTION("""COMPUTED_VALUE""")," Propensity Models ")</f>
        <v> Propensity Models </v>
      </c>
      <c r="E388" s="4" t="str">
        <f>IFERROR(__xludf.DUMMYFUNCTION("""COMPUTED_VALUE""")," HoUnited Statesehold Consumer Expenditures ")</f>
        <v> HoUnited Statesehold Consumer Expenditures </v>
      </c>
      <c r="F388" s="4" t="str">
        <f>IFERROR(__xludf.DUMMYFUNCTION("""COMPUTED_VALUE""")," Furniture")</f>
        <v> Furniture</v>
      </c>
      <c r="G388" s="4"/>
      <c r="H388" s="4"/>
      <c r="I388" s="4"/>
      <c r="J388" s="5" t="s">
        <v>22</v>
      </c>
      <c r="K388" s="5" t="s">
        <v>16</v>
      </c>
      <c r="L388" s="5" t="s">
        <v>593</v>
      </c>
      <c r="M388" s="6" t="s">
        <v>590</v>
      </c>
      <c r="N388" s="5" t="s">
        <v>26</v>
      </c>
      <c r="O388" s="5" t="s">
        <v>27</v>
      </c>
      <c r="P388" s="5">
        <v>68114.0</v>
      </c>
      <c r="Q388" s="5">
        <v>174.0</v>
      </c>
      <c r="R388" s="5">
        <v>569.0</v>
      </c>
      <c r="S388" s="5">
        <v>2059.0</v>
      </c>
      <c r="T388" s="5">
        <v>15.0</v>
      </c>
      <c r="U388" s="9">
        <v>2753.711986</v>
      </c>
    </row>
    <row r="389">
      <c r="A389" s="4" t="s">
        <v>1411</v>
      </c>
      <c r="B389" s="4" t="str">
        <f>IFERROR(__xludf.DUMMYFUNCTION("SPLIT(A389,""&gt;"")"),"United States ")</f>
        <v>United States </v>
      </c>
      <c r="C389" s="4" t="str">
        <f>IFERROR(__xludf.DUMMYFUNCTION("""COMPUTED_VALUE""")," Reach ")</f>
        <v> Reach </v>
      </c>
      <c r="D389" s="4" t="str">
        <f>IFERROR(__xludf.DUMMYFUNCTION("""COMPUTED_VALUE""")," Propensity Models ")</f>
        <v> Propensity Models </v>
      </c>
      <c r="E389" s="4" t="str">
        <f>IFERROR(__xludf.DUMMYFUNCTION("""COMPUTED_VALUE""")," Hobbies and Interest ")</f>
        <v> Hobbies and Interest </v>
      </c>
      <c r="F389" s="4" t="str">
        <f>IFERROR(__xludf.DUMMYFUNCTION("""COMPUTED_VALUE""")," MUnited Statesic ")</f>
        <v> MUnited Statesic </v>
      </c>
      <c r="G389" s="4" t="str">
        <f>IFERROR(__xludf.DUMMYFUNCTION("""COMPUTED_VALUE""")," Listens to Country MUnited Statesic")</f>
        <v> Listens to Country MUnited Statesic</v>
      </c>
      <c r="H389" s="4"/>
      <c r="I389" s="4"/>
      <c r="J389" s="5" t="s">
        <v>15</v>
      </c>
      <c r="K389" s="5" t="s">
        <v>42</v>
      </c>
      <c r="L389" s="5" t="s">
        <v>29</v>
      </c>
      <c r="M389" s="6" t="s">
        <v>590</v>
      </c>
      <c r="N389" s="5" t="s">
        <v>231</v>
      </c>
      <c r="O389" s="5" t="s">
        <v>27</v>
      </c>
      <c r="P389" s="5">
        <v>292578.0</v>
      </c>
      <c r="Q389" s="5">
        <v>812.0</v>
      </c>
      <c r="R389" s="5">
        <v>6474.0</v>
      </c>
      <c r="S389" s="5">
        <v>12323.0</v>
      </c>
      <c r="T389" s="5">
        <v>4.0</v>
      </c>
      <c r="U389" s="9">
        <v>1826.318738</v>
      </c>
    </row>
    <row r="390" hidden="1">
      <c r="A390" s="4" t="s">
        <v>1412</v>
      </c>
      <c r="B390" s="4" t="str">
        <f>IFERROR(__xludf.DUMMYFUNCTION("SPLIT(A390,""&gt;"")"),"Online Behavior")</f>
        <v>Online Behavior</v>
      </c>
      <c r="C390" s="4" t="str">
        <f>IFERROR(__xludf.DUMMYFUNCTION("""COMPUTED_VALUE"""),"United States")</f>
        <v>United States</v>
      </c>
      <c r="D390" s="4" t="str">
        <f>IFERROR(__xludf.DUMMYFUNCTION("""COMPUTED_VALUE"""),"Intent ")</f>
        <v>Intent </v>
      </c>
      <c r="E390" s="4" t="str">
        <f>IFERROR(__xludf.DUMMYFUNCTION("""COMPUTED_VALUE""")," Shopping")</f>
        <v> Shopping</v>
      </c>
      <c r="F390" s="4" t="str">
        <f>IFERROR(__xludf.DUMMYFUNCTION("""COMPUTED_VALUE"""),"Wireless Providers")</f>
        <v>Wireless Providers</v>
      </c>
      <c r="G390" s="4"/>
      <c r="H390" s="4"/>
      <c r="I390" s="4"/>
      <c r="J390" s="5" t="s">
        <v>15</v>
      </c>
      <c r="K390" s="5" t="s">
        <v>42</v>
      </c>
      <c r="L390" s="5" t="s">
        <v>17</v>
      </c>
      <c r="M390" s="6" t="s">
        <v>596</v>
      </c>
      <c r="N390" s="5" t="s">
        <v>19</v>
      </c>
      <c r="O390" s="5" t="s">
        <v>20</v>
      </c>
      <c r="P390" s="5">
        <v>39725.0</v>
      </c>
      <c r="Q390" s="5">
        <v>144.0</v>
      </c>
      <c r="R390" s="5">
        <v>5402.0</v>
      </c>
      <c r="S390" s="5">
        <v>36080.0</v>
      </c>
      <c r="T390" s="5">
        <v>12.0</v>
      </c>
      <c r="U390" s="9">
        <v>6431.555152</v>
      </c>
    </row>
    <row r="391" hidden="1">
      <c r="A391" s="4" t="s">
        <v>1413</v>
      </c>
      <c r="B391" s="4" t="str">
        <f>IFERROR(__xludf.DUMMYFUNCTION("SPLIT(A391,""&gt;"")"),"Online Behavior")</f>
        <v>Online Behavior</v>
      </c>
      <c r="C391" s="4" t="str">
        <f>IFERROR(__xludf.DUMMYFUNCTION("""COMPUTED_VALUE"""),"United States")</f>
        <v>United States</v>
      </c>
      <c r="D391" s="4" t="str">
        <f>IFERROR(__xludf.DUMMYFUNCTION("""COMPUTED_VALUE"""),"Hobbies and Leisure")</f>
        <v>Hobbies and Leisure</v>
      </c>
      <c r="E391" s="4" t="str">
        <f>IFERROR(__xludf.DUMMYFUNCTION("""COMPUTED_VALUE"""),"Outdoors ")</f>
        <v>Outdoors </v>
      </c>
      <c r="F391" s="4" t="str">
        <f>IFERROR(__xludf.DUMMYFUNCTION("""COMPUTED_VALUE""")," Fishing")</f>
        <v> Fishing</v>
      </c>
      <c r="G391" s="4"/>
      <c r="H391" s="4"/>
      <c r="I391" s="4"/>
      <c r="J391" s="5" t="s">
        <v>15</v>
      </c>
      <c r="K391" s="5" t="s">
        <v>23</v>
      </c>
      <c r="L391" s="5" t="s">
        <v>78</v>
      </c>
      <c r="M391" s="6" t="s">
        <v>598</v>
      </c>
      <c r="N391" s="5" t="s">
        <v>26</v>
      </c>
      <c r="O391" s="5" t="s">
        <v>52</v>
      </c>
      <c r="P391" s="5">
        <v>25206.0</v>
      </c>
      <c r="Q391" s="5">
        <v>75.0</v>
      </c>
      <c r="R391" s="5">
        <v>3588.0</v>
      </c>
      <c r="S391" s="5">
        <v>23556.0</v>
      </c>
      <c r="T391" s="5">
        <v>19.0</v>
      </c>
      <c r="U391" s="9">
        <v>6846.356434</v>
      </c>
    </row>
    <row r="392">
      <c r="A392" s="4" t="s">
        <v>1414</v>
      </c>
      <c r="B392" s="4" t="str">
        <f>IFERROR(__xludf.DUMMYFUNCTION("SPLIT(A392,""&gt;"")"),"Online Behavior")</f>
        <v>Online Behavior</v>
      </c>
      <c r="C392" s="4" t="str">
        <f>IFERROR(__xludf.DUMMYFUNCTION("""COMPUTED_VALUE"""),"United States")</f>
        <v>United States</v>
      </c>
      <c r="D392" s="4" t="str">
        <f>IFERROR(__xludf.DUMMYFUNCTION("""COMPUTED_VALUE"""),"Autos and Vehicles ")</f>
        <v>Autos and Vehicles </v>
      </c>
      <c r="E392" s="4" t="str">
        <f>IFERROR(__xludf.DUMMYFUNCTION("""COMPUTED_VALUE""")," Brands")</f>
        <v> Brands</v>
      </c>
      <c r="F392" s="4" t="str">
        <f>IFERROR(__xludf.DUMMYFUNCTION("""COMPUTED_VALUE"""),"Volkswagen")</f>
        <v>Volkswagen</v>
      </c>
      <c r="G392" s="4"/>
      <c r="H392" s="4"/>
      <c r="I392" s="4"/>
      <c r="J392" s="5" t="s">
        <v>15</v>
      </c>
      <c r="K392" s="5" t="s">
        <v>16</v>
      </c>
      <c r="L392" s="5" t="s">
        <v>45</v>
      </c>
      <c r="M392" s="6" t="s">
        <v>598</v>
      </c>
      <c r="N392" s="5" t="s">
        <v>19</v>
      </c>
      <c r="O392" s="5" t="s">
        <v>27</v>
      </c>
      <c r="P392" s="5">
        <v>7789.0</v>
      </c>
      <c r="Q392" s="5">
        <v>30.0</v>
      </c>
      <c r="R392" s="5">
        <v>4655.0</v>
      </c>
      <c r="S392" s="5">
        <v>7434.0</v>
      </c>
      <c r="T392" s="5">
        <v>1.0</v>
      </c>
      <c r="U392" s="9">
        <v>6396.868763</v>
      </c>
    </row>
    <row r="393">
      <c r="A393" s="4" t="s">
        <v>1415</v>
      </c>
      <c r="B393" s="4" t="str">
        <f>IFERROR(__xludf.DUMMYFUNCTION("SPLIT(A393,""&gt;"")"),"Online Behavior")</f>
        <v>Online Behavior</v>
      </c>
      <c r="C393" s="4" t="str">
        <f>IFERROR(__xludf.DUMMYFUNCTION("""COMPUTED_VALUE"""),"United States")</f>
        <v>United States</v>
      </c>
      <c r="D393" s="4" t="str">
        <f>IFERROR(__xludf.DUMMYFUNCTION("""COMPUTED_VALUE"""),"Autos and Vehicles ")</f>
        <v>Autos and Vehicles </v>
      </c>
      <c r="E393" s="4" t="str">
        <f>IFERROR(__xludf.DUMMYFUNCTION("""COMPUTED_VALUE""")," Brands")</f>
        <v> Brands</v>
      </c>
      <c r="F393" s="4" t="str">
        <f>IFERROR(__xludf.DUMMYFUNCTION("""COMPUTED_VALUE"""),"Jaguar")</f>
        <v>Jaguar</v>
      </c>
      <c r="G393" s="4"/>
      <c r="H393" s="4"/>
      <c r="I393" s="4"/>
      <c r="J393" s="5" t="s">
        <v>22</v>
      </c>
      <c r="K393" s="5" t="s">
        <v>31</v>
      </c>
      <c r="L393" s="5" t="s">
        <v>35</v>
      </c>
      <c r="M393" s="6" t="s">
        <v>598</v>
      </c>
      <c r="N393" s="5" t="s">
        <v>19</v>
      </c>
      <c r="O393" s="5" t="s">
        <v>27</v>
      </c>
      <c r="P393" s="5">
        <v>38396.0</v>
      </c>
      <c r="Q393" s="5">
        <v>87.0</v>
      </c>
      <c r="R393" s="5">
        <v>6305.0</v>
      </c>
      <c r="S393" s="5">
        <v>35118.0</v>
      </c>
      <c r="T393" s="5">
        <v>9.0</v>
      </c>
      <c r="U393" s="9">
        <v>5740.164546</v>
      </c>
    </row>
    <row r="394">
      <c r="A394" s="4" t="s">
        <v>1416</v>
      </c>
      <c r="B394" s="4" t="str">
        <f>IFERROR(__xludf.DUMMYFUNCTION("SPLIT(A394,""&gt;"")"),"United States ")</f>
        <v>United States </v>
      </c>
      <c r="C394" s="4" t="str">
        <f>IFERROR(__xludf.DUMMYFUNCTION("""COMPUTED_VALUE""")," Interest Propensities ")</f>
        <v> Interest Propensities </v>
      </c>
      <c r="D394" s="4" t="str">
        <f>IFERROR(__xludf.DUMMYFUNCTION("""COMPUTED_VALUE""")," Celebrities ")</f>
        <v> Celebrities </v>
      </c>
      <c r="E394" s="4" t="str">
        <f>IFERROR(__xludf.DUMMYFUNCTION("""COMPUTED_VALUE""")," Celebrity Fan Gossip")</f>
        <v> Celebrity Fan Gossip</v>
      </c>
      <c r="F394" s="4"/>
      <c r="G394" s="4"/>
      <c r="H394" s="4"/>
      <c r="I394" s="4"/>
      <c r="J394" s="5" t="s">
        <v>22</v>
      </c>
      <c r="K394" s="5" t="s">
        <v>16</v>
      </c>
      <c r="L394" s="5" t="s">
        <v>78</v>
      </c>
      <c r="M394" s="6" t="s">
        <v>598</v>
      </c>
      <c r="N394" s="5" t="s">
        <v>19</v>
      </c>
      <c r="O394" s="5" t="s">
        <v>27</v>
      </c>
      <c r="P394" s="5">
        <v>10012.0</v>
      </c>
      <c r="Q394" s="5">
        <v>25.0</v>
      </c>
      <c r="R394" s="5">
        <v>5734.0</v>
      </c>
      <c r="S394" s="5">
        <v>9413.0</v>
      </c>
      <c r="T394" s="5">
        <v>4.0</v>
      </c>
      <c r="U394" s="9">
        <v>1805.926086</v>
      </c>
    </row>
    <row r="395">
      <c r="A395" s="4" t="s">
        <v>1417</v>
      </c>
      <c r="B395" s="4" t="str">
        <f>IFERROR(__xludf.DUMMYFUNCTION("SPLIT(A395,""&gt;"")"),"United States ")</f>
        <v>United States </v>
      </c>
      <c r="C395" s="4" t="str">
        <f>IFERROR(__xludf.DUMMYFUNCTION("""COMPUTED_VALUE""")," Interest Propensities ")</f>
        <v> Interest Propensities </v>
      </c>
      <c r="D395" s="4" t="str">
        <f>IFERROR(__xludf.DUMMYFUNCTION("""COMPUTED_VALUE""")," Insurance ")</f>
        <v> Insurance </v>
      </c>
      <c r="E395" s="4" t="str">
        <f>IFERROR(__xludf.DUMMYFUNCTION("""COMPUTED_VALUE""")," Humana")</f>
        <v> Humana</v>
      </c>
      <c r="F395" s="4"/>
      <c r="G395" s="4"/>
      <c r="H395" s="4"/>
      <c r="I395" s="4"/>
      <c r="J395" s="5" t="s">
        <v>61</v>
      </c>
      <c r="K395" s="5" t="s">
        <v>23</v>
      </c>
      <c r="L395" s="5" t="s">
        <v>45</v>
      </c>
      <c r="M395" s="6" t="s">
        <v>598</v>
      </c>
      <c r="N395" s="5" t="s">
        <v>603</v>
      </c>
      <c r="O395" s="5" t="s">
        <v>27</v>
      </c>
      <c r="P395" s="5">
        <v>12459.0</v>
      </c>
      <c r="Q395" s="5">
        <v>84.0</v>
      </c>
      <c r="R395" s="5">
        <v>7290.0</v>
      </c>
      <c r="S395" s="5">
        <v>11731.0</v>
      </c>
      <c r="T395" s="5">
        <v>14.0</v>
      </c>
      <c r="U395" s="9">
        <v>1593.010399</v>
      </c>
    </row>
    <row r="396">
      <c r="A396" s="4" t="s">
        <v>1418</v>
      </c>
      <c r="B396" s="4" t="str">
        <f>IFERROR(__xludf.DUMMYFUNCTION("SPLIT(A396,""&gt;"")"),"United States ")</f>
        <v>United States </v>
      </c>
      <c r="C396" s="4" t="str">
        <f>IFERROR(__xludf.DUMMYFUNCTION("""COMPUTED_VALUE""")," Interest Propensities ")</f>
        <v> Interest Propensities </v>
      </c>
      <c r="D396" s="4" t="str">
        <f>IFERROR(__xludf.DUMMYFUNCTION("""COMPUTED_VALUE""")," Activities and Interests ")</f>
        <v> Activities and Interests </v>
      </c>
      <c r="E396" s="4" t="str">
        <f>IFERROR(__xludf.DUMMYFUNCTION("""COMPUTED_VALUE""")," B2B Job Search")</f>
        <v> B2B Job Search</v>
      </c>
      <c r="F396" s="4"/>
      <c r="G396" s="4"/>
      <c r="H396" s="4"/>
      <c r="I396" s="4"/>
      <c r="J396" s="5" t="s">
        <v>22</v>
      </c>
      <c r="K396" s="5" t="s">
        <v>23</v>
      </c>
      <c r="L396" s="5" t="s">
        <v>183</v>
      </c>
      <c r="M396" s="6" t="s">
        <v>598</v>
      </c>
      <c r="N396" s="5" t="s">
        <v>46</v>
      </c>
      <c r="O396" s="5" t="s">
        <v>27</v>
      </c>
      <c r="P396" s="5">
        <v>32714.0</v>
      </c>
      <c r="Q396" s="5">
        <v>69.0</v>
      </c>
      <c r="R396" s="5">
        <v>3756.0</v>
      </c>
      <c r="S396" s="5">
        <v>30764.0</v>
      </c>
      <c r="T396" s="5">
        <v>15.0</v>
      </c>
      <c r="U396" s="9">
        <v>1506.624304</v>
      </c>
    </row>
    <row r="397">
      <c r="A397" s="4" t="s">
        <v>1419</v>
      </c>
      <c r="B397" s="4" t="str">
        <f>IFERROR(__xludf.DUMMYFUNCTION("SPLIT(A397,""&gt;"")"),"Online Behavior")</f>
        <v>Online Behavior</v>
      </c>
      <c r="C397" s="4" t="str">
        <f>IFERROR(__xludf.DUMMYFUNCTION("""COMPUTED_VALUE"""),"United States")</f>
        <v>United States</v>
      </c>
      <c r="D397" s="4" t="str">
        <f>IFERROR(__xludf.DUMMYFUNCTION("""COMPUTED_VALUE"""),"Autos and Vehicles ")</f>
        <v>Autos and Vehicles </v>
      </c>
      <c r="E397" s="4" t="str">
        <f>IFERROR(__xludf.DUMMYFUNCTION("""COMPUTED_VALUE""")," Brands")</f>
        <v> Brands</v>
      </c>
      <c r="F397" s="4" t="str">
        <f>IFERROR(__xludf.DUMMYFUNCTION("""COMPUTED_VALUE"""),"Bugatti")</f>
        <v>Bugatti</v>
      </c>
      <c r="G397" s="4"/>
      <c r="H397" s="4"/>
      <c r="I397" s="4"/>
      <c r="J397" s="5" t="s">
        <v>22</v>
      </c>
      <c r="K397" s="5" t="s">
        <v>23</v>
      </c>
      <c r="L397" s="5" t="s">
        <v>84</v>
      </c>
      <c r="M397" s="6" t="s">
        <v>606</v>
      </c>
      <c r="N397" s="5" t="s">
        <v>19</v>
      </c>
      <c r="O397" s="5" t="s">
        <v>27</v>
      </c>
      <c r="P397" s="5">
        <v>98509.0</v>
      </c>
      <c r="Q397" s="5">
        <v>299.0</v>
      </c>
      <c r="R397" s="5">
        <v>30688.0</v>
      </c>
      <c r="S397" s="5">
        <v>109518.0</v>
      </c>
      <c r="T397" s="5">
        <v>15.0</v>
      </c>
      <c r="U397" s="9">
        <v>2059.270294</v>
      </c>
    </row>
    <row r="398" hidden="1">
      <c r="A398" s="4" t="s">
        <v>1420</v>
      </c>
      <c r="B398" s="4" t="str">
        <f>IFERROR(__xludf.DUMMYFUNCTION("SPLIT(A398,""&gt;"")"),"Media and Entertainment ")</f>
        <v>Media and Entertainment </v>
      </c>
      <c r="C398" s="4" t="str">
        <f>IFERROR(__xludf.DUMMYFUNCTION("""COMPUTED_VALUE""")," Gaming ")</f>
        <v> Gaming </v>
      </c>
      <c r="D398" s="4" t="str">
        <f>IFERROR(__xludf.DUMMYFUNCTION("""COMPUTED_VALUE""")," In-Market")</f>
        <v> In-Market</v>
      </c>
      <c r="E398" s="4"/>
      <c r="F398" s="4"/>
      <c r="G398" s="4"/>
      <c r="H398" s="4"/>
      <c r="I398" s="4"/>
      <c r="J398" s="5" t="s">
        <v>15</v>
      </c>
      <c r="K398" s="5" t="s">
        <v>23</v>
      </c>
      <c r="L398" s="5" t="s">
        <v>29</v>
      </c>
      <c r="M398" s="6" t="s">
        <v>608</v>
      </c>
      <c r="N398" s="5" t="s">
        <v>1046</v>
      </c>
      <c r="O398" s="5" t="s">
        <v>52</v>
      </c>
      <c r="P398" s="5">
        <v>37076.0</v>
      </c>
      <c r="Q398" s="5">
        <v>113.0</v>
      </c>
      <c r="R398" s="5">
        <v>9246.0</v>
      </c>
      <c r="S398" s="5">
        <v>22565.0</v>
      </c>
      <c r="T398" s="5">
        <v>12.0</v>
      </c>
      <c r="U398" s="9">
        <v>1487.996078</v>
      </c>
    </row>
    <row r="399" hidden="1">
      <c r="A399" s="4" t="s">
        <v>1421</v>
      </c>
      <c r="B399" s="4" t="str">
        <f>IFERROR(__xludf.DUMMYFUNCTION("SPLIT(A399,""&gt;"")"),"Media and Entertainment ")</f>
        <v>Media and Entertainment </v>
      </c>
      <c r="C399" s="4" t="str">
        <f>IFERROR(__xludf.DUMMYFUNCTION("""COMPUTED_VALUE""")," Events and Attractions")</f>
        <v> Events and Attractions</v>
      </c>
      <c r="D399" s="4"/>
      <c r="E399" s="4"/>
      <c r="F399" s="4"/>
      <c r="G399" s="4"/>
      <c r="H399" s="4"/>
      <c r="I399" s="4"/>
      <c r="J399" s="5" t="s">
        <v>15</v>
      </c>
      <c r="K399" s="5" t="s">
        <v>42</v>
      </c>
      <c r="L399" s="5" t="s">
        <v>131</v>
      </c>
      <c r="M399" s="6" t="s">
        <v>610</v>
      </c>
      <c r="N399" s="5" t="s">
        <v>26</v>
      </c>
      <c r="O399" s="5" t="s">
        <v>52</v>
      </c>
      <c r="P399" s="5">
        <v>70506.0</v>
      </c>
      <c r="Q399" s="5">
        <v>270.0</v>
      </c>
      <c r="R399" s="5">
        <v>26779.0</v>
      </c>
      <c r="S399" s="5">
        <v>48902.0</v>
      </c>
      <c r="T399" s="5">
        <v>3.0</v>
      </c>
      <c r="U399" s="9">
        <v>1912.966882</v>
      </c>
    </row>
    <row r="400">
      <c r="A400" s="4" t="s">
        <v>1422</v>
      </c>
      <c r="B400" s="4" t="str">
        <f>IFERROR(__xludf.DUMMYFUNCTION("SPLIT(A400,""&gt;"")"),"Online Behavior")</f>
        <v>Online Behavior</v>
      </c>
      <c r="C400" s="4" t="str">
        <f>IFERROR(__xludf.DUMMYFUNCTION("""COMPUTED_VALUE"""),"United States")</f>
        <v>United States</v>
      </c>
      <c r="D400" s="4" t="str">
        <f>IFERROR(__xludf.DUMMYFUNCTION("""COMPUTED_VALUE"""),"Finance ")</f>
        <v>Finance </v>
      </c>
      <c r="E400" s="4" t="str">
        <f>IFERROR(__xludf.DUMMYFUNCTION("""COMPUTED_VALUE""")," Banking")</f>
        <v> Banking</v>
      </c>
      <c r="F400" s="4" t="str">
        <f>IFERROR(__xludf.DUMMYFUNCTION("""COMPUTED_VALUE"""),"Banking")</f>
        <v>Banking</v>
      </c>
      <c r="G400" s="4"/>
      <c r="H400" s="4"/>
      <c r="I400" s="4"/>
      <c r="J400" s="5" t="s">
        <v>22</v>
      </c>
      <c r="K400" s="5" t="s">
        <v>42</v>
      </c>
      <c r="L400" s="5" t="s">
        <v>17</v>
      </c>
      <c r="M400" s="6" t="s">
        <v>612</v>
      </c>
      <c r="N400" s="5" t="s">
        <v>19</v>
      </c>
      <c r="O400" s="5" t="s">
        <v>27</v>
      </c>
      <c r="P400" s="5">
        <v>921791.0</v>
      </c>
      <c r="Q400" s="5">
        <v>2150.0</v>
      </c>
      <c r="R400" s="5">
        <v>668449.0</v>
      </c>
      <c r="S400" s="5">
        <v>852442.0</v>
      </c>
      <c r="T400" s="5">
        <v>69.0</v>
      </c>
      <c r="U400" s="9">
        <v>8042.897949</v>
      </c>
    </row>
    <row r="401">
      <c r="A401" s="4" t="s">
        <v>1423</v>
      </c>
      <c r="B401" s="4" t="str">
        <f>IFERROR(__xludf.DUMMYFUNCTION("SPLIT(A401,""&gt;"")"),"Online Behavior")</f>
        <v>Online Behavior</v>
      </c>
      <c r="C401" s="4" t="str">
        <f>IFERROR(__xludf.DUMMYFUNCTION("""COMPUTED_VALUE"""),"United States")</f>
        <v>United States</v>
      </c>
      <c r="D401" s="4" t="str">
        <f>IFERROR(__xludf.DUMMYFUNCTION("""COMPUTED_VALUE"""),"Finance ")</f>
        <v>Finance </v>
      </c>
      <c r="E401" s="4" t="str">
        <f>IFERROR(__xludf.DUMMYFUNCTION("""COMPUTED_VALUE""")," Credit and Lending")</f>
        <v> Credit and Lending</v>
      </c>
      <c r="F401" s="4" t="str">
        <f>IFERROR(__xludf.DUMMYFUNCTION("""COMPUTED_VALUE"""),"Credit and Lending")</f>
        <v>Credit and Lending</v>
      </c>
      <c r="G401" s="4"/>
      <c r="H401" s="4"/>
      <c r="I401" s="4"/>
      <c r="J401" s="5" t="s">
        <v>22</v>
      </c>
      <c r="K401" s="5" t="s">
        <v>42</v>
      </c>
      <c r="L401" s="5" t="s">
        <v>35</v>
      </c>
      <c r="M401" s="6" t="s">
        <v>612</v>
      </c>
      <c r="N401" s="5" t="s">
        <v>26</v>
      </c>
      <c r="O401" s="5" t="s">
        <v>27</v>
      </c>
      <c r="P401" s="5">
        <v>4154911.0</v>
      </c>
      <c r="Q401" s="5">
        <v>1254.0</v>
      </c>
      <c r="R401" s="5">
        <v>2338732.0</v>
      </c>
      <c r="S401" s="5">
        <v>3445626.0</v>
      </c>
      <c r="T401" s="5">
        <v>154.0</v>
      </c>
      <c r="U401" s="9">
        <v>8038.570371</v>
      </c>
    </row>
    <row r="402">
      <c r="A402" s="4" t="s">
        <v>1424</v>
      </c>
      <c r="B402" s="4" t="str">
        <f>IFERROR(__xludf.DUMMYFUNCTION("SPLIT(A402,""&gt;"")"),"Online Behavior")</f>
        <v>Online Behavior</v>
      </c>
      <c r="C402" s="4" t="str">
        <f>IFERROR(__xludf.DUMMYFUNCTION("""COMPUTED_VALUE"""),"United States")</f>
        <v>United States</v>
      </c>
      <c r="D402" s="4" t="str">
        <f>IFERROR(__xludf.DUMMYFUNCTION("""COMPUTED_VALUE"""),"Finance ")</f>
        <v>Finance </v>
      </c>
      <c r="E402" s="4" t="str">
        <f>IFERROR(__xludf.DUMMYFUNCTION("""COMPUTED_VALUE""")," Investing")</f>
        <v> Investing</v>
      </c>
      <c r="F402" s="4" t="str">
        <f>IFERROR(__xludf.DUMMYFUNCTION("""COMPUTED_VALUE"""),"Investing")</f>
        <v>Investing</v>
      </c>
      <c r="G402" s="4"/>
      <c r="H402" s="4"/>
      <c r="I402" s="4"/>
      <c r="J402" s="5" t="s">
        <v>22</v>
      </c>
      <c r="K402" s="5" t="s">
        <v>16</v>
      </c>
      <c r="L402" s="5" t="s">
        <v>55</v>
      </c>
      <c r="M402" s="6" t="s">
        <v>612</v>
      </c>
      <c r="N402" s="5" t="s">
        <v>19</v>
      </c>
      <c r="O402" s="5" t="s">
        <v>27</v>
      </c>
      <c r="P402" s="5">
        <v>1222302.0</v>
      </c>
      <c r="Q402" s="5">
        <v>3142.0</v>
      </c>
      <c r="R402" s="5">
        <v>553773.0</v>
      </c>
      <c r="S402" s="5">
        <v>1120128.0</v>
      </c>
      <c r="T402" s="5">
        <v>42.0</v>
      </c>
      <c r="U402" s="9">
        <v>7880.770406</v>
      </c>
    </row>
    <row r="403">
      <c r="A403" s="4" t="s">
        <v>615</v>
      </c>
      <c r="B403" s="4" t="str">
        <f>IFERROR(__xludf.DUMMYFUNCTION("SPLIT(A403,""&gt;"")"),"Online Behavior")</f>
        <v>Online Behavior</v>
      </c>
      <c r="C403" s="4" t="str">
        <f>IFERROR(__xludf.DUMMYFUNCTION("""COMPUTED_VALUE"""),"United States")</f>
        <v>United States</v>
      </c>
      <c r="D403" s="4" t="str">
        <f>IFERROR(__xludf.DUMMYFUNCTION("""COMPUTED_VALUE"""),"Beauty and Fitness")</f>
        <v>Beauty and Fitness</v>
      </c>
      <c r="E403" s="4" t="str">
        <f>IFERROR(__xludf.DUMMYFUNCTION("""COMPUTED_VALUE"""),"Hair Care")</f>
        <v>Hair Care</v>
      </c>
      <c r="F403" s="4"/>
      <c r="G403" s="4"/>
      <c r="H403" s="4"/>
      <c r="I403" s="4"/>
      <c r="J403" s="5" t="s">
        <v>22</v>
      </c>
      <c r="K403" s="5" t="s">
        <v>23</v>
      </c>
      <c r="L403" s="5" t="s">
        <v>29</v>
      </c>
      <c r="M403" s="6" t="s">
        <v>612</v>
      </c>
      <c r="N403" s="5" t="s">
        <v>19</v>
      </c>
      <c r="O403" s="5" t="s">
        <v>27</v>
      </c>
      <c r="P403" s="5">
        <v>999915.0</v>
      </c>
      <c r="Q403" s="5">
        <v>2748.0</v>
      </c>
      <c r="R403" s="5">
        <v>618816.0</v>
      </c>
      <c r="S403" s="5">
        <v>829942.0</v>
      </c>
      <c r="T403" s="5">
        <v>23.0</v>
      </c>
      <c r="U403" s="9">
        <v>7879.316787</v>
      </c>
    </row>
    <row r="404">
      <c r="A404" s="4" t="s">
        <v>616</v>
      </c>
      <c r="B404" s="4" t="str">
        <f>IFERROR(__xludf.DUMMYFUNCTION("SPLIT(A404,""&gt;"")"),"Online Behavior")</f>
        <v>Online Behavior</v>
      </c>
      <c r="C404" s="4" t="str">
        <f>IFERROR(__xludf.DUMMYFUNCTION("""COMPUTED_VALUE"""),"United States")</f>
        <v>United States</v>
      </c>
      <c r="D404" s="4" t="str">
        <f>IFERROR(__xludf.DUMMYFUNCTION("""COMPUTED_VALUE"""),"Life Event")</f>
        <v>Life Event</v>
      </c>
      <c r="E404" s="4" t="str">
        <f>IFERROR(__xludf.DUMMYFUNCTION("""COMPUTED_VALUE"""),"College Graduation")</f>
        <v>College Graduation</v>
      </c>
      <c r="F404" s="4"/>
      <c r="G404" s="4"/>
      <c r="H404" s="4"/>
      <c r="I404" s="4"/>
      <c r="J404" s="5" t="s">
        <v>22</v>
      </c>
      <c r="K404" s="5" t="s">
        <v>42</v>
      </c>
      <c r="L404" s="5" t="s">
        <v>17</v>
      </c>
      <c r="M404" s="6" t="s">
        <v>612</v>
      </c>
      <c r="N404" s="5" t="s">
        <v>19</v>
      </c>
      <c r="O404" s="5" t="s">
        <v>27</v>
      </c>
      <c r="P404" s="5">
        <v>1515751.0</v>
      </c>
      <c r="Q404" s="5">
        <v>3874.0</v>
      </c>
      <c r="R404" s="5">
        <v>1151776.0</v>
      </c>
      <c r="S404" s="5">
        <v>1396230.0</v>
      </c>
      <c r="T404" s="5">
        <v>49.0</v>
      </c>
      <c r="U404" s="9">
        <v>7850.644244</v>
      </c>
    </row>
    <row r="405">
      <c r="A405" s="4" t="s">
        <v>617</v>
      </c>
      <c r="B405" s="4" t="str">
        <f>IFERROR(__xludf.DUMMYFUNCTION("SPLIT(A405,""&gt;"")"),"Online Behavior")</f>
        <v>Online Behavior</v>
      </c>
      <c r="C405" s="4" t="str">
        <f>IFERROR(__xludf.DUMMYFUNCTION("""COMPUTED_VALUE"""),"United States")</f>
        <v>United States</v>
      </c>
      <c r="D405" s="4" t="str">
        <f>IFERROR(__xludf.DUMMYFUNCTION("""COMPUTED_VALUE"""),"The Changing Consumer")</f>
        <v>The Changing Consumer</v>
      </c>
      <c r="E405" s="4" t="str">
        <f>IFERROR(__xludf.DUMMYFUNCTION("""COMPUTED_VALUE"""),"Happy at Home")</f>
        <v>Happy at Home</v>
      </c>
      <c r="F405" s="4"/>
      <c r="G405" s="4"/>
      <c r="H405" s="4"/>
      <c r="I405" s="4"/>
      <c r="J405" s="5" t="s">
        <v>15</v>
      </c>
      <c r="K405" s="5" t="s">
        <v>31</v>
      </c>
      <c r="L405" s="5" t="s">
        <v>17</v>
      </c>
      <c r="M405" s="6" t="s">
        <v>612</v>
      </c>
      <c r="N405" s="5" t="s">
        <v>117</v>
      </c>
      <c r="O405" s="5" t="s">
        <v>27</v>
      </c>
      <c r="P405" s="5">
        <v>1575592.0</v>
      </c>
      <c r="Q405" s="5">
        <v>3874.0</v>
      </c>
      <c r="R405" s="5">
        <v>1155869.0</v>
      </c>
      <c r="S405" s="5">
        <v>1447900.0</v>
      </c>
      <c r="T405" s="5">
        <v>88.0</v>
      </c>
      <c r="U405" s="9">
        <v>7818.648297</v>
      </c>
    </row>
    <row r="406">
      <c r="A406" s="4" t="s">
        <v>1425</v>
      </c>
      <c r="B406" s="4" t="str">
        <f>IFERROR(__xludf.DUMMYFUNCTION("SPLIT(A406,""&gt;"")"),"Online Behavior")</f>
        <v>Online Behavior</v>
      </c>
      <c r="C406" s="4" t="str">
        <f>IFERROR(__xludf.DUMMYFUNCTION("""COMPUTED_VALUE"""),"United States")</f>
        <v>United States</v>
      </c>
      <c r="D406" s="4" t="str">
        <f>IFERROR(__xludf.DUMMYFUNCTION("""COMPUTED_VALUE"""),"Sports")</f>
        <v>Sports</v>
      </c>
      <c r="E406" s="4" t="str">
        <f>IFERROR(__xludf.DUMMYFUNCTION("""COMPUTED_VALUE"""),"Team Sports ")</f>
        <v>Team Sports </v>
      </c>
      <c r="F406" s="4" t="str">
        <f>IFERROR(__xludf.DUMMYFUNCTION("""COMPUTED_VALUE""")," American Football")</f>
        <v> American Football</v>
      </c>
      <c r="G406" s="4"/>
      <c r="H406" s="4"/>
      <c r="I406" s="4"/>
      <c r="J406" s="5" t="s">
        <v>22</v>
      </c>
      <c r="K406" s="5" t="s">
        <v>23</v>
      </c>
      <c r="L406" s="5" t="s">
        <v>39</v>
      </c>
      <c r="M406" s="6" t="s">
        <v>612</v>
      </c>
      <c r="N406" s="5" t="s">
        <v>26</v>
      </c>
      <c r="O406" s="5" t="s">
        <v>27</v>
      </c>
      <c r="P406" s="5">
        <v>458931.0</v>
      </c>
      <c r="Q406" s="5">
        <v>974.0</v>
      </c>
      <c r="R406" s="5">
        <v>264325.0</v>
      </c>
      <c r="S406" s="5">
        <v>378011.0</v>
      </c>
      <c r="T406" s="5">
        <v>30.0</v>
      </c>
      <c r="U406" s="9">
        <v>7462.677935</v>
      </c>
    </row>
    <row r="407">
      <c r="A407" s="4" t="s">
        <v>619</v>
      </c>
      <c r="B407" s="4" t="str">
        <f>IFERROR(__xludf.DUMMYFUNCTION("SPLIT(A407,""&gt;"")"),"Online Behavior")</f>
        <v>Online Behavior</v>
      </c>
      <c r="C407" s="4" t="str">
        <f>IFERROR(__xludf.DUMMYFUNCTION("""COMPUTED_VALUE"""),"United States")</f>
        <v>United States</v>
      </c>
      <c r="D407" s="4" t="str">
        <f>IFERROR(__xludf.DUMMYFUNCTION("""COMPUTED_VALUE"""),"Autos and Vehicles")</f>
        <v>Autos and Vehicles</v>
      </c>
      <c r="E407" s="4" t="str">
        <f>IFERROR(__xludf.DUMMYFUNCTION("""COMPUTED_VALUE"""),"Electric and Plug-In Vehicles")</f>
        <v>Electric and Plug-In Vehicles</v>
      </c>
      <c r="F407" s="4"/>
      <c r="G407" s="4"/>
      <c r="H407" s="4"/>
      <c r="I407" s="4"/>
      <c r="J407" s="5" t="s">
        <v>22</v>
      </c>
      <c r="K407" s="5" t="s">
        <v>42</v>
      </c>
      <c r="L407" s="5" t="s">
        <v>29</v>
      </c>
      <c r="M407" s="6" t="s">
        <v>612</v>
      </c>
      <c r="N407" s="5" t="s">
        <v>26</v>
      </c>
      <c r="O407" s="5" t="s">
        <v>27</v>
      </c>
      <c r="P407" s="5">
        <v>1601933.0</v>
      </c>
      <c r="Q407" s="5">
        <v>4265.0</v>
      </c>
      <c r="R407" s="5">
        <v>1135085.0</v>
      </c>
      <c r="S407" s="5">
        <v>1487426.0</v>
      </c>
      <c r="T407" s="5">
        <v>29.0</v>
      </c>
      <c r="U407" s="9">
        <v>6785.70979</v>
      </c>
    </row>
    <row r="408">
      <c r="A408" s="4" t="s">
        <v>1426</v>
      </c>
      <c r="B408" s="4" t="str">
        <f>IFERROR(__xludf.DUMMYFUNCTION("SPLIT(A408,""&gt;"")"),"Online Behavior")</f>
        <v>Online Behavior</v>
      </c>
      <c r="C408" s="4" t="str">
        <f>IFERROR(__xludf.DUMMYFUNCTION("""COMPUTED_VALUE"""),"United States")</f>
        <v>United States</v>
      </c>
      <c r="D408" s="4" t="str">
        <f>IFERROR(__xludf.DUMMYFUNCTION("""COMPUTED_VALUE"""),"Intent ")</f>
        <v>Intent </v>
      </c>
      <c r="E408" s="4" t="str">
        <f>IFERROR(__xludf.DUMMYFUNCTION("""COMPUTED_VALUE""")," Shopping")</f>
        <v> Shopping</v>
      </c>
      <c r="F408" s="4" t="str">
        <f>IFERROR(__xludf.DUMMYFUNCTION("""COMPUTED_VALUE"""),"Home and Garden")</f>
        <v>Home and Garden</v>
      </c>
      <c r="G408" s="4"/>
      <c r="H408" s="4"/>
      <c r="I408" s="4"/>
      <c r="J408" s="5" t="s">
        <v>22</v>
      </c>
      <c r="K408" s="5" t="s">
        <v>23</v>
      </c>
      <c r="L408" s="5" t="s">
        <v>45</v>
      </c>
      <c r="M408" s="6" t="s">
        <v>612</v>
      </c>
      <c r="N408" s="5" t="s">
        <v>19</v>
      </c>
      <c r="O408" s="5" t="s">
        <v>27</v>
      </c>
      <c r="P408" s="5">
        <v>26270.0</v>
      </c>
      <c r="Q408" s="5">
        <v>63.0</v>
      </c>
      <c r="R408" s="5">
        <v>12813.0</v>
      </c>
      <c r="S408" s="5">
        <v>21893.0</v>
      </c>
      <c r="T408" s="5">
        <v>12.0</v>
      </c>
      <c r="U408" s="9">
        <v>6417.264564</v>
      </c>
    </row>
    <row r="409">
      <c r="A409" s="4" t="s">
        <v>1427</v>
      </c>
      <c r="B409" s="4" t="str">
        <f>IFERROR(__xludf.DUMMYFUNCTION("SPLIT(A409,""&gt;"")"),"Online Behavior")</f>
        <v>Online Behavior</v>
      </c>
      <c r="C409" s="4" t="str">
        <f>IFERROR(__xludf.DUMMYFUNCTION("""COMPUTED_VALUE"""),"United States")</f>
        <v>United States</v>
      </c>
      <c r="D409" s="4" t="str">
        <f>IFERROR(__xludf.DUMMYFUNCTION("""COMPUTED_VALUE"""),"Intent ")</f>
        <v>Intent </v>
      </c>
      <c r="E409" s="4" t="str">
        <f>IFERROR(__xludf.DUMMYFUNCTION("""COMPUTED_VALUE""")," Auto Buyers ")</f>
        <v> Auto Buyers </v>
      </c>
      <c r="F409" s="4" t="str">
        <f>IFERROR(__xludf.DUMMYFUNCTION("""COMPUTED_VALUE""")," Type")</f>
        <v> Type</v>
      </c>
      <c r="G409" s="4" t="str">
        <f>IFERROR(__xludf.DUMMYFUNCTION("""COMPUTED_VALUE"""),"Truck")</f>
        <v>Truck</v>
      </c>
      <c r="H409" s="4"/>
      <c r="I409" s="4"/>
      <c r="J409" s="5" t="s">
        <v>15</v>
      </c>
      <c r="K409" s="5" t="s">
        <v>31</v>
      </c>
      <c r="L409" s="5" t="s">
        <v>66</v>
      </c>
      <c r="M409" s="6" t="s">
        <v>612</v>
      </c>
      <c r="N409" s="5" t="s">
        <v>46</v>
      </c>
      <c r="O409" s="5" t="s">
        <v>27</v>
      </c>
      <c r="P409" s="5">
        <v>12974.0</v>
      </c>
      <c r="Q409" s="5">
        <v>84.0</v>
      </c>
      <c r="R409" s="5">
        <v>7521.0</v>
      </c>
      <c r="S409" s="5">
        <v>10959.0</v>
      </c>
      <c r="T409" s="5">
        <v>7.0</v>
      </c>
      <c r="U409" s="9">
        <v>6301.868847</v>
      </c>
    </row>
    <row r="410">
      <c r="A410" s="4" t="s">
        <v>1428</v>
      </c>
      <c r="B410" s="4" t="str">
        <f>IFERROR(__xludf.DUMMYFUNCTION("SPLIT(A410,""&gt;"")"),"Online Behavior")</f>
        <v>Online Behavior</v>
      </c>
      <c r="C410" s="4" t="str">
        <f>IFERROR(__xludf.DUMMYFUNCTION("""COMPUTED_VALUE"""),"United States")</f>
        <v>United States</v>
      </c>
      <c r="D410" s="4" t="str">
        <f>IFERROR(__xludf.DUMMYFUNCTION("""COMPUTED_VALUE"""),"Intent ")</f>
        <v>Intent </v>
      </c>
      <c r="E410" s="4" t="str">
        <f>IFERROR(__xludf.DUMMYFUNCTION("""COMPUTED_VALUE""")," Shopping")</f>
        <v> Shopping</v>
      </c>
      <c r="F410" s="4" t="str">
        <f>IFERROR(__xludf.DUMMYFUNCTION("""COMPUTED_VALUE"""),"Consumer Electronics ")</f>
        <v>Consumer Electronics </v>
      </c>
      <c r="G410" s="4" t="str">
        <f>IFERROR(__xludf.DUMMYFUNCTION("""COMPUTED_VALUE""")," Televisions/TVs")</f>
        <v> Televisions/TVs</v>
      </c>
      <c r="H410" s="4"/>
      <c r="I410" s="4"/>
      <c r="J410" s="5" t="s">
        <v>22</v>
      </c>
      <c r="K410" s="5" t="s">
        <v>16</v>
      </c>
      <c r="L410" s="5" t="s">
        <v>35</v>
      </c>
      <c r="M410" s="6" t="s">
        <v>612</v>
      </c>
      <c r="N410" s="5" t="s">
        <v>26</v>
      </c>
      <c r="O410" s="5" t="s">
        <v>27</v>
      </c>
      <c r="P410" s="5">
        <v>192201.0</v>
      </c>
      <c r="Q410" s="5">
        <v>489.0</v>
      </c>
      <c r="R410" s="5">
        <v>113707.0</v>
      </c>
      <c r="S410" s="5">
        <v>157940.0</v>
      </c>
      <c r="T410" s="5">
        <v>3.0</v>
      </c>
      <c r="U410" s="9">
        <v>6176.004154</v>
      </c>
    </row>
    <row r="411" hidden="1">
      <c r="A411" s="4" t="s">
        <v>1429</v>
      </c>
      <c r="B411" s="4" t="str">
        <f>IFERROR(__xludf.DUMMYFUNCTION("SPLIT(A411,""&gt;"")"),"Online Behavior")</f>
        <v>Online Behavior</v>
      </c>
      <c r="C411" s="4" t="str">
        <f>IFERROR(__xludf.DUMMYFUNCTION("""COMPUTED_VALUE"""),"United States")</f>
        <v>United States</v>
      </c>
      <c r="D411" s="4" t="str">
        <f>IFERROR(__xludf.DUMMYFUNCTION("""COMPUTED_VALUE"""),"Intent ")</f>
        <v>Intent </v>
      </c>
      <c r="E411" s="4" t="str">
        <f>IFERROR(__xludf.DUMMYFUNCTION("""COMPUTED_VALUE""")," Services")</f>
        <v> Services</v>
      </c>
      <c r="F411" s="4" t="str">
        <f>IFERROR(__xludf.DUMMYFUNCTION("""COMPUTED_VALUE"""),"Arts and Entertainment")</f>
        <v>Arts and Entertainment</v>
      </c>
      <c r="G411" s="4"/>
      <c r="H411" s="4"/>
      <c r="I411" s="4"/>
      <c r="J411" s="5" t="s">
        <v>15</v>
      </c>
      <c r="K411" s="5" t="s">
        <v>23</v>
      </c>
      <c r="L411" s="5" t="s">
        <v>35</v>
      </c>
      <c r="M411" s="6" t="s">
        <v>612</v>
      </c>
      <c r="N411" s="5" t="s">
        <v>19</v>
      </c>
      <c r="O411" s="5" t="s">
        <v>20</v>
      </c>
      <c r="P411" s="5">
        <v>29834.0</v>
      </c>
      <c r="Q411" s="5">
        <v>99.0</v>
      </c>
      <c r="R411" s="5">
        <v>14599.0</v>
      </c>
      <c r="S411" s="5">
        <v>24656.0</v>
      </c>
      <c r="T411" s="5">
        <v>14.0</v>
      </c>
      <c r="U411" s="9">
        <v>6032.837114</v>
      </c>
    </row>
    <row r="412" hidden="1">
      <c r="A412" s="4" t="s">
        <v>1430</v>
      </c>
      <c r="B412" s="4" t="str">
        <f>IFERROR(__xludf.DUMMYFUNCTION("SPLIT(A412,""&gt;"")"),"Online Behavior")</f>
        <v>Online Behavior</v>
      </c>
      <c r="C412" s="4" t="str">
        <f>IFERROR(__xludf.DUMMYFUNCTION("""COMPUTED_VALUE"""),"United States")</f>
        <v>United States</v>
      </c>
      <c r="D412" s="4" t="str">
        <f>IFERROR(__xludf.DUMMYFUNCTION("""COMPUTED_VALUE"""),"Sports")</f>
        <v>Sports</v>
      </c>
      <c r="E412" s="4" t="str">
        <f>IFERROR(__xludf.DUMMYFUNCTION("""COMPUTED_VALUE"""),"Individual Sports ")</f>
        <v>Individual Sports </v>
      </c>
      <c r="F412" s="4" t="str">
        <f>IFERROR(__xludf.DUMMYFUNCTION("""COMPUTED_VALUE""")," Cycling")</f>
        <v> Cycling</v>
      </c>
      <c r="G412" s="4"/>
      <c r="H412" s="4"/>
      <c r="I412" s="4"/>
      <c r="J412" s="5" t="s">
        <v>15</v>
      </c>
      <c r="K412" s="5" t="s">
        <v>42</v>
      </c>
      <c r="L412" s="5" t="s">
        <v>183</v>
      </c>
      <c r="M412" s="6" t="s">
        <v>612</v>
      </c>
      <c r="N412" s="5" t="s">
        <v>161</v>
      </c>
      <c r="O412" s="5" t="s">
        <v>52</v>
      </c>
      <c r="P412" s="5">
        <v>117518.0</v>
      </c>
      <c r="Q412" s="5">
        <v>299.0</v>
      </c>
      <c r="R412" s="5">
        <v>66458.0</v>
      </c>
      <c r="S412" s="5">
        <v>86571.0</v>
      </c>
      <c r="T412" s="5">
        <v>1.0</v>
      </c>
      <c r="U412" s="9">
        <v>5999.993781</v>
      </c>
    </row>
    <row r="413">
      <c r="A413" s="4" t="s">
        <v>1431</v>
      </c>
      <c r="B413" s="4" t="str">
        <f>IFERROR(__xludf.DUMMYFUNCTION("SPLIT(A413,""&gt;"")"),"Online Behavior")</f>
        <v>Online Behavior</v>
      </c>
      <c r="C413" s="4" t="str">
        <f>IFERROR(__xludf.DUMMYFUNCTION("""COMPUTED_VALUE"""),"United States")</f>
        <v>United States</v>
      </c>
      <c r="D413" s="4" t="str">
        <f>IFERROR(__xludf.DUMMYFUNCTION("""COMPUTED_VALUE"""),"Autos and Vehicles ")</f>
        <v>Autos and Vehicles </v>
      </c>
      <c r="E413" s="4" t="str">
        <f>IFERROR(__xludf.DUMMYFUNCTION("""COMPUTED_VALUE""")," Brands")</f>
        <v> Brands</v>
      </c>
      <c r="F413" s="4" t="str">
        <f>IFERROR(__xludf.DUMMYFUNCTION("""COMPUTED_VALUE"""),"Porsche")</f>
        <v>Porsche</v>
      </c>
      <c r="G413" s="4"/>
      <c r="H413" s="4"/>
      <c r="I413" s="4"/>
      <c r="J413" s="5" t="s">
        <v>22</v>
      </c>
      <c r="K413" s="5" t="s">
        <v>23</v>
      </c>
      <c r="L413" s="5" t="s">
        <v>35</v>
      </c>
      <c r="M413" s="6" t="s">
        <v>612</v>
      </c>
      <c r="N413" s="5" t="s">
        <v>48</v>
      </c>
      <c r="O413" s="5" t="s">
        <v>27</v>
      </c>
      <c r="P413" s="5">
        <v>3196231.0</v>
      </c>
      <c r="Q413" s="5">
        <v>8745.0</v>
      </c>
      <c r="R413" s="5">
        <v>2013324.0</v>
      </c>
      <c r="S413" s="5">
        <v>2669103.0</v>
      </c>
      <c r="T413" s="5">
        <v>70.0</v>
      </c>
      <c r="U413" s="9">
        <v>5756.271172</v>
      </c>
    </row>
    <row r="414">
      <c r="A414" s="4" t="s">
        <v>1432</v>
      </c>
      <c r="B414" s="4" t="str">
        <f>IFERROR(__xludf.DUMMYFUNCTION("SPLIT(A414,""&gt;"")"),"Online Behavior")</f>
        <v>Online Behavior</v>
      </c>
      <c r="C414" s="4" t="str">
        <f>IFERROR(__xludf.DUMMYFUNCTION("""COMPUTED_VALUE"""),"United States")</f>
        <v>United States</v>
      </c>
      <c r="D414" s="4" t="str">
        <f>IFERROR(__xludf.DUMMYFUNCTION("""COMPUTED_VALUE"""),"Beauty and Fitness")</f>
        <v>Beauty and Fitness</v>
      </c>
      <c r="E414" s="4" t="str">
        <f>IFERROR(__xludf.DUMMYFUNCTION("""COMPUTED_VALUE"""),"Spas and Beauty Services ")</f>
        <v>Spas and Beauty Services </v>
      </c>
      <c r="F414" s="4" t="str">
        <f>IFERROR(__xludf.DUMMYFUNCTION("""COMPUTED_VALUE""")," Massage Therapy")</f>
        <v> Massage Therapy</v>
      </c>
      <c r="G414" s="4"/>
      <c r="H414" s="4"/>
      <c r="I414" s="4"/>
      <c r="J414" s="5" t="s">
        <v>15</v>
      </c>
      <c r="K414" s="5" t="s">
        <v>42</v>
      </c>
      <c r="L414" s="5" t="s">
        <v>29</v>
      </c>
      <c r="M414" s="6" t="s">
        <v>612</v>
      </c>
      <c r="N414" s="5" t="s">
        <v>19</v>
      </c>
      <c r="O414" s="5" t="s">
        <v>27</v>
      </c>
      <c r="P414" s="5">
        <v>109128.0</v>
      </c>
      <c r="Q414" s="5">
        <v>470.0</v>
      </c>
      <c r="R414" s="5">
        <v>38487.0</v>
      </c>
      <c r="S414" s="5">
        <v>90615.0</v>
      </c>
      <c r="T414" s="5">
        <v>3.0</v>
      </c>
      <c r="U414" s="9">
        <v>5153.117204</v>
      </c>
    </row>
    <row r="415">
      <c r="A415" s="4" t="s">
        <v>627</v>
      </c>
      <c r="B415" s="4" t="str">
        <f>IFERROR(__xludf.DUMMYFUNCTION("SPLIT(A415,""&gt;"")"),"Online Behavior")</f>
        <v>Online Behavior</v>
      </c>
      <c r="C415" s="4" t="str">
        <f>IFERROR(__xludf.DUMMYFUNCTION("""COMPUTED_VALUE"""),"United States")</f>
        <v>United States</v>
      </c>
      <c r="D415" s="4" t="str">
        <f>IFERROR(__xludf.DUMMYFUNCTION("""COMPUTED_VALUE"""),"Arts and Entertainment")</f>
        <v>Arts and Entertainment</v>
      </c>
      <c r="E415" s="4" t="str">
        <f>IFERROR(__xludf.DUMMYFUNCTION("""COMPUTED_VALUE"""),"TV and Video")</f>
        <v>TV and Video</v>
      </c>
      <c r="F415" s="4"/>
      <c r="G415" s="4"/>
      <c r="H415" s="4"/>
      <c r="I415" s="4"/>
      <c r="J415" s="5" t="s">
        <v>61</v>
      </c>
      <c r="K415" s="5" t="s">
        <v>16</v>
      </c>
      <c r="L415" s="5" t="s">
        <v>78</v>
      </c>
      <c r="M415" s="6" t="s">
        <v>612</v>
      </c>
      <c r="N415" s="5" t="s">
        <v>46</v>
      </c>
      <c r="O415" s="5" t="s">
        <v>27</v>
      </c>
      <c r="P415" s="5">
        <v>13946.0</v>
      </c>
      <c r="Q415" s="5">
        <v>40.0</v>
      </c>
      <c r="R415" s="5">
        <v>3142.0</v>
      </c>
      <c r="S415" s="5">
        <v>8823.0</v>
      </c>
      <c r="T415" s="5">
        <v>8.0</v>
      </c>
      <c r="U415" s="9">
        <v>4920.23463</v>
      </c>
    </row>
    <row r="416">
      <c r="A416" s="4" t="s">
        <v>1433</v>
      </c>
      <c r="B416" s="4" t="str">
        <f>IFERROR(__xludf.DUMMYFUNCTION("SPLIT(A416,""&gt;"")"),"Online Behavior")</f>
        <v>Online Behavior</v>
      </c>
      <c r="C416" s="4" t="str">
        <f>IFERROR(__xludf.DUMMYFUNCTION("""COMPUTED_VALUE"""),"United States")</f>
        <v>United States</v>
      </c>
      <c r="D416" s="4" t="str">
        <f>IFERROR(__xludf.DUMMYFUNCTION("""COMPUTED_VALUE"""),"Autos and Vehicles ")</f>
        <v>Autos and Vehicles </v>
      </c>
      <c r="E416" s="4" t="str">
        <f>IFERROR(__xludf.DUMMYFUNCTION("""COMPUTED_VALUE""")," Brands")</f>
        <v> Brands</v>
      </c>
      <c r="F416" s="4" t="str">
        <f>IFERROR(__xludf.DUMMYFUNCTION("""COMPUTED_VALUE"""),"Mitsubishi")</f>
        <v>Mitsubishi</v>
      </c>
      <c r="G416" s="4"/>
      <c r="H416" s="4"/>
      <c r="I416" s="4"/>
      <c r="J416" s="5" t="s">
        <v>15</v>
      </c>
      <c r="K416" s="5" t="s">
        <v>23</v>
      </c>
      <c r="L416" s="5" t="s">
        <v>29</v>
      </c>
      <c r="M416" s="6" t="s">
        <v>612</v>
      </c>
      <c r="N416" s="5" t="s">
        <v>136</v>
      </c>
      <c r="O416" s="5" t="s">
        <v>27</v>
      </c>
      <c r="P416" s="5">
        <v>335461.0</v>
      </c>
      <c r="Q416" s="5">
        <v>963.0</v>
      </c>
      <c r="R416" s="5">
        <v>171464.0</v>
      </c>
      <c r="S416" s="5">
        <v>247450.0</v>
      </c>
      <c r="T416" s="5">
        <v>5.0</v>
      </c>
      <c r="U416" s="9">
        <v>4445.874629</v>
      </c>
    </row>
    <row r="417">
      <c r="A417" s="4" t="s">
        <v>1434</v>
      </c>
      <c r="B417" s="4" t="str">
        <f>IFERROR(__xludf.DUMMYFUNCTION("SPLIT(A417,""&gt;"")"),"Online Behavior")</f>
        <v>Online Behavior</v>
      </c>
      <c r="C417" s="4" t="str">
        <f>IFERROR(__xludf.DUMMYFUNCTION("""COMPUTED_VALUE"""),"United States")</f>
        <v>United States</v>
      </c>
      <c r="D417" s="4" t="str">
        <f>IFERROR(__xludf.DUMMYFUNCTION("""COMPUTED_VALUE"""),"Autos and Vehicles ")</f>
        <v>Autos and Vehicles </v>
      </c>
      <c r="E417" s="4" t="str">
        <f>IFERROR(__xludf.DUMMYFUNCTION("""COMPUTED_VALUE""")," Brands")</f>
        <v> Brands</v>
      </c>
      <c r="F417" s="4" t="str">
        <f>IFERROR(__xludf.DUMMYFUNCTION("""COMPUTED_VALUE"""),"GM-Daewoo")</f>
        <v>GM-Daewoo</v>
      </c>
      <c r="G417" s="4"/>
      <c r="H417" s="4"/>
      <c r="I417" s="4"/>
      <c r="J417" s="5" t="s">
        <v>22</v>
      </c>
      <c r="K417" s="5" t="s">
        <v>31</v>
      </c>
      <c r="L417" s="5" t="s">
        <v>155</v>
      </c>
      <c r="M417" s="6" t="s">
        <v>612</v>
      </c>
      <c r="N417" s="5" t="s">
        <v>19</v>
      </c>
      <c r="O417" s="5" t="s">
        <v>27</v>
      </c>
      <c r="P417" s="5">
        <v>48436.0</v>
      </c>
      <c r="Q417" s="5">
        <v>171.0</v>
      </c>
      <c r="R417" s="5">
        <v>16543.0</v>
      </c>
      <c r="S417" s="5">
        <v>42427.0</v>
      </c>
      <c r="T417" s="5">
        <v>6.0</v>
      </c>
      <c r="U417" s="9">
        <v>4386.648215</v>
      </c>
    </row>
    <row r="418">
      <c r="A418" s="4" t="s">
        <v>1435</v>
      </c>
      <c r="B418" s="4" t="str">
        <f>IFERROR(__xludf.DUMMYFUNCTION("SPLIT(A418,""&gt;"")"),"United States ")</f>
        <v>United States </v>
      </c>
      <c r="C418" s="4" t="str">
        <f>IFERROR(__xludf.DUMMYFUNCTION("""COMPUTED_VALUE""")," Demo ")</f>
        <v> Demo </v>
      </c>
      <c r="D418" s="4" t="str">
        <f>IFERROR(__xludf.DUMMYFUNCTION("""COMPUTED_VALUE""")," Age ")</f>
        <v> Age </v>
      </c>
      <c r="E418" s="4" t="str">
        <f>IFERROR(__xludf.DUMMYFUNCTION("""COMPUTED_VALUE""")," 65+")</f>
        <v> 65+</v>
      </c>
      <c r="F418" s="4"/>
      <c r="G418" s="4"/>
      <c r="H418" s="4"/>
      <c r="I418" s="4"/>
      <c r="J418" s="5" t="s">
        <v>22</v>
      </c>
      <c r="K418" s="5" t="s">
        <v>31</v>
      </c>
      <c r="L418" s="5" t="s">
        <v>39</v>
      </c>
      <c r="M418" s="6" t="s">
        <v>612</v>
      </c>
      <c r="N418" s="5" t="s">
        <v>19</v>
      </c>
      <c r="O418" s="5" t="s">
        <v>27</v>
      </c>
      <c r="P418" s="5">
        <v>58738.0</v>
      </c>
      <c r="Q418" s="5">
        <v>165.0</v>
      </c>
      <c r="R418" s="5">
        <v>33538.0</v>
      </c>
      <c r="S418" s="5">
        <v>47535.0</v>
      </c>
      <c r="T418" s="5">
        <v>14.0</v>
      </c>
      <c r="U418" s="9">
        <v>2801.584386</v>
      </c>
    </row>
    <row r="419">
      <c r="A419" s="4" t="s">
        <v>1436</v>
      </c>
      <c r="B419" s="4" t="str">
        <f>IFERROR(__xludf.DUMMYFUNCTION("SPLIT(A419,""&gt;"")"),"United States ")</f>
        <v>United States </v>
      </c>
      <c r="C419" s="4" t="str">
        <f>IFERROR(__xludf.DUMMYFUNCTION("""COMPUTED_VALUE""")," Sociodemographic ")</f>
        <v> Sociodemographic </v>
      </c>
      <c r="D419" s="4" t="str">
        <f>IFERROR(__xludf.DUMMYFUNCTION("""COMPUTED_VALUE""")," P$YCLE Premier Lifestage ")</f>
        <v> P$YCLE Premier Lifestage </v>
      </c>
      <c r="E419" s="4" t="str">
        <f>IFERROR(__xludf.DUMMYFUNCTION("""COMPUTED_VALUE""")," Y3 Fiscal Fledglings")</f>
        <v> Y3 Fiscal Fledglings</v>
      </c>
      <c r="F419" s="4"/>
      <c r="G419" s="4"/>
      <c r="H419" s="4"/>
      <c r="I419" s="4"/>
      <c r="J419" s="5" t="s">
        <v>22</v>
      </c>
      <c r="K419" s="5" t="s">
        <v>31</v>
      </c>
      <c r="L419" s="5" t="s">
        <v>35</v>
      </c>
      <c r="M419" s="6" t="s">
        <v>612</v>
      </c>
      <c r="N419" s="5" t="s">
        <v>19</v>
      </c>
      <c r="O419" s="5" t="s">
        <v>27</v>
      </c>
      <c r="P419" s="5">
        <v>297347.0</v>
      </c>
      <c r="Q419" s="5">
        <v>751.0</v>
      </c>
      <c r="R419" s="5">
        <v>166412.0</v>
      </c>
      <c r="S419" s="5">
        <v>251319.0</v>
      </c>
      <c r="T419" s="5">
        <v>4.0</v>
      </c>
      <c r="U419" s="9">
        <v>2255.522409</v>
      </c>
    </row>
    <row r="420">
      <c r="A420" s="4" t="s">
        <v>1437</v>
      </c>
      <c r="B420" s="4" t="str">
        <f>IFERROR(__xludf.DUMMYFUNCTION("SPLIT(A420,""&gt;"")"),"OnAudience ")</f>
        <v>OnAudience </v>
      </c>
      <c r="C420" s="4" t="str">
        <f>IFERROR(__xludf.DUMMYFUNCTION("""COMPUTED_VALUE""")," Interest ")</f>
        <v> Interest </v>
      </c>
      <c r="D420" s="4" t="str">
        <f>IFERROR(__xludf.DUMMYFUNCTION("""COMPUTED_VALUE""")," News &amp; Magazines")</f>
        <v> News &amp; Magazines</v>
      </c>
      <c r="E420" s="4"/>
      <c r="F420" s="4"/>
      <c r="G420" s="4"/>
      <c r="H420" s="4"/>
      <c r="I420" s="4"/>
      <c r="J420" s="5" t="s">
        <v>22</v>
      </c>
      <c r="K420" s="5" t="s">
        <v>31</v>
      </c>
      <c r="L420" s="5" t="s">
        <v>35</v>
      </c>
      <c r="M420" s="6" t="s">
        <v>612</v>
      </c>
      <c r="N420" s="5" t="s">
        <v>19</v>
      </c>
      <c r="O420" s="5" t="s">
        <v>27</v>
      </c>
      <c r="P420" s="5">
        <v>80456.0</v>
      </c>
      <c r="Q420" s="5">
        <v>204.0</v>
      </c>
      <c r="R420" s="5">
        <v>46039.0</v>
      </c>
      <c r="S420" s="5">
        <v>65383.0</v>
      </c>
      <c r="T420" s="5">
        <v>3.0</v>
      </c>
      <c r="U420" s="9">
        <v>2039.848792</v>
      </c>
    </row>
    <row r="421" hidden="1">
      <c r="A421" s="4" t="s">
        <v>1438</v>
      </c>
      <c r="B421" s="4" t="str">
        <f>IFERROR(__xludf.DUMMYFUNCTION("SPLIT(A421,""&gt;"")"),"United States ")</f>
        <v>United States </v>
      </c>
      <c r="C421" s="4" t="str">
        <f>IFERROR(__xludf.DUMMYFUNCTION("""COMPUTED_VALUE""")," Brand Propensities ")</f>
        <v> Brand Propensities </v>
      </c>
      <c r="D421" s="4" t="str">
        <f>IFERROR(__xludf.DUMMYFUNCTION("""COMPUTED_VALUE""")," Electronics ")</f>
        <v> Electronics </v>
      </c>
      <c r="E421" s="4" t="str">
        <f>IFERROR(__xludf.DUMMYFUNCTION("""COMPUTED_VALUE""")," RadioShack Buyer Propensity")</f>
        <v> RadioShack Buyer Propensity</v>
      </c>
      <c r="F421" s="4"/>
      <c r="G421" s="4"/>
      <c r="H421" s="4"/>
      <c r="I421" s="4"/>
      <c r="J421" s="5" t="s">
        <v>15</v>
      </c>
      <c r="K421" s="5" t="s">
        <v>42</v>
      </c>
      <c r="L421" s="5" t="s">
        <v>39</v>
      </c>
      <c r="M421" s="6" t="s">
        <v>612</v>
      </c>
      <c r="N421" s="5" t="s">
        <v>19</v>
      </c>
      <c r="O421" s="5" t="s">
        <v>52</v>
      </c>
      <c r="P421" s="5">
        <v>60412.0</v>
      </c>
      <c r="Q421" s="5">
        <v>169.0</v>
      </c>
      <c r="R421" s="5">
        <v>33457.0</v>
      </c>
      <c r="S421" s="5">
        <v>52172.0</v>
      </c>
      <c r="T421" s="5">
        <v>24.0</v>
      </c>
      <c r="U421" s="9">
        <v>1679.572708</v>
      </c>
    </row>
    <row r="422">
      <c r="A422" s="4" t="s">
        <v>1439</v>
      </c>
      <c r="B422" s="4" t="str">
        <f>IFERROR(__xludf.DUMMYFUNCTION("SPLIT(A422,""&gt;"")"),"United States ")</f>
        <v>United States </v>
      </c>
      <c r="C422" s="4" t="str">
        <f>IFERROR(__xludf.DUMMYFUNCTION("""COMPUTED_VALUE""")," Interest Propensities ")</f>
        <v> Interest Propensities </v>
      </c>
      <c r="D422" s="4" t="str">
        <f>IFERROR(__xludf.DUMMYFUNCTION("""COMPUTED_VALUE""")," Activities and Interests ")</f>
        <v> Activities and Interests </v>
      </c>
      <c r="E422" s="4" t="str">
        <f>IFERROR(__xludf.DUMMYFUNCTION("""COMPUTED_VALUE""")," College Life")</f>
        <v> College Life</v>
      </c>
      <c r="F422" s="4"/>
      <c r="G422" s="4"/>
      <c r="H422" s="4"/>
      <c r="I422" s="4"/>
      <c r="J422" s="5" t="s">
        <v>22</v>
      </c>
      <c r="K422" s="5" t="s">
        <v>16</v>
      </c>
      <c r="L422" s="5" t="s">
        <v>433</v>
      </c>
      <c r="M422" s="6" t="s">
        <v>612</v>
      </c>
      <c r="N422" s="5" t="s">
        <v>1046</v>
      </c>
      <c r="O422" s="5" t="s">
        <v>27</v>
      </c>
      <c r="P422" s="5">
        <v>171575.0</v>
      </c>
      <c r="Q422" s="5">
        <v>499.0</v>
      </c>
      <c r="R422" s="5">
        <v>101487.0</v>
      </c>
      <c r="S422" s="5">
        <v>136036.0</v>
      </c>
      <c r="T422" s="5">
        <v>8.0</v>
      </c>
      <c r="U422" s="9">
        <v>1658.332426</v>
      </c>
    </row>
    <row r="423">
      <c r="A423" s="4" t="s">
        <v>1440</v>
      </c>
      <c r="B423" s="4" t="str">
        <f>IFERROR(__xludf.DUMMYFUNCTION("SPLIT(A423,""&gt;"")"),"Lotame ")</f>
        <v>Lotame </v>
      </c>
      <c r="C423" s="4" t="str">
        <f>IFERROR(__xludf.DUMMYFUNCTION("""COMPUTED_VALUE""")," Social Media")</f>
        <v> Social Media</v>
      </c>
      <c r="D423" s="4"/>
      <c r="E423" s="4"/>
      <c r="F423" s="4"/>
      <c r="G423" s="4"/>
      <c r="H423" s="4"/>
      <c r="I423" s="4"/>
      <c r="J423" s="5" t="s">
        <v>15</v>
      </c>
      <c r="K423" s="5" t="s">
        <v>31</v>
      </c>
      <c r="L423" s="5" t="s">
        <v>35</v>
      </c>
      <c r="M423" s="6" t="s">
        <v>612</v>
      </c>
      <c r="N423" s="5" t="s">
        <v>19</v>
      </c>
      <c r="O423" s="5" t="s">
        <v>27</v>
      </c>
      <c r="P423" s="5">
        <v>554980.0</v>
      </c>
      <c r="Q423" s="5">
        <v>1542.0</v>
      </c>
      <c r="R423" s="5">
        <v>323498.0</v>
      </c>
      <c r="S423" s="5">
        <v>467646.0</v>
      </c>
      <c r="T423" s="5">
        <v>8.0</v>
      </c>
      <c r="U423" s="9">
        <v>1600.769588</v>
      </c>
    </row>
    <row r="424">
      <c r="A424" s="4" t="s">
        <v>1441</v>
      </c>
      <c r="B424" s="4" t="str">
        <f>IFERROR(__xludf.DUMMYFUNCTION("SPLIT(A424,""&gt;"")"),"United States ")</f>
        <v>United States </v>
      </c>
      <c r="C424" s="4" t="str">
        <f>IFERROR(__xludf.DUMMYFUNCTION("""COMPUTED_VALUE""")," Reach ")</f>
        <v> Reach </v>
      </c>
      <c r="D424" s="4" t="str">
        <f>IFERROR(__xludf.DUMMYFUNCTION("""COMPUTED_VALUE""")," Propensity Models ")</f>
        <v> Propensity Models </v>
      </c>
      <c r="E424" s="4" t="str">
        <f>IFERROR(__xludf.DUMMYFUNCTION("""COMPUTED_VALUE""")," Hobbies and Interest ")</f>
        <v> Hobbies and Interest </v>
      </c>
      <c r="F424" s="4" t="str">
        <f>IFERROR(__xludf.DUMMYFUNCTION("""COMPUTED_VALUE""")," Pets ")</f>
        <v> Pets </v>
      </c>
      <c r="G424" s="4" t="str">
        <f>IFERROR(__xludf.DUMMYFUNCTION("""COMPUTED_VALUE""")," Pet EnthUnited Statesiast")</f>
        <v> Pet EnthUnited Statesiast</v>
      </c>
      <c r="H424" s="4"/>
      <c r="I424" s="4"/>
      <c r="J424" s="5" t="s">
        <v>15</v>
      </c>
      <c r="K424" s="5" t="s">
        <v>31</v>
      </c>
      <c r="L424" s="5" t="s">
        <v>17</v>
      </c>
      <c r="M424" s="6" t="s">
        <v>612</v>
      </c>
      <c r="N424" s="5" t="s">
        <v>19</v>
      </c>
      <c r="O424" s="5" t="s">
        <v>27</v>
      </c>
      <c r="P424" s="5">
        <v>321263.0</v>
      </c>
      <c r="Q424" s="5">
        <v>852.0</v>
      </c>
      <c r="R424" s="5">
        <v>172887.0</v>
      </c>
      <c r="S424" s="5">
        <v>263424.0</v>
      </c>
      <c r="T424" s="5">
        <v>6.0</v>
      </c>
      <c r="U424" s="9">
        <v>1576.051434</v>
      </c>
    </row>
    <row r="425">
      <c r="A425" s="4" t="s">
        <v>1442</v>
      </c>
      <c r="B425" s="4" t="str">
        <f>IFERROR(__xludf.DUMMYFUNCTION("SPLIT(A425,""&gt;"")"),"United States ")</f>
        <v>United States </v>
      </c>
      <c r="C425" s="4" t="str">
        <f>IFERROR(__xludf.DUMMYFUNCTION("""COMPUTED_VALUE""")," Financially in Charge ")</f>
        <v> Financially in Charge </v>
      </c>
      <c r="D425" s="4" t="str">
        <f>IFERROR(__xludf.DUMMYFUNCTION("""COMPUTED_VALUE""")," Performance Score: Top 25%")</f>
        <v> Performance Score: Top 25%</v>
      </c>
      <c r="E425" s="4"/>
      <c r="F425" s="4"/>
      <c r="G425" s="4"/>
      <c r="H425" s="4"/>
      <c r="I425" s="4"/>
      <c r="J425" s="5" t="s">
        <v>15</v>
      </c>
      <c r="K425" s="5" t="s">
        <v>23</v>
      </c>
      <c r="L425" s="5" t="s">
        <v>147</v>
      </c>
      <c r="M425" s="6" t="s">
        <v>612</v>
      </c>
      <c r="N425" s="5" t="s">
        <v>19</v>
      </c>
      <c r="O425" s="5" t="s">
        <v>27</v>
      </c>
      <c r="P425" s="5">
        <v>311753.0</v>
      </c>
      <c r="Q425" s="5">
        <v>763.0</v>
      </c>
      <c r="R425" s="5">
        <v>170122.0</v>
      </c>
      <c r="S425" s="5">
        <v>256841.0</v>
      </c>
      <c r="T425" s="5">
        <v>6.0</v>
      </c>
      <c r="U425" s="9">
        <v>1543.612655</v>
      </c>
    </row>
    <row r="426" hidden="1">
      <c r="A426" s="4" t="s">
        <v>1443</v>
      </c>
      <c r="B426" s="4" t="str">
        <f>IFERROR(__xludf.DUMMYFUNCTION("SPLIT(A426,""&gt;"")"),"OnAudience ")</f>
        <v>OnAudience </v>
      </c>
      <c r="C426" s="4" t="str">
        <f>IFERROR(__xludf.DUMMYFUNCTION("""COMPUTED_VALUE""")," Intent ")</f>
        <v> Intent </v>
      </c>
      <c r="D426" s="4" t="str">
        <f>IFERROR(__xludf.DUMMYFUNCTION("""COMPUTED_VALUE""")," Travel")</f>
        <v> Travel</v>
      </c>
      <c r="E426" s="4"/>
      <c r="F426" s="4"/>
      <c r="G426" s="4"/>
      <c r="H426" s="4"/>
      <c r="I426" s="4"/>
      <c r="J426" s="5" t="s">
        <v>15</v>
      </c>
      <c r="K426" s="5" t="s">
        <v>16</v>
      </c>
      <c r="L426" s="5" t="s">
        <v>35</v>
      </c>
      <c r="M426" s="6" t="s">
        <v>612</v>
      </c>
      <c r="N426" s="5" t="s">
        <v>46</v>
      </c>
      <c r="O426" s="5" t="s">
        <v>20</v>
      </c>
      <c r="P426" s="5">
        <v>96031.0</v>
      </c>
      <c r="Q426" s="5">
        <v>311.0</v>
      </c>
      <c r="R426" s="5">
        <v>57187.0</v>
      </c>
      <c r="S426" s="5">
        <v>78396.0</v>
      </c>
      <c r="T426" s="5">
        <v>21.0</v>
      </c>
      <c r="U426" s="9">
        <v>1508.90767</v>
      </c>
    </row>
    <row r="427">
      <c r="A427" s="4" t="s">
        <v>1444</v>
      </c>
      <c r="B427" s="4" t="str">
        <f>IFERROR(__xludf.DUMMYFUNCTION("SPLIT(A427,""&gt;"")"),"Media and Entertainment ")</f>
        <v>Media and Entertainment </v>
      </c>
      <c r="C427" s="4" t="str">
        <f>IFERROR(__xludf.DUMMYFUNCTION("""COMPUTED_VALUE""")," Sports and Recreational Activities ")</f>
        <v> Sports and Recreational Activities </v>
      </c>
      <c r="D427" s="4" t="str">
        <f>IFERROR(__xludf.DUMMYFUNCTION("""COMPUTED_VALUE""")," Interest (Affinity) ")</f>
        <v> Interest (Affinity) </v>
      </c>
      <c r="E427" s="4" t="str">
        <f>IFERROR(__xludf.DUMMYFUNCTION("""COMPUTED_VALUE""")," Team Sports ")</f>
        <v> Team Sports </v>
      </c>
      <c r="F427" s="4" t="str">
        <f>IFERROR(__xludf.DUMMYFUNCTION("""COMPUTED_VALUE""")," Football (American)")</f>
        <v> Football (American)</v>
      </c>
      <c r="G427" s="4"/>
      <c r="H427" s="4"/>
      <c r="I427" s="4"/>
      <c r="J427" s="5" t="s">
        <v>22</v>
      </c>
      <c r="K427" s="5" t="s">
        <v>16</v>
      </c>
      <c r="L427" s="5" t="s">
        <v>142</v>
      </c>
      <c r="M427" s="6" t="s">
        <v>612</v>
      </c>
      <c r="N427" s="5" t="s">
        <v>19</v>
      </c>
      <c r="O427" s="5" t="s">
        <v>27</v>
      </c>
      <c r="P427" s="5">
        <v>47931.0</v>
      </c>
      <c r="Q427" s="5">
        <v>170.0</v>
      </c>
      <c r="R427" s="5">
        <v>15989.0</v>
      </c>
      <c r="S427" s="5">
        <v>38916.0</v>
      </c>
      <c r="T427" s="5">
        <v>4.0</v>
      </c>
      <c r="U427" s="9">
        <v>1487.228625</v>
      </c>
    </row>
    <row r="428">
      <c r="A428" s="4" t="s">
        <v>1445</v>
      </c>
      <c r="B428" s="4" t="str">
        <f>IFERROR(__xludf.DUMMYFUNCTION("SPLIT(A428,""&gt;"")"),"United States Financial ")</f>
        <v>United States Financial </v>
      </c>
      <c r="C428" s="4" t="str">
        <f>IFERROR(__xludf.DUMMYFUNCTION("""COMPUTED_VALUE""")," Likely Bank Account and Services ")</f>
        <v> Likely Bank Account and Services </v>
      </c>
      <c r="D428" s="4" t="str">
        <f>IFERROR(__xludf.DUMMYFUNCTION("""COMPUTED_VALUE""")," Saving Account ")</f>
        <v> Saving Account </v>
      </c>
      <c r="E428" s="4" t="str">
        <f>IFERROR(__xludf.DUMMYFUNCTION("""COMPUTED_VALUE""")," Personal or Join (Financial)")</f>
        <v> Personal or Join (Financial)</v>
      </c>
      <c r="F428" s="4"/>
      <c r="G428" s="4"/>
      <c r="H428" s="4"/>
      <c r="I428" s="4"/>
      <c r="J428" s="5" t="s">
        <v>15</v>
      </c>
      <c r="K428" s="5" t="s">
        <v>23</v>
      </c>
      <c r="L428" s="5" t="s">
        <v>641</v>
      </c>
      <c r="M428" s="6" t="s">
        <v>612</v>
      </c>
      <c r="N428" s="5" t="s">
        <v>36</v>
      </c>
      <c r="O428" s="5" t="s">
        <v>27</v>
      </c>
      <c r="P428" s="5">
        <v>177632.0</v>
      </c>
      <c r="Q428" s="5">
        <v>485.0</v>
      </c>
      <c r="R428" s="5">
        <v>70865.0</v>
      </c>
      <c r="S428" s="5">
        <v>95871.0</v>
      </c>
      <c r="T428" s="5">
        <v>5.0</v>
      </c>
      <c r="U428" s="9">
        <v>1483.384404</v>
      </c>
    </row>
    <row r="429" hidden="1">
      <c r="A429" s="4" t="s">
        <v>1446</v>
      </c>
      <c r="B429" s="4" t="str">
        <f>IFERROR(__xludf.DUMMYFUNCTION("SPLIT(A429,""&gt;"")"),"Online Behavior")</f>
        <v>Online Behavior</v>
      </c>
      <c r="C429" s="4" t="str">
        <f>IFERROR(__xludf.DUMMYFUNCTION("""COMPUTED_VALUE"""),"United States")</f>
        <v>United States</v>
      </c>
      <c r="D429" s="4" t="str">
        <f>IFERROR(__xludf.DUMMYFUNCTION("""COMPUTED_VALUE"""),"B2B ")</f>
        <v>B2B </v>
      </c>
      <c r="E429" s="4" t="str">
        <f>IFERROR(__xludf.DUMMYFUNCTION("""COMPUTED_VALUE""")," Occupation")</f>
        <v> Occupation</v>
      </c>
      <c r="F429" s="4" t="str">
        <f>IFERROR(__xludf.DUMMYFUNCTION("""COMPUTED_VALUE"""),"SupplyChainManager")</f>
        <v>SupplyChainManager</v>
      </c>
      <c r="G429" s="4"/>
      <c r="H429" s="4"/>
      <c r="I429" s="4"/>
      <c r="J429" s="5" t="s">
        <v>15</v>
      </c>
      <c r="K429" s="5" t="s">
        <v>31</v>
      </c>
      <c r="L429" s="5" t="s">
        <v>84</v>
      </c>
      <c r="M429" s="6" t="s">
        <v>643</v>
      </c>
      <c r="N429" s="5" t="s">
        <v>19</v>
      </c>
      <c r="O429" s="5" t="s">
        <v>20</v>
      </c>
      <c r="P429" s="5">
        <v>7470.0</v>
      </c>
      <c r="Q429" s="5">
        <v>0.0</v>
      </c>
      <c r="R429" s="5">
        <v>6753.0</v>
      </c>
      <c r="S429" s="5">
        <v>7229.0</v>
      </c>
      <c r="T429" s="5">
        <v>1.0</v>
      </c>
      <c r="U429" s="9">
        <v>1738.995282</v>
      </c>
    </row>
    <row r="430">
      <c r="A430" s="4" t="s">
        <v>1447</v>
      </c>
      <c r="B430" s="4" t="str">
        <f>IFERROR(__xludf.DUMMYFUNCTION("SPLIT(A430,""&gt;"")"),"Online Behavior")</f>
        <v>Online Behavior</v>
      </c>
      <c r="C430" s="4" t="str">
        <f>IFERROR(__xludf.DUMMYFUNCTION("""COMPUTED_VALUE"""),"United States")</f>
        <v>United States</v>
      </c>
      <c r="D430" s="4" t="str">
        <f>IFERROR(__xludf.DUMMYFUNCTION("""COMPUTED_VALUE"""),"People and Society")</f>
        <v>People and Society</v>
      </c>
      <c r="E430" s="4" t="str">
        <f>IFERROR(__xludf.DUMMYFUNCTION("""COMPUTED_VALUE"""),"Family and Relationships ")</f>
        <v>Family and Relationships </v>
      </c>
      <c r="F430" s="4" t="str">
        <f>IFERROR(__xludf.DUMMYFUNCTION("""COMPUTED_VALUE""")," Moms")</f>
        <v> Moms</v>
      </c>
      <c r="G430" s="4"/>
      <c r="H430" s="4"/>
      <c r="I430" s="4"/>
      <c r="J430" s="5" t="s">
        <v>22</v>
      </c>
      <c r="K430" s="5" t="s">
        <v>16</v>
      </c>
      <c r="L430" s="5" t="s">
        <v>131</v>
      </c>
      <c r="M430" s="6" t="s">
        <v>645</v>
      </c>
      <c r="N430" s="5" t="s">
        <v>46</v>
      </c>
      <c r="O430" s="5" t="s">
        <v>27</v>
      </c>
      <c r="P430" s="5">
        <v>26784.0</v>
      </c>
      <c r="Q430" s="5">
        <v>85.0</v>
      </c>
      <c r="R430" s="5">
        <v>12708.0</v>
      </c>
      <c r="S430" s="5">
        <v>22261.0</v>
      </c>
      <c r="T430" s="5">
        <v>9.0</v>
      </c>
      <c r="U430" s="9">
        <v>6643.161647</v>
      </c>
    </row>
    <row r="431">
      <c r="A431" s="4" t="s">
        <v>1448</v>
      </c>
      <c r="B431" s="4" t="str">
        <f>IFERROR(__xludf.DUMMYFUNCTION("SPLIT(A431,""&gt;"")"),"Online Behavior")</f>
        <v>Online Behavior</v>
      </c>
      <c r="C431" s="4" t="str">
        <f>IFERROR(__xludf.DUMMYFUNCTION("""COMPUTED_VALUE"""),"United States")</f>
        <v>United States</v>
      </c>
      <c r="D431" s="4" t="str">
        <f>IFERROR(__xludf.DUMMYFUNCTION("""COMPUTED_VALUE"""),"Arts and Entertainment")</f>
        <v>Arts and Entertainment</v>
      </c>
      <c r="E431" s="4" t="str">
        <f>IFERROR(__xludf.DUMMYFUNCTION("""COMPUTED_VALUE"""),"Events and Listings ")</f>
        <v>Events and Listings </v>
      </c>
      <c r="F431" s="4" t="str">
        <f>IFERROR(__xludf.DUMMYFUNCTION("""COMPUTED_VALUE""")," Live Sporting Events")</f>
        <v> Live Sporting Events</v>
      </c>
      <c r="G431" s="4"/>
      <c r="H431" s="4"/>
      <c r="I431" s="4"/>
      <c r="J431" s="5" t="s">
        <v>22</v>
      </c>
      <c r="K431" s="5" t="s">
        <v>16</v>
      </c>
      <c r="L431" s="5" t="s">
        <v>35</v>
      </c>
      <c r="M431" s="6" t="s">
        <v>645</v>
      </c>
      <c r="N431" s="5" t="s">
        <v>19</v>
      </c>
      <c r="O431" s="5" t="s">
        <v>27</v>
      </c>
      <c r="P431" s="5">
        <v>21028.0</v>
      </c>
      <c r="Q431" s="5">
        <v>10.0</v>
      </c>
      <c r="R431" s="5">
        <v>5781.0</v>
      </c>
      <c r="S431" s="5">
        <v>16134.0</v>
      </c>
      <c r="T431" s="5">
        <v>11.0</v>
      </c>
      <c r="U431" s="9">
        <v>5101.321655</v>
      </c>
    </row>
    <row r="432">
      <c r="A432" s="4" t="s">
        <v>1449</v>
      </c>
      <c r="B432" s="4" t="str">
        <f>IFERROR(__xludf.DUMMYFUNCTION("SPLIT(A432,""&gt;"")"),"Online Behavior")</f>
        <v>Online Behavior</v>
      </c>
      <c r="C432" s="4" t="str">
        <f>IFERROR(__xludf.DUMMYFUNCTION("""COMPUTED_VALUE"""),"United States")</f>
        <v>United States</v>
      </c>
      <c r="D432" s="4" t="str">
        <f>IFERROR(__xludf.DUMMYFUNCTION("""COMPUTED_VALUE"""),"Intent ")</f>
        <v>Intent </v>
      </c>
      <c r="E432" s="4" t="str">
        <f>IFERROR(__xludf.DUMMYFUNCTION("""COMPUTED_VALUE""")," Financial Intent")</f>
        <v> Financial Intent</v>
      </c>
      <c r="F432" s="4" t="str">
        <f>IFERROR(__xludf.DUMMYFUNCTION("""COMPUTED_VALUE"""),"Banking")</f>
        <v>Banking</v>
      </c>
      <c r="G432" s="4"/>
      <c r="H432" s="4"/>
      <c r="I432" s="4"/>
      <c r="J432" s="5" t="s">
        <v>61</v>
      </c>
      <c r="K432" s="5" t="s">
        <v>16</v>
      </c>
      <c r="L432" s="5" t="s">
        <v>29</v>
      </c>
      <c r="M432" s="6" t="s">
        <v>648</v>
      </c>
      <c r="N432" s="5" t="s">
        <v>19</v>
      </c>
      <c r="O432" s="5" t="s">
        <v>27</v>
      </c>
      <c r="P432" s="5">
        <v>9238.0</v>
      </c>
      <c r="Q432" s="5">
        <v>84.0</v>
      </c>
      <c r="R432" s="5">
        <v>4626.0</v>
      </c>
      <c r="S432" s="5">
        <v>8264.0</v>
      </c>
      <c r="T432" s="5">
        <v>15.0</v>
      </c>
      <c r="U432" s="9">
        <v>6683.225487</v>
      </c>
    </row>
    <row r="433">
      <c r="A433" s="4" t="s">
        <v>1450</v>
      </c>
      <c r="B433" s="4" t="str">
        <f>IFERROR(__xludf.DUMMYFUNCTION("SPLIT(A433,""&gt;"")"),"Online Behavior")</f>
        <v>Online Behavior</v>
      </c>
      <c r="C433" s="4" t="str">
        <f>IFERROR(__xludf.DUMMYFUNCTION("""COMPUTED_VALUE"""),"United States")</f>
        <v>United States</v>
      </c>
      <c r="D433" s="4" t="str">
        <f>IFERROR(__xludf.DUMMYFUNCTION("""COMPUTED_VALUE"""),"Finance ")</f>
        <v>Finance </v>
      </c>
      <c r="E433" s="4" t="str">
        <f>IFERROR(__xludf.DUMMYFUNCTION("""COMPUTED_VALUE""")," Insurance")</f>
        <v> Insurance</v>
      </c>
      <c r="F433" s="4" t="str">
        <f>IFERROR(__xludf.DUMMYFUNCTION("""COMPUTED_VALUE"""),"Health Insurance")</f>
        <v>Health Insurance</v>
      </c>
      <c r="G433" s="4"/>
      <c r="H433" s="4"/>
      <c r="I433" s="4"/>
      <c r="J433" s="5" t="s">
        <v>22</v>
      </c>
      <c r="K433" s="5" t="s">
        <v>23</v>
      </c>
      <c r="L433" s="5" t="s">
        <v>29</v>
      </c>
      <c r="M433" s="6" t="s">
        <v>650</v>
      </c>
      <c r="N433" s="5" t="s">
        <v>26</v>
      </c>
      <c r="O433" s="5" t="s">
        <v>27</v>
      </c>
      <c r="P433" s="5">
        <v>39881.0</v>
      </c>
      <c r="Q433" s="5">
        <v>125.0</v>
      </c>
      <c r="R433" s="5">
        <v>6331.0</v>
      </c>
      <c r="S433" s="5">
        <v>36245.0</v>
      </c>
      <c r="T433" s="5">
        <v>10.0</v>
      </c>
      <c r="U433" s="9">
        <v>7098.889706</v>
      </c>
    </row>
    <row r="434">
      <c r="A434" s="4" t="s">
        <v>1451</v>
      </c>
      <c r="B434" s="4" t="str">
        <f>IFERROR(__xludf.DUMMYFUNCTION("SPLIT(A434,""&gt;"")"),"Media and Entertainment ")</f>
        <v>Media and Entertainment </v>
      </c>
      <c r="C434" s="4" t="str">
        <f>IFERROR(__xludf.DUMMYFUNCTION("""COMPUTED_VALUE""")," Sports and Recreational Activities ")</f>
        <v> Sports and Recreational Activities </v>
      </c>
      <c r="D434" s="4" t="str">
        <f>IFERROR(__xludf.DUMMYFUNCTION("""COMPUTED_VALUE""")," Interest (Affinity) ")</f>
        <v> Interest (Affinity) </v>
      </c>
      <c r="E434" s="4" t="str">
        <f>IFERROR(__xludf.DUMMYFUNCTION("""COMPUTED_VALUE""")," Olympics")</f>
        <v> Olympics</v>
      </c>
      <c r="F434" s="4"/>
      <c r="G434" s="4"/>
      <c r="H434" s="4"/>
      <c r="I434" s="4"/>
      <c r="J434" s="5" t="s">
        <v>15</v>
      </c>
      <c r="K434" s="5" t="s">
        <v>16</v>
      </c>
      <c r="L434" s="5" t="s">
        <v>471</v>
      </c>
      <c r="M434" s="6" t="s">
        <v>652</v>
      </c>
      <c r="N434" s="5" t="s">
        <v>19</v>
      </c>
      <c r="O434" s="5" t="s">
        <v>27</v>
      </c>
      <c r="P434" s="5">
        <v>10883.0</v>
      </c>
      <c r="Q434" s="5">
        <v>46.0</v>
      </c>
      <c r="R434" s="5">
        <v>1652.0</v>
      </c>
      <c r="S434" s="5">
        <v>8869.0</v>
      </c>
      <c r="T434" s="5">
        <v>16.0</v>
      </c>
      <c r="U434" s="9">
        <v>1942.482395</v>
      </c>
    </row>
    <row r="435" hidden="1">
      <c r="A435" s="4" t="s">
        <v>1452</v>
      </c>
      <c r="B435" s="4" t="str">
        <f>IFERROR(__xludf.DUMMYFUNCTION("SPLIT(A435,""&gt;"")"),"United States ")</f>
        <v>United States </v>
      </c>
      <c r="C435" s="4" t="str">
        <f>IFERROR(__xludf.DUMMYFUNCTION("""COMPUTED_VALUE""")," Brand Propensities ")</f>
        <v> Brand Propensities </v>
      </c>
      <c r="D435" s="4" t="str">
        <f>IFERROR(__xludf.DUMMYFUNCTION("""COMPUTED_VALUE""")," Kids Products ")</f>
        <v> Kids Products </v>
      </c>
      <c r="E435" s="4" t="str">
        <f>IFERROR(__xludf.DUMMYFUNCTION("""COMPUTED_VALUE""")," Disney Buyer Propensity")</f>
        <v> Disney Buyer Propensity</v>
      </c>
      <c r="F435" s="4"/>
      <c r="G435" s="4"/>
      <c r="H435" s="4"/>
      <c r="I435" s="4"/>
      <c r="J435" s="5" t="s">
        <v>15</v>
      </c>
      <c r="K435" s="5" t="s">
        <v>16</v>
      </c>
      <c r="L435" s="5" t="s">
        <v>78</v>
      </c>
      <c r="M435" s="6" t="s">
        <v>654</v>
      </c>
      <c r="N435" s="5" t="s">
        <v>19</v>
      </c>
      <c r="O435" s="5" t="s">
        <v>20</v>
      </c>
      <c r="P435" s="5">
        <v>50517.0</v>
      </c>
      <c r="Q435" s="5">
        <v>270.0</v>
      </c>
      <c r="R435" s="5">
        <v>17179.0</v>
      </c>
      <c r="S435" s="5">
        <v>48389.0</v>
      </c>
      <c r="T435" s="5">
        <v>2.0</v>
      </c>
      <c r="U435" s="9">
        <v>1718.471077</v>
      </c>
    </row>
    <row r="436">
      <c r="A436" s="4" t="s">
        <v>655</v>
      </c>
      <c r="B436" s="4" t="str">
        <f>IFERROR(__xludf.DUMMYFUNCTION("SPLIT(A436,""&gt;"")"),"Online Behavior")</f>
        <v>Online Behavior</v>
      </c>
      <c r="C436" s="4" t="str">
        <f>IFERROR(__xludf.DUMMYFUNCTION("""COMPUTED_VALUE"""),"United States")</f>
        <v>United States</v>
      </c>
      <c r="D436" s="4" t="str">
        <f>IFERROR(__xludf.DUMMYFUNCTION("""COMPUTED_VALUE"""),"Arts and Entertainment")</f>
        <v>Arts and Entertainment</v>
      </c>
      <c r="E436" s="4" t="str">
        <f>IFERROR(__xludf.DUMMYFUNCTION("""COMPUTED_VALUE"""),"Arts and Entertainment")</f>
        <v>Arts and Entertainment</v>
      </c>
      <c r="F436" s="4"/>
      <c r="G436" s="4"/>
      <c r="H436" s="4"/>
      <c r="I436" s="4"/>
      <c r="J436" s="5" t="s">
        <v>22</v>
      </c>
      <c r="K436" s="5" t="s">
        <v>16</v>
      </c>
      <c r="L436" s="5" t="s">
        <v>24</v>
      </c>
      <c r="M436" s="6" t="s">
        <v>654</v>
      </c>
      <c r="N436" s="5" t="s">
        <v>19</v>
      </c>
      <c r="O436" s="5" t="s">
        <v>27</v>
      </c>
      <c r="P436" s="5">
        <v>7248.0</v>
      </c>
      <c r="Q436" s="5">
        <v>10.0</v>
      </c>
      <c r="R436" s="5">
        <v>3988.0</v>
      </c>
      <c r="S436" s="5">
        <v>6863.0</v>
      </c>
      <c r="T436" s="5">
        <v>7.0</v>
      </c>
      <c r="U436" s="9">
        <v>1247.0</v>
      </c>
    </row>
    <row r="437">
      <c r="A437" s="4" t="s">
        <v>1453</v>
      </c>
      <c r="B437" s="4" t="str">
        <f>IFERROR(__xludf.DUMMYFUNCTION("SPLIT(A437,""&gt;"")"),"Online Behavior")</f>
        <v>Online Behavior</v>
      </c>
      <c r="C437" s="4" t="str">
        <f>IFERROR(__xludf.DUMMYFUNCTION("""COMPUTED_VALUE"""),"United States")</f>
        <v>United States</v>
      </c>
      <c r="D437" s="4" t="str">
        <f>IFERROR(__xludf.DUMMYFUNCTION("""COMPUTED_VALUE"""),"Validated Demographic ")</f>
        <v>Validated Demographic </v>
      </c>
      <c r="E437" s="4" t="str">
        <f>IFERROR(__xludf.DUMMYFUNCTION("""COMPUTED_VALUE""")," Gender and Age Combined")</f>
        <v> Gender and Age Combined</v>
      </c>
      <c r="F437" s="4" t="str">
        <f>IFERROR(__xludf.DUMMYFUNCTION("""COMPUTED_VALUE"""),"Males 18-34")</f>
        <v>Males 18-34</v>
      </c>
      <c r="G437" s="4"/>
      <c r="H437" s="4"/>
      <c r="I437" s="4"/>
      <c r="J437" s="5" t="s">
        <v>22</v>
      </c>
      <c r="K437" s="5" t="s">
        <v>42</v>
      </c>
      <c r="L437" s="5" t="s">
        <v>29</v>
      </c>
      <c r="M437" s="6" t="s">
        <v>657</v>
      </c>
      <c r="N437" s="5" t="s">
        <v>46</v>
      </c>
      <c r="O437" s="5" t="s">
        <v>27</v>
      </c>
      <c r="P437" s="5">
        <v>10835.0</v>
      </c>
      <c r="Q437" s="5">
        <v>25.0</v>
      </c>
      <c r="R437" s="5">
        <v>2888.0</v>
      </c>
      <c r="S437" s="5">
        <v>10487.0</v>
      </c>
      <c r="T437" s="5">
        <v>3.0</v>
      </c>
      <c r="U437" s="9">
        <v>4704.249956</v>
      </c>
    </row>
    <row r="438">
      <c r="A438" s="4" t="s">
        <v>1454</v>
      </c>
      <c r="B438" s="4" t="str">
        <f>IFERROR(__xludf.DUMMYFUNCTION("SPLIT(A438,""&gt;"")"),"Online Behavior")</f>
        <v>Online Behavior</v>
      </c>
      <c r="C438" s="4" t="str">
        <f>IFERROR(__xludf.DUMMYFUNCTION("""COMPUTED_VALUE"""),"United States")</f>
        <v>United States</v>
      </c>
      <c r="D438" s="4" t="str">
        <f>IFERROR(__xludf.DUMMYFUNCTION("""COMPUTED_VALUE"""),"Finance ")</f>
        <v>Finance </v>
      </c>
      <c r="E438" s="4" t="str">
        <f>IFERROR(__xludf.DUMMYFUNCTION("""COMPUTED_VALUE""")," Investing")</f>
        <v> Investing</v>
      </c>
      <c r="F438" s="4" t="str">
        <f>IFERROR(__xludf.DUMMYFUNCTION("""COMPUTED_VALUE"""),"Commodities and Futures Trading")</f>
        <v>Commodities and Futures Trading</v>
      </c>
      <c r="G438" s="4"/>
      <c r="H438" s="4"/>
      <c r="I438" s="4"/>
      <c r="J438" s="5" t="s">
        <v>15</v>
      </c>
      <c r="K438" s="5" t="s">
        <v>31</v>
      </c>
      <c r="L438" s="5" t="s">
        <v>17</v>
      </c>
      <c r="M438" s="6" t="s">
        <v>659</v>
      </c>
      <c r="N438" s="5" t="s">
        <v>19</v>
      </c>
      <c r="O438" s="5" t="s">
        <v>27</v>
      </c>
      <c r="P438" s="5">
        <v>11476.0</v>
      </c>
      <c r="Q438" s="5">
        <v>45.0</v>
      </c>
      <c r="R438" s="5">
        <v>4963.0</v>
      </c>
      <c r="S438" s="5">
        <v>10991.0</v>
      </c>
      <c r="T438" s="5">
        <v>8.0</v>
      </c>
      <c r="U438" s="9">
        <v>7227.417349</v>
      </c>
    </row>
    <row r="439">
      <c r="A439" s="4" t="s">
        <v>1455</v>
      </c>
      <c r="B439" s="4" t="str">
        <f>IFERROR(__xludf.DUMMYFUNCTION("SPLIT(A439,""&gt;"")"),"Online Behavior")</f>
        <v>Online Behavior</v>
      </c>
      <c r="C439" s="4" t="str">
        <f>IFERROR(__xludf.DUMMYFUNCTION("""COMPUTED_VALUE"""),"United States")</f>
        <v>United States</v>
      </c>
      <c r="D439" s="4" t="str">
        <f>IFERROR(__xludf.DUMMYFUNCTION("""COMPUTED_VALUE"""),"Autos and Vehicles")</f>
        <v>Autos and Vehicles</v>
      </c>
      <c r="E439" s="4" t="str">
        <f>IFERROR(__xludf.DUMMYFUNCTION("""COMPUTED_VALUE"""),"Vehicle Shopping ")</f>
        <v>Vehicle Shopping </v>
      </c>
      <c r="F439" s="4" t="str">
        <f>IFERROR(__xludf.DUMMYFUNCTION("""COMPUTED_VALUE""")," Fuel Economy and Gas Prices")</f>
        <v> Fuel Economy and Gas Prices</v>
      </c>
      <c r="G439" s="4"/>
      <c r="H439" s="4"/>
      <c r="I439" s="4"/>
      <c r="J439" s="5" t="s">
        <v>22</v>
      </c>
      <c r="K439" s="5" t="s">
        <v>23</v>
      </c>
      <c r="L439" s="5" t="s">
        <v>78</v>
      </c>
      <c r="M439" s="6" t="s">
        <v>661</v>
      </c>
      <c r="N439" s="5" t="s">
        <v>19</v>
      </c>
      <c r="O439" s="5" t="s">
        <v>27</v>
      </c>
      <c r="P439" s="5">
        <v>92764.0</v>
      </c>
      <c r="Q439" s="5">
        <v>320.0</v>
      </c>
      <c r="R439" s="5">
        <v>19625.0</v>
      </c>
      <c r="S439" s="5">
        <v>76531.0</v>
      </c>
      <c r="T439" s="5">
        <v>14.0</v>
      </c>
      <c r="U439" s="9">
        <v>6730.012549</v>
      </c>
    </row>
    <row r="440">
      <c r="A440" s="4" t="s">
        <v>1456</v>
      </c>
      <c r="B440" s="4" t="str">
        <f>IFERROR(__xludf.DUMMYFUNCTION("SPLIT(A440,""&gt;"")"),"Online Behavior")</f>
        <v>Online Behavior</v>
      </c>
      <c r="C440" s="4" t="str">
        <f>IFERROR(__xludf.DUMMYFUNCTION("""COMPUTED_VALUE"""),"United States")</f>
        <v>United States</v>
      </c>
      <c r="D440" s="4" t="str">
        <f>IFERROR(__xludf.DUMMYFUNCTION("""COMPUTED_VALUE"""),"Travel")</f>
        <v>Travel</v>
      </c>
      <c r="E440" s="4" t="str">
        <f>IFERROR(__xludf.DUMMYFUNCTION("""COMPUTED_VALUE"""),"Travel Agencies and Services ")</f>
        <v>Travel Agencies and Services </v>
      </c>
      <c r="F440" s="4" t="str">
        <f>IFERROR(__xludf.DUMMYFUNCTION("""COMPUTED_VALUE""")," Tourist Boards and Visitor Centers")</f>
        <v> Tourist Boards and Visitor Centers</v>
      </c>
      <c r="G440" s="4"/>
      <c r="H440" s="4"/>
      <c r="I440" s="4"/>
      <c r="J440" s="5" t="s">
        <v>22</v>
      </c>
      <c r="K440" s="5" t="s">
        <v>23</v>
      </c>
      <c r="L440" s="5" t="s">
        <v>273</v>
      </c>
      <c r="M440" s="6" t="s">
        <v>661</v>
      </c>
      <c r="N440" s="5" t="s">
        <v>36</v>
      </c>
      <c r="O440" s="5" t="s">
        <v>27</v>
      </c>
      <c r="P440" s="5">
        <v>189571.0</v>
      </c>
      <c r="Q440" s="5">
        <v>500.0</v>
      </c>
      <c r="R440" s="5">
        <v>130676.0</v>
      </c>
      <c r="S440" s="5">
        <v>183688.0</v>
      </c>
      <c r="T440" s="5">
        <v>39.0</v>
      </c>
      <c r="U440" s="9">
        <v>6335.948388</v>
      </c>
    </row>
    <row r="441">
      <c r="A441" s="4" t="s">
        <v>1457</v>
      </c>
      <c r="B441" s="4" t="str">
        <f>IFERROR(__xludf.DUMMYFUNCTION("SPLIT(A441,""&gt;"")"),"Online Behavior")</f>
        <v>Online Behavior</v>
      </c>
      <c r="C441" s="4" t="str">
        <f>IFERROR(__xludf.DUMMYFUNCTION("""COMPUTED_VALUE"""),"United States")</f>
        <v>United States</v>
      </c>
      <c r="D441" s="4" t="str">
        <f>IFERROR(__xludf.DUMMYFUNCTION("""COMPUTED_VALUE"""),"Beauty and Fitness")</f>
        <v>Beauty and Fitness</v>
      </c>
      <c r="E441" s="4" t="str">
        <f>IFERROR(__xludf.DUMMYFUNCTION("""COMPUTED_VALUE"""),"Fitness ")</f>
        <v>Fitness </v>
      </c>
      <c r="F441" s="4" t="str">
        <f>IFERROR(__xludf.DUMMYFUNCTION("""COMPUTED_VALUE""")," Home Exercise")</f>
        <v> Home Exercise</v>
      </c>
      <c r="G441" s="4"/>
      <c r="H441" s="4"/>
      <c r="I441" s="4"/>
      <c r="J441" s="5" t="s">
        <v>15</v>
      </c>
      <c r="K441" s="5" t="s">
        <v>42</v>
      </c>
      <c r="L441" s="5" t="s">
        <v>24</v>
      </c>
      <c r="M441" s="6" t="s">
        <v>661</v>
      </c>
      <c r="N441" s="5" t="s">
        <v>50</v>
      </c>
      <c r="O441" s="5" t="s">
        <v>27</v>
      </c>
      <c r="P441" s="5">
        <v>14224.0</v>
      </c>
      <c r="Q441" s="5">
        <v>30.0</v>
      </c>
      <c r="R441" s="5">
        <v>2549.0</v>
      </c>
      <c r="S441" s="5">
        <v>11974.0</v>
      </c>
      <c r="T441" s="5">
        <v>7.0</v>
      </c>
      <c r="U441" s="9">
        <v>5637.303497</v>
      </c>
    </row>
    <row r="442">
      <c r="A442" s="4" t="s">
        <v>1458</v>
      </c>
      <c r="B442" s="4" t="str">
        <f>IFERROR(__xludf.DUMMYFUNCTION("SPLIT(A442,""&gt;"")"),"Media and Entertainment ")</f>
        <v>Media and Entertainment </v>
      </c>
      <c r="C442" s="4" t="str">
        <f>IFERROR(__xludf.DUMMYFUNCTION("""COMPUTED_VALUE""")," News and Current Events")</f>
        <v> News and Current Events</v>
      </c>
      <c r="D442" s="4"/>
      <c r="E442" s="4"/>
      <c r="F442" s="4"/>
      <c r="G442" s="4"/>
      <c r="H442" s="4"/>
      <c r="I442" s="4"/>
      <c r="J442" s="5" t="s">
        <v>15</v>
      </c>
      <c r="K442" s="5" t="s">
        <v>31</v>
      </c>
      <c r="L442" s="5" t="s">
        <v>17</v>
      </c>
      <c r="M442" s="6" t="s">
        <v>661</v>
      </c>
      <c r="N442" s="5" t="s">
        <v>19</v>
      </c>
      <c r="O442" s="5" t="s">
        <v>27</v>
      </c>
      <c r="P442" s="5">
        <v>183208.0</v>
      </c>
      <c r="Q442" s="5">
        <v>620.0</v>
      </c>
      <c r="R442" s="5">
        <v>131164.0</v>
      </c>
      <c r="S442" s="5">
        <v>177952.0</v>
      </c>
      <c r="T442" s="5">
        <v>43.0</v>
      </c>
      <c r="U442" s="9">
        <v>2682.436623</v>
      </c>
    </row>
    <row r="443">
      <c r="A443" s="4" t="s">
        <v>1459</v>
      </c>
      <c r="B443" s="4" t="str">
        <f>IFERROR(__xludf.DUMMYFUNCTION("SPLIT(A443,""&gt;"")"),"United States ")</f>
        <v>United States </v>
      </c>
      <c r="C443" s="4" t="str">
        <f>IFERROR(__xludf.DUMMYFUNCTION("""COMPUTED_VALUE""")," Interest Propensities ")</f>
        <v> Interest Propensities </v>
      </c>
      <c r="D443" s="4" t="str">
        <f>IFERROR(__xludf.DUMMYFUNCTION("""COMPUTED_VALUE""")," Activities and Interests ")</f>
        <v> Activities and Interests </v>
      </c>
      <c r="E443" s="4" t="str">
        <f>IFERROR(__xludf.DUMMYFUNCTION("""COMPUTED_VALUE""")," National News")</f>
        <v> National News</v>
      </c>
      <c r="F443" s="4"/>
      <c r="G443" s="4"/>
      <c r="H443" s="4"/>
      <c r="I443" s="4"/>
      <c r="J443" s="5" t="s">
        <v>22</v>
      </c>
      <c r="K443" s="5" t="s">
        <v>42</v>
      </c>
      <c r="L443" s="5" t="s">
        <v>78</v>
      </c>
      <c r="M443" s="6" t="s">
        <v>661</v>
      </c>
      <c r="N443" s="5" t="s">
        <v>46</v>
      </c>
      <c r="O443" s="5" t="s">
        <v>27</v>
      </c>
      <c r="P443" s="5">
        <v>20486.0</v>
      </c>
      <c r="Q443" s="5">
        <v>42.0</v>
      </c>
      <c r="R443" s="5">
        <v>14583.0</v>
      </c>
      <c r="S443" s="5">
        <v>19860.0</v>
      </c>
      <c r="T443" s="5">
        <v>2.0</v>
      </c>
      <c r="U443" s="9">
        <v>1718.513762</v>
      </c>
    </row>
    <row r="444">
      <c r="A444" s="4" t="s">
        <v>1460</v>
      </c>
      <c r="B444" s="4" t="str">
        <f>IFERROR(__xludf.DUMMYFUNCTION("SPLIT(A444,""&gt;"")"),"United States ")</f>
        <v>United States </v>
      </c>
      <c r="C444" s="4" t="str">
        <f>IFERROR(__xludf.DUMMYFUNCTION("""COMPUTED_VALUE""")," Interest Propensities ")</f>
        <v> Interest Propensities </v>
      </c>
      <c r="D444" s="4" t="str">
        <f>IFERROR(__xludf.DUMMYFUNCTION("""COMPUTED_VALUE""")," TV and Movies ")</f>
        <v> TV and Movies </v>
      </c>
      <c r="E444" s="4" t="str">
        <f>IFERROR(__xludf.DUMMYFUNCTION("""COMPUTED_VALUE""")," Reality ")</f>
        <v> Reality </v>
      </c>
      <c r="F444" s="4" t="str">
        <f>IFERROR(__xludf.DUMMYFUNCTION("""COMPUTED_VALUE""")," Game Shows")</f>
        <v> Game Shows</v>
      </c>
      <c r="G444" s="4"/>
      <c r="H444" s="4"/>
      <c r="I444" s="4"/>
      <c r="J444" s="5" t="s">
        <v>15</v>
      </c>
      <c r="K444" s="5" t="s">
        <v>42</v>
      </c>
      <c r="L444" s="5" t="s">
        <v>35</v>
      </c>
      <c r="M444" s="6" t="s">
        <v>667</v>
      </c>
      <c r="N444" s="5" t="s">
        <v>117</v>
      </c>
      <c r="O444" s="5" t="s">
        <v>27</v>
      </c>
      <c r="P444" s="5">
        <v>15047.0</v>
      </c>
      <c r="Q444" s="5">
        <v>84.0</v>
      </c>
      <c r="R444" s="5">
        <v>5653.0</v>
      </c>
      <c r="S444" s="5">
        <v>14459.0</v>
      </c>
      <c r="T444" s="5">
        <v>4.0</v>
      </c>
      <c r="U444" s="9">
        <v>2127.495962</v>
      </c>
    </row>
    <row r="445">
      <c r="A445" s="4" t="s">
        <v>668</v>
      </c>
      <c r="B445" s="4" t="str">
        <f>IFERROR(__xludf.DUMMYFUNCTION("SPLIT(A445,""&gt;"")"),"Online Behavior")</f>
        <v>Online Behavior</v>
      </c>
      <c r="C445" s="4" t="str">
        <f>IFERROR(__xludf.DUMMYFUNCTION("""COMPUTED_VALUE"""),"United States")</f>
        <v>United States</v>
      </c>
      <c r="D445" s="4" t="str">
        <f>IFERROR(__xludf.DUMMYFUNCTION("""COMPUTED_VALUE"""),"Hobbies and Leisure")</f>
        <v>Hobbies and Leisure</v>
      </c>
      <c r="E445" s="4" t="str">
        <f>IFERROR(__xludf.DUMMYFUNCTION("""COMPUTED_VALUE"""),"Crafts")</f>
        <v>Crafts</v>
      </c>
      <c r="F445" s="4"/>
      <c r="G445" s="4"/>
      <c r="H445" s="4"/>
      <c r="I445" s="4"/>
      <c r="J445" s="5" t="s">
        <v>22</v>
      </c>
      <c r="K445" s="5" t="s">
        <v>16</v>
      </c>
      <c r="L445" s="5" t="s">
        <v>32</v>
      </c>
      <c r="M445" s="6" t="s">
        <v>669</v>
      </c>
      <c r="N445" s="5" t="s">
        <v>161</v>
      </c>
      <c r="O445" s="5" t="s">
        <v>27</v>
      </c>
      <c r="P445" s="5">
        <v>41513.0</v>
      </c>
      <c r="Q445" s="5">
        <v>113.0</v>
      </c>
      <c r="R445" s="5">
        <v>20872.0</v>
      </c>
      <c r="S445" s="5">
        <v>39250.0</v>
      </c>
      <c r="T445" s="5">
        <v>9.0</v>
      </c>
      <c r="U445" s="9">
        <v>6789.533401</v>
      </c>
    </row>
    <row r="446">
      <c r="A446" s="4" t="s">
        <v>670</v>
      </c>
      <c r="B446" s="4" t="str">
        <f>IFERROR(__xludf.DUMMYFUNCTION("SPLIT(A446,""&gt;"")"),"Online Behavior")</f>
        <v>Online Behavior</v>
      </c>
      <c r="C446" s="4" t="str">
        <f>IFERROR(__xludf.DUMMYFUNCTION("""COMPUTED_VALUE"""),"United States")</f>
        <v>United States</v>
      </c>
      <c r="D446" s="4" t="str">
        <f>IFERROR(__xludf.DUMMYFUNCTION("""COMPUTED_VALUE"""),"Life Event")</f>
        <v>Life Event</v>
      </c>
      <c r="E446" s="4" t="str">
        <f>IFERROR(__xludf.DUMMYFUNCTION("""COMPUTED_VALUE"""),"Wedding Planning")</f>
        <v>Wedding Planning</v>
      </c>
      <c r="F446" s="4"/>
      <c r="G446" s="4"/>
      <c r="H446" s="4"/>
      <c r="I446" s="4"/>
      <c r="J446" s="5" t="s">
        <v>15</v>
      </c>
      <c r="K446" s="5" t="s">
        <v>31</v>
      </c>
      <c r="L446" s="5" t="s">
        <v>35</v>
      </c>
      <c r="M446" s="6" t="s">
        <v>669</v>
      </c>
      <c r="N446" s="5" t="s">
        <v>46</v>
      </c>
      <c r="O446" s="5" t="s">
        <v>27</v>
      </c>
      <c r="P446" s="5">
        <v>16503.0</v>
      </c>
      <c r="Q446" s="5">
        <v>69.0</v>
      </c>
      <c r="R446" s="5">
        <v>8595.0</v>
      </c>
      <c r="S446" s="5">
        <v>14466.0</v>
      </c>
      <c r="T446" s="5">
        <v>7.0</v>
      </c>
      <c r="U446" s="9">
        <v>5714.523867</v>
      </c>
    </row>
    <row r="447">
      <c r="A447" s="4" t="s">
        <v>1461</v>
      </c>
      <c r="B447" s="4" t="str">
        <f>IFERROR(__xludf.DUMMYFUNCTION("SPLIT(A447,""&gt;"")"),"Online Behavior")</f>
        <v>Online Behavior</v>
      </c>
      <c r="C447" s="4" t="str">
        <f>IFERROR(__xludf.DUMMYFUNCTION("""COMPUTED_VALUE"""),"United States")</f>
        <v>United States</v>
      </c>
      <c r="D447" s="4" t="str">
        <f>IFERROR(__xludf.DUMMYFUNCTION("""COMPUTED_VALUE"""),"Validated Demographic ")</f>
        <v>Validated Demographic </v>
      </c>
      <c r="E447" s="4" t="str">
        <f>IFERROR(__xludf.DUMMYFUNCTION("""COMPUTED_VALUE""")," Gender and Age Combined")</f>
        <v> Gender and Age Combined</v>
      </c>
      <c r="F447" s="4" t="str">
        <f>IFERROR(__xludf.DUMMYFUNCTION("""COMPUTED_VALUE"""),"Females 55-64")</f>
        <v>Females 55-64</v>
      </c>
      <c r="G447" s="4"/>
      <c r="H447" s="4"/>
      <c r="I447" s="4"/>
      <c r="J447" s="5" t="s">
        <v>15</v>
      </c>
      <c r="K447" s="5" t="s">
        <v>16</v>
      </c>
      <c r="L447" s="5" t="s">
        <v>17</v>
      </c>
      <c r="M447" s="6" t="s">
        <v>669</v>
      </c>
      <c r="N447" s="5" t="s">
        <v>19</v>
      </c>
      <c r="O447" s="5" t="s">
        <v>27</v>
      </c>
      <c r="P447" s="5">
        <v>52006.0</v>
      </c>
      <c r="Q447" s="5">
        <v>160.0</v>
      </c>
      <c r="R447" s="5">
        <v>24711.0</v>
      </c>
      <c r="S447" s="5">
        <v>48019.0</v>
      </c>
      <c r="T447" s="5">
        <v>12.0</v>
      </c>
      <c r="U447" s="9">
        <v>5200.010118</v>
      </c>
    </row>
    <row r="448">
      <c r="A448" s="4" t="s">
        <v>672</v>
      </c>
      <c r="B448" s="4" t="str">
        <f>IFERROR(__xludf.DUMMYFUNCTION("SPLIT(A448,""&gt;"")"),"Online Behavior")</f>
        <v>Online Behavior</v>
      </c>
      <c r="C448" s="4" t="str">
        <f>IFERROR(__xludf.DUMMYFUNCTION("""COMPUTED_VALUE"""),"United States")</f>
        <v>United States</v>
      </c>
      <c r="D448" s="4" t="str">
        <f>IFERROR(__xludf.DUMMYFUNCTION("""COMPUTED_VALUE"""),"Home and Garden")</f>
        <v>Home and Garden</v>
      </c>
      <c r="E448" s="4" t="str">
        <f>IFERROR(__xludf.DUMMYFUNCTION("""COMPUTED_VALUE"""),"Home Appliances")</f>
        <v>Home Appliances</v>
      </c>
      <c r="F448" s="4"/>
      <c r="G448" s="4"/>
      <c r="H448" s="4"/>
      <c r="I448" s="4"/>
      <c r="J448" s="5" t="s">
        <v>15</v>
      </c>
      <c r="K448" s="5" t="s">
        <v>42</v>
      </c>
      <c r="L448" s="5" t="s">
        <v>66</v>
      </c>
      <c r="M448" s="6" t="s">
        <v>669</v>
      </c>
      <c r="N448" s="5" t="s">
        <v>46</v>
      </c>
      <c r="O448" s="5" t="s">
        <v>27</v>
      </c>
      <c r="P448" s="5">
        <v>8420.0</v>
      </c>
      <c r="Q448" s="5">
        <v>80.0</v>
      </c>
      <c r="R448" s="5">
        <v>4430.0</v>
      </c>
      <c r="S448" s="5">
        <v>7869.0</v>
      </c>
      <c r="T448" s="5">
        <v>8.0</v>
      </c>
      <c r="U448" s="9">
        <v>5184.585424</v>
      </c>
    </row>
    <row r="449">
      <c r="A449" s="4" t="s">
        <v>1462</v>
      </c>
      <c r="B449" s="4" t="str">
        <f>IFERROR(__xludf.DUMMYFUNCTION("SPLIT(A449,""&gt;"")"),"OnAudience ")</f>
        <v>OnAudience </v>
      </c>
      <c r="C449" s="4" t="str">
        <f>IFERROR(__xludf.DUMMYFUNCTION("""COMPUTED_VALUE""")," Interest ")</f>
        <v> Interest </v>
      </c>
      <c r="D449" s="4" t="str">
        <f>IFERROR(__xludf.DUMMYFUNCTION("""COMPUTED_VALUE""")," Shopping")</f>
        <v> Shopping</v>
      </c>
      <c r="E449" s="4"/>
      <c r="F449" s="4"/>
      <c r="G449" s="4"/>
      <c r="H449" s="4"/>
      <c r="I449" s="4"/>
      <c r="J449" s="5" t="s">
        <v>61</v>
      </c>
      <c r="K449" s="5" t="s">
        <v>16</v>
      </c>
      <c r="L449" s="5" t="s">
        <v>45</v>
      </c>
      <c r="M449" s="6" t="s">
        <v>669</v>
      </c>
      <c r="N449" s="5" t="s">
        <v>19</v>
      </c>
      <c r="O449" s="5" t="s">
        <v>27</v>
      </c>
      <c r="P449" s="5">
        <v>63415.0</v>
      </c>
      <c r="Q449" s="5">
        <v>185.0</v>
      </c>
      <c r="R449" s="5">
        <v>28161.0</v>
      </c>
      <c r="S449" s="5">
        <v>59169.0</v>
      </c>
      <c r="T449" s="5">
        <v>9.0</v>
      </c>
      <c r="U449" s="9">
        <v>1924.162675</v>
      </c>
    </row>
    <row r="450">
      <c r="A450" s="4" t="s">
        <v>1463</v>
      </c>
      <c r="B450" s="4" t="str">
        <f>IFERROR(__xludf.DUMMYFUNCTION("SPLIT(A450,""&gt;"")"),"Media and Entertainment ")</f>
        <v>Media and Entertainment </v>
      </c>
      <c r="C450" s="4" t="str">
        <f>IFERROR(__xludf.DUMMYFUNCTION("""COMPUTED_VALUE""")," Sports and Recreational Activities ")</f>
        <v> Sports and Recreational Activities </v>
      </c>
      <c r="D450" s="4" t="str">
        <f>IFERROR(__xludf.DUMMYFUNCTION("""COMPUTED_VALUE""")," Interest (Affinity) ")</f>
        <v> Interest (Affinity) </v>
      </c>
      <c r="E450" s="4" t="str">
        <f>IFERROR(__xludf.DUMMYFUNCTION("""COMPUTED_VALUE""")," Team Sports ")</f>
        <v> Team Sports </v>
      </c>
      <c r="F450" s="4" t="str">
        <f>IFERROR(__xludf.DUMMYFUNCTION("""COMPUTED_VALUE""")," Baseball")</f>
        <v> Baseball</v>
      </c>
      <c r="G450" s="4"/>
      <c r="H450" s="4"/>
      <c r="I450" s="4"/>
      <c r="J450" s="5" t="s">
        <v>22</v>
      </c>
      <c r="K450" s="5" t="s">
        <v>31</v>
      </c>
      <c r="L450" s="5" t="s">
        <v>17</v>
      </c>
      <c r="M450" s="6" t="s">
        <v>669</v>
      </c>
      <c r="N450" s="5" t="s">
        <v>26</v>
      </c>
      <c r="O450" s="5" t="s">
        <v>27</v>
      </c>
      <c r="P450" s="5">
        <v>73544.0</v>
      </c>
      <c r="Q450" s="5">
        <v>223.0</v>
      </c>
      <c r="R450" s="5">
        <v>40405.0</v>
      </c>
      <c r="S450" s="5">
        <v>67406.0</v>
      </c>
      <c r="T450" s="5">
        <v>1.0</v>
      </c>
      <c r="U450" s="9">
        <v>1465.872266</v>
      </c>
    </row>
    <row r="451">
      <c r="A451" s="4" t="s">
        <v>1464</v>
      </c>
      <c r="B451" s="4" t="str">
        <f>IFERROR(__xludf.DUMMYFUNCTION("SPLIT(A451,""&gt;"")"),"Media and Entertainment ")</f>
        <v>Media and Entertainment </v>
      </c>
      <c r="C451" s="4" t="str">
        <f>IFERROR(__xludf.DUMMYFUNCTION("""COMPUTED_VALUE""")," News and Current Events ")</f>
        <v> News and Current Events </v>
      </c>
      <c r="D451" s="4" t="str">
        <f>IFERROR(__xludf.DUMMYFUNCTION("""COMPUTED_VALUE""")," Online News Websites")</f>
        <v> Online News Websites</v>
      </c>
      <c r="E451" s="4"/>
      <c r="F451" s="4"/>
      <c r="G451" s="4"/>
      <c r="H451" s="4"/>
      <c r="I451" s="4"/>
      <c r="J451" s="5" t="s">
        <v>22</v>
      </c>
      <c r="K451" s="5" t="s">
        <v>31</v>
      </c>
      <c r="L451" s="5" t="s">
        <v>32</v>
      </c>
      <c r="M451" s="6" t="s">
        <v>676</v>
      </c>
      <c r="N451" s="5" t="s">
        <v>161</v>
      </c>
      <c r="O451" s="5" t="s">
        <v>27</v>
      </c>
      <c r="P451" s="5">
        <v>16288.0</v>
      </c>
      <c r="Q451" s="5">
        <v>56.0</v>
      </c>
      <c r="R451" s="5">
        <v>5304.0</v>
      </c>
      <c r="S451" s="5">
        <v>10731.0</v>
      </c>
      <c r="T451" s="5">
        <v>3.0</v>
      </c>
      <c r="U451" s="9">
        <v>2030.142709</v>
      </c>
    </row>
    <row r="452" hidden="1">
      <c r="A452" s="4" t="s">
        <v>1465</v>
      </c>
      <c r="B452" s="4" t="str">
        <f>IFERROR(__xludf.DUMMYFUNCTION("SPLIT(A452,""&gt;"")"),"Online Behavior")</f>
        <v>Online Behavior</v>
      </c>
      <c r="C452" s="4" t="str">
        <f>IFERROR(__xludf.DUMMYFUNCTION("""COMPUTED_VALUE"""),"United States")</f>
        <v>United States</v>
      </c>
      <c r="D452" s="4" t="str">
        <f>IFERROR(__xludf.DUMMYFUNCTION("""COMPUTED_VALUE"""),"Finance ")</f>
        <v>Finance </v>
      </c>
      <c r="E452" s="4" t="str">
        <f>IFERROR(__xludf.DUMMYFUNCTION("""COMPUTED_VALUE""")," Investing")</f>
        <v> Investing</v>
      </c>
      <c r="F452" s="4" t="str">
        <f>IFERROR(__xludf.DUMMYFUNCTION("""COMPUTED_VALUE"""),"Brokerages and Day Trading")</f>
        <v>Brokerages and Day Trading</v>
      </c>
      <c r="G452" s="4"/>
      <c r="H452" s="4"/>
      <c r="I452" s="4"/>
      <c r="J452" s="5" t="s">
        <v>15</v>
      </c>
      <c r="K452" s="5" t="s">
        <v>42</v>
      </c>
      <c r="L452" s="5" t="s">
        <v>183</v>
      </c>
      <c r="M452" s="6" t="s">
        <v>678</v>
      </c>
      <c r="N452" s="5" t="s">
        <v>19</v>
      </c>
      <c r="O452" s="5" t="s">
        <v>20</v>
      </c>
      <c r="P452" s="5">
        <v>7695.0</v>
      </c>
      <c r="Q452" s="5">
        <v>20.0</v>
      </c>
      <c r="R452" s="5">
        <v>3481.0</v>
      </c>
      <c r="S452" s="5">
        <v>7050.0</v>
      </c>
      <c r="T452" s="5">
        <v>14.0</v>
      </c>
      <c r="U452" s="9">
        <v>6727.440499</v>
      </c>
    </row>
    <row r="453">
      <c r="A453" s="4" t="s">
        <v>1466</v>
      </c>
      <c r="B453" s="4" t="str">
        <f>IFERROR(__xludf.DUMMYFUNCTION("SPLIT(A453,""&gt;"")"),"United States ")</f>
        <v>United States </v>
      </c>
      <c r="C453" s="4" t="str">
        <f>IFERROR(__xludf.DUMMYFUNCTION("""COMPUTED_VALUE""")," Reach ")</f>
        <v> Reach </v>
      </c>
      <c r="D453" s="4" t="str">
        <f>IFERROR(__xludf.DUMMYFUNCTION("""COMPUTED_VALUE""")," Propensity Models ")</f>
        <v> Propensity Models </v>
      </c>
      <c r="E453" s="4" t="str">
        <f>IFERROR(__xludf.DUMMYFUNCTION("""COMPUTED_VALUE""")," Luxury Store Shoppers")</f>
        <v> Luxury Store Shoppers</v>
      </c>
      <c r="F453" s="4"/>
      <c r="G453" s="4"/>
      <c r="H453" s="4"/>
      <c r="I453" s="4"/>
      <c r="J453" s="5" t="s">
        <v>61</v>
      </c>
      <c r="K453" s="5" t="s">
        <v>16</v>
      </c>
      <c r="L453" s="5" t="s">
        <v>183</v>
      </c>
      <c r="M453" s="6" t="s">
        <v>678</v>
      </c>
      <c r="N453" s="5" t="s">
        <v>19</v>
      </c>
      <c r="O453" s="5" t="s">
        <v>27</v>
      </c>
      <c r="P453" s="5">
        <v>15602.0</v>
      </c>
      <c r="Q453" s="5">
        <v>50.0</v>
      </c>
      <c r="R453" s="5">
        <v>7676.0</v>
      </c>
      <c r="S453" s="5">
        <v>13775.0</v>
      </c>
      <c r="T453" s="5">
        <v>1.0</v>
      </c>
      <c r="U453" s="9">
        <v>2600.894327</v>
      </c>
    </row>
    <row r="454">
      <c r="A454" s="4" t="s">
        <v>1467</v>
      </c>
      <c r="B454" s="4" t="str">
        <f>IFERROR(__xludf.DUMMYFUNCTION("SPLIT(A454,""&gt;"")"),"Online Behavior")</f>
        <v>Online Behavior</v>
      </c>
      <c r="C454" s="4" t="str">
        <f>IFERROR(__xludf.DUMMYFUNCTION("""COMPUTED_VALUE"""),"United States")</f>
        <v>United States</v>
      </c>
      <c r="D454" s="4" t="str">
        <f>IFERROR(__xludf.DUMMYFUNCTION("""COMPUTED_VALUE"""),"Intent ")</f>
        <v>Intent </v>
      </c>
      <c r="E454" s="4" t="str">
        <f>IFERROR(__xludf.DUMMYFUNCTION("""COMPUTED_VALUE""")," Auto Buyers ")</f>
        <v> Auto Buyers </v>
      </c>
      <c r="F454" s="4" t="str">
        <f>IFERROR(__xludf.DUMMYFUNCTION("""COMPUTED_VALUE""")," Car Make")</f>
        <v> Car Make</v>
      </c>
      <c r="G454" s="4" t="str">
        <f>IFERROR(__xludf.DUMMYFUNCTION("""COMPUTED_VALUE"""),"Honda")</f>
        <v>Honda</v>
      </c>
      <c r="H454" s="4"/>
      <c r="I454" s="4"/>
      <c r="J454" s="5" t="s">
        <v>15</v>
      </c>
      <c r="K454" s="5" t="s">
        <v>16</v>
      </c>
      <c r="L454" s="5" t="s">
        <v>39</v>
      </c>
      <c r="M454" s="6" t="s">
        <v>681</v>
      </c>
      <c r="N454" s="5" t="s">
        <v>50</v>
      </c>
      <c r="O454" s="5" t="s">
        <v>27</v>
      </c>
      <c r="P454" s="5">
        <v>8000.0</v>
      </c>
      <c r="Q454" s="5">
        <v>10.0</v>
      </c>
      <c r="R454" s="5">
        <v>4400.0</v>
      </c>
      <c r="S454" s="5">
        <v>6379.0</v>
      </c>
      <c r="T454" s="5">
        <v>1.0</v>
      </c>
      <c r="U454" s="9">
        <v>6159.366902</v>
      </c>
    </row>
    <row r="455">
      <c r="A455" s="4" t="s">
        <v>1468</v>
      </c>
      <c r="B455" s="4" t="str">
        <f>IFERROR(__xludf.DUMMYFUNCTION("SPLIT(A455,""&gt;"")"),"Media and Entertainment ")</f>
        <v>Media and Entertainment </v>
      </c>
      <c r="C455" s="4" t="str">
        <f>IFERROR(__xludf.DUMMYFUNCTION("""COMPUTED_VALUE""")," Sports and Recreational Activities ")</f>
        <v> Sports and Recreational Activities </v>
      </c>
      <c r="D455" s="4" t="str">
        <f>IFERROR(__xludf.DUMMYFUNCTION("""COMPUTED_VALUE""")," Interest (Affinity) ")</f>
        <v> Interest (Affinity) </v>
      </c>
      <c r="E455" s="4" t="str">
        <f>IFERROR(__xludf.DUMMYFUNCTION("""COMPUTED_VALUE""")," Combat Sports")</f>
        <v> Combat Sports</v>
      </c>
      <c r="F455" s="4"/>
      <c r="G455" s="4"/>
      <c r="H455" s="4"/>
      <c r="I455" s="4"/>
      <c r="J455" s="5" t="s">
        <v>22</v>
      </c>
      <c r="K455" s="5" t="s">
        <v>31</v>
      </c>
      <c r="L455" s="5" t="s">
        <v>17</v>
      </c>
      <c r="M455" s="6" t="s">
        <v>681</v>
      </c>
      <c r="N455" s="5" t="s">
        <v>136</v>
      </c>
      <c r="O455" s="5" t="s">
        <v>27</v>
      </c>
      <c r="P455" s="5">
        <v>13592.0</v>
      </c>
      <c r="Q455" s="5">
        <v>85.0</v>
      </c>
      <c r="R455" s="5">
        <v>7747.0</v>
      </c>
      <c r="S455" s="5">
        <v>10690.0</v>
      </c>
      <c r="T455" s="5">
        <v>1.0</v>
      </c>
      <c r="U455" s="9">
        <v>1555.112078</v>
      </c>
    </row>
    <row r="456">
      <c r="A456" s="4" t="s">
        <v>1469</v>
      </c>
      <c r="B456" s="4" t="str">
        <f>IFERROR(__xludf.DUMMYFUNCTION("SPLIT(A456,""&gt;"")"),"United States ")</f>
        <v>United States </v>
      </c>
      <c r="C456" s="4" t="str">
        <f>IFERROR(__xludf.DUMMYFUNCTION("""COMPUTED_VALUE""")," Reach ")</f>
        <v> Reach </v>
      </c>
      <c r="D456" s="4" t="str">
        <f>IFERROR(__xludf.DUMMYFUNCTION("""COMPUTED_VALUE""")," Propensity Models ")</f>
        <v> Propensity Models </v>
      </c>
      <c r="E456" s="4" t="str">
        <f>IFERROR(__xludf.DUMMYFUNCTION("""COMPUTED_VALUE""")," Travel ")</f>
        <v> Travel </v>
      </c>
      <c r="F456" s="4" t="str">
        <f>IFERROR(__xludf.DUMMYFUNCTION("""COMPUTED_VALUE""")," High Frequency Travel ")</f>
        <v> High Frequency Travel </v>
      </c>
      <c r="G456" s="4" t="str">
        <f>IFERROR(__xludf.DUMMYFUNCTION("""COMPUTED_VALUE""")," Foreign Vacationer")</f>
        <v> Foreign Vacationer</v>
      </c>
      <c r="H456" s="4"/>
      <c r="I456" s="4"/>
      <c r="J456" s="5" t="s">
        <v>22</v>
      </c>
      <c r="K456" s="5" t="s">
        <v>42</v>
      </c>
      <c r="L456" s="5" t="s">
        <v>78</v>
      </c>
      <c r="M456" s="6" t="s">
        <v>684</v>
      </c>
      <c r="N456" s="5" t="s">
        <v>26</v>
      </c>
      <c r="O456" s="5" t="s">
        <v>27</v>
      </c>
      <c r="P456" s="5">
        <v>15588.0</v>
      </c>
      <c r="Q456" s="5">
        <v>80.0</v>
      </c>
      <c r="R456" s="5">
        <v>2089.0</v>
      </c>
      <c r="S456" s="5">
        <v>14526.0</v>
      </c>
      <c r="T456" s="5">
        <v>9.0</v>
      </c>
      <c r="U456" s="9">
        <v>3518.533482</v>
      </c>
    </row>
    <row r="457">
      <c r="A457" s="4" t="s">
        <v>1470</v>
      </c>
      <c r="B457" s="4" t="str">
        <f>IFERROR(__xludf.DUMMYFUNCTION("SPLIT(A457,""&gt;"")"),"Online Behavior")</f>
        <v>Online Behavior</v>
      </c>
      <c r="C457" s="4" t="str">
        <f>IFERROR(__xludf.DUMMYFUNCTION("""COMPUTED_VALUE"""),"United States")</f>
        <v>United States</v>
      </c>
      <c r="D457" s="4" t="str">
        <f>IFERROR(__xludf.DUMMYFUNCTION("""COMPUTED_VALUE"""),"Intent ")</f>
        <v>Intent </v>
      </c>
      <c r="E457" s="4" t="str">
        <f>IFERROR(__xludf.DUMMYFUNCTION("""COMPUTED_VALUE""")," Auto Buyers ")</f>
        <v> Auto Buyers </v>
      </c>
      <c r="F457" s="4" t="str">
        <f>IFERROR(__xludf.DUMMYFUNCTION("""COMPUTED_VALUE""")," Car Make")</f>
        <v> Car Make</v>
      </c>
      <c r="G457" s="4" t="str">
        <f>IFERROR(__xludf.DUMMYFUNCTION("""COMPUTED_VALUE"""),"Vauxhall")</f>
        <v>Vauxhall</v>
      </c>
      <c r="H457" s="4"/>
      <c r="I457" s="4"/>
      <c r="J457" s="5" t="s">
        <v>22</v>
      </c>
      <c r="K457" s="5" t="s">
        <v>31</v>
      </c>
      <c r="L457" s="5" t="s">
        <v>29</v>
      </c>
      <c r="M457" s="6" t="s">
        <v>686</v>
      </c>
      <c r="N457" s="5" t="s">
        <v>19</v>
      </c>
      <c r="O457" s="5" t="s">
        <v>27</v>
      </c>
      <c r="P457" s="5">
        <v>14038.0</v>
      </c>
      <c r="Q457" s="5">
        <v>63.0</v>
      </c>
      <c r="R457" s="5">
        <v>1600.0</v>
      </c>
      <c r="S457" s="5">
        <v>11345.0</v>
      </c>
      <c r="T457" s="5">
        <v>8.0</v>
      </c>
      <c r="U457" s="9">
        <v>6368.862913</v>
      </c>
    </row>
    <row r="458">
      <c r="A458" s="4" t="s">
        <v>1471</v>
      </c>
      <c r="B458" s="4" t="str">
        <f>IFERROR(__xludf.DUMMYFUNCTION("SPLIT(A458,""&gt;"")"),"Online Behavior")</f>
        <v>Online Behavior</v>
      </c>
      <c r="C458" s="4" t="str">
        <f>IFERROR(__xludf.DUMMYFUNCTION("""COMPUTED_VALUE"""),"United States")</f>
        <v>United States</v>
      </c>
      <c r="D458" s="4" t="str">
        <f>IFERROR(__xludf.DUMMYFUNCTION("""COMPUTED_VALUE"""),"Intent ")</f>
        <v>Intent </v>
      </c>
      <c r="E458" s="4" t="str">
        <f>IFERROR(__xludf.DUMMYFUNCTION("""COMPUTED_VALUE""")," Travel")</f>
        <v> Travel</v>
      </c>
      <c r="F458" s="4" t="str">
        <f>IFERROR(__xludf.DUMMYFUNCTION("""COMPUTED_VALUE"""),"Flights")</f>
        <v>Flights</v>
      </c>
      <c r="G458" s="4"/>
      <c r="H458" s="4"/>
      <c r="I458" s="4"/>
      <c r="J458" s="5" t="s">
        <v>61</v>
      </c>
      <c r="K458" s="5" t="s">
        <v>31</v>
      </c>
      <c r="L458" s="5" t="s">
        <v>55</v>
      </c>
      <c r="M458" s="6" t="s">
        <v>686</v>
      </c>
      <c r="N458" s="5" t="s">
        <v>1046</v>
      </c>
      <c r="O458" s="5" t="s">
        <v>27</v>
      </c>
      <c r="P458" s="5">
        <v>140359.0</v>
      </c>
      <c r="Q458" s="5">
        <v>352.0</v>
      </c>
      <c r="R458" s="5">
        <v>76130.0</v>
      </c>
      <c r="S458" s="5">
        <v>133578.0</v>
      </c>
      <c r="T458" s="5">
        <v>26.0</v>
      </c>
      <c r="U458" s="9">
        <v>6094.666799</v>
      </c>
    </row>
    <row r="459">
      <c r="A459" s="4" t="s">
        <v>688</v>
      </c>
      <c r="B459" s="4" t="str">
        <f>IFERROR(__xludf.DUMMYFUNCTION("SPLIT(A459,""&gt;"")"),"Online Behavior")</f>
        <v>Online Behavior</v>
      </c>
      <c r="C459" s="4" t="str">
        <f>IFERROR(__xludf.DUMMYFUNCTION("""COMPUTED_VALUE"""),"United States")</f>
        <v>United States</v>
      </c>
      <c r="D459" s="4" t="str">
        <f>IFERROR(__xludf.DUMMYFUNCTION("""COMPUTED_VALUE"""),"Home and Garden")</f>
        <v>Home and Garden</v>
      </c>
      <c r="E459" s="4" t="str">
        <f>IFERROR(__xludf.DUMMYFUNCTION("""COMPUTED_VALUE"""),"Home Furnishings")</f>
        <v>Home Furnishings</v>
      </c>
      <c r="F459" s="4"/>
      <c r="G459" s="4"/>
      <c r="H459" s="4"/>
      <c r="I459" s="4"/>
      <c r="J459" s="5" t="s">
        <v>22</v>
      </c>
      <c r="K459" s="5" t="s">
        <v>31</v>
      </c>
      <c r="L459" s="5" t="s">
        <v>35</v>
      </c>
      <c r="M459" s="6" t="s">
        <v>686</v>
      </c>
      <c r="N459" s="5" t="s">
        <v>19</v>
      </c>
      <c r="O459" s="5" t="s">
        <v>27</v>
      </c>
      <c r="P459" s="5">
        <v>25377.0</v>
      </c>
      <c r="Q459" s="5">
        <v>101.0</v>
      </c>
      <c r="R459" s="5">
        <v>16698.0</v>
      </c>
      <c r="S459" s="5">
        <v>23798.0</v>
      </c>
      <c r="T459" s="5">
        <v>2.0</v>
      </c>
      <c r="U459" s="9">
        <v>5175.142919</v>
      </c>
    </row>
    <row r="460">
      <c r="A460" s="4" t="s">
        <v>1472</v>
      </c>
      <c r="B460" s="4" t="str">
        <f>IFERROR(__xludf.DUMMYFUNCTION("SPLIT(A460,""&gt;"")"),"Tech EnthUnited Statesiasts")</f>
        <v>Tech EnthUnited Statesiasts</v>
      </c>
      <c r="C460" s="4"/>
      <c r="D460" s="4"/>
      <c r="E460" s="4"/>
      <c r="F460" s="4"/>
      <c r="G460" s="4"/>
      <c r="H460" s="4"/>
      <c r="I460" s="4"/>
      <c r="J460" s="5" t="s">
        <v>22</v>
      </c>
      <c r="K460" s="5" t="s">
        <v>23</v>
      </c>
      <c r="L460" s="5" t="s">
        <v>55</v>
      </c>
      <c r="M460" s="6" t="s">
        <v>686</v>
      </c>
      <c r="N460" s="5" t="s">
        <v>19</v>
      </c>
      <c r="O460" s="5" t="s">
        <v>27</v>
      </c>
      <c r="P460" s="5">
        <v>29092.0</v>
      </c>
      <c r="Q460" s="5">
        <v>75.0</v>
      </c>
      <c r="R460" s="5">
        <v>16986.0</v>
      </c>
      <c r="S460" s="5">
        <v>26606.0</v>
      </c>
      <c r="T460" s="5">
        <v>15.0</v>
      </c>
      <c r="U460" s="9">
        <v>1801.058111</v>
      </c>
    </row>
    <row r="461" hidden="1">
      <c r="A461" s="4" t="s">
        <v>1473</v>
      </c>
      <c r="B461" s="4" t="str">
        <f>IFERROR(__xludf.DUMMYFUNCTION("SPLIT(A461,""&gt;"")"),"United States Interest ")</f>
        <v>United States Interest </v>
      </c>
      <c r="C461" s="4" t="str">
        <f>IFERROR(__xludf.DUMMYFUNCTION("""COMPUTED_VALUE""")," Computers")</f>
        <v> Computers</v>
      </c>
      <c r="D461" s="4"/>
      <c r="E461" s="4"/>
      <c r="F461" s="4"/>
      <c r="G461" s="4"/>
      <c r="H461" s="4"/>
      <c r="I461" s="4"/>
      <c r="J461" s="5" t="s">
        <v>15</v>
      </c>
      <c r="K461" s="5" t="s">
        <v>16</v>
      </c>
      <c r="L461" s="5" t="s">
        <v>95</v>
      </c>
      <c r="M461" s="6" t="s">
        <v>686</v>
      </c>
      <c r="N461" s="5" t="s">
        <v>26</v>
      </c>
      <c r="O461" s="5" t="s">
        <v>20</v>
      </c>
      <c r="P461" s="5">
        <v>73567.0</v>
      </c>
      <c r="Q461" s="5">
        <v>197.0</v>
      </c>
      <c r="R461" s="5">
        <v>28800.0</v>
      </c>
      <c r="S461" s="5">
        <v>68566.0</v>
      </c>
      <c r="T461" s="5">
        <v>2.0</v>
      </c>
      <c r="U461" s="9">
        <v>1567.366071</v>
      </c>
    </row>
    <row r="462">
      <c r="A462" s="4" t="s">
        <v>1474</v>
      </c>
      <c r="B462" s="4" t="str">
        <f>IFERROR(__xludf.DUMMYFUNCTION("SPLIT(A462,""&gt;"")"),"United States ")</f>
        <v>United States </v>
      </c>
      <c r="C462" s="4" t="str">
        <f>IFERROR(__xludf.DUMMYFUNCTION("""COMPUTED_VALUE""")," Brand Propensities ")</f>
        <v> Brand Propensities </v>
      </c>
      <c r="D462" s="4" t="str">
        <f>IFERROR(__xludf.DUMMYFUNCTION("""COMPUTED_VALUE""")," Health ")</f>
        <v> Health </v>
      </c>
      <c r="E462" s="4" t="str">
        <f>IFERROR(__xludf.DUMMYFUNCTION("""COMPUTED_VALUE""")," Beauty and Cosmetics ")</f>
        <v> Beauty and Cosmetics </v>
      </c>
      <c r="F462" s="4" t="str">
        <f>IFERROR(__xludf.DUMMYFUNCTION("""COMPUTED_VALUE""")," Beachbody Buyer Propensity")</f>
        <v> Beachbody Buyer Propensity</v>
      </c>
      <c r="G462" s="4"/>
      <c r="H462" s="4"/>
      <c r="I462" s="4"/>
      <c r="J462" s="5" t="s">
        <v>22</v>
      </c>
      <c r="K462" s="5" t="s">
        <v>16</v>
      </c>
      <c r="L462" s="5" t="s">
        <v>35</v>
      </c>
      <c r="M462" s="6" t="s">
        <v>686</v>
      </c>
      <c r="N462" s="5" t="s">
        <v>19</v>
      </c>
      <c r="O462" s="5" t="s">
        <v>27</v>
      </c>
      <c r="P462" s="5">
        <v>152881.0</v>
      </c>
      <c r="Q462" s="5">
        <v>426.0</v>
      </c>
      <c r="R462" s="5">
        <v>94895.0</v>
      </c>
      <c r="S462" s="5">
        <v>145113.0</v>
      </c>
      <c r="T462" s="5">
        <v>11.0</v>
      </c>
      <c r="U462" s="9">
        <v>1496.668524</v>
      </c>
    </row>
    <row r="463">
      <c r="A463" s="4" t="s">
        <v>1475</v>
      </c>
      <c r="B463" s="4" t="str">
        <f>IFERROR(__xludf.DUMMYFUNCTION("SPLIT(A463,""&gt;"")"),"Media and Entertainment ")</f>
        <v>Media and Entertainment </v>
      </c>
      <c r="C463" s="4" t="str">
        <f>IFERROR(__xludf.DUMMYFUNCTION("""COMPUTED_VALUE""")," Audio and Video Streaming ")</f>
        <v> Audio and Video Streaming </v>
      </c>
      <c r="D463" s="4" t="str">
        <f>IFERROR(__xludf.DUMMYFUNCTION("""COMPUTED_VALUE""")," Streaming Video ")</f>
        <v> Streaming Video </v>
      </c>
      <c r="E463" s="4" t="str">
        <f>IFERROR(__xludf.DUMMYFUNCTION("""COMPUTED_VALUE""")," Interest (Affinity)")</f>
        <v> Interest (Affinity)</v>
      </c>
      <c r="F463" s="4"/>
      <c r="G463" s="4"/>
      <c r="H463" s="4"/>
      <c r="I463" s="4"/>
      <c r="J463" s="5" t="s">
        <v>22</v>
      </c>
      <c r="K463" s="5" t="s">
        <v>23</v>
      </c>
      <c r="L463" s="5" t="s">
        <v>35</v>
      </c>
      <c r="M463" s="6" t="s">
        <v>693</v>
      </c>
      <c r="N463" s="5" t="s">
        <v>19</v>
      </c>
      <c r="O463" s="5" t="s">
        <v>27</v>
      </c>
      <c r="P463" s="5">
        <v>16239.0</v>
      </c>
      <c r="Q463" s="5">
        <v>78.0</v>
      </c>
      <c r="R463" s="5">
        <v>9375.0</v>
      </c>
      <c r="S463" s="5">
        <v>15562.0</v>
      </c>
      <c r="T463" s="5">
        <v>5.0</v>
      </c>
      <c r="U463" s="9">
        <v>2387.686295</v>
      </c>
    </row>
    <row r="464">
      <c r="A464" s="4" t="s">
        <v>1476</v>
      </c>
      <c r="B464" s="4" t="str">
        <f>IFERROR(__xludf.DUMMYFUNCTION("SPLIT(A464,""&gt;"")"),"United States ")</f>
        <v>United States </v>
      </c>
      <c r="C464" s="4" t="str">
        <f>IFERROR(__xludf.DUMMYFUNCTION("""COMPUTED_VALUE""")," Interest Propensities ")</f>
        <v> Interest Propensities </v>
      </c>
      <c r="D464" s="4" t="str">
        <f>IFERROR(__xludf.DUMMYFUNCTION("""COMPUTED_VALUE""")," Insurance ")</f>
        <v> Insurance </v>
      </c>
      <c r="E464" s="4" t="str">
        <f>IFERROR(__xludf.DUMMYFUNCTION("""COMPUTED_VALUE""")," New York Life")</f>
        <v> New York Life</v>
      </c>
      <c r="F464" s="4"/>
      <c r="G464" s="4"/>
      <c r="H464" s="4"/>
      <c r="I464" s="4"/>
      <c r="J464" s="5" t="s">
        <v>15</v>
      </c>
      <c r="K464" s="5" t="s">
        <v>16</v>
      </c>
      <c r="L464" s="5" t="s">
        <v>35</v>
      </c>
      <c r="M464" s="6" t="s">
        <v>693</v>
      </c>
      <c r="N464" s="5" t="s">
        <v>36</v>
      </c>
      <c r="O464" s="5" t="s">
        <v>27</v>
      </c>
      <c r="P464" s="5">
        <v>14932.0</v>
      </c>
      <c r="Q464" s="5">
        <v>90.0</v>
      </c>
      <c r="R464" s="5">
        <v>8947.0</v>
      </c>
      <c r="S464" s="5">
        <v>14256.0</v>
      </c>
      <c r="T464" s="5">
        <v>3.0</v>
      </c>
      <c r="U464" s="9">
        <v>1724.417704</v>
      </c>
    </row>
    <row r="465">
      <c r="A465" s="4" t="s">
        <v>1477</v>
      </c>
      <c r="B465" s="4" t="str">
        <f>IFERROR(__xludf.DUMMYFUNCTION("SPLIT(A465,""&gt;"")"),"OnAudience ")</f>
        <v>OnAudience </v>
      </c>
      <c r="C465" s="4" t="str">
        <f>IFERROR(__xludf.DUMMYFUNCTION("""COMPUTED_VALUE""")," Interest ")</f>
        <v> Interest </v>
      </c>
      <c r="D465" s="4" t="str">
        <f>IFERROR(__xludf.DUMMYFUNCTION("""COMPUTED_VALUE""")," Science ")</f>
        <v> Science </v>
      </c>
      <c r="E465" s="4" t="str">
        <f>IFERROR(__xludf.DUMMYFUNCTION("""COMPUTED_VALUE""")," Weather")</f>
        <v> Weather</v>
      </c>
      <c r="F465" s="4"/>
      <c r="G465" s="4"/>
      <c r="H465" s="4"/>
      <c r="I465" s="4"/>
      <c r="J465" s="5" t="s">
        <v>15</v>
      </c>
      <c r="K465" s="5" t="s">
        <v>23</v>
      </c>
      <c r="L465" s="5" t="s">
        <v>24</v>
      </c>
      <c r="M465" s="6" t="s">
        <v>696</v>
      </c>
      <c r="N465" s="5" t="s">
        <v>36</v>
      </c>
      <c r="O465" s="5" t="s">
        <v>27</v>
      </c>
      <c r="P465" s="5">
        <v>13823.0</v>
      </c>
      <c r="Q465" s="5">
        <v>58.0</v>
      </c>
      <c r="R465" s="5">
        <v>10671.0</v>
      </c>
      <c r="S465" s="5">
        <v>12937.0</v>
      </c>
      <c r="T465" s="5">
        <v>3.0</v>
      </c>
      <c r="U465" s="9">
        <v>1574.709734</v>
      </c>
    </row>
    <row r="466">
      <c r="A466" s="4" t="s">
        <v>1478</v>
      </c>
      <c r="B466" s="4" t="str">
        <f>IFERROR(__xludf.DUMMYFUNCTION("SPLIT(A466,""&gt;"")"),"Mobile - United States ")</f>
        <v>Mobile - United States </v>
      </c>
      <c r="C466" s="4" t="str">
        <f>IFERROR(__xludf.DUMMYFUNCTION("""COMPUTED_VALUE""")," Demographics ")</f>
        <v> Demographics </v>
      </c>
      <c r="D466" s="4" t="str">
        <f>IFERROR(__xludf.DUMMYFUNCTION("""COMPUTED_VALUE""")," Finance ")</f>
        <v> Finance </v>
      </c>
      <c r="E466" s="4" t="str">
        <f>IFERROR(__xludf.DUMMYFUNCTION("""COMPUTED_VALUE""")," Rent Value ")</f>
        <v> Rent Value </v>
      </c>
      <c r="F466" s="4" t="str">
        <f>IFERROR(__xludf.DUMMYFUNCTION("""COMPUTED_VALUE""")," Highest Rent Value")</f>
        <v> Highest Rent Value</v>
      </c>
      <c r="G466" s="4"/>
      <c r="H466" s="4"/>
      <c r="I466" s="4"/>
      <c r="J466" s="5" t="s">
        <v>15</v>
      </c>
      <c r="K466" s="5" t="s">
        <v>16</v>
      </c>
      <c r="L466" s="5" t="s">
        <v>32</v>
      </c>
      <c r="M466" s="6" t="s">
        <v>696</v>
      </c>
      <c r="N466" s="5" t="s">
        <v>19</v>
      </c>
      <c r="O466" s="5" t="s">
        <v>27</v>
      </c>
      <c r="P466" s="5">
        <v>11214.0</v>
      </c>
      <c r="Q466" s="5">
        <v>49.0</v>
      </c>
      <c r="R466" s="5">
        <v>5523.0</v>
      </c>
      <c r="S466" s="5">
        <v>10267.0</v>
      </c>
      <c r="T466" s="5">
        <v>2.0</v>
      </c>
      <c r="U466" s="9">
        <v>1554.389215</v>
      </c>
    </row>
    <row r="467">
      <c r="A467" s="4" t="s">
        <v>1479</v>
      </c>
      <c r="B467" s="4" t="str">
        <f>IFERROR(__xludf.DUMMYFUNCTION("SPLIT(A467,""&gt;"")"),"United States ")</f>
        <v>United States </v>
      </c>
      <c r="C467" s="4" t="str">
        <f>IFERROR(__xludf.DUMMYFUNCTION("""COMPUTED_VALUE""")," AUTO ")</f>
        <v> AUTO </v>
      </c>
      <c r="D467" s="4" t="str">
        <f>IFERROR(__xludf.DUMMYFUNCTION("""COMPUTED_VALUE""")," Primary Vehicle ")</f>
        <v> Primary Vehicle </v>
      </c>
      <c r="E467" s="4" t="str">
        <f>IFERROR(__xludf.DUMMYFUNCTION("""COMPUTED_VALUE""")," Owned or Leased ")</f>
        <v> Owned or Leased </v>
      </c>
      <c r="F467" s="4" t="str">
        <f>IFERROR(__xludf.DUMMYFUNCTION("""COMPUTED_VALUE""")," Company Car")</f>
        <v> Company Car</v>
      </c>
      <c r="G467" s="4"/>
      <c r="H467" s="4"/>
      <c r="I467" s="4"/>
      <c r="J467" s="5" t="s">
        <v>22</v>
      </c>
      <c r="K467" s="5" t="s">
        <v>42</v>
      </c>
      <c r="L467" s="5" t="s">
        <v>699</v>
      </c>
      <c r="M467" s="6" t="s">
        <v>700</v>
      </c>
      <c r="N467" s="5" t="s">
        <v>36</v>
      </c>
      <c r="O467" s="5" t="s">
        <v>27</v>
      </c>
      <c r="P467" s="5">
        <v>19829.0</v>
      </c>
      <c r="Q467" s="5">
        <v>42.0</v>
      </c>
      <c r="R467" s="5">
        <v>15071.0</v>
      </c>
      <c r="S467" s="5">
        <v>19095.0</v>
      </c>
      <c r="T467" s="5">
        <v>2.0</v>
      </c>
      <c r="U467" s="9">
        <v>1952.463773</v>
      </c>
    </row>
    <row r="468">
      <c r="A468" s="4" t="s">
        <v>1480</v>
      </c>
      <c r="B468" s="4" t="str">
        <f>IFERROR(__xludf.DUMMYFUNCTION("SPLIT(A468,""&gt;"")"),"Online Behavior")</f>
        <v>Online Behavior</v>
      </c>
      <c r="C468" s="4" t="str">
        <f>IFERROR(__xludf.DUMMYFUNCTION("""COMPUTED_VALUE"""),"United States")</f>
        <v>United States</v>
      </c>
      <c r="D468" s="4" t="str">
        <f>IFERROR(__xludf.DUMMYFUNCTION("""COMPUTED_VALUE"""),"Finance ")</f>
        <v>Finance </v>
      </c>
      <c r="E468" s="4" t="str">
        <f>IFERROR(__xludf.DUMMYFUNCTION("""COMPUTED_VALUE""")," Credit and Lending")</f>
        <v> Credit and Lending</v>
      </c>
      <c r="F468" s="4" t="str">
        <f>IFERROR(__xludf.DUMMYFUNCTION("""COMPUTED_VALUE"""),"Credit Cards")</f>
        <v>Credit Cards</v>
      </c>
      <c r="G468" s="4"/>
      <c r="H468" s="4"/>
      <c r="I468" s="4"/>
      <c r="J468" s="5" t="s">
        <v>22</v>
      </c>
      <c r="K468" s="5" t="s">
        <v>23</v>
      </c>
      <c r="L468" s="5" t="s">
        <v>39</v>
      </c>
      <c r="M468" s="6" t="s">
        <v>702</v>
      </c>
      <c r="N468" s="5" t="s">
        <v>1046</v>
      </c>
      <c r="O468" s="5" t="s">
        <v>27</v>
      </c>
      <c r="P468" s="5">
        <v>183230.0</v>
      </c>
      <c r="Q468" s="5">
        <v>666.0</v>
      </c>
      <c r="R468" s="5">
        <v>155260.0</v>
      </c>
      <c r="S468" s="5">
        <v>169583.0</v>
      </c>
      <c r="T468" s="5">
        <v>34.0</v>
      </c>
      <c r="U468" s="9">
        <v>7863.469709</v>
      </c>
    </row>
    <row r="469">
      <c r="A469" s="4" t="s">
        <v>703</v>
      </c>
      <c r="B469" s="4" t="str">
        <f>IFERROR(__xludf.DUMMYFUNCTION("SPLIT(A469,""&gt;"")"),"Online Behavior")</f>
        <v>Online Behavior</v>
      </c>
      <c r="C469" s="4" t="str">
        <f>IFERROR(__xludf.DUMMYFUNCTION("""COMPUTED_VALUE"""),"United States")</f>
        <v>United States</v>
      </c>
      <c r="D469" s="4" t="str">
        <f>IFERROR(__xludf.DUMMYFUNCTION("""COMPUTED_VALUE"""),"The Changing Consumer")</f>
        <v>The Changing Consumer</v>
      </c>
      <c r="E469" s="4" t="str">
        <f>IFERROR(__xludf.DUMMYFUNCTION("""COMPUTED_VALUE"""),"Trending TV Shows")</f>
        <v>Trending TV Shows</v>
      </c>
      <c r="F469" s="4"/>
      <c r="G469" s="4"/>
      <c r="H469" s="4"/>
      <c r="I469" s="4"/>
      <c r="J469" s="5" t="s">
        <v>22</v>
      </c>
      <c r="K469" s="5" t="s">
        <v>42</v>
      </c>
      <c r="L469" s="5" t="s">
        <v>84</v>
      </c>
      <c r="M469" s="6" t="s">
        <v>702</v>
      </c>
      <c r="N469" s="5" t="s">
        <v>117</v>
      </c>
      <c r="O469" s="5" t="s">
        <v>27</v>
      </c>
      <c r="P469" s="5">
        <v>113262.0</v>
      </c>
      <c r="Q469" s="5">
        <v>380.0</v>
      </c>
      <c r="R469" s="5">
        <v>95762.0</v>
      </c>
      <c r="S469" s="5">
        <v>104612.0</v>
      </c>
      <c r="T469" s="5">
        <v>4.0</v>
      </c>
      <c r="U469" s="9">
        <v>7443.483233</v>
      </c>
    </row>
    <row r="470">
      <c r="A470" s="4" t="s">
        <v>704</v>
      </c>
      <c r="B470" s="4" t="str">
        <f>IFERROR(__xludf.DUMMYFUNCTION("SPLIT(A470,""&gt;"")"),"Online Behavior")</f>
        <v>Online Behavior</v>
      </c>
      <c r="C470" s="4" t="str">
        <f>IFERROR(__xludf.DUMMYFUNCTION("""COMPUTED_VALUE"""),"United States")</f>
        <v>United States</v>
      </c>
      <c r="D470" s="4" t="str">
        <f>IFERROR(__xludf.DUMMYFUNCTION("""COMPUTED_VALUE"""),"Travel")</f>
        <v>Travel</v>
      </c>
      <c r="E470" s="4" t="str">
        <f>IFERROR(__xludf.DUMMYFUNCTION("""COMPUTED_VALUE"""),"Hotels and Accommodations")</f>
        <v>Hotels and Accommodations</v>
      </c>
      <c r="F470" s="4"/>
      <c r="G470" s="4"/>
      <c r="H470" s="4"/>
      <c r="I470" s="4"/>
      <c r="J470" s="5" t="s">
        <v>15</v>
      </c>
      <c r="K470" s="5" t="s">
        <v>31</v>
      </c>
      <c r="L470" s="5" t="s">
        <v>29</v>
      </c>
      <c r="M470" s="6" t="s">
        <v>702</v>
      </c>
      <c r="N470" s="5" t="s">
        <v>19</v>
      </c>
      <c r="O470" s="5" t="s">
        <v>27</v>
      </c>
      <c r="P470" s="5">
        <v>75531.0</v>
      </c>
      <c r="Q470" s="5">
        <v>200.0</v>
      </c>
      <c r="R470" s="5">
        <v>63816.0</v>
      </c>
      <c r="S470" s="5">
        <v>70011.0</v>
      </c>
      <c r="T470" s="5">
        <v>9.0</v>
      </c>
      <c r="U470" s="9">
        <v>7261.86504</v>
      </c>
    </row>
    <row r="471" hidden="1">
      <c r="A471" s="4" t="s">
        <v>1481</v>
      </c>
      <c r="B471" s="4" t="str">
        <f>IFERROR(__xludf.DUMMYFUNCTION("SPLIT(A471,""&gt;"")"),"Online Behavior")</f>
        <v>Online Behavior</v>
      </c>
      <c r="C471" s="4" t="str">
        <f>IFERROR(__xludf.DUMMYFUNCTION("""COMPUTED_VALUE"""),"United States")</f>
        <v>United States</v>
      </c>
      <c r="D471" s="4" t="str">
        <f>IFERROR(__xludf.DUMMYFUNCTION("""COMPUTED_VALUE"""),"Intent ")</f>
        <v>Intent </v>
      </c>
      <c r="E471" s="4" t="str">
        <f>IFERROR(__xludf.DUMMYFUNCTION("""COMPUTED_VALUE""")," Shopping")</f>
        <v> Shopping</v>
      </c>
      <c r="F471" s="4" t="str">
        <f>IFERROR(__xludf.DUMMYFUNCTION("""COMPUTED_VALUE"""),"Fashion")</f>
        <v>Fashion</v>
      </c>
      <c r="G471" s="4"/>
      <c r="H471" s="4"/>
      <c r="I471" s="4"/>
      <c r="J471" s="5" t="s">
        <v>15</v>
      </c>
      <c r="K471" s="5" t="s">
        <v>42</v>
      </c>
      <c r="L471" s="5" t="s">
        <v>17</v>
      </c>
      <c r="M471" s="6" t="s">
        <v>702</v>
      </c>
      <c r="N471" s="5" t="s">
        <v>19</v>
      </c>
      <c r="O471" s="5" t="s">
        <v>52</v>
      </c>
      <c r="P471" s="5">
        <v>102958.0</v>
      </c>
      <c r="Q471" s="5">
        <v>320.0</v>
      </c>
      <c r="R471" s="5">
        <v>86884.0</v>
      </c>
      <c r="S471" s="5">
        <v>94687.0</v>
      </c>
      <c r="T471" s="5">
        <v>12.0</v>
      </c>
      <c r="U471" s="9">
        <v>6624.221175</v>
      </c>
    </row>
    <row r="472" hidden="1">
      <c r="A472" s="4" t="s">
        <v>706</v>
      </c>
      <c r="B472" s="4" t="str">
        <f>IFERROR(__xludf.DUMMYFUNCTION("SPLIT(A472,""&gt;"")"),"Online Behavior")</f>
        <v>Online Behavior</v>
      </c>
      <c r="C472" s="4" t="str">
        <f>IFERROR(__xludf.DUMMYFUNCTION("""COMPUTED_VALUE"""),"United States")</f>
        <v>United States</v>
      </c>
      <c r="D472" s="4" t="str">
        <f>IFERROR(__xludf.DUMMYFUNCTION("""COMPUTED_VALUE"""),"The Changing Consumer")</f>
        <v>The Changing Consumer</v>
      </c>
      <c r="E472" s="4" t="str">
        <f>IFERROR(__xludf.DUMMYFUNCTION("""COMPUTED_VALUE"""),"Natural Disasters")</f>
        <v>Natural Disasters</v>
      </c>
      <c r="F472" s="4"/>
      <c r="G472" s="4"/>
      <c r="H472" s="4"/>
      <c r="I472" s="4"/>
      <c r="J472" s="5" t="s">
        <v>15</v>
      </c>
      <c r="K472" s="5" t="s">
        <v>23</v>
      </c>
      <c r="L472" s="5" t="s">
        <v>35</v>
      </c>
      <c r="M472" s="6" t="s">
        <v>702</v>
      </c>
      <c r="N472" s="5" t="s">
        <v>50</v>
      </c>
      <c r="O472" s="5" t="s">
        <v>20</v>
      </c>
      <c r="P472" s="5">
        <v>42755.0</v>
      </c>
      <c r="Q472" s="5">
        <v>117.0</v>
      </c>
      <c r="R472" s="5">
        <v>36503.0</v>
      </c>
      <c r="S472" s="5">
        <v>40051.0</v>
      </c>
      <c r="T472" s="5">
        <v>12.0</v>
      </c>
      <c r="U472" s="9">
        <v>6550.30297</v>
      </c>
    </row>
    <row r="473">
      <c r="A473" s="4" t="s">
        <v>1482</v>
      </c>
      <c r="B473" s="4" t="str">
        <f>IFERROR(__xludf.DUMMYFUNCTION("SPLIT(A473,""&gt;"")"),"Online Behavior")</f>
        <v>Online Behavior</v>
      </c>
      <c r="C473" s="4" t="str">
        <f>IFERROR(__xludf.DUMMYFUNCTION("""COMPUTED_VALUE"""),"United States")</f>
        <v>United States</v>
      </c>
      <c r="D473" s="4" t="str">
        <f>IFERROR(__xludf.DUMMYFUNCTION("""COMPUTED_VALUE"""),"Validated Demographic ")</f>
        <v>Validated Demographic </v>
      </c>
      <c r="E473" s="4" t="str">
        <f>IFERROR(__xludf.DUMMYFUNCTION("""COMPUTED_VALUE""")," Gender and Age Combined")</f>
        <v> Gender and Age Combined</v>
      </c>
      <c r="F473" s="4" t="str">
        <f>IFERROR(__xludf.DUMMYFUNCTION("""COMPUTED_VALUE"""),"Females 25-44")</f>
        <v>Females 25-44</v>
      </c>
      <c r="G473" s="4"/>
      <c r="H473" s="4"/>
      <c r="I473" s="4"/>
      <c r="J473" s="5" t="s">
        <v>22</v>
      </c>
      <c r="K473" s="5" t="s">
        <v>31</v>
      </c>
      <c r="L473" s="5" t="s">
        <v>55</v>
      </c>
      <c r="M473" s="6" t="s">
        <v>702</v>
      </c>
      <c r="N473" s="5" t="s">
        <v>46</v>
      </c>
      <c r="O473" s="5" t="s">
        <v>27</v>
      </c>
      <c r="P473" s="5">
        <v>264580.0</v>
      </c>
      <c r="Q473" s="5">
        <v>691.0</v>
      </c>
      <c r="R473" s="5">
        <v>217526.0</v>
      </c>
      <c r="S473" s="5">
        <v>240731.0</v>
      </c>
      <c r="T473" s="5">
        <v>9.0</v>
      </c>
      <c r="U473" s="9">
        <v>4874.651722</v>
      </c>
    </row>
    <row r="474">
      <c r="A474" s="4" t="s">
        <v>1483</v>
      </c>
      <c r="B474" s="4" t="str">
        <f>IFERROR(__xludf.DUMMYFUNCTION("SPLIT(A474,""&gt;"")"),"OnAudience ")</f>
        <v>OnAudience </v>
      </c>
      <c r="C474" s="4" t="str">
        <f>IFERROR(__xludf.DUMMYFUNCTION("""COMPUTED_VALUE""")," Interest ")</f>
        <v> Interest </v>
      </c>
      <c r="D474" s="4" t="str">
        <f>IFERROR(__xludf.DUMMYFUNCTION("""COMPUTED_VALUE""")," News")</f>
        <v> News</v>
      </c>
      <c r="E474" s="4"/>
      <c r="F474" s="4"/>
      <c r="G474" s="4"/>
      <c r="H474" s="4"/>
      <c r="I474" s="4"/>
      <c r="J474" s="5" t="s">
        <v>22</v>
      </c>
      <c r="K474" s="5" t="s">
        <v>42</v>
      </c>
      <c r="L474" s="5" t="s">
        <v>32</v>
      </c>
      <c r="M474" s="6" t="s">
        <v>702</v>
      </c>
      <c r="N474" s="5" t="s">
        <v>19</v>
      </c>
      <c r="O474" s="5" t="s">
        <v>27</v>
      </c>
      <c r="P474" s="5">
        <v>42833.0</v>
      </c>
      <c r="Q474" s="5">
        <v>120.0</v>
      </c>
      <c r="R474" s="5">
        <v>37438.0</v>
      </c>
      <c r="S474" s="5">
        <v>40447.0</v>
      </c>
      <c r="T474" s="5">
        <v>9.0</v>
      </c>
      <c r="U474" s="9">
        <v>2040.934819</v>
      </c>
    </row>
    <row r="475">
      <c r="A475" s="4" t="s">
        <v>1484</v>
      </c>
      <c r="B475" s="4" t="str">
        <f>IFERROR(__xludf.DUMMYFUNCTION("SPLIT(A475,""&gt;"")"),"United States ")</f>
        <v>United States </v>
      </c>
      <c r="C475" s="4" t="str">
        <f>IFERROR(__xludf.DUMMYFUNCTION("""COMPUTED_VALUE""")," Reach ")</f>
        <v> Reach </v>
      </c>
      <c r="D475" s="4" t="str">
        <f>IFERROR(__xludf.DUMMYFUNCTION("""COMPUTED_VALUE""")," Propensity Models ")</f>
        <v> Propensity Models </v>
      </c>
      <c r="E475" s="4" t="str">
        <f>IFERROR(__xludf.DUMMYFUNCTION("""COMPUTED_VALUE""")," Online ")</f>
        <v> Online </v>
      </c>
      <c r="F475" s="4" t="str">
        <f>IFERROR(__xludf.DUMMYFUNCTION("""COMPUTED_VALUE""")," Home Office")</f>
        <v> Home Office</v>
      </c>
      <c r="G475" s="4"/>
      <c r="H475" s="4"/>
      <c r="I475" s="4"/>
      <c r="J475" s="5" t="s">
        <v>22</v>
      </c>
      <c r="K475" s="5" t="s">
        <v>16</v>
      </c>
      <c r="L475" s="5" t="s">
        <v>39</v>
      </c>
      <c r="M475" s="6" t="s">
        <v>702</v>
      </c>
      <c r="N475" s="5" t="s">
        <v>36</v>
      </c>
      <c r="O475" s="5" t="s">
        <v>27</v>
      </c>
      <c r="P475" s="5">
        <v>481526.0</v>
      </c>
      <c r="Q475" s="5">
        <v>1235.0</v>
      </c>
      <c r="R475" s="5">
        <v>396802.0</v>
      </c>
      <c r="S475" s="5">
        <v>437639.0</v>
      </c>
      <c r="T475" s="5">
        <v>23.0</v>
      </c>
      <c r="U475" s="9">
        <v>2037.865594</v>
      </c>
    </row>
    <row r="476" hidden="1">
      <c r="A476" s="4" t="s">
        <v>1485</v>
      </c>
      <c r="B476" s="4" t="str">
        <f>IFERROR(__xludf.DUMMYFUNCTION("SPLIT(A476,""&gt;"")"),"United States ")</f>
        <v>United States </v>
      </c>
      <c r="C476" s="4" t="str">
        <f>IFERROR(__xludf.DUMMYFUNCTION("""COMPUTED_VALUE""")," Brand Propensities ")</f>
        <v> Brand Propensities </v>
      </c>
      <c r="D476" s="4" t="str">
        <f>IFERROR(__xludf.DUMMYFUNCTION("""COMPUTED_VALUE""")," Apparel ")</f>
        <v> Apparel </v>
      </c>
      <c r="E476" s="4" t="str">
        <f>IFERROR(__xludf.DUMMYFUNCTION("""COMPUTED_VALUE""")," TOMS Buyer Propensity")</f>
        <v> TOMS Buyer Propensity</v>
      </c>
      <c r="F476" s="4"/>
      <c r="G476" s="4"/>
      <c r="H476" s="4"/>
      <c r="I476" s="4"/>
      <c r="J476" s="5" t="s">
        <v>15</v>
      </c>
      <c r="K476" s="5" t="s">
        <v>42</v>
      </c>
      <c r="L476" s="5" t="s">
        <v>78</v>
      </c>
      <c r="M476" s="6" t="s">
        <v>702</v>
      </c>
      <c r="N476" s="5" t="s">
        <v>19</v>
      </c>
      <c r="O476" s="5" t="s">
        <v>20</v>
      </c>
      <c r="P476" s="5">
        <v>50183.0</v>
      </c>
      <c r="Q476" s="5">
        <v>199.0</v>
      </c>
      <c r="R476" s="5">
        <v>41506.0</v>
      </c>
      <c r="S476" s="5">
        <v>46163.0</v>
      </c>
      <c r="T476" s="5">
        <v>15.0</v>
      </c>
      <c r="U476" s="9">
        <v>1628.882813</v>
      </c>
    </row>
    <row r="477">
      <c r="A477" s="4" t="s">
        <v>1486</v>
      </c>
      <c r="B477" s="4" t="str">
        <f>IFERROR(__xludf.DUMMYFUNCTION("SPLIT(A477,""&gt;"")"),"Mobile - United States ")</f>
        <v>Mobile - United States </v>
      </c>
      <c r="C477" s="4" t="str">
        <f>IFERROR(__xludf.DUMMYFUNCTION("""COMPUTED_VALUE""")," Financial Services ")</f>
        <v> Financial Services </v>
      </c>
      <c r="D477" s="4" t="str">
        <f>IFERROR(__xludf.DUMMYFUNCTION("""COMPUTED_VALUE""")," Digital Payments ")</f>
        <v> Digital Payments </v>
      </c>
      <c r="E477" s="4" t="str">
        <f>IFERROR(__xludf.DUMMYFUNCTION("""COMPUTED_VALUE""")," Chase Pay")</f>
        <v> Chase Pay</v>
      </c>
      <c r="F477" s="4"/>
      <c r="G477" s="4"/>
      <c r="H477" s="4"/>
      <c r="I477" s="4"/>
      <c r="J477" s="5" t="s">
        <v>15</v>
      </c>
      <c r="K477" s="5" t="s">
        <v>42</v>
      </c>
      <c r="L477" s="5" t="s">
        <v>17</v>
      </c>
      <c r="M477" s="6" t="s">
        <v>702</v>
      </c>
      <c r="N477" s="5" t="s">
        <v>19</v>
      </c>
      <c r="O477" s="5" t="s">
        <v>27</v>
      </c>
      <c r="P477" s="5">
        <v>21088.0</v>
      </c>
      <c r="Q477" s="5">
        <v>60.0</v>
      </c>
      <c r="R477" s="5">
        <v>17930.0</v>
      </c>
      <c r="S477" s="5">
        <v>19822.0</v>
      </c>
      <c r="T477" s="5">
        <v>4.0</v>
      </c>
      <c r="U477" s="9">
        <v>1623.681601</v>
      </c>
    </row>
    <row r="478">
      <c r="A478" s="4" t="s">
        <v>1487</v>
      </c>
      <c r="B478" s="4" t="str">
        <f>IFERROR(__xludf.DUMMYFUNCTION("SPLIT(A478,""&gt;"")"),"Transactional ")</f>
        <v>Transactional </v>
      </c>
      <c r="C478" s="4" t="str">
        <f>IFERROR(__xludf.DUMMYFUNCTION("""COMPUTED_VALUE""")," Q3 Casual Dining Restaurant Goers")</f>
        <v> Q3 Casual Dining Restaurant Goers</v>
      </c>
      <c r="D478" s="4"/>
      <c r="E478" s="4"/>
      <c r="F478" s="4"/>
      <c r="G478" s="4"/>
      <c r="H478" s="4"/>
      <c r="I478" s="4"/>
      <c r="J478" s="5" t="s">
        <v>15</v>
      </c>
      <c r="K478" s="5" t="s">
        <v>23</v>
      </c>
      <c r="L478" s="5" t="s">
        <v>29</v>
      </c>
      <c r="M478" s="6" t="s">
        <v>702</v>
      </c>
      <c r="N478" s="5" t="s">
        <v>19</v>
      </c>
      <c r="O478" s="5" t="s">
        <v>27</v>
      </c>
      <c r="P478" s="5">
        <v>284783.0</v>
      </c>
      <c r="Q478" s="5">
        <v>756.0</v>
      </c>
      <c r="R478" s="5">
        <v>239363.0</v>
      </c>
      <c r="S478" s="5">
        <v>261467.0</v>
      </c>
      <c r="T478" s="5">
        <v>9.0</v>
      </c>
      <c r="U478" s="9">
        <v>1605.538072</v>
      </c>
    </row>
    <row r="479">
      <c r="A479" s="4" t="s">
        <v>1488</v>
      </c>
      <c r="B479" s="4" t="str">
        <f>IFERROR(__xludf.DUMMYFUNCTION("SPLIT(A479,""&gt;"")"),"Media and Entertainment ")</f>
        <v>Media and Entertainment </v>
      </c>
      <c r="C479" s="4" t="str">
        <f>IFERROR(__xludf.DUMMYFUNCTION("""COMPUTED_VALUE""")," Sports and Recreational Activities ")</f>
        <v> Sports and Recreational Activities </v>
      </c>
      <c r="D479" s="4" t="str">
        <f>IFERROR(__xludf.DUMMYFUNCTION("""COMPUTED_VALUE""")," Interest (Affinity) ")</f>
        <v> Interest (Affinity) </v>
      </c>
      <c r="E479" s="4" t="str">
        <f>IFERROR(__xludf.DUMMYFUNCTION("""COMPUTED_VALUE""")," Olympics ")</f>
        <v> Olympics </v>
      </c>
      <c r="F479" s="4" t="str">
        <f>IFERROR(__xludf.DUMMYFUNCTION("""COMPUTED_VALUE""")," Winter Olympics")</f>
        <v> Winter Olympics</v>
      </c>
      <c r="G479" s="4"/>
      <c r="H479" s="4"/>
      <c r="I479" s="4"/>
      <c r="J479" s="5" t="s">
        <v>22</v>
      </c>
      <c r="K479" s="5" t="s">
        <v>42</v>
      </c>
      <c r="L479" s="5" t="s">
        <v>531</v>
      </c>
      <c r="M479" s="6" t="s">
        <v>702</v>
      </c>
      <c r="N479" s="5" t="s">
        <v>19</v>
      </c>
      <c r="O479" s="5" t="s">
        <v>27</v>
      </c>
      <c r="P479" s="5">
        <v>21229.0</v>
      </c>
      <c r="Q479" s="5">
        <v>80.0</v>
      </c>
      <c r="R479" s="5">
        <v>18073.0</v>
      </c>
      <c r="S479" s="5">
        <v>19655.0</v>
      </c>
      <c r="T479" s="5">
        <v>10.0</v>
      </c>
      <c r="U479" s="9">
        <v>1550.076655</v>
      </c>
    </row>
    <row r="480">
      <c r="A480" s="4" t="s">
        <v>1489</v>
      </c>
      <c r="B480" s="4" t="str">
        <f>IFERROR(__xludf.DUMMYFUNCTION("SPLIT(A480,""&gt;"")"),"Mobile - United States ")</f>
        <v>Mobile - United States </v>
      </c>
      <c r="C480" s="4" t="str">
        <f>IFERROR(__xludf.DUMMYFUNCTION("""COMPUTED_VALUE""")," Demographics ")</f>
        <v> Demographics </v>
      </c>
      <c r="D480" s="4" t="str">
        <f>IFERROR(__xludf.DUMMYFUNCTION("""COMPUTED_VALUE""")," Finance ")</f>
        <v> Finance </v>
      </c>
      <c r="E480" s="4" t="str">
        <f>IFERROR(__xludf.DUMMYFUNCTION("""COMPUTED_VALUE""")," Rent Value ")</f>
        <v> Rent Value </v>
      </c>
      <c r="F480" s="4" t="str">
        <f>IFERROR(__xludf.DUMMYFUNCTION("""COMPUTED_VALUE""")," Lowest Rent Value")</f>
        <v> Lowest Rent Value</v>
      </c>
      <c r="G480" s="4"/>
      <c r="H480" s="4"/>
      <c r="I480" s="4"/>
      <c r="J480" s="5" t="s">
        <v>22</v>
      </c>
      <c r="K480" s="5" t="s">
        <v>42</v>
      </c>
      <c r="L480" s="5" t="s">
        <v>214</v>
      </c>
      <c r="M480" s="6" t="s">
        <v>702</v>
      </c>
      <c r="N480" s="5" t="s">
        <v>19</v>
      </c>
      <c r="O480" s="5" t="s">
        <v>27</v>
      </c>
      <c r="P480" s="5">
        <v>55274.0</v>
      </c>
      <c r="Q480" s="5">
        <v>219.0</v>
      </c>
      <c r="R480" s="5">
        <v>47583.0</v>
      </c>
      <c r="S480" s="5">
        <v>51275.0</v>
      </c>
      <c r="T480" s="5">
        <v>3.0</v>
      </c>
      <c r="U480" s="9">
        <v>1532.757905</v>
      </c>
    </row>
    <row r="481">
      <c r="A481" s="4" t="s">
        <v>1490</v>
      </c>
      <c r="B481" s="4" t="str">
        <f>IFERROR(__xludf.DUMMYFUNCTION("SPLIT(A481,""&gt;"")"),"United States ")</f>
        <v>United States </v>
      </c>
      <c r="C481" s="4" t="str">
        <f>IFERROR(__xludf.DUMMYFUNCTION("""COMPUTED_VALUE""")," Brand Propensities ")</f>
        <v> Brand Propensities </v>
      </c>
      <c r="D481" s="4" t="str">
        <f>IFERROR(__xludf.DUMMYFUNCTION("""COMPUTED_VALUE""")," Big Box Dollar Tree Buyer Propensity")</f>
        <v> Big Box Dollar Tree Buyer Propensity</v>
      </c>
      <c r="E481" s="4"/>
      <c r="F481" s="4"/>
      <c r="G481" s="4"/>
      <c r="H481" s="4"/>
      <c r="I481" s="4"/>
      <c r="J481" s="5" t="s">
        <v>22</v>
      </c>
      <c r="K481" s="5" t="s">
        <v>31</v>
      </c>
      <c r="L481" s="5" t="s">
        <v>55</v>
      </c>
      <c r="M481" s="6" t="s">
        <v>702</v>
      </c>
      <c r="N481" s="5" t="s">
        <v>36</v>
      </c>
      <c r="O481" s="5" t="s">
        <v>27</v>
      </c>
      <c r="P481" s="5">
        <v>8278.0</v>
      </c>
      <c r="Q481" s="5">
        <v>40.0</v>
      </c>
      <c r="R481" s="5">
        <v>6758.0</v>
      </c>
      <c r="S481" s="5">
        <v>7537.0</v>
      </c>
      <c r="T481" s="5">
        <v>1.0</v>
      </c>
      <c r="U481" s="9">
        <v>1526.296619</v>
      </c>
    </row>
    <row r="482" hidden="1">
      <c r="A482" s="4" t="s">
        <v>1491</v>
      </c>
      <c r="B482" s="4" t="str">
        <f>IFERROR(__xludf.DUMMYFUNCTION("SPLIT(A482,""&gt;"")"),"Mobile - United States ")</f>
        <v>Mobile - United States </v>
      </c>
      <c r="C482" s="4" t="str">
        <f>IFERROR(__xludf.DUMMYFUNCTION("""COMPUTED_VALUE""")," Food ")</f>
        <v> Food </v>
      </c>
      <c r="D482" s="4" t="str">
        <f>IFERROR(__xludf.DUMMYFUNCTION("""COMPUTED_VALUE""")," Restaurant ")</f>
        <v> Restaurant </v>
      </c>
      <c r="E482" s="4" t="str">
        <f>IFERROR(__xludf.DUMMYFUNCTION("""COMPUTED_VALUE""")," Brand ")</f>
        <v> Brand </v>
      </c>
      <c r="F482" s="4" t="str">
        <f>IFERROR(__xludf.DUMMYFUNCTION("""COMPUTED_VALUE""")," Chilis")</f>
        <v> Chilis</v>
      </c>
      <c r="G482" s="4"/>
      <c r="H482" s="4"/>
      <c r="I482" s="4"/>
      <c r="J482" s="5" t="s">
        <v>15</v>
      </c>
      <c r="K482" s="5" t="s">
        <v>31</v>
      </c>
      <c r="L482" s="5" t="s">
        <v>29</v>
      </c>
      <c r="M482" s="6" t="s">
        <v>702</v>
      </c>
      <c r="N482" s="5" t="s">
        <v>46</v>
      </c>
      <c r="O482" s="5" t="s">
        <v>20</v>
      </c>
      <c r="P482" s="5">
        <v>87245.0</v>
      </c>
      <c r="Q482" s="5">
        <v>350.0</v>
      </c>
      <c r="R482" s="5">
        <v>71903.0</v>
      </c>
      <c r="S482" s="5">
        <v>80390.0</v>
      </c>
      <c r="T482" s="5">
        <v>2.0</v>
      </c>
      <c r="U482" s="9">
        <v>1500.838771</v>
      </c>
    </row>
    <row r="483" hidden="1">
      <c r="A483" s="4" t="s">
        <v>1492</v>
      </c>
      <c r="B483" s="4" t="str">
        <f>IFERROR(__xludf.DUMMYFUNCTION("SPLIT(A483,""&gt;"")"),"Online Behavior")</f>
        <v>Online Behavior</v>
      </c>
      <c r="C483" s="4" t="str">
        <f>IFERROR(__xludf.DUMMYFUNCTION("""COMPUTED_VALUE"""),"United States")</f>
        <v>United States</v>
      </c>
      <c r="D483" s="4" t="str">
        <f>IFERROR(__xludf.DUMMYFUNCTION("""COMPUTED_VALUE"""),"Finance ")</f>
        <v>Finance </v>
      </c>
      <c r="E483" s="4" t="str">
        <f>IFERROR(__xludf.DUMMYFUNCTION("""COMPUTED_VALUE""")," Accounting and Auditing")</f>
        <v> Accounting and Auditing</v>
      </c>
      <c r="F483" s="4" t="str">
        <f>IFERROR(__xludf.DUMMYFUNCTION("""COMPUTED_VALUE"""),"Tax Preparation and Planning")</f>
        <v>Tax Preparation and Planning</v>
      </c>
      <c r="G483" s="4"/>
      <c r="H483" s="4"/>
      <c r="I483" s="4"/>
      <c r="J483" s="5" t="s">
        <v>15</v>
      </c>
      <c r="K483" s="5" t="s">
        <v>42</v>
      </c>
      <c r="L483" s="5" t="s">
        <v>35</v>
      </c>
      <c r="M483" s="6" t="s">
        <v>718</v>
      </c>
      <c r="N483" s="5" t="s">
        <v>19</v>
      </c>
      <c r="O483" s="5" t="s">
        <v>52</v>
      </c>
      <c r="P483" s="5">
        <v>24962.0</v>
      </c>
      <c r="Q483" s="5">
        <v>75.0</v>
      </c>
      <c r="R483" s="5">
        <v>18450.0</v>
      </c>
      <c r="S483" s="5">
        <v>24128.0</v>
      </c>
      <c r="T483" s="5">
        <v>16.0</v>
      </c>
      <c r="U483" s="9">
        <v>6809.056051</v>
      </c>
    </row>
    <row r="484">
      <c r="A484" s="4" t="s">
        <v>1493</v>
      </c>
      <c r="B484" s="4" t="str">
        <f>IFERROR(__xludf.DUMMYFUNCTION("SPLIT(A484,""&gt;"")"),"Online Behavior")</f>
        <v>Online Behavior</v>
      </c>
      <c r="C484" s="4" t="str">
        <f>IFERROR(__xludf.DUMMYFUNCTION("""COMPUTED_VALUE"""),"United States")</f>
        <v>United States</v>
      </c>
      <c r="D484" s="4" t="str">
        <f>IFERROR(__xludf.DUMMYFUNCTION("""COMPUTED_VALUE"""),"Beauty and Fitness")</f>
        <v>Beauty and Fitness</v>
      </c>
      <c r="E484" s="4" t="str">
        <f>IFERROR(__xludf.DUMMYFUNCTION("""COMPUTED_VALUE"""),"Fitness ")</f>
        <v>Fitness </v>
      </c>
      <c r="F484" s="4" t="str">
        <f>IFERROR(__xludf.DUMMYFUNCTION("""COMPUTED_VALUE""")," Bodybuilding")</f>
        <v> Bodybuilding</v>
      </c>
      <c r="G484" s="4"/>
      <c r="H484" s="4"/>
      <c r="I484" s="4"/>
      <c r="J484" s="5" t="s">
        <v>15</v>
      </c>
      <c r="K484" s="5" t="s">
        <v>42</v>
      </c>
      <c r="L484" s="5" t="s">
        <v>95</v>
      </c>
      <c r="M484" s="6" t="s">
        <v>718</v>
      </c>
      <c r="N484" s="5" t="s">
        <v>36</v>
      </c>
      <c r="O484" s="5" t="s">
        <v>27</v>
      </c>
      <c r="P484" s="5">
        <v>57168.0</v>
      </c>
      <c r="Q484" s="5">
        <v>160.0</v>
      </c>
      <c r="R484" s="5">
        <v>43261.0</v>
      </c>
      <c r="S484" s="5">
        <v>55261.0</v>
      </c>
      <c r="T484" s="5">
        <v>12.0</v>
      </c>
      <c r="U484" s="9">
        <v>5841.15136</v>
      </c>
    </row>
    <row r="485">
      <c r="A485" s="4" t="s">
        <v>720</v>
      </c>
      <c r="B485" s="4" t="str">
        <f>IFERROR(__xludf.DUMMYFUNCTION("SPLIT(A485,""&gt;"")"),"Online Behavior")</f>
        <v>Online Behavior</v>
      </c>
      <c r="C485" s="4" t="str">
        <f>IFERROR(__xludf.DUMMYFUNCTION("""COMPUTED_VALUE"""),"United States")</f>
        <v>United States</v>
      </c>
      <c r="D485" s="4" t="str">
        <f>IFERROR(__xludf.DUMMYFUNCTION("""COMPUTED_VALUE"""),"Autos and Vehicles")</f>
        <v>Autos and Vehicles</v>
      </c>
      <c r="E485" s="4" t="str">
        <f>IFERROR(__xludf.DUMMYFUNCTION("""COMPUTED_VALUE"""),"Vehicle Parts and Accessories")</f>
        <v>Vehicle Parts and Accessories</v>
      </c>
      <c r="F485" s="4"/>
      <c r="G485" s="4"/>
      <c r="H485" s="4"/>
      <c r="I485" s="4"/>
      <c r="J485" s="5" t="s">
        <v>15</v>
      </c>
      <c r="K485" s="5" t="s">
        <v>16</v>
      </c>
      <c r="L485" s="5" t="s">
        <v>55</v>
      </c>
      <c r="M485" s="6" t="s">
        <v>718</v>
      </c>
      <c r="N485" s="5" t="s">
        <v>1046</v>
      </c>
      <c r="O485" s="5" t="s">
        <v>27</v>
      </c>
      <c r="P485" s="5">
        <v>58477.0</v>
      </c>
      <c r="Q485" s="5">
        <v>135.0</v>
      </c>
      <c r="R485" s="5">
        <v>43554.0</v>
      </c>
      <c r="S485" s="5">
        <v>56558.0</v>
      </c>
      <c r="T485" s="5">
        <v>19.0</v>
      </c>
      <c r="U485" s="9">
        <v>5247.623883</v>
      </c>
    </row>
    <row r="486">
      <c r="A486" s="4" t="s">
        <v>1494</v>
      </c>
      <c r="B486" s="4" t="str">
        <f>IFERROR(__xludf.DUMMYFUNCTION("SPLIT(A486,""&gt;"")"),"United States ")</f>
        <v>United States </v>
      </c>
      <c r="C486" s="4" t="str">
        <f>IFERROR(__xludf.DUMMYFUNCTION("""COMPUTED_VALUE""")," Brand Propensities ")</f>
        <v> Brand Propensities </v>
      </c>
      <c r="D486" s="4" t="str">
        <f>IFERROR(__xludf.DUMMYFUNCTION("""COMPUTED_VALUE""")," Food and Drug ")</f>
        <v> Food and Drug </v>
      </c>
      <c r="E486" s="4" t="str">
        <f>IFERROR(__xludf.DUMMYFUNCTION("""COMPUTED_VALUE""")," Postmates Buyer Propensity")</f>
        <v> Postmates Buyer Propensity</v>
      </c>
      <c r="F486" s="4"/>
      <c r="G486" s="4"/>
      <c r="H486" s="4"/>
      <c r="I486" s="4"/>
      <c r="J486" s="5" t="s">
        <v>15</v>
      </c>
      <c r="K486" s="5" t="s">
        <v>31</v>
      </c>
      <c r="L486" s="5" t="s">
        <v>175</v>
      </c>
      <c r="M486" s="6" t="s">
        <v>718</v>
      </c>
      <c r="N486" s="5" t="s">
        <v>19</v>
      </c>
      <c r="O486" s="5" t="s">
        <v>27</v>
      </c>
      <c r="P486" s="5">
        <v>13202.0</v>
      </c>
      <c r="Q486" s="5">
        <v>101.0</v>
      </c>
      <c r="R486" s="5">
        <v>10871.0</v>
      </c>
      <c r="S486" s="5">
        <v>12885.0</v>
      </c>
      <c r="T486" s="5">
        <v>3.0</v>
      </c>
      <c r="U486" s="9">
        <v>1699.060809</v>
      </c>
    </row>
    <row r="487">
      <c r="A487" s="4" t="s">
        <v>722</v>
      </c>
      <c r="B487" s="4" t="str">
        <f>IFERROR(__xludf.DUMMYFUNCTION("SPLIT(A487,""&gt;"")"),"Online Behavior")</f>
        <v>Online Behavior</v>
      </c>
      <c r="C487" s="4" t="str">
        <f>IFERROR(__xludf.DUMMYFUNCTION("""COMPUTED_VALUE"""),"United States")</f>
        <v>United States</v>
      </c>
      <c r="D487" s="4" t="str">
        <f>IFERROR(__xludf.DUMMYFUNCTION("""COMPUTED_VALUE"""),"Online Communities")</f>
        <v>Online Communities</v>
      </c>
      <c r="E487" s="4" t="str">
        <f>IFERROR(__xludf.DUMMYFUNCTION("""COMPUTED_VALUE"""),"Online Goodies")</f>
        <v>Online Goodies</v>
      </c>
      <c r="F487" s="4"/>
      <c r="G487" s="4"/>
      <c r="H487" s="4"/>
      <c r="I487" s="4"/>
      <c r="J487" s="5" t="s">
        <v>15</v>
      </c>
      <c r="K487" s="5" t="s">
        <v>42</v>
      </c>
      <c r="L487" s="5" t="s">
        <v>55</v>
      </c>
      <c r="M487" s="6" t="s">
        <v>723</v>
      </c>
      <c r="N487" s="5" t="s">
        <v>48</v>
      </c>
      <c r="O487" s="5" t="s">
        <v>27</v>
      </c>
      <c r="P487" s="5">
        <v>8187.0</v>
      </c>
      <c r="Q487" s="5">
        <v>20.0</v>
      </c>
      <c r="R487" s="5">
        <v>4888.0</v>
      </c>
      <c r="S487" s="5">
        <v>7510.0</v>
      </c>
      <c r="T487" s="5">
        <v>3.0</v>
      </c>
      <c r="U487" s="9">
        <v>6980.229304</v>
      </c>
    </row>
    <row r="488">
      <c r="A488" s="4" t="s">
        <v>724</v>
      </c>
      <c r="B488" s="4" t="str">
        <f>IFERROR(__xludf.DUMMYFUNCTION("SPLIT(A488,""&gt;"")"),"Online Behavior")</f>
        <v>Online Behavior</v>
      </c>
      <c r="C488" s="4" t="str">
        <f>IFERROR(__xludf.DUMMYFUNCTION("""COMPUTED_VALUE"""),"United States")</f>
        <v>United States</v>
      </c>
      <c r="D488" s="4" t="str">
        <f>IFERROR(__xludf.DUMMYFUNCTION("""COMPUTED_VALUE"""),"Jobs and Education")</f>
        <v>Jobs and Education</v>
      </c>
      <c r="E488" s="4" t="str">
        <f>IFERROR(__xludf.DUMMYFUNCTION("""COMPUTED_VALUE"""),"Jobs")</f>
        <v>Jobs</v>
      </c>
      <c r="F488" s="4"/>
      <c r="G488" s="4"/>
      <c r="H488" s="4"/>
      <c r="I488" s="4"/>
      <c r="J488" s="5" t="s">
        <v>15</v>
      </c>
      <c r="K488" s="5" t="s">
        <v>23</v>
      </c>
      <c r="L488" s="5" t="s">
        <v>84</v>
      </c>
      <c r="M488" s="6" t="s">
        <v>723</v>
      </c>
      <c r="N488" s="5" t="s">
        <v>26</v>
      </c>
      <c r="O488" s="5" t="s">
        <v>27</v>
      </c>
      <c r="P488" s="5">
        <v>21280.0</v>
      </c>
      <c r="Q488" s="5">
        <v>70.0</v>
      </c>
      <c r="R488" s="5">
        <v>15309.0</v>
      </c>
      <c r="S488" s="5">
        <v>20244.0</v>
      </c>
      <c r="T488" s="5">
        <v>6.0</v>
      </c>
      <c r="U488" s="9">
        <v>6837.510602</v>
      </c>
    </row>
    <row r="489">
      <c r="A489" s="4" t="s">
        <v>1495</v>
      </c>
      <c r="B489" s="4" t="str">
        <f>IFERROR(__xludf.DUMMYFUNCTION("SPLIT(A489,""&gt;"")"),"Online Behavior")</f>
        <v>Online Behavior</v>
      </c>
      <c r="C489" s="4" t="str">
        <f>IFERROR(__xludf.DUMMYFUNCTION("""COMPUTED_VALUE"""),"United States")</f>
        <v>United States</v>
      </c>
      <c r="D489" s="4" t="str">
        <f>IFERROR(__xludf.DUMMYFUNCTION("""COMPUTED_VALUE"""),"Intent ")</f>
        <v>Intent </v>
      </c>
      <c r="E489" s="4" t="str">
        <f>IFERROR(__xludf.DUMMYFUNCTION("""COMPUTED_VALUE""")," Auto Buyers ")</f>
        <v> Auto Buyers </v>
      </c>
      <c r="F489" s="4" t="str">
        <f>IFERROR(__xludf.DUMMYFUNCTION("""COMPUTED_VALUE""")," Category")</f>
        <v> Category</v>
      </c>
      <c r="G489" s="4" t="str">
        <f>IFERROR(__xludf.DUMMYFUNCTION("""COMPUTED_VALUE"""),"Sport Cars")</f>
        <v>Sport Cars</v>
      </c>
      <c r="H489" s="4"/>
      <c r="I489" s="4"/>
      <c r="J489" s="5" t="s">
        <v>22</v>
      </c>
      <c r="K489" s="5" t="s">
        <v>23</v>
      </c>
      <c r="L489" s="5" t="s">
        <v>1095</v>
      </c>
      <c r="M489" s="6" t="s">
        <v>723</v>
      </c>
      <c r="N489" s="5" t="s">
        <v>19</v>
      </c>
      <c r="O489" s="5" t="s">
        <v>27</v>
      </c>
      <c r="P489" s="5">
        <v>81567.0</v>
      </c>
      <c r="Q489" s="5">
        <v>440.0</v>
      </c>
      <c r="R489" s="5">
        <v>53264.0</v>
      </c>
      <c r="S489" s="5">
        <v>68123.0</v>
      </c>
      <c r="T489" s="5">
        <v>4.0</v>
      </c>
      <c r="U489" s="9">
        <v>6392.471955</v>
      </c>
    </row>
    <row r="490">
      <c r="A490" s="4" t="s">
        <v>1496</v>
      </c>
      <c r="B490" s="4" t="str">
        <f>IFERROR(__xludf.DUMMYFUNCTION("SPLIT(A490,""&gt;"")"),"United States ")</f>
        <v>United States </v>
      </c>
      <c r="C490" s="4" t="str">
        <f>IFERROR(__xludf.DUMMYFUNCTION("""COMPUTED_VALUE""")," Reach ")</f>
        <v> Reach </v>
      </c>
      <c r="D490" s="4" t="str">
        <f>IFERROR(__xludf.DUMMYFUNCTION("""COMPUTED_VALUE""")," Propensity Models ")</f>
        <v> Propensity Models </v>
      </c>
      <c r="E490" s="4" t="str">
        <f>IFERROR(__xludf.DUMMYFUNCTION("""COMPUTED_VALUE""")," Hobbies and Interest ")</f>
        <v> Hobbies and Interest </v>
      </c>
      <c r="F490" s="4" t="str">
        <f>IFERROR(__xludf.DUMMYFUNCTION("""COMPUTED_VALUE""")," Cultural Arts")</f>
        <v> Cultural Arts</v>
      </c>
      <c r="G490" s="4"/>
      <c r="H490" s="4"/>
      <c r="I490" s="4"/>
      <c r="J490" s="5" t="s">
        <v>15</v>
      </c>
      <c r="K490" s="5" t="s">
        <v>16</v>
      </c>
      <c r="L490" s="5" t="s">
        <v>356</v>
      </c>
      <c r="M490" s="6" t="s">
        <v>723</v>
      </c>
      <c r="N490" s="5" t="s">
        <v>19</v>
      </c>
      <c r="O490" s="5" t="s">
        <v>27</v>
      </c>
      <c r="P490" s="5">
        <v>17620.0</v>
      </c>
      <c r="Q490" s="5">
        <v>52.0</v>
      </c>
      <c r="R490" s="5">
        <v>11197.0</v>
      </c>
      <c r="S490" s="5">
        <v>16687.0</v>
      </c>
      <c r="T490" s="5">
        <v>9.0</v>
      </c>
      <c r="U490" s="9">
        <v>2407.794325</v>
      </c>
    </row>
    <row r="491" hidden="1">
      <c r="A491" s="4" t="s">
        <v>1497</v>
      </c>
      <c r="B491" s="4" t="str">
        <f>IFERROR(__xludf.DUMMYFUNCTION("SPLIT(A491,""&gt;"")"),"United States ")</f>
        <v>United States </v>
      </c>
      <c r="C491" s="4" t="str">
        <f>IFERROR(__xludf.DUMMYFUNCTION("""COMPUTED_VALUE""")," B2B ")</f>
        <v> B2B </v>
      </c>
      <c r="D491" s="4" t="str">
        <f>IFERROR(__xludf.DUMMYFUNCTION("""COMPUTED_VALUE""")," B2B Decision Maker Responsibilities ")</f>
        <v> B2B Decision Maker Responsibilities </v>
      </c>
      <c r="E491" s="4" t="str">
        <f>IFERROR(__xludf.DUMMYFUNCTION("""COMPUTED_VALUE""")," Internet Services")</f>
        <v> Internet Services</v>
      </c>
      <c r="F491" s="4"/>
      <c r="G491" s="4"/>
      <c r="H491" s="4"/>
      <c r="I491" s="4"/>
      <c r="J491" s="5" t="s">
        <v>15</v>
      </c>
      <c r="K491" s="5" t="s">
        <v>23</v>
      </c>
      <c r="L491" s="5" t="s">
        <v>17</v>
      </c>
      <c r="M491" s="6" t="s">
        <v>723</v>
      </c>
      <c r="N491" s="5" t="s">
        <v>19</v>
      </c>
      <c r="O491" s="5" t="s">
        <v>52</v>
      </c>
      <c r="P491" s="5">
        <v>31625.0</v>
      </c>
      <c r="Q491" s="5">
        <v>99.0</v>
      </c>
      <c r="R491" s="5">
        <v>23764.0</v>
      </c>
      <c r="S491" s="5">
        <v>29364.0</v>
      </c>
      <c r="T491" s="5">
        <v>6.0</v>
      </c>
      <c r="U491" s="9">
        <v>2360.555244</v>
      </c>
    </row>
    <row r="492">
      <c r="A492" s="4" t="s">
        <v>1498</v>
      </c>
      <c r="B492" s="4" t="str">
        <f>IFERROR(__xludf.DUMMYFUNCTION("SPLIT(A492,""&gt;"")"),"Mobile - United States ")</f>
        <v>Mobile - United States </v>
      </c>
      <c r="C492" s="4" t="str">
        <f>IFERROR(__xludf.DUMMYFUNCTION("""COMPUTED_VALUE""")," Device Ownership ")</f>
        <v> Device Ownership </v>
      </c>
      <c r="D492" s="4" t="str">
        <f>IFERROR(__xludf.DUMMYFUNCTION("""COMPUTED_VALUE""")," Smartphones ")</f>
        <v> Smartphones </v>
      </c>
      <c r="E492" s="4" t="str">
        <f>IFERROR(__xludf.DUMMYFUNCTION("""COMPUTED_VALUE""")," iOS (Apple) ")</f>
        <v> iOS (Apple) </v>
      </c>
      <c r="F492" s="4" t="str">
        <f>IFERROR(__xludf.DUMMYFUNCTION("""COMPUTED_VALUE""")," yes")</f>
        <v> yes</v>
      </c>
      <c r="G492" s="4"/>
      <c r="H492" s="4"/>
      <c r="I492" s="4"/>
      <c r="J492" s="5" t="s">
        <v>22</v>
      </c>
      <c r="K492" s="5" t="s">
        <v>31</v>
      </c>
      <c r="L492" s="5" t="s">
        <v>84</v>
      </c>
      <c r="M492" s="6" t="s">
        <v>723</v>
      </c>
      <c r="N492" s="5" t="s">
        <v>167</v>
      </c>
      <c r="O492" s="5" t="s">
        <v>27</v>
      </c>
      <c r="P492" s="5">
        <v>22175.0</v>
      </c>
      <c r="Q492" s="5">
        <v>140.0</v>
      </c>
      <c r="R492" s="5">
        <v>14910.0</v>
      </c>
      <c r="S492" s="5">
        <v>20074.0</v>
      </c>
      <c r="T492" s="5">
        <v>6.0</v>
      </c>
      <c r="U492" s="9">
        <v>1909.277483</v>
      </c>
    </row>
    <row r="493">
      <c r="A493" s="4" t="s">
        <v>1499</v>
      </c>
      <c r="B493" s="4" t="str">
        <f>IFERROR(__xludf.DUMMYFUNCTION("SPLIT(A493,""&gt;"")"),"United States ")</f>
        <v>United States </v>
      </c>
      <c r="C493" s="4" t="str">
        <f>IFERROR(__xludf.DUMMYFUNCTION("""COMPUTED_VALUE""")," B2B ")</f>
        <v> B2B </v>
      </c>
      <c r="D493" s="4" t="str">
        <f>IFERROR(__xludf.DUMMYFUNCTION("""COMPUTED_VALUE""")," Purchase DM ")</f>
        <v> Purchase DM </v>
      </c>
      <c r="E493" s="4" t="str">
        <f>IFERROR(__xludf.DUMMYFUNCTION("""COMPUTED_VALUE""")," Technology Services, Hardware and ")</f>
        <v> Technology Services, Hardware and </v>
      </c>
      <c r="F493" s="4" t="str">
        <f>IFERROR(__xludf.DUMMYFUNCTION("""COMPUTED_VALUE""")," or Software ")</f>
        <v> or Software </v>
      </c>
      <c r="G493" s="4" t="str">
        <f>IFERROR(__xludf.DUMMYFUNCTION("""COMPUTED_VALUE""")," I am the sole decision maker")</f>
        <v> I am the sole decision maker</v>
      </c>
      <c r="H493" s="4"/>
      <c r="I493" s="4"/>
      <c r="J493" s="5" t="s">
        <v>22</v>
      </c>
      <c r="K493" s="5" t="s">
        <v>16</v>
      </c>
      <c r="L493" s="5" t="s">
        <v>35</v>
      </c>
      <c r="M493" s="6" t="s">
        <v>730</v>
      </c>
      <c r="N493" s="5" t="s">
        <v>327</v>
      </c>
      <c r="O493" s="5" t="s">
        <v>27</v>
      </c>
      <c r="P493" s="5">
        <v>56927.0</v>
      </c>
      <c r="Q493" s="5">
        <v>165.0</v>
      </c>
      <c r="R493" s="5">
        <v>20980.0</v>
      </c>
      <c r="S493" s="5">
        <v>55050.0</v>
      </c>
      <c r="T493" s="5">
        <v>5.0</v>
      </c>
      <c r="U493" s="9">
        <v>2463.821917</v>
      </c>
    </row>
    <row r="494">
      <c r="A494" s="4" t="s">
        <v>1500</v>
      </c>
      <c r="B494" s="4" t="str">
        <f>IFERROR(__xludf.DUMMYFUNCTION("SPLIT(A494,""&gt;"")"),"OnAudience ")</f>
        <v>OnAudience </v>
      </c>
      <c r="C494" s="4" t="str">
        <f>IFERROR(__xludf.DUMMYFUNCTION("""COMPUTED_VALUE""")," Interest ")</f>
        <v> Interest </v>
      </c>
      <c r="D494" s="4" t="str">
        <f>IFERROR(__xludf.DUMMYFUNCTION("""COMPUTED_VALUE""")," Education")</f>
        <v> Education</v>
      </c>
      <c r="E494" s="4"/>
      <c r="F494" s="4"/>
      <c r="G494" s="4"/>
      <c r="H494" s="4"/>
      <c r="I494" s="4"/>
      <c r="J494" s="5" t="s">
        <v>22</v>
      </c>
      <c r="K494" s="5" t="s">
        <v>23</v>
      </c>
      <c r="L494" s="5" t="s">
        <v>55</v>
      </c>
      <c r="M494" s="6" t="s">
        <v>732</v>
      </c>
      <c r="N494" s="5" t="s">
        <v>46</v>
      </c>
      <c r="O494" s="5" t="s">
        <v>27</v>
      </c>
      <c r="P494" s="5">
        <v>20165.0</v>
      </c>
      <c r="Q494" s="5">
        <v>60.0</v>
      </c>
      <c r="R494" s="5">
        <v>6601.0</v>
      </c>
      <c r="S494" s="5">
        <v>18909.0</v>
      </c>
      <c r="T494" s="5">
        <v>10.0</v>
      </c>
      <c r="U494" s="9">
        <v>1743.078687</v>
      </c>
    </row>
    <row r="495" hidden="1">
      <c r="A495" s="4" t="s">
        <v>1501</v>
      </c>
      <c r="B495" s="4" t="str">
        <f>IFERROR(__xludf.DUMMYFUNCTION("SPLIT(A495,""&gt;"")"),"OnAudience ")</f>
        <v>OnAudience </v>
      </c>
      <c r="C495" s="4" t="str">
        <f>IFERROR(__xludf.DUMMYFUNCTION("""COMPUTED_VALUE""")," Intent ")</f>
        <v> Intent </v>
      </c>
      <c r="D495" s="4" t="str">
        <f>IFERROR(__xludf.DUMMYFUNCTION("""COMPUTED_VALUE""")," Software")</f>
        <v> Software</v>
      </c>
      <c r="E495" s="4"/>
      <c r="F495" s="4"/>
      <c r="G495" s="4"/>
      <c r="H495" s="4"/>
      <c r="I495" s="4"/>
      <c r="J495" s="5" t="s">
        <v>15</v>
      </c>
      <c r="K495" s="5" t="s">
        <v>23</v>
      </c>
      <c r="L495" s="5" t="s">
        <v>55</v>
      </c>
      <c r="M495" s="6" t="s">
        <v>732</v>
      </c>
      <c r="N495" s="5" t="s">
        <v>19</v>
      </c>
      <c r="O495" s="5" t="s">
        <v>52</v>
      </c>
      <c r="P495" s="5">
        <v>22501.0</v>
      </c>
      <c r="Q495" s="5">
        <v>120.0</v>
      </c>
      <c r="R495" s="5">
        <v>13003.0</v>
      </c>
      <c r="S495" s="5">
        <v>21286.0</v>
      </c>
      <c r="T495" s="5">
        <v>9.0</v>
      </c>
      <c r="U495" s="9">
        <v>1522.517949</v>
      </c>
    </row>
    <row r="496" hidden="1">
      <c r="A496" s="4" t="s">
        <v>734</v>
      </c>
      <c r="B496" s="4" t="str">
        <f>IFERROR(__xludf.DUMMYFUNCTION("SPLIT(A496,""&gt;"")"),"Online Behavior")</f>
        <v>Online Behavior</v>
      </c>
      <c r="C496" s="4" t="str">
        <f>IFERROR(__xludf.DUMMYFUNCTION("""COMPUTED_VALUE"""),"United States")</f>
        <v>United States</v>
      </c>
      <c r="D496" s="4" t="str">
        <f>IFERROR(__xludf.DUMMYFUNCTION("""COMPUTED_VALUE"""),"Home and Garden")</f>
        <v>Home and Garden</v>
      </c>
      <c r="E496" s="4" t="str">
        <f>IFERROR(__xludf.DUMMYFUNCTION("""COMPUTED_VALUE"""),"Kitchen and Dining")</f>
        <v>Kitchen and Dining</v>
      </c>
      <c r="F496" s="4"/>
      <c r="G496" s="4"/>
      <c r="H496" s="4"/>
      <c r="I496" s="4"/>
      <c r="J496" s="5" t="s">
        <v>15</v>
      </c>
      <c r="K496" s="5" t="s">
        <v>16</v>
      </c>
      <c r="L496" s="5" t="s">
        <v>32</v>
      </c>
      <c r="M496" s="6" t="s">
        <v>735</v>
      </c>
      <c r="N496" s="5" t="s">
        <v>117</v>
      </c>
      <c r="O496" s="5" t="s">
        <v>20</v>
      </c>
      <c r="P496" s="5">
        <v>123430.0</v>
      </c>
      <c r="Q496" s="5">
        <v>360.0</v>
      </c>
      <c r="R496" s="5">
        <v>45294.0</v>
      </c>
      <c r="S496" s="5">
        <v>77646.0</v>
      </c>
      <c r="T496" s="5">
        <v>15.0</v>
      </c>
      <c r="U496" s="9">
        <v>6808.562584</v>
      </c>
    </row>
    <row r="497">
      <c r="A497" s="4" t="s">
        <v>1502</v>
      </c>
      <c r="B497" s="4" t="str">
        <f>IFERROR(__xludf.DUMMYFUNCTION("SPLIT(A497,""&gt;"")"),"United States ")</f>
        <v>United States </v>
      </c>
      <c r="C497" s="4" t="str">
        <f>IFERROR(__xludf.DUMMYFUNCTION("""COMPUTED_VALUE""")," Reach ")</f>
        <v> Reach </v>
      </c>
      <c r="D497" s="4" t="str">
        <f>IFERROR(__xludf.DUMMYFUNCTION("""COMPUTED_VALUE""")," Propensity Models ")</f>
        <v> Propensity Models </v>
      </c>
      <c r="E497" s="4" t="str">
        <f>IFERROR(__xludf.DUMMYFUNCTION("""COMPUTED_VALUE""")," Hobbies and Interest ")</f>
        <v> Hobbies and Interest </v>
      </c>
      <c r="F497" s="4" t="str">
        <f>IFERROR(__xludf.DUMMYFUNCTION("""COMPUTED_VALUE""")," Food and Drinks ")</f>
        <v> Food and Drinks </v>
      </c>
      <c r="G497" s="4" t="str">
        <f>IFERROR(__xludf.DUMMYFUNCTION("""COMPUTED_VALUE""")," Eats at Family Restaurants")</f>
        <v> Eats at Family Restaurants</v>
      </c>
      <c r="H497" s="4"/>
      <c r="I497" s="4"/>
      <c r="J497" s="5" t="s">
        <v>22</v>
      </c>
      <c r="K497" s="5" t="s">
        <v>16</v>
      </c>
      <c r="L497" s="5" t="s">
        <v>131</v>
      </c>
      <c r="M497" s="6" t="s">
        <v>735</v>
      </c>
      <c r="N497" s="5" t="s">
        <v>19</v>
      </c>
      <c r="O497" s="5" t="s">
        <v>27</v>
      </c>
      <c r="P497" s="5">
        <v>268811.0</v>
      </c>
      <c r="Q497" s="5">
        <v>799.0</v>
      </c>
      <c r="R497" s="5">
        <v>95989.0</v>
      </c>
      <c r="S497" s="5">
        <v>173923.0</v>
      </c>
      <c r="T497" s="5">
        <v>4.0</v>
      </c>
      <c r="U497" s="9">
        <v>2549.115158</v>
      </c>
    </row>
    <row r="498" hidden="1">
      <c r="A498" s="4" t="s">
        <v>1503</v>
      </c>
      <c r="B498" s="4" t="str">
        <f>IFERROR(__xludf.DUMMYFUNCTION("SPLIT(A498,""&gt;"")"),"OnAudience ")</f>
        <v>OnAudience </v>
      </c>
      <c r="C498" s="4" t="str">
        <f>IFERROR(__xludf.DUMMYFUNCTION("""COMPUTED_VALUE""")," Intent ")</f>
        <v> Intent </v>
      </c>
      <c r="D498" s="4" t="str">
        <f>IFERROR(__xludf.DUMMYFUNCTION("""COMPUTED_VALUE""")," Baby &amp; Toddler ")</f>
        <v> Baby &amp; Toddler </v>
      </c>
      <c r="E498" s="4" t="str">
        <f>IFERROR(__xludf.DUMMYFUNCTION("""COMPUTED_VALUE""")," Baby Toys")</f>
        <v> Baby Toys</v>
      </c>
      <c r="F498" s="4"/>
      <c r="G498" s="4"/>
      <c r="H498" s="4"/>
      <c r="I498" s="4"/>
      <c r="J498" s="5" t="s">
        <v>15</v>
      </c>
      <c r="K498" s="5" t="s">
        <v>42</v>
      </c>
      <c r="L498" s="5" t="s">
        <v>1095</v>
      </c>
      <c r="M498" s="6" t="s">
        <v>735</v>
      </c>
      <c r="N498" s="5" t="s">
        <v>36</v>
      </c>
      <c r="O498" s="5" t="s">
        <v>52</v>
      </c>
      <c r="P498" s="5">
        <v>16669.0</v>
      </c>
      <c r="Q498" s="5">
        <v>26.0</v>
      </c>
      <c r="R498" s="5">
        <v>10961.0</v>
      </c>
      <c r="S498" s="5">
        <v>15451.0</v>
      </c>
      <c r="T498" s="5">
        <v>5.0</v>
      </c>
      <c r="U498" s="9">
        <v>1658.358536</v>
      </c>
    </row>
    <row r="499">
      <c r="A499" s="4" t="s">
        <v>1504</v>
      </c>
      <c r="B499" s="4" t="str">
        <f>IFERROR(__xludf.DUMMYFUNCTION("SPLIT(A499,""&gt;"")"),"Media and Entertainment ")</f>
        <v>Media and Entertainment </v>
      </c>
      <c r="C499" s="4" t="str">
        <f>IFERROR(__xludf.DUMMYFUNCTION("""COMPUTED_VALUE""")," Television (TV)")</f>
        <v> Television (TV)</v>
      </c>
      <c r="D499" s="4"/>
      <c r="E499" s="4"/>
      <c r="F499" s="4"/>
      <c r="G499" s="4"/>
      <c r="H499" s="4"/>
      <c r="I499" s="4"/>
      <c r="J499" s="5" t="s">
        <v>15</v>
      </c>
      <c r="K499" s="5" t="s">
        <v>16</v>
      </c>
      <c r="L499" s="5" t="s">
        <v>32</v>
      </c>
      <c r="M499" s="6" t="s">
        <v>735</v>
      </c>
      <c r="N499" s="5" t="s">
        <v>19</v>
      </c>
      <c r="O499" s="5" t="s">
        <v>27</v>
      </c>
      <c r="P499" s="5">
        <v>9130.0</v>
      </c>
      <c r="Q499" s="5">
        <v>33.0</v>
      </c>
      <c r="R499" s="5">
        <v>3721.0</v>
      </c>
      <c r="S499" s="5">
        <v>5564.0</v>
      </c>
      <c r="T499" s="5">
        <v>1.0</v>
      </c>
      <c r="U499" s="9">
        <v>1655.792857</v>
      </c>
    </row>
    <row r="500">
      <c r="A500" s="4" t="s">
        <v>1505</v>
      </c>
      <c r="B500" s="4" t="str">
        <f>IFERROR(__xludf.DUMMYFUNCTION("SPLIT(A500,""&gt;"")"),"Online Behavior")</f>
        <v>Online Behavior</v>
      </c>
      <c r="C500" s="4" t="str">
        <f>IFERROR(__xludf.DUMMYFUNCTION("""COMPUTED_VALUE"""),"United States")</f>
        <v>United States</v>
      </c>
      <c r="D500" s="4" t="str">
        <f>IFERROR(__xludf.DUMMYFUNCTION("""COMPUTED_VALUE"""),"Intent ")</f>
        <v>Intent </v>
      </c>
      <c r="E500" s="4" t="str">
        <f>IFERROR(__xludf.DUMMYFUNCTION("""COMPUTED_VALUE""")," Auto Buyers ")</f>
        <v> Auto Buyers </v>
      </c>
      <c r="F500" s="4" t="str">
        <f>IFERROR(__xludf.DUMMYFUNCTION("""COMPUTED_VALUE""")," Category")</f>
        <v> Category</v>
      </c>
      <c r="G500" s="4" t="str">
        <f>IFERROR(__xludf.DUMMYFUNCTION("""COMPUTED_VALUE"""),"Caravan")</f>
        <v>Caravan</v>
      </c>
      <c r="H500" s="4"/>
      <c r="I500" s="4"/>
      <c r="J500" s="5" t="s">
        <v>15</v>
      </c>
      <c r="K500" s="5" t="s">
        <v>42</v>
      </c>
      <c r="L500" s="5" t="s">
        <v>55</v>
      </c>
      <c r="M500" s="6" t="s">
        <v>740</v>
      </c>
      <c r="N500" s="5" t="s">
        <v>19</v>
      </c>
      <c r="O500" s="5" t="s">
        <v>27</v>
      </c>
      <c r="P500" s="5">
        <v>8097.0</v>
      </c>
      <c r="Q500" s="5">
        <v>20.0</v>
      </c>
      <c r="R500" s="5">
        <v>4942.0</v>
      </c>
      <c r="S500" s="5">
        <v>6868.0</v>
      </c>
      <c r="T500" s="5">
        <v>1.0</v>
      </c>
      <c r="U500" s="9">
        <v>6177.464545</v>
      </c>
    </row>
    <row r="501" hidden="1">
      <c r="A501" s="4" t="s">
        <v>1506</v>
      </c>
      <c r="B501" s="4" t="str">
        <f>IFERROR(__xludf.DUMMYFUNCTION("SPLIT(A501,""&gt;"")"),"United States ")</f>
        <v>United States </v>
      </c>
      <c r="C501" s="4" t="str">
        <f>IFERROR(__xludf.DUMMYFUNCTION("""COMPUTED_VALUE""")," Reach ")</f>
        <v> Reach </v>
      </c>
      <c r="D501" s="4" t="str">
        <f>IFERROR(__xludf.DUMMYFUNCTION("""COMPUTED_VALUE""")," Propensity Models ")</f>
        <v> Propensity Models </v>
      </c>
      <c r="E501" s="4" t="str">
        <f>IFERROR(__xludf.DUMMYFUNCTION("""COMPUTED_VALUE""")," Hobbies and Interest ")</f>
        <v> Hobbies and Interest </v>
      </c>
      <c r="F501" s="4" t="str">
        <f>IFERROR(__xludf.DUMMYFUNCTION("""COMPUTED_VALUE""")," Sports ")</f>
        <v> Sports </v>
      </c>
      <c r="G501" s="4" t="str">
        <f>IFERROR(__xludf.DUMMYFUNCTION("""COMPUTED_VALUE""")," Hunting EnthUnited Statesiasts")</f>
        <v> Hunting EnthUnited Statesiasts</v>
      </c>
      <c r="H501" s="4"/>
      <c r="I501" s="4"/>
      <c r="J501" s="5" t="s">
        <v>15</v>
      </c>
      <c r="K501" s="5" t="s">
        <v>23</v>
      </c>
      <c r="L501" s="5" t="s">
        <v>17</v>
      </c>
      <c r="M501" s="6" t="s">
        <v>740</v>
      </c>
      <c r="N501" s="5" t="s">
        <v>46</v>
      </c>
      <c r="O501" s="5" t="s">
        <v>52</v>
      </c>
      <c r="P501" s="5">
        <v>65243.0</v>
      </c>
      <c r="Q501" s="5">
        <v>120.0</v>
      </c>
      <c r="R501" s="5">
        <v>39543.0</v>
      </c>
      <c r="S501" s="5">
        <v>54290.0</v>
      </c>
      <c r="T501" s="5">
        <v>4.0</v>
      </c>
      <c r="U501" s="9">
        <v>3754.685247</v>
      </c>
    </row>
    <row r="502">
      <c r="A502" s="4" t="s">
        <v>742</v>
      </c>
      <c r="B502" s="4" t="str">
        <f>IFERROR(__xludf.DUMMYFUNCTION("SPLIT(A502,""&gt;"")"),"Online Behavior")</f>
        <v>Online Behavior</v>
      </c>
      <c r="C502" s="4" t="str">
        <f>IFERROR(__xludf.DUMMYFUNCTION("""COMPUTED_VALUE"""),"United States")</f>
        <v>United States</v>
      </c>
      <c r="D502" s="4" t="str">
        <f>IFERROR(__xludf.DUMMYFUNCTION("""COMPUTED_VALUE"""),"The Changing Consumer")</f>
        <v>The Changing Consumer</v>
      </c>
      <c r="E502" s="4" t="str">
        <f>IFERROR(__xludf.DUMMYFUNCTION("""COMPUTED_VALUE"""),"CPG")</f>
        <v>CPG</v>
      </c>
      <c r="F502" s="4"/>
      <c r="G502" s="4"/>
      <c r="H502" s="4"/>
      <c r="I502" s="4"/>
      <c r="J502" s="5" t="s">
        <v>15</v>
      </c>
      <c r="K502" s="5" t="s">
        <v>16</v>
      </c>
      <c r="L502" s="5" t="s">
        <v>39</v>
      </c>
      <c r="M502" s="6" t="s">
        <v>743</v>
      </c>
      <c r="N502" s="5" t="s">
        <v>19</v>
      </c>
      <c r="O502" s="5" t="s">
        <v>27</v>
      </c>
      <c r="P502" s="5">
        <v>224877.0</v>
      </c>
      <c r="Q502" s="5">
        <v>805.0</v>
      </c>
      <c r="R502" s="5">
        <v>121175.0</v>
      </c>
      <c r="S502" s="5">
        <v>213280.0</v>
      </c>
      <c r="T502" s="5">
        <v>11.0</v>
      </c>
      <c r="U502" s="9">
        <v>7360.992969</v>
      </c>
    </row>
    <row r="503" hidden="1">
      <c r="A503" s="4" t="s">
        <v>744</v>
      </c>
      <c r="B503" s="4" t="str">
        <f>IFERROR(__xludf.DUMMYFUNCTION("SPLIT(A503,""&gt;"")"),"Online Behavior")</f>
        <v>Online Behavior</v>
      </c>
      <c r="C503" s="4" t="str">
        <f>IFERROR(__xludf.DUMMYFUNCTION("""COMPUTED_VALUE"""),"United States")</f>
        <v>United States</v>
      </c>
      <c r="D503" s="4" t="str">
        <f>IFERROR(__xludf.DUMMYFUNCTION("""COMPUTED_VALUE"""),"Internet and Telecom")</f>
        <v>Internet and Telecom</v>
      </c>
      <c r="E503" s="4" t="str">
        <f>IFERROR(__xludf.DUMMYFUNCTION("""COMPUTED_VALUE"""),"Web Apps and Online Tools")</f>
        <v>Web Apps and Online Tools</v>
      </c>
      <c r="F503" s="4"/>
      <c r="G503" s="4"/>
      <c r="H503" s="4"/>
      <c r="I503" s="4"/>
      <c r="J503" s="5" t="s">
        <v>15</v>
      </c>
      <c r="K503" s="5" t="s">
        <v>23</v>
      </c>
      <c r="L503" s="5" t="s">
        <v>78</v>
      </c>
      <c r="M503" s="6" t="s">
        <v>743</v>
      </c>
      <c r="N503" s="5" t="s">
        <v>46</v>
      </c>
      <c r="O503" s="5" t="s">
        <v>52</v>
      </c>
      <c r="P503" s="5">
        <v>109372.0</v>
      </c>
      <c r="Q503" s="5">
        <v>364.0</v>
      </c>
      <c r="R503" s="5">
        <v>58336.0</v>
      </c>
      <c r="S503" s="5">
        <v>103569.0</v>
      </c>
      <c r="T503" s="5">
        <v>21.0</v>
      </c>
      <c r="U503" s="9">
        <v>6928.006202</v>
      </c>
    </row>
    <row r="504">
      <c r="A504" s="4" t="s">
        <v>745</v>
      </c>
      <c r="B504" s="4" t="str">
        <f>IFERROR(__xludf.DUMMYFUNCTION("SPLIT(A504,""&gt;"")"),"Online Behavior")</f>
        <v>Online Behavior</v>
      </c>
      <c r="C504" s="4" t="str">
        <f>IFERROR(__xludf.DUMMYFUNCTION("""COMPUTED_VALUE"""),"United States")</f>
        <v>United States</v>
      </c>
      <c r="D504" s="4" t="str">
        <f>IFERROR(__xludf.DUMMYFUNCTION("""COMPUTED_VALUE"""),"News")</f>
        <v>News</v>
      </c>
      <c r="E504" s="4" t="str">
        <f>IFERROR(__xludf.DUMMYFUNCTION("""COMPUTED_VALUE"""),"Local News")</f>
        <v>Local News</v>
      </c>
      <c r="F504" s="4"/>
      <c r="G504" s="4"/>
      <c r="H504" s="4"/>
      <c r="I504" s="4"/>
      <c r="J504" s="5" t="s">
        <v>22</v>
      </c>
      <c r="K504" s="5" t="s">
        <v>23</v>
      </c>
      <c r="L504" s="5" t="s">
        <v>183</v>
      </c>
      <c r="M504" s="6" t="s">
        <v>743</v>
      </c>
      <c r="N504" s="5" t="s">
        <v>50</v>
      </c>
      <c r="O504" s="5" t="s">
        <v>27</v>
      </c>
      <c r="P504" s="5">
        <v>44889.0</v>
      </c>
      <c r="Q504" s="5">
        <v>125.0</v>
      </c>
      <c r="R504" s="5">
        <v>17477.0</v>
      </c>
      <c r="S504" s="5">
        <v>38621.0</v>
      </c>
      <c r="T504" s="5">
        <v>25.0</v>
      </c>
      <c r="U504" s="9">
        <v>6644.954146</v>
      </c>
    </row>
    <row r="505">
      <c r="A505" s="4" t="s">
        <v>1507</v>
      </c>
      <c r="B505" s="4" t="str">
        <f>IFERROR(__xludf.DUMMYFUNCTION("SPLIT(A505,""&gt;"")"),"Online Behavior")</f>
        <v>Online Behavior</v>
      </c>
      <c r="C505" s="4" t="str">
        <f>IFERROR(__xludf.DUMMYFUNCTION("""COMPUTED_VALUE"""),"United States")</f>
        <v>United States</v>
      </c>
      <c r="D505" s="4" t="str">
        <f>IFERROR(__xludf.DUMMYFUNCTION("""COMPUTED_VALUE"""),"Intent ")</f>
        <v>Intent </v>
      </c>
      <c r="E505" s="4" t="str">
        <f>IFERROR(__xludf.DUMMYFUNCTION("""COMPUTED_VALUE""")," Auto Buyers ")</f>
        <v> Auto Buyers </v>
      </c>
      <c r="F505" s="4" t="str">
        <f>IFERROR(__xludf.DUMMYFUNCTION("""COMPUTED_VALUE""")," Car Make")</f>
        <v> Car Make</v>
      </c>
      <c r="G505" s="4" t="str">
        <f>IFERROR(__xludf.DUMMYFUNCTION("""COMPUTED_VALUE"""),"Mercedes")</f>
        <v>Mercedes</v>
      </c>
      <c r="H505" s="4"/>
      <c r="I505" s="4"/>
      <c r="J505" s="5" t="s">
        <v>22</v>
      </c>
      <c r="K505" s="5" t="s">
        <v>16</v>
      </c>
      <c r="L505" s="5" t="s">
        <v>204</v>
      </c>
      <c r="M505" s="6" t="s">
        <v>743</v>
      </c>
      <c r="N505" s="5" t="s">
        <v>117</v>
      </c>
      <c r="O505" s="5" t="s">
        <v>27</v>
      </c>
      <c r="P505" s="5">
        <v>42459.0</v>
      </c>
      <c r="Q505" s="5">
        <v>121.0</v>
      </c>
      <c r="R505" s="5">
        <v>15187.0</v>
      </c>
      <c r="S505" s="5">
        <v>37408.0</v>
      </c>
      <c r="T505" s="5">
        <v>11.0</v>
      </c>
      <c r="U505" s="9">
        <v>6321.491689</v>
      </c>
    </row>
    <row r="506">
      <c r="A506" s="4" t="s">
        <v>1508</v>
      </c>
      <c r="B506" s="4" t="str">
        <f>IFERROR(__xludf.DUMMYFUNCTION("SPLIT(A506,""&gt;"")"),"Online Behavior")</f>
        <v>Online Behavior</v>
      </c>
      <c r="C506" s="4" t="str">
        <f>IFERROR(__xludf.DUMMYFUNCTION("""COMPUTED_VALUE"""),"United States")</f>
        <v>United States</v>
      </c>
      <c r="D506" s="4" t="str">
        <f>IFERROR(__xludf.DUMMYFUNCTION("""COMPUTED_VALUE"""),"Sports")</f>
        <v>Sports</v>
      </c>
      <c r="E506" s="4" t="str">
        <f>IFERROR(__xludf.DUMMYFUNCTION("""COMPUTED_VALUE"""),"Individual Sports ")</f>
        <v>Individual Sports </v>
      </c>
      <c r="F506" s="4" t="str">
        <f>IFERROR(__xludf.DUMMYFUNCTION("""COMPUTED_VALUE""")," Golf")</f>
        <v> Golf</v>
      </c>
      <c r="G506" s="4"/>
      <c r="H506" s="4"/>
      <c r="I506" s="4"/>
      <c r="J506" s="5" t="s">
        <v>15</v>
      </c>
      <c r="K506" s="5" t="s">
        <v>23</v>
      </c>
      <c r="L506" s="5" t="s">
        <v>55</v>
      </c>
      <c r="M506" s="6" t="s">
        <v>743</v>
      </c>
      <c r="N506" s="5" t="s">
        <v>117</v>
      </c>
      <c r="O506" s="5" t="s">
        <v>27</v>
      </c>
      <c r="P506" s="5">
        <v>69928.0</v>
      </c>
      <c r="Q506" s="5">
        <v>210.0</v>
      </c>
      <c r="R506" s="5">
        <v>30196.0</v>
      </c>
      <c r="S506" s="5">
        <v>62327.0</v>
      </c>
      <c r="T506" s="5">
        <v>9.0</v>
      </c>
      <c r="U506" s="9">
        <v>6318.413085</v>
      </c>
    </row>
    <row r="507">
      <c r="A507" s="4" t="s">
        <v>1509</v>
      </c>
      <c r="B507" s="4" t="str">
        <f>IFERROR(__xludf.DUMMYFUNCTION("SPLIT(A507,""&gt;"")"),"Online Behavior")</f>
        <v>Online Behavior</v>
      </c>
      <c r="C507" s="4" t="str">
        <f>IFERROR(__xludf.DUMMYFUNCTION("""COMPUTED_VALUE"""),"United States")</f>
        <v>United States</v>
      </c>
      <c r="D507" s="4" t="str">
        <f>IFERROR(__xludf.DUMMYFUNCTION("""COMPUTED_VALUE"""),"Food and Drink")</f>
        <v>Food and Drink</v>
      </c>
      <c r="E507" s="4" t="str">
        <f>IFERROR(__xludf.DUMMYFUNCTION("""COMPUTED_VALUE"""),"Beverages ")</f>
        <v>Beverages </v>
      </c>
      <c r="F507" s="4" t="str">
        <f>IFERROR(__xludf.DUMMYFUNCTION("""COMPUTED_VALUE""")," Juice")</f>
        <v> Juice</v>
      </c>
      <c r="G507" s="4"/>
      <c r="H507" s="4"/>
      <c r="I507" s="4"/>
      <c r="J507" s="5" t="s">
        <v>22</v>
      </c>
      <c r="K507" s="5" t="s">
        <v>31</v>
      </c>
      <c r="L507" s="5" t="s">
        <v>17</v>
      </c>
      <c r="M507" s="6" t="s">
        <v>743</v>
      </c>
      <c r="N507" s="5" t="s">
        <v>19</v>
      </c>
      <c r="O507" s="5" t="s">
        <v>27</v>
      </c>
      <c r="P507" s="5">
        <v>40859.0</v>
      </c>
      <c r="Q507" s="5">
        <v>144.0</v>
      </c>
      <c r="R507" s="5">
        <v>17695.0</v>
      </c>
      <c r="S507" s="5">
        <v>37108.0</v>
      </c>
      <c r="T507" s="5">
        <v>4.0</v>
      </c>
      <c r="U507" s="9">
        <v>6130.368425</v>
      </c>
    </row>
    <row r="508" hidden="1">
      <c r="A508" s="4" t="s">
        <v>1510</v>
      </c>
      <c r="B508" s="4" t="str">
        <f>IFERROR(__xludf.DUMMYFUNCTION("SPLIT(A508,""&gt;"")"),"Online Behavior")</f>
        <v>Online Behavior</v>
      </c>
      <c r="C508" s="4" t="str">
        <f>IFERROR(__xludf.DUMMYFUNCTION("""COMPUTED_VALUE"""),"United States")</f>
        <v>United States</v>
      </c>
      <c r="D508" s="4" t="str">
        <f>IFERROR(__xludf.DUMMYFUNCTION("""COMPUTED_VALUE"""),"Autos and Vehicles ")</f>
        <v>Autos and Vehicles </v>
      </c>
      <c r="E508" s="4" t="str">
        <f>IFERROR(__xludf.DUMMYFUNCTION("""COMPUTED_VALUE""")," Brands")</f>
        <v> Brands</v>
      </c>
      <c r="F508" s="4" t="str">
        <f>IFERROR(__xludf.DUMMYFUNCTION("""COMPUTED_VALUE"""),"Isuzu")</f>
        <v>Isuzu</v>
      </c>
      <c r="G508" s="4"/>
      <c r="H508" s="4"/>
      <c r="I508" s="4"/>
      <c r="J508" s="5" t="s">
        <v>15</v>
      </c>
      <c r="K508" s="5" t="s">
        <v>42</v>
      </c>
      <c r="L508" s="5" t="s">
        <v>35</v>
      </c>
      <c r="M508" s="6" t="s">
        <v>743</v>
      </c>
      <c r="N508" s="5" t="s">
        <v>117</v>
      </c>
      <c r="O508" s="5" t="s">
        <v>52</v>
      </c>
      <c r="P508" s="5">
        <v>16978.0</v>
      </c>
      <c r="Q508" s="5">
        <v>30.0</v>
      </c>
      <c r="R508" s="5">
        <v>8367.0</v>
      </c>
      <c r="S508" s="5">
        <v>15731.0</v>
      </c>
      <c r="T508" s="5">
        <v>9.0</v>
      </c>
      <c r="U508" s="9">
        <v>5886.071146</v>
      </c>
    </row>
    <row r="509">
      <c r="A509" s="4" t="s">
        <v>750</v>
      </c>
      <c r="B509" s="4" t="str">
        <f>IFERROR(__xludf.DUMMYFUNCTION("SPLIT(A509,""&gt;"")"),"Online Behavior")</f>
        <v>Online Behavior</v>
      </c>
      <c r="C509" s="4" t="str">
        <f>IFERROR(__xludf.DUMMYFUNCTION("""COMPUTED_VALUE"""),"United States")</f>
        <v>United States</v>
      </c>
      <c r="D509" s="4" t="str">
        <f>IFERROR(__xludf.DUMMYFUNCTION("""COMPUTED_VALUE"""),"Internet and Telecom")</f>
        <v>Internet and Telecom</v>
      </c>
      <c r="E509" s="4" t="str">
        <f>IFERROR(__xludf.DUMMYFUNCTION("""COMPUTED_VALUE"""),"Web Services")</f>
        <v>Web Services</v>
      </c>
      <c r="F509" s="4"/>
      <c r="G509" s="4"/>
      <c r="H509" s="4"/>
      <c r="I509" s="4"/>
      <c r="J509" s="5" t="s">
        <v>22</v>
      </c>
      <c r="K509" s="5" t="s">
        <v>16</v>
      </c>
      <c r="L509" s="5" t="s">
        <v>55</v>
      </c>
      <c r="M509" s="6" t="s">
        <v>743</v>
      </c>
      <c r="N509" s="5" t="s">
        <v>36</v>
      </c>
      <c r="O509" s="5" t="s">
        <v>27</v>
      </c>
      <c r="P509" s="5">
        <v>14581.0</v>
      </c>
      <c r="Q509" s="5">
        <v>45.0</v>
      </c>
      <c r="R509" s="5">
        <v>3821.0</v>
      </c>
      <c r="S509" s="5">
        <v>12741.0</v>
      </c>
      <c r="T509" s="5">
        <v>6.0</v>
      </c>
      <c r="U509" s="9">
        <v>5296.970091</v>
      </c>
    </row>
    <row r="510" hidden="1">
      <c r="A510" s="4" t="s">
        <v>1511</v>
      </c>
      <c r="B510" s="4" t="str">
        <f>IFERROR(__xludf.DUMMYFUNCTION("SPLIT(A510,""&gt;"")"),"Online Behavior")</f>
        <v>Online Behavior</v>
      </c>
      <c r="C510" s="4" t="str">
        <f>IFERROR(__xludf.DUMMYFUNCTION("""COMPUTED_VALUE"""),"United States")</f>
        <v>United States</v>
      </c>
      <c r="D510" s="4" t="str">
        <f>IFERROR(__xludf.DUMMYFUNCTION("""COMPUTED_VALUE"""),"Validated Demographic ")</f>
        <v>Validated Demographic </v>
      </c>
      <c r="E510" s="4" t="str">
        <f>IFERROR(__xludf.DUMMYFUNCTION("""COMPUTED_VALUE""")," Gender and Age Combined")</f>
        <v> Gender and Age Combined</v>
      </c>
      <c r="F510" s="4" t="str">
        <f>IFERROR(__xludf.DUMMYFUNCTION("""COMPUTED_VALUE"""),"Males 18-44")</f>
        <v>Males 18-44</v>
      </c>
      <c r="G510" s="4"/>
      <c r="H510" s="4"/>
      <c r="I510" s="4"/>
      <c r="J510" s="5" t="s">
        <v>15</v>
      </c>
      <c r="K510" s="5" t="s">
        <v>42</v>
      </c>
      <c r="L510" s="5" t="s">
        <v>35</v>
      </c>
      <c r="M510" s="6" t="s">
        <v>743</v>
      </c>
      <c r="N510" s="5" t="s">
        <v>46</v>
      </c>
      <c r="O510" s="5" t="s">
        <v>20</v>
      </c>
      <c r="P510" s="5">
        <v>10815.0</v>
      </c>
      <c r="Q510" s="5">
        <v>25.0</v>
      </c>
      <c r="R510" s="5">
        <v>4321.0</v>
      </c>
      <c r="S510" s="5">
        <v>9646.0</v>
      </c>
      <c r="T510" s="5">
        <v>2.0</v>
      </c>
      <c r="U510" s="9">
        <v>4921.594843</v>
      </c>
    </row>
    <row r="511" hidden="1">
      <c r="A511" s="4" t="s">
        <v>1512</v>
      </c>
      <c r="B511" s="4" t="str">
        <f>IFERROR(__xludf.DUMMYFUNCTION("SPLIT(A511,""&gt;"")"),"Online Behavior")</f>
        <v>Online Behavior</v>
      </c>
      <c r="C511" s="4" t="str">
        <f>IFERROR(__xludf.DUMMYFUNCTION("""COMPUTED_VALUE"""),"United States")</f>
        <v>United States</v>
      </c>
      <c r="D511" s="4" t="str">
        <f>IFERROR(__xludf.DUMMYFUNCTION("""COMPUTED_VALUE"""),"B2B ")</f>
        <v>B2B </v>
      </c>
      <c r="E511" s="4" t="str">
        <f>IFERROR(__xludf.DUMMYFUNCTION("""COMPUTED_VALUE""")," Occupation")</f>
        <v> Occupation</v>
      </c>
      <c r="F511" s="4" t="str">
        <f>IFERROR(__xludf.DUMMYFUNCTION("""COMPUTED_VALUE"""),"ComputerProgrammer")</f>
        <v>ComputerProgrammer</v>
      </c>
      <c r="G511" s="4"/>
      <c r="H511" s="4"/>
      <c r="I511" s="4"/>
      <c r="J511" s="5" t="s">
        <v>15</v>
      </c>
      <c r="K511" s="5" t="s">
        <v>42</v>
      </c>
      <c r="L511" s="5" t="s">
        <v>240</v>
      </c>
      <c r="M511" s="6" t="s">
        <v>743</v>
      </c>
      <c r="N511" s="5" t="s">
        <v>50</v>
      </c>
      <c r="O511" s="5" t="s">
        <v>20</v>
      </c>
      <c r="P511" s="5">
        <v>114194.0</v>
      </c>
      <c r="Q511" s="5">
        <v>380.0</v>
      </c>
      <c r="R511" s="5">
        <v>50923.0</v>
      </c>
      <c r="S511" s="5">
        <v>104074.0</v>
      </c>
      <c r="T511" s="5">
        <v>2.0</v>
      </c>
      <c r="U511" s="9">
        <v>4036.089376</v>
      </c>
    </row>
    <row r="512">
      <c r="A512" s="4" t="s">
        <v>1513</v>
      </c>
      <c r="B512" s="4" t="str">
        <f>IFERROR(__xludf.DUMMYFUNCTION("SPLIT(A512,""&gt;"")"),"United States ")</f>
        <v>United States </v>
      </c>
      <c r="C512" s="4" t="str">
        <f>IFERROR(__xludf.DUMMYFUNCTION("""COMPUTED_VALUE""")," Reach ")</f>
        <v> Reach </v>
      </c>
      <c r="D512" s="4" t="str">
        <f>IFERROR(__xludf.DUMMYFUNCTION("""COMPUTED_VALUE""")," Propensity Models ")</f>
        <v> Propensity Models </v>
      </c>
      <c r="E512" s="4" t="str">
        <f>IFERROR(__xludf.DUMMYFUNCTION("""COMPUTED_VALUE""")," Lifestyle ")</f>
        <v> Lifestyle </v>
      </c>
      <c r="F512" s="4" t="str">
        <f>IFERROR(__xludf.DUMMYFUNCTION("""COMPUTED_VALUE""")," Healthy Living")</f>
        <v> Healthy Living</v>
      </c>
      <c r="G512" s="4"/>
      <c r="H512" s="4"/>
      <c r="I512" s="4"/>
      <c r="J512" s="5" t="s">
        <v>15</v>
      </c>
      <c r="K512" s="5" t="s">
        <v>16</v>
      </c>
      <c r="L512" s="5" t="s">
        <v>356</v>
      </c>
      <c r="M512" s="6" t="s">
        <v>743</v>
      </c>
      <c r="N512" s="5" t="s">
        <v>19</v>
      </c>
      <c r="O512" s="5" t="s">
        <v>27</v>
      </c>
      <c r="P512" s="5">
        <v>15449.0</v>
      </c>
      <c r="Q512" s="5">
        <v>50.0</v>
      </c>
      <c r="R512" s="5">
        <v>4595.0</v>
      </c>
      <c r="S512" s="5">
        <v>13765.0</v>
      </c>
      <c r="T512" s="5">
        <v>1.0</v>
      </c>
      <c r="U512" s="9">
        <v>3122.942574</v>
      </c>
    </row>
    <row r="513">
      <c r="A513" s="4" t="s">
        <v>1514</v>
      </c>
      <c r="B513" s="4" t="str">
        <f>IFERROR(__xludf.DUMMYFUNCTION("SPLIT(A513,""&gt;"")"),"United States ")</f>
        <v>United States </v>
      </c>
      <c r="C513" s="4" t="str">
        <f>IFERROR(__xludf.DUMMYFUNCTION("""COMPUTED_VALUE""")," Reach ")</f>
        <v> Reach </v>
      </c>
      <c r="D513" s="4" t="str">
        <f>IFERROR(__xludf.DUMMYFUNCTION("""COMPUTED_VALUE""")," Propensity Models ")</f>
        <v> Propensity Models </v>
      </c>
      <c r="E513" s="4" t="str">
        <f>IFERROR(__xludf.DUMMYFUNCTION("""COMPUTED_VALUE""")," Hobbies and Interest ")</f>
        <v> Hobbies and Interest </v>
      </c>
      <c r="F513" s="4" t="str">
        <f>IFERROR(__xludf.DUMMYFUNCTION("""COMPUTED_VALUE""")," Sports ")</f>
        <v> Sports </v>
      </c>
      <c r="G513" s="4" t="str">
        <f>IFERROR(__xludf.DUMMYFUNCTION("""COMPUTED_VALUE""")," NHL EnthUnited Statesiast")</f>
        <v> NHL EnthUnited Statesiast</v>
      </c>
      <c r="H513" s="4"/>
      <c r="I513" s="4"/>
      <c r="J513" s="5" t="s">
        <v>15</v>
      </c>
      <c r="K513" s="5" t="s">
        <v>31</v>
      </c>
      <c r="L513" s="5" t="s">
        <v>78</v>
      </c>
      <c r="M513" s="6" t="s">
        <v>743</v>
      </c>
      <c r="N513" s="5" t="s">
        <v>191</v>
      </c>
      <c r="O513" s="5" t="s">
        <v>27</v>
      </c>
      <c r="P513" s="5">
        <v>114267.0</v>
      </c>
      <c r="Q513" s="5">
        <v>110.0</v>
      </c>
      <c r="R513" s="5">
        <v>60964.0</v>
      </c>
      <c r="S513" s="5">
        <v>108301.0</v>
      </c>
      <c r="T513" s="5">
        <v>5.0</v>
      </c>
      <c r="U513" s="9">
        <v>2679.154068</v>
      </c>
    </row>
    <row r="514" hidden="1">
      <c r="A514" s="4" t="s">
        <v>1515</v>
      </c>
      <c r="B514" s="4" t="str">
        <f>IFERROR(__xludf.DUMMYFUNCTION("SPLIT(A514,""&gt;"")"),"United States ")</f>
        <v>United States </v>
      </c>
      <c r="C514" s="4" t="str">
        <f>IFERROR(__xludf.DUMMYFUNCTION("""COMPUTED_VALUE""")," Reach ")</f>
        <v> Reach </v>
      </c>
      <c r="D514" s="4" t="str">
        <f>IFERROR(__xludf.DUMMYFUNCTION("""COMPUTED_VALUE""")," Propensity Models ")</f>
        <v> Propensity Models </v>
      </c>
      <c r="E514" s="4" t="str">
        <f>IFERROR(__xludf.DUMMYFUNCTION("""COMPUTED_VALUE""")," Hobbies and Interest ")</f>
        <v> Hobbies and Interest </v>
      </c>
      <c r="F514" s="4" t="str">
        <f>IFERROR(__xludf.DUMMYFUNCTION("""COMPUTED_VALUE""")," Sports ")</f>
        <v> Sports </v>
      </c>
      <c r="G514" s="4" t="str">
        <f>IFERROR(__xludf.DUMMYFUNCTION("""COMPUTED_VALUE""")," Fishing")</f>
        <v> Fishing</v>
      </c>
      <c r="H514" s="4"/>
      <c r="I514" s="4"/>
      <c r="J514" s="5" t="s">
        <v>15</v>
      </c>
      <c r="K514" s="5" t="s">
        <v>16</v>
      </c>
      <c r="L514" s="5" t="s">
        <v>173</v>
      </c>
      <c r="M514" s="6" t="s">
        <v>743</v>
      </c>
      <c r="N514" s="5" t="s">
        <v>26</v>
      </c>
      <c r="O514" s="5" t="s">
        <v>20</v>
      </c>
      <c r="P514" s="5">
        <v>65043.0</v>
      </c>
      <c r="Q514" s="5">
        <v>160.0</v>
      </c>
      <c r="R514" s="5">
        <v>25871.0</v>
      </c>
      <c r="S514" s="5">
        <v>53969.0</v>
      </c>
      <c r="T514" s="5">
        <v>4.0</v>
      </c>
      <c r="U514" s="9">
        <v>2347.918531</v>
      </c>
    </row>
    <row r="515">
      <c r="A515" s="4" t="s">
        <v>1516</v>
      </c>
      <c r="B515" s="4" t="str">
        <f>IFERROR(__xludf.DUMMYFUNCTION("SPLIT(A515,""&gt;"")"),"United States ")</f>
        <v>United States </v>
      </c>
      <c r="C515" s="4" t="str">
        <f>IFERROR(__xludf.DUMMYFUNCTION("""COMPUTED_VALUE""")," Interest Propensities ")</f>
        <v> Interest Propensities </v>
      </c>
      <c r="D515" s="4" t="str">
        <f>IFERROR(__xludf.DUMMYFUNCTION("""COMPUTED_VALUE""")," Food and Drink ")</f>
        <v> Food and Drink </v>
      </c>
      <c r="E515" s="4" t="str">
        <f>IFERROR(__xludf.DUMMYFUNCTION("""COMPUTED_VALUE""")," American Cuisine")</f>
        <v> American Cuisine</v>
      </c>
      <c r="F515" s="4"/>
      <c r="G515" s="4"/>
      <c r="H515" s="4"/>
      <c r="I515" s="4"/>
      <c r="J515" s="5" t="s">
        <v>22</v>
      </c>
      <c r="K515" s="5" t="s">
        <v>23</v>
      </c>
      <c r="L515" s="5" t="s">
        <v>35</v>
      </c>
      <c r="M515" s="6" t="s">
        <v>743</v>
      </c>
      <c r="N515" s="5" t="s">
        <v>19</v>
      </c>
      <c r="O515" s="5" t="s">
        <v>27</v>
      </c>
      <c r="P515" s="5">
        <v>85280.0</v>
      </c>
      <c r="Q515" s="5">
        <v>211.0</v>
      </c>
      <c r="R515" s="5">
        <v>35860.0</v>
      </c>
      <c r="S515" s="5">
        <v>79837.0</v>
      </c>
      <c r="T515" s="5">
        <v>5.0</v>
      </c>
      <c r="U515" s="9">
        <v>2217.932092</v>
      </c>
    </row>
    <row r="516">
      <c r="A516" s="4" t="s">
        <v>1517</v>
      </c>
      <c r="B516" s="4" t="str">
        <f>IFERROR(__xludf.DUMMYFUNCTION("SPLIT(A516,""&gt;"")"),"United States ")</f>
        <v>United States </v>
      </c>
      <c r="C516" s="4" t="str">
        <f>IFERROR(__xludf.DUMMYFUNCTION("""COMPUTED_VALUE""")," Reach ")</f>
        <v> Reach </v>
      </c>
      <c r="D516" s="4" t="str">
        <f>IFERROR(__xludf.DUMMYFUNCTION("""COMPUTED_VALUE""")," Propensity Models ")</f>
        <v> Propensity Models </v>
      </c>
      <c r="E516" s="4" t="str">
        <f>IFERROR(__xludf.DUMMYFUNCTION("""COMPUTED_VALUE""")," Finance ")</f>
        <v> Finance </v>
      </c>
      <c r="F516" s="4" t="str">
        <f>IFERROR(__xludf.DUMMYFUNCTION("""COMPUTED_VALUE""")," Credit ")</f>
        <v> Credit </v>
      </c>
      <c r="G516" s="4" t="str">
        <f>IFERROR(__xludf.DUMMYFUNCTION("""COMPUTED_VALUE""")," Debit Card ")</f>
        <v> Debit Card </v>
      </c>
      <c r="H516" s="4" t="str">
        <f>IFERROR(__xludf.DUMMYFUNCTION("""COMPUTED_VALUE""")," Store Credit Card United Stateser")</f>
        <v> Store Credit Card United Stateser</v>
      </c>
      <c r="I516" s="4"/>
      <c r="J516" s="5" t="s">
        <v>22</v>
      </c>
      <c r="K516" s="5" t="s">
        <v>16</v>
      </c>
      <c r="L516" s="5" t="s">
        <v>35</v>
      </c>
      <c r="M516" s="6" t="s">
        <v>743</v>
      </c>
      <c r="N516" s="5" t="s">
        <v>36</v>
      </c>
      <c r="O516" s="5" t="s">
        <v>27</v>
      </c>
      <c r="P516" s="5">
        <v>51515.0</v>
      </c>
      <c r="Q516" s="5">
        <v>144.0</v>
      </c>
      <c r="R516" s="5">
        <v>18304.0</v>
      </c>
      <c r="S516" s="5">
        <v>44891.0</v>
      </c>
      <c r="T516" s="5">
        <v>14.0</v>
      </c>
      <c r="U516" s="9">
        <v>2160.307325</v>
      </c>
    </row>
    <row r="517">
      <c r="A517" s="4" t="s">
        <v>1518</v>
      </c>
      <c r="B517" s="4" t="str">
        <f>IFERROR(__xludf.DUMMYFUNCTION("SPLIT(A517,""&gt;"")"),"United States ")</f>
        <v>United States </v>
      </c>
      <c r="C517" s="4" t="str">
        <f>IFERROR(__xludf.DUMMYFUNCTION("""COMPUTED_VALUE""")," Brand Propensities ")</f>
        <v> Brand Propensities </v>
      </c>
      <c r="D517" s="4" t="str">
        <f>IFERROR(__xludf.DUMMYFUNCTION("""COMPUTED_VALUE""")," Apparel ")</f>
        <v> Apparel </v>
      </c>
      <c r="E517" s="4" t="str">
        <f>IFERROR(__xludf.DUMMYFUNCTION("""COMPUTED_VALUE""")," Shoebuy.com Buyer Propensity")</f>
        <v> Shoebuy.com Buyer Propensity</v>
      </c>
      <c r="F517" s="4"/>
      <c r="G517" s="4"/>
      <c r="H517" s="4"/>
      <c r="I517" s="4"/>
      <c r="J517" s="5" t="s">
        <v>22</v>
      </c>
      <c r="K517" s="5" t="s">
        <v>42</v>
      </c>
      <c r="L517" s="5" t="s">
        <v>66</v>
      </c>
      <c r="M517" s="6" t="s">
        <v>743</v>
      </c>
      <c r="N517" s="5" t="s">
        <v>46</v>
      </c>
      <c r="O517" s="5" t="s">
        <v>27</v>
      </c>
      <c r="P517" s="5">
        <v>43666.0</v>
      </c>
      <c r="Q517" s="5">
        <v>133.0</v>
      </c>
      <c r="R517" s="5">
        <v>18513.0</v>
      </c>
      <c r="S517" s="5">
        <v>40506.0</v>
      </c>
      <c r="T517" s="5">
        <v>18.0</v>
      </c>
      <c r="U517" s="9">
        <v>1980.393834</v>
      </c>
    </row>
    <row r="518" hidden="1">
      <c r="A518" s="4" t="s">
        <v>1519</v>
      </c>
      <c r="B518" s="4" t="str">
        <f>IFERROR(__xludf.DUMMYFUNCTION("SPLIT(A518,""&gt;"")"),"Travel and Tourism ")</f>
        <v>Travel and Tourism </v>
      </c>
      <c r="C518" s="4" t="str">
        <f>IFERROR(__xludf.DUMMYFUNCTION("""COMPUTED_VALUE""")," In-Market")</f>
        <v> In-Market</v>
      </c>
      <c r="D518" s="4"/>
      <c r="E518" s="4"/>
      <c r="F518" s="4"/>
      <c r="G518" s="4"/>
      <c r="H518" s="4"/>
      <c r="I518" s="4"/>
      <c r="J518" s="5" t="s">
        <v>15</v>
      </c>
      <c r="K518" s="5" t="s">
        <v>31</v>
      </c>
      <c r="L518" s="5" t="s">
        <v>35</v>
      </c>
      <c r="M518" s="6" t="s">
        <v>743</v>
      </c>
      <c r="N518" s="5" t="s">
        <v>19</v>
      </c>
      <c r="O518" s="5" t="s">
        <v>20</v>
      </c>
      <c r="P518" s="5">
        <v>48892.0</v>
      </c>
      <c r="Q518" s="5">
        <v>110.0</v>
      </c>
      <c r="R518" s="5">
        <v>32060.0</v>
      </c>
      <c r="S518" s="5">
        <v>45251.0</v>
      </c>
      <c r="T518" s="5">
        <v>9.0</v>
      </c>
      <c r="U518" s="9">
        <v>1978.609661</v>
      </c>
    </row>
    <row r="519">
      <c r="A519" s="4" t="s">
        <v>1520</v>
      </c>
      <c r="B519" s="4" t="str">
        <f>IFERROR(__xludf.DUMMYFUNCTION("SPLIT(A519,""&gt;"")"),"United States ")</f>
        <v>United States </v>
      </c>
      <c r="C519" s="4" t="str">
        <f>IFERROR(__xludf.DUMMYFUNCTION("""COMPUTED_VALUE""")," Interest Propensities ")</f>
        <v> Interest Propensities </v>
      </c>
      <c r="D519" s="4" t="str">
        <f>IFERROR(__xludf.DUMMYFUNCTION("""COMPUTED_VALUE""")," TV and Movies ")</f>
        <v> TV and Movies </v>
      </c>
      <c r="E519" s="4" t="str">
        <f>IFERROR(__xludf.DUMMYFUNCTION("""COMPUTED_VALUE""")," Network TV")</f>
        <v> Network TV</v>
      </c>
      <c r="F519" s="4"/>
      <c r="G519" s="4"/>
      <c r="H519" s="4"/>
      <c r="I519" s="4"/>
      <c r="J519" s="5" t="s">
        <v>22</v>
      </c>
      <c r="K519" s="5" t="s">
        <v>16</v>
      </c>
      <c r="L519" s="5" t="s">
        <v>55</v>
      </c>
      <c r="M519" s="6" t="s">
        <v>743</v>
      </c>
      <c r="N519" s="5" t="s">
        <v>19</v>
      </c>
      <c r="O519" s="5" t="s">
        <v>27</v>
      </c>
      <c r="P519" s="5">
        <v>104814.0</v>
      </c>
      <c r="Q519" s="5">
        <v>369.0</v>
      </c>
      <c r="R519" s="5">
        <v>55984.0</v>
      </c>
      <c r="S519" s="5">
        <v>99432.0</v>
      </c>
      <c r="T519" s="5">
        <v>5.0</v>
      </c>
      <c r="U519" s="9">
        <v>1942.847513</v>
      </c>
    </row>
    <row r="520">
      <c r="A520" s="4" t="s">
        <v>1521</v>
      </c>
      <c r="B520" s="4" t="str">
        <f>IFERROR(__xludf.DUMMYFUNCTION("SPLIT(A520,""&gt;"")"),"United States ")</f>
        <v>United States </v>
      </c>
      <c r="C520" s="4" t="str">
        <f>IFERROR(__xludf.DUMMYFUNCTION("""COMPUTED_VALUE""")," Sociodemographic ")</f>
        <v> Sociodemographic </v>
      </c>
      <c r="D520" s="4" t="str">
        <f>IFERROR(__xludf.DUMMYFUNCTION("""COMPUTED_VALUE""")," P$YCLE Premier Lifestage ")</f>
        <v> P$YCLE Premier Lifestage </v>
      </c>
      <c r="E520" s="4" t="str">
        <f>IFERROR(__xludf.DUMMYFUNCTION("""COMPUTED_VALUE""")," F4 Working-Class United StatesA")</f>
        <v> F4 Working-Class United StatesA</v>
      </c>
      <c r="F520" s="4"/>
      <c r="G520" s="4"/>
      <c r="H520" s="4"/>
      <c r="I520" s="4"/>
      <c r="J520" s="5" t="s">
        <v>22</v>
      </c>
      <c r="K520" s="5" t="s">
        <v>42</v>
      </c>
      <c r="L520" s="5" t="s">
        <v>29</v>
      </c>
      <c r="M520" s="6" t="s">
        <v>743</v>
      </c>
      <c r="N520" s="5" t="s">
        <v>46</v>
      </c>
      <c r="O520" s="5" t="s">
        <v>27</v>
      </c>
      <c r="P520" s="5">
        <v>64577.0</v>
      </c>
      <c r="Q520" s="5">
        <v>240.0</v>
      </c>
      <c r="R520" s="5">
        <v>37732.0</v>
      </c>
      <c r="S520" s="5">
        <v>60357.0</v>
      </c>
      <c r="T520" s="5">
        <v>11.0</v>
      </c>
      <c r="U520" s="9">
        <v>1801.349131</v>
      </c>
    </row>
    <row r="521" hidden="1">
      <c r="A521" s="4" t="s">
        <v>1522</v>
      </c>
      <c r="B521" s="4" t="str">
        <f>IFERROR(__xludf.DUMMYFUNCTION("SPLIT(A521,""&gt;"")"),"United States ")</f>
        <v>United States </v>
      </c>
      <c r="C521" s="4" t="str">
        <f>IFERROR(__xludf.DUMMYFUNCTION("""COMPUTED_VALUE""")," B2B ")</f>
        <v> B2B </v>
      </c>
      <c r="D521" s="4" t="str">
        <f>IFERROR(__xludf.DUMMYFUNCTION("""COMPUTED_VALUE""")," B2B Decision Maker Responsibilities ")</f>
        <v> B2B Decision Maker Responsibilities </v>
      </c>
      <c r="E521" s="4" t="str">
        <f>IFERROR(__xludf.DUMMYFUNCTION("""COMPUTED_VALUE""")," Office Services or Moving")</f>
        <v> Office Services or Moving</v>
      </c>
      <c r="F521" s="4"/>
      <c r="G521" s="4"/>
      <c r="H521" s="4"/>
      <c r="I521" s="4"/>
      <c r="J521" s="5" t="s">
        <v>15</v>
      </c>
      <c r="K521" s="5" t="s">
        <v>23</v>
      </c>
      <c r="L521" s="5" t="s">
        <v>39</v>
      </c>
      <c r="M521" s="6" t="s">
        <v>743</v>
      </c>
      <c r="N521" s="5" t="s">
        <v>46</v>
      </c>
      <c r="O521" s="5" t="s">
        <v>20</v>
      </c>
      <c r="P521" s="5">
        <v>49412.0</v>
      </c>
      <c r="Q521" s="5">
        <v>170.0</v>
      </c>
      <c r="R521" s="5">
        <v>22155.0</v>
      </c>
      <c r="S521" s="5">
        <v>43802.0</v>
      </c>
      <c r="T521" s="5">
        <v>3.0</v>
      </c>
      <c r="U521" s="9">
        <v>1595.659466</v>
      </c>
    </row>
    <row r="522" hidden="1">
      <c r="A522" s="4" t="s">
        <v>1523</v>
      </c>
      <c r="B522" s="4" t="str">
        <f>IFERROR(__xludf.DUMMYFUNCTION("SPLIT(A522,""&gt;"")"),"Telecommunications and Mobile Tech ")</f>
        <v>Telecommunications and Mobile Tech </v>
      </c>
      <c r="C522" s="4" t="str">
        <f>IFERROR(__xludf.DUMMYFUNCTION("""COMPUTED_VALUE""")," Mobile Devices and Connected Technology")</f>
        <v> Mobile Devices and Connected Technology</v>
      </c>
      <c r="D522" s="4"/>
      <c r="E522" s="4"/>
      <c r="F522" s="4"/>
      <c r="G522" s="4"/>
      <c r="H522" s="4"/>
      <c r="I522" s="4"/>
      <c r="J522" s="5" t="s">
        <v>15</v>
      </c>
      <c r="K522" s="5" t="s">
        <v>16</v>
      </c>
      <c r="L522" s="5" t="s">
        <v>32</v>
      </c>
      <c r="M522" s="6" t="s">
        <v>743</v>
      </c>
      <c r="N522" s="5" t="s">
        <v>26</v>
      </c>
      <c r="O522" s="5" t="s">
        <v>20</v>
      </c>
      <c r="P522" s="5">
        <v>11269.0</v>
      </c>
      <c r="Q522" s="5">
        <v>63.0</v>
      </c>
      <c r="R522" s="5">
        <v>4992.0</v>
      </c>
      <c r="S522" s="5">
        <v>10245.0</v>
      </c>
      <c r="T522" s="5">
        <v>3.0</v>
      </c>
      <c r="U522" s="9">
        <v>1576.38921</v>
      </c>
    </row>
    <row r="523">
      <c r="A523" s="4" t="s">
        <v>1524</v>
      </c>
      <c r="B523" s="4" t="str">
        <f>IFERROR(__xludf.DUMMYFUNCTION("SPLIT(A523,""&gt;"")"),"United States Home ")</f>
        <v>United States Home </v>
      </c>
      <c r="C523" s="4" t="str">
        <f>IFERROR(__xludf.DUMMYFUNCTION("""COMPUTED_VALUE""")," Property Type ")</f>
        <v> Property Type </v>
      </c>
      <c r="D523" s="4" t="str">
        <f>IFERROR(__xludf.DUMMYFUNCTION("""COMPUTED_VALUE""")," Single")</f>
        <v> Single</v>
      </c>
      <c r="E523" s="4"/>
      <c r="F523" s="4"/>
      <c r="G523" s="4"/>
      <c r="H523" s="4"/>
      <c r="I523" s="4"/>
      <c r="J523" s="5" t="s">
        <v>22</v>
      </c>
      <c r="K523" s="5" t="s">
        <v>16</v>
      </c>
      <c r="L523" s="5" t="s">
        <v>78</v>
      </c>
      <c r="M523" s="6" t="s">
        <v>743</v>
      </c>
      <c r="N523" s="5" t="s">
        <v>46</v>
      </c>
      <c r="O523" s="5" t="s">
        <v>27</v>
      </c>
      <c r="P523" s="5">
        <v>15318.0</v>
      </c>
      <c r="Q523" s="5">
        <v>30.0</v>
      </c>
      <c r="R523" s="5">
        <v>5928.0</v>
      </c>
      <c r="S523" s="5">
        <v>13298.0</v>
      </c>
      <c r="T523" s="5">
        <v>19.0</v>
      </c>
      <c r="U523" s="9">
        <v>1570.29739</v>
      </c>
    </row>
    <row r="524">
      <c r="A524" s="4" t="s">
        <v>1525</v>
      </c>
      <c r="B524" s="4" t="str">
        <f>IFERROR(__xludf.DUMMYFUNCTION("SPLIT(A524,""&gt;"")"),"United States Health and Fitness ")</f>
        <v>United States Health and Fitness </v>
      </c>
      <c r="C524" s="4" t="str">
        <f>IFERROR(__xludf.DUMMYFUNCTION("""COMPUTED_VALUE""")," Interest ")</f>
        <v> Interest </v>
      </c>
      <c r="D524" s="4" t="str">
        <f>IFERROR(__xludf.DUMMYFUNCTION("""COMPUTED_VALUE""")," Exercise ")</f>
        <v> Exercise </v>
      </c>
      <c r="E524" s="4" t="str">
        <f>IFERROR(__xludf.DUMMYFUNCTION("""COMPUTED_VALUE""")," Health")</f>
        <v> Health</v>
      </c>
      <c r="F524" s="4"/>
      <c r="G524" s="4"/>
      <c r="H524" s="4"/>
      <c r="I524" s="4"/>
      <c r="J524" s="5" t="s">
        <v>61</v>
      </c>
      <c r="K524" s="5" t="s">
        <v>42</v>
      </c>
      <c r="L524" s="5" t="s">
        <v>29</v>
      </c>
      <c r="M524" s="6" t="s">
        <v>743</v>
      </c>
      <c r="N524" s="5" t="s">
        <v>46</v>
      </c>
      <c r="O524" s="5" t="s">
        <v>27</v>
      </c>
      <c r="P524" s="5">
        <v>10819.0</v>
      </c>
      <c r="Q524" s="5">
        <v>20.0</v>
      </c>
      <c r="R524" s="5">
        <v>4168.0</v>
      </c>
      <c r="S524" s="5">
        <v>9768.0</v>
      </c>
      <c r="T524" s="5">
        <v>2.0</v>
      </c>
      <c r="U524" s="9">
        <v>1504.329214</v>
      </c>
    </row>
    <row r="525">
      <c r="A525" s="4" t="s">
        <v>1526</v>
      </c>
      <c r="B525" s="4" t="str">
        <f>IFERROR(__xludf.DUMMYFUNCTION("SPLIT(A525,""&gt;"")"),"OnAudience ")</f>
        <v>OnAudience </v>
      </c>
      <c r="C525" s="4" t="str">
        <f>IFERROR(__xludf.DUMMYFUNCTION("""COMPUTED_VALUE""")," Interest ")</f>
        <v> Interest </v>
      </c>
      <c r="D525" s="4" t="str">
        <f>IFERROR(__xludf.DUMMYFUNCTION("""COMPUTED_VALUE""")," Arts &amp; Entertainment ")</f>
        <v> Arts &amp; Entertainment </v>
      </c>
      <c r="E525" s="4" t="str">
        <f>IFERROR(__xludf.DUMMYFUNCTION("""COMPUTED_VALUE""")," Movies")</f>
        <v> Movies</v>
      </c>
      <c r="F525" s="4"/>
      <c r="G525" s="4"/>
      <c r="H525" s="4"/>
      <c r="I525" s="4"/>
      <c r="J525" s="5" t="s">
        <v>15</v>
      </c>
      <c r="K525" s="5" t="s">
        <v>16</v>
      </c>
      <c r="L525" s="5" t="s">
        <v>32</v>
      </c>
      <c r="M525" s="6" t="s">
        <v>743</v>
      </c>
      <c r="N525" s="5" t="s">
        <v>46</v>
      </c>
      <c r="O525" s="5" t="s">
        <v>27</v>
      </c>
      <c r="P525" s="5">
        <v>30714.0</v>
      </c>
      <c r="Q525" s="5">
        <v>111.0</v>
      </c>
      <c r="R525" s="5">
        <v>12531.0</v>
      </c>
      <c r="S525" s="5">
        <v>28461.0</v>
      </c>
      <c r="T525" s="5">
        <v>9.0</v>
      </c>
      <c r="U525" s="9">
        <v>1503.484311</v>
      </c>
    </row>
    <row r="526">
      <c r="A526" s="4" t="s">
        <v>1527</v>
      </c>
      <c r="B526" s="4" t="str">
        <f>IFERROR(__xludf.DUMMYFUNCTION("SPLIT(A526,""&gt;"")"),"OnAudience ")</f>
        <v>OnAudience </v>
      </c>
      <c r="C526" s="4" t="str">
        <f>IFERROR(__xludf.DUMMYFUNCTION("""COMPUTED_VALUE""")," Interest ")</f>
        <v> Interest </v>
      </c>
      <c r="D526" s="4" t="str">
        <f>IFERROR(__xludf.DUMMYFUNCTION("""COMPUTED_VALUE""")," Arts &amp; Entertainment")</f>
        <v> Arts &amp; Entertainment</v>
      </c>
      <c r="E526" s="4"/>
      <c r="F526" s="4"/>
      <c r="G526" s="4"/>
      <c r="H526" s="4"/>
      <c r="I526" s="4"/>
      <c r="J526" s="5" t="s">
        <v>22</v>
      </c>
      <c r="K526" s="5" t="s">
        <v>16</v>
      </c>
      <c r="L526" s="5" t="s">
        <v>17</v>
      </c>
      <c r="M526" s="6" t="s">
        <v>768</v>
      </c>
      <c r="N526" s="5" t="s">
        <v>48</v>
      </c>
      <c r="O526" s="5" t="s">
        <v>27</v>
      </c>
      <c r="P526" s="5">
        <v>37617.0</v>
      </c>
      <c r="Q526" s="5">
        <v>85.0</v>
      </c>
      <c r="R526" s="5">
        <v>5092.0</v>
      </c>
      <c r="S526" s="5">
        <v>34373.0</v>
      </c>
      <c r="T526" s="5">
        <v>6.0</v>
      </c>
      <c r="U526" s="9">
        <v>1608.882952</v>
      </c>
    </row>
    <row r="527" hidden="1">
      <c r="A527" s="4" t="s">
        <v>1528</v>
      </c>
      <c r="B527" s="4" t="str">
        <f>IFERROR(__xludf.DUMMYFUNCTION("SPLIT(A527,""&gt;"")"),"Online Behavior")</f>
        <v>Online Behavior</v>
      </c>
      <c r="C527" s="4" t="str">
        <f>IFERROR(__xludf.DUMMYFUNCTION("""COMPUTED_VALUE"""),"United States")</f>
        <v>United States</v>
      </c>
      <c r="D527" s="4" t="str">
        <f>IFERROR(__xludf.DUMMYFUNCTION("""COMPUTED_VALUE"""),"Validated Demographic ")</f>
        <v>Validated Demographic </v>
      </c>
      <c r="E527" s="4" t="str">
        <f>IFERROR(__xludf.DUMMYFUNCTION("""COMPUTED_VALUE""")," Age")</f>
        <v> Age</v>
      </c>
      <c r="F527" s="4" t="str">
        <f>IFERROR(__xludf.DUMMYFUNCTION("""COMPUTED_VALUE"""),"18 or older")</f>
        <v>18 or older</v>
      </c>
      <c r="G527" s="4"/>
      <c r="H527" s="4"/>
      <c r="I527" s="4"/>
      <c r="J527" s="5" t="s">
        <v>15</v>
      </c>
      <c r="K527" s="5" t="s">
        <v>23</v>
      </c>
      <c r="L527" s="5" t="s">
        <v>55</v>
      </c>
      <c r="M527" s="6" t="s">
        <v>770</v>
      </c>
      <c r="N527" s="5" t="s">
        <v>19</v>
      </c>
      <c r="O527" s="5" t="s">
        <v>52</v>
      </c>
      <c r="P527" s="5">
        <v>219088.0</v>
      </c>
      <c r="Q527" s="5">
        <v>541.0</v>
      </c>
      <c r="R527" s="5">
        <v>75638.0</v>
      </c>
      <c r="S527" s="5">
        <v>153987.0</v>
      </c>
      <c r="T527" s="5">
        <v>17.0</v>
      </c>
      <c r="U527" s="9">
        <v>6761.073824</v>
      </c>
    </row>
    <row r="528">
      <c r="A528" s="4" t="s">
        <v>1529</v>
      </c>
      <c r="B528" s="4" t="str">
        <f>IFERROR(__xludf.DUMMYFUNCTION("SPLIT(A528,""&gt;"")"),"United States ")</f>
        <v>United States </v>
      </c>
      <c r="C528" s="4" t="str">
        <f>IFERROR(__xludf.DUMMYFUNCTION("""COMPUTED_VALUE""")," Multibuyer Behaviors ")</f>
        <v> Multibuyer Behaviors </v>
      </c>
      <c r="D528" s="4" t="str">
        <f>IFERROR(__xludf.DUMMYFUNCTION("""COMPUTED_VALUE""")," Entertainment ")</f>
        <v> Entertainment </v>
      </c>
      <c r="E528" s="4" t="str">
        <f>IFERROR(__xludf.DUMMYFUNCTION("""COMPUTED_VALUE""")," Pastimes Multibuyer")</f>
        <v> Pastimes Multibuyer</v>
      </c>
      <c r="F528" s="4"/>
      <c r="G528" s="4"/>
      <c r="H528" s="4"/>
      <c r="I528" s="4"/>
      <c r="J528" s="5" t="s">
        <v>15</v>
      </c>
      <c r="K528" s="5" t="s">
        <v>31</v>
      </c>
      <c r="L528" s="5" t="s">
        <v>24</v>
      </c>
      <c r="M528" s="6" t="s">
        <v>772</v>
      </c>
      <c r="N528" s="5" t="s">
        <v>46</v>
      </c>
      <c r="O528" s="5" t="s">
        <v>27</v>
      </c>
      <c r="P528" s="5">
        <v>15277.0</v>
      </c>
      <c r="Q528" s="5">
        <v>69.0</v>
      </c>
      <c r="R528" s="5">
        <v>3089.0</v>
      </c>
      <c r="S528" s="5">
        <v>13644.0</v>
      </c>
      <c r="T528" s="5">
        <v>4.0</v>
      </c>
      <c r="U528" s="9">
        <v>1904.564346</v>
      </c>
    </row>
    <row r="529" hidden="1">
      <c r="A529" s="4" t="s">
        <v>1530</v>
      </c>
      <c r="B529" s="4" t="str">
        <f>IFERROR(__xludf.DUMMYFUNCTION("SPLIT(A529,""&gt;"")"),"United States ")</f>
        <v>United States </v>
      </c>
      <c r="C529" s="4" t="str">
        <f>IFERROR(__xludf.DUMMYFUNCTION("""COMPUTED_VALUE""")," Sociodemographic ")</f>
        <v> Sociodemographic </v>
      </c>
      <c r="D529" s="4" t="str">
        <f>IFERROR(__xludf.DUMMYFUNCTION("""COMPUTED_VALUE""")," PRIZM Premier Social ")</f>
        <v> PRIZM Premier Social </v>
      </c>
      <c r="E529" s="4" t="str">
        <f>IFERROR(__xludf.DUMMYFUNCTION("""COMPUTED_VALUE""")," C2 City Centers")</f>
        <v> C2 City Centers</v>
      </c>
      <c r="F529" s="4"/>
      <c r="G529" s="4"/>
      <c r="H529" s="4"/>
      <c r="I529" s="4"/>
      <c r="J529" s="5" t="s">
        <v>15</v>
      </c>
      <c r="K529" s="5" t="s">
        <v>42</v>
      </c>
      <c r="L529" s="5" t="s">
        <v>204</v>
      </c>
      <c r="M529" s="6" t="s">
        <v>772</v>
      </c>
      <c r="N529" s="5" t="s">
        <v>19</v>
      </c>
      <c r="O529" s="5" t="s">
        <v>52</v>
      </c>
      <c r="P529" s="5">
        <v>34278.0</v>
      </c>
      <c r="Q529" s="5">
        <v>100.0</v>
      </c>
      <c r="R529" s="5">
        <v>3704.0</v>
      </c>
      <c r="S529" s="5">
        <v>30227.0</v>
      </c>
      <c r="T529" s="5">
        <v>6.0</v>
      </c>
      <c r="U529" s="9">
        <v>1689.083186</v>
      </c>
    </row>
    <row r="530">
      <c r="A530" s="4" t="s">
        <v>1531</v>
      </c>
      <c r="B530" s="4" t="str">
        <f>IFERROR(__xludf.DUMMYFUNCTION("SPLIT(A530,""&gt;"")"),"Lotame ")</f>
        <v>Lotame </v>
      </c>
      <c r="C530" s="4" t="str">
        <f>IFERROR(__xludf.DUMMYFUNCTION("""COMPUTED_VALUE""")," Personal Finance ")</f>
        <v> Personal Finance </v>
      </c>
      <c r="D530" s="4" t="str">
        <f>IFERROR(__xludf.DUMMYFUNCTION("""COMPUTED_VALUE""")," Stocks")</f>
        <v> Stocks</v>
      </c>
      <c r="E530" s="4"/>
      <c r="F530" s="4"/>
      <c r="G530" s="4"/>
      <c r="H530" s="4"/>
      <c r="I530" s="4"/>
      <c r="J530" s="5" t="s">
        <v>15</v>
      </c>
      <c r="K530" s="5" t="s">
        <v>31</v>
      </c>
      <c r="L530" s="5" t="s">
        <v>78</v>
      </c>
      <c r="M530" s="6" t="s">
        <v>775</v>
      </c>
      <c r="N530" s="5" t="s">
        <v>50</v>
      </c>
      <c r="O530" s="5" t="s">
        <v>27</v>
      </c>
      <c r="P530" s="5">
        <v>13382.0</v>
      </c>
      <c r="Q530" s="5">
        <v>68.0</v>
      </c>
      <c r="R530" s="5">
        <v>3340.0</v>
      </c>
      <c r="S530" s="5">
        <v>11662.0</v>
      </c>
      <c r="T530" s="5">
        <v>1.0</v>
      </c>
      <c r="U530" s="9">
        <v>1447.927193</v>
      </c>
    </row>
    <row r="531">
      <c r="A531" s="4" t="s">
        <v>1532</v>
      </c>
      <c r="B531" s="4" t="str">
        <f>IFERROR(__xludf.DUMMYFUNCTION("SPLIT(A531,""&gt;"")"),"Online Behavior")</f>
        <v>Online Behavior</v>
      </c>
      <c r="C531" s="4" t="str">
        <f>IFERROR(__xludf.DUMMYFUNCTION("""COMPUTED_VALUE"""),"United States")</f>
        <v>United States</v>
      </c>
      <c r="D531" s="4" t="str">
        <f>IFERROR(__xludf.DUMMYFUNCTION("""COMPUTED_VALUE"""),"Autos and Vehicles ")</f>
        <v>Autos and Vehicles </v>
      </c>
      <c r="E531" s="4" t="str">
        <f>IFERROR(__xludf.DUMMYFUNCTION("""COMPUTED_VALUE""")," Brands")</f>
        <v> Brands</v>
      </c>
      <c r="F531" s="4" t="str">
        <f>IFERROR(__xludf.DUMMYFUNCTION("""COMPUTED_VALUE"""),"Citroen")</f>
        <v>Citroen</v>
      </c>
      <c r="G531" s="4"/>
      <c r="H531" s="4"/>
      <c r="I531" s="4"/>
      <c r="J531" s="5" t="s">
        <v>22</v>
      </c>
      <c r="K531" s="5" t="s">
        <v>23</v>
      </c>
      <c r="L531" s="5" t="s">
        <v>777</v>
      </c>
      <c r="M531" s="6" t="s">
        <v>778</v>
      </c>
      <c r="N531" s="5" t="s">
        <v>36</v>
      </c>
      <c r="O531" s="5" t="s">
        <v>27</v>
      </c>
      <c r="P531" s="5">
        <v>9319.0</v>
      </c>
      <c r="Q531" s="5">
        <v>30.0</v>
      </c>
      <c r="R531" s="5">
        <v>6193.0</v>
      </c>
      <c r="S531" s="5">
        <v>8682.0</v>
      </c>
      <c r="T531" s="5">
        <v>12.0</v>
      </c>
      <c r="U531" s="9">
        <v>4594.604003</v>
      </c>
    </row>
    <row r="532">
      <c r="A532" s="4" t="s">
        <v>1533</v>
      </c>
      <c r="B532" s="4" t="str">
        <f>IFERROR(__xludf.DUMMYFUNCTION("SPLIT(A532,""&gt;"")"),"OnAudience ")</f>
        <v>OnAudience </v>
      </c>
      <c r="C532" s="4" t="str">
        <f>IFERROR(__xludf.DUMMYFUNCTION("""COMPUTED_VALUE""")," Intent ")</f>
        <v> Intent </v>
      </c>
      <c r="D532" s="4" t="str">
        <f>IFERROR(__xludf.DUMMYFUNCTION("""COMPUTED_VALUE""")," Electronics ")</f>
        <v> Electronics </v>
      </c>
      <c r="E532" s="4" t="str">
        <f>IFERROR(__xludf.DUMMYFUNCTION("""COMPUTED_VALUE""")," Video Game Consoles")</f>
        <v> Video Game Consoles</v>
      </c>
      <c r="F532" s="4"/>
      <c r="G532" s="4"/>
      <c r="H532" s="4"/>
      <c r="I532" s="4"/>
      <c r="J532" s="5" t="s">
        <v>22</v>
      </c>
      <c r="K532" s="5" t="s">
        <v>31</v>
      </c>
      <c r="L532" s="5" t="s">
        <v>35</v>
      </c>
      <c r="M532" s="6" t="s">
        <v>778</v>
      </c>
      <c r="N532" s="5" t="s">
        <v>80</v>
      </c>
      <c r="O532" s="5" t="s">
        <v>27</v>
      </c>
      <c r="P532" s="5">
        <v>16791.0</v>
      </c>
      <c r="Q532" s="5">
        <v>40.0</v>
      </c>
      <c r="R532" s="5">
        <v>11402.0</v>
      </c>
      <c r="S532" s="5">
        <v>14231.0</v>
      </c>
      <c r="T532" s="5">
        <v>3.0</v>
      </c>
      <c r="U532" s="9">
        <v>1522.512272</v>
      </c>
    </row>
    <row r="533">
      <c r="A533" s="4" t="s">
        <v>1534</v>
      </c>
      <c r="B533" s="4" t="str">
        <f>IFERROR(__xludf.DUMMYFUNCTION("SPLIT(A533,""&gt;"")"),"Online Behavior")</f>
        <v>Online Behavior</v>
      </c>
      <c r="C533" s="4" t="str">
        <f>IFERROR(__xludf.DUMMYFUNCTION("""COMPUTED_VALUE"""),"United States")</f>
        <v>United States</v>
      </c>
      <c r="D533" s="4" t="str">
        <f>IFERROR(__xludf.DUMMYFUNCTION("""COMPUTED_VALUE"""),"Sports")</f>
        <v>Sports</v>
      </c>
      <c r="E533" s="4" t="str">
        <f>IFERROR(__xludf.DUMMYFUNCTION("""COMPUTED_VALUE"""),"Team Sports ")</f>
        <v>Team Sports </v>
      </c>
      <c r="F533" s="4" t="str">
        <f>IFERROR(__xludf.DUMMYFUNCTION("""COMPUTED_VALUE""")," Baseball")</f>
        <v> Baseball</v>
      </c>
      <c r="G533" s="4"/>
      <c r="H533" s="4"/>
      <c r="I533" s="4"/>
      <c r="J533" s="5" t="s">
        <v>22</v>
      </c>
      <c r="K533" s="5" t="s">
        <v>31</v>
      </c>
      <c r="L533" s="5" t="s">
        <v>78</v>
      </c>
      <c r="M533" s="6" t="s">
        <v>781</v>
      </c>
      <c r="N533" s="5" t="s">
        <v>136</v>
      </c>
      <c r="O533" s="5" t="s">
        <v>27</v>
      </c>
      <c r="P533" s="5">
        <v>19334.0</v>
      </c>
      <c r="Q533" s="5">
        <v>40.0</v>
      </c>
      <c r="R533" s="5">
        <v>8673.0</v>
      </c>
      <c r="S533" s="5">
        <v>18578.0</v>
      </c>
      <c r="T533" s="5">
        <v>11.0</v>
      </c>
      <c r="U533" s="9">
        <v>7292.135059</v>
      </c>
    </row>
    <row r="534">
      <c r="A534" s="4" t="s">
        <v>1535</v>
      </c>
      <c r="B534" s="4" t="str">
        <f>IFERROR(__xludf.DUMMYFUNCTION("SPLIT(A534,""&gt;"")"),"Online Behavior")</f>
        <v>Online Behavior</v>
      </c>
      <c r="C534" s="4" t="str">
        <f>IFERROR(__xludf.DUMMYFUNCTION("""COMPUTED_VALUE"""),"United States")</f>
        <v>United States</v>
      </c>
      <c r="D534" s="4" t="str">
        <f>IFERROR(__xludf.DUMMYFUNCTION("""COMPUTED_VALUE"""),"Beauty and Fitness")</f>
        <v>Beauty and Fitness</v>
      </c>
      <c r="E534" s="4" t="str">
        <f>IFERROR(__xludf.DUMMYFUNCTION("""COMPUTED_VALUE"""),"Fitness ")</f>
        <v>Fitness </v>
      </c>
      <c r="F534" s="4" t="str">
        <f>IFERROR(__xludf.DUMMYFUNCTION("""COMPUTED_VALUE""")," Gyms and Health Clubs")</f>
        <v> Gyms and Health Clubs</v>
      </c>
      <c r="G534" s="4"/>
      <c r="H534" s="4"/>
      <c r="I534" s="4"/>
      <c r="J534" s="5" t="s">
        <v>22</v>
      </c>
      <c r="K534" s="5" t="s">
        <v>23</v>
      </c>
      <c r="L534" s="5" t="s">
        <v>78</v>
      </c>
      <c r="M534" s="6" t="s">
        <v>781</v>
      </c>
      <c r="N534" s="5" t="s">
        <v>19</v>
      </c>
      <c r="O534" s="5" t="s">
        <v>27</v>
      </c>
      <c r="P534" s="5">
        <v>25835.0</v>
      </c>
      <c r="Q534" s="5">
        <v>69.0</v>
      </c>
      <c r="R534" s="5">
        <v>3753.0</v>
      </c>
      <c r="S534" s="5">
        <v>20808.0</v>
      </c>
      <c r="T534" s="5">
        <v>11.0</v>
      </c>
      <c r="U534" s="9">
        <v>5751.912297</v>
      </c>
    </row>
    <row r="535" hidden="1">
      <c r="A535" s="4" t="s">
        <v>1536</v>
      </c>
      <c r="B535" s="4" t="str">
        <f>IFERROR(__xludf.DUMMYFUNCTION("SPLIT(A535,""&gt;"")"),"United States ")</f>
        <v>United States </v>
      </c>
      <c r="C535" s="4" t="str">
        <f>IFERROR(__xludf.DUMMYFUNCTION("""COMPUTED_VALUE""")," Reach ")</f>
        <v> Reach </v>
      </c>
      <c r="D535" s="4" t="str">
        <f>IFERROR(__xludf.DUMMYFUNCTION("""COMPUTED_VALUE""")," Propensity Models ")</f>
        <v> Propensity Models </v>
      </c>
      <c r="E535" s="4" t="str">
        <f>IFERROR(__xludf.DUMMYFUNCTION("""COMPUTED_VALUE""")," Hobbies and Interest ")</f>
        <v> Hobbies and Interest </v>
      </c>
      <c r="F535" s="4" t="str">
        <f>IFERROR(__xludf.DUMMYFUNCTION("""COMPUTED_VALUE""")," Sports ")</f>
        <v> Sports </v>
      </c>
      <c r="G535" s="4" t="str">
        <f>IFERROR(__xludf.DUMMYFUNCTION("""COMPUTED_VALUE""")," Plays Tennis")</f>
        <v> Plays Tennis</v>
      </c>
      <c r="H535" s="4"/>
      <c r="I535" s="4"/>
      <c r="J535" s="5" t="s">
        <v>15</v>
      </c>
      <c r="K535" s="5" t="s">
        <v>31</v>
      </c>
      <c r="L535" s="5" t="s">
        <v>78</v>
      </c>
      <c r="M535" s="6" t="s">
        <v>781</v>
      </c>
      <c r="N535" s="5" t="s">
        <v>19</v>
      </c>
      <c r="O535" s="5" t="s">
        <v>52</v>
      </c>
      <c r="P535" s="5">
        <v>33650.0</v>
      </c>
      <c r="Q535" s="5">
        <v>100.0</v>
      </c>
      <c r="R535" s="5">
        <v>15621.0</v>
      </c>
      <c r="S535" s="5">
        <v>32539.0</v>
      </c>
      <c r="T535" s="5">
        <v>9.0</v>
      </c>
      <c r="U535" s="9">
        <v>3844.991165</v>
      </c>
    </row>
    <row r="536">
      <c r="A536" s="4" t="s">
        <v>1537</v>
      </c>
      <c r="B536" s="4" t="str">
        <f>IFERROR(__xludf.DUMMYFUNCTION("SPLIT(A536,""&gt;"")"),"Lotame ")</f>
        <v>Lotame </v>
      </c>
      <c r="C536" s="4" t="str">
        <f>IFERROR(__xludf.DUMMYFUNCTION("""COMPUTED_VALUE""")," Style, Fashion &amp; Clothing")</f>
        <v> Style, Fashion &amp; Clothing</v>
      </c>
      <c r="D536" s="4"/>
      <c r="E536" s="4"/>
      <c r="F536" s="4"/>
      <c r="G536" s="4"/>
      <c r="H536" s="4"/>
      <c r="I536" s="4"/>
      <c r="J536" s="5" t="s">
        <v>22</v>
      </c>
      <c r="K536" s="5" t="s">
        <v>16</v>
      </c>
      <c r="L536" s="5" t="s">
        <v>147</v>
      </c>
      <c r="M536" s="6" t="s">
        <v>785</v>
      </c>
      <c r="N536" s="5" t="s">
        <v>19</v>
      </c>
      <c r="O536" s="5" t="s">
        <v>27</v>
      </c>
      <c r="P536" s="5">
        <v>13168.0</v>
      </c>
      <c r="Q536" s="5">
        <v>84.0</v>
      </c>
      <c r="R536" s="5">
        <v>8527.0</v>
      </c>
      <c r="S536" s="5">
        <v>12625.0</v>
      </c>
      <c r="T536" s="5">
        <v>4.0</v>
      </c>
      <c r="U536" s="9">
        <v>1639.72335</v>
      </c>
    </row>
    <row r="537" hidden="1">
      <c r="A537" s="4" t="s">
        <v>1538</v>
      </c>
      <c r="B537" s="4" t="str">
        <f>IFERROR(__xludf.DUMMYFUNCTION("SPLIT(A537,""&gt;"")"),"Online Behavior")</f>
        <v>Online Behavior</v>
      </c>
      <c r="C537" s="4" t="str">
        <f>IFERROR(__xludf.DUMMYFUNCTION("""COMPUTED_VALUE"""),"United States")</f>
        <v>United States</v>
      </c>
      <c r="D537" s="4" t="str">
        <f>IFERROR(__xludf.DUMMYFUNCTION("""COMPUTED_VALUE"""),"Intent ")</f>
        <v>Intent </v>
      </c>
      <c r="E537" s="4" t="str">
        <f>IFERROR(__xludf.DUMMYFUNCTION("""COMPUTED_VALUE""")," Travel")</f>
        <v> Travel</v>
      </c>
      <c r="F537" s="4" t="str">
        <f>IFERROR(__xludf.DUMMYFUNCTION("""COMPUTED_VALUE"""),"Graduation Trip")</f>
        <v>Graduation Trip</v>
      </c>
      <c r="G537" s="4"/>
      <c r="H537" s="4"/>
      <c r="I537" s="4"/>
      <c r="J537" s="5" t="s">
        <v>15</v>
      </c>
      <c r="K537" s="5" t="s">
        <v>16</v>
      </c>
      <c r="L537" s="5" t="s">
        <v>35</v>
      </c>
      <c r="M537" s="6" t="s">
        <v>787</v>
      </c>
      <c r="N537" s="5" t="s">
        <v>19</v>
      </c>
      <c r="O537" s="5" t="s">
        <v>52</v>
      </c>
      <c r="P537" s="5">
        <v>26415.0</v>
      </c>
      <c r="Q537" s="5">
        <v>60.0</v>
      </c>
      <c r="R537" s="5">
        <v>13791.0</v>
      </c>
      <c r="S537" s="5">
        <v>25315.0</v>
      </c>
      <c r="T537" s="5">
        <v>11.0</v>
      </c>
      <c r="U537" s="9">
        <v>6450.918637</v>
      </c>
    </row>
    <row r="538">
      <c r="A538" s="4" t="s">
        <v>1539</v>
      </c>
      <c r="B538" s="4" t="str">
        <f>IFERROR(__xludf.DUMMYFUNCTION("SPLIT(A538,""&gt;"")"),"Lotame ")</f>
        <v>Lotame </v>
      </c>
      <c r="C538" s="4" t="str">
        <f>IFERROR(__xludf.DUMMYFUNCTION("""COMPUTED_VALUE""")," Online Shoppers ")</f>
        <v> Online Shoppers </v>
      </c>
      <c r="D538" s="4" t="str">
        <f>IFERROR(__xludf.DUMMYFUNCTION("""COMPUTED_VALUE""")," Online Shoppers")</f>
        <v> Online Shoppers</v>
      </c>
      <c r="E538" s="4"/>
      <c r="F538" s="4"/>
      <c r="G538" s="4"/>
      <c r="H538" s="4"/>
      <c r="I538" s="4"/>
      <c r="J538" s="5" t="s">
        <v>15</v>
      </c>
      <c r="K538" s="5" t="s">
        <v>23</v>
      </c>
      <c r="L538" s="5" t="s">
        <v>32</v>
      </c>
      <c r="M538" s="6" t="s">
        <v>789</v>
      </c>
      <c r="N538" s="5" t="s">
        <v>46</v>
      </c>
      <c r="O538" s="5" t="s">
        <v>27</v>
      </c>
      <c r="P538" s="5">
        <v>13347.0</v>
      </c>
      <c r="Q538" s="5">
        <v>80.0</v>
      </c>
      <c r="R538" s="5">
        <v>8357.0</v>
      </c>
      <c r="S538" s="5">
        <v>11461.0</v>
      </c>
      <c r="T538" s="5">
        <v>10.0</v>
      </c>
      <c r="U538" s="9">
        <v>1543.66142</v>
      </c>
    </row>
    <row r="539">
      <c r="A539" s="4" t="s">
        <v>1540</v>
      </c>
      <c r="B539" s="4" t="str">
        <f>IFERROR(__xludf.DUMMYFUNCTION("SPLIT(A539,""&gt;"")"),"United States ")</f>
        <v>United States </v>
      </c>
      <c r="C539" s="4" t="str">
        <f>IFERROR(__xludf.DUMMYFUNCTION("""COMPUTED_VALUE""")," Reach ")</f>
        <v> Reach </v>
      </c>
      <c r="D539" s="4" t="str">
        <f>IFERROR(__xludf.DUMMYFUNCTION("""COMPUTED_VALUE""")," Propensity Models ")</f>
        <v> Propensity Models </v>
      </c>
      <c r="E539" s="4" t="str">
        <f>IFERROR(__xludf.DUMMYFUNCTION("""COMPUTED_VALUE""")," Young Adult Clothing Shoppers")</f>
        <v> Young Adult Clothing Shoppers</v>
      </c>
      <c r="F539" s="4"/>
      <c r="G539" s="4"/>
      <c r="H539" s="4"/>
      <c r="I539" s="4"/>
      <c r="J539" s="5" t="s">
        <v>22</v>
      </c>
      <c r="K539" s="5" t="s">
        <v>31</v>
      </c>
      <c r="L539" s="5" t="s">
        <v>78</v>
      </c>
      <c r="M539" s="6" t="s">
        <v>791</v>
      </c>
      <c r="N539" s="5" t="s">
        <v>48</v>
      </c>
      <c r="O539" s="5" t="s">
        <v>27</v>
      </c>
      <c r="P539" s="5">
        <v>20885.0</v>
      </c>
      <c r="Q539" s="5">
        <v>99.0</v>
      </c>
      <c r="R539" s="5">
        <v>9901.0</v>
      </c>
      <c r="S539" s="5">
        <v>16266.0</v>
      </c>
      <c r="T539" s="5">
        <v>15.0</v>
      </c>
      <c r="U539" s="9">
        <v>2496.785436</v>
      </c>
    </row>
    <row r="540">
      <c r="A540" s="4" t="s">
        <v>792</v>
      </c>
      <c r="B540" s="4" t="str">
        <f>IFERROR(__xludf.DUMMYFUNCTION("SPLIT(A540,""&gt;"")"),"Purchase-Based")</f>
        <v>Purchase-Based</v>
      </c>
      <c r="C540" s="4"/>
      <c r="D540" s="4"/>
      <c r="E540" s="4"/>
      <c r="F540" s="4"/>
      <c r="G540" s="4"/>
      <c r="H540" s="4"/>
      <c r="I540" s="4"/>
      <c r="J540" s="5" t="s">
        <v>15</v>
      </c>
      <c r="K540" s="5" t="s">
        <v>42</v>
      </c>
      <c r="L540" s="5" t="s">
        <v>35</v>
      </c>
      <c r="M540" s="6" t="s">
        <v>793</v>
      </c>
      <c r="N540" s="5" t="s">
        <v>117</v>
      </c>
      <c r="O540" s="5" t="s">
        <v>27</v>
      </c>
      <c r="P540" s="5">
        <v>11289.0</v>
      </c>
      <c r="Q540" s="5">
        <v>97.0</v>
      </c>
      <c r="R540" s="5">
        <v>1345.0</v>
      </c>
      <c r="S540" s="5">
        <v>8187.0</v>
      </c>
      <c r="T540" s="5">
        <v>3.0</v>
      </c>
      <c r="U540" s="9">
        <v>1665.160445</v>
      </c>
    </row>
    <row r="541">
      <c r="A541" s="4" t="s">
        <v>1541</v>
      </c>
      <c r="B541" s="4" t="str">
        <f>IFERROR(__xludf.DUMMYFUNCTION("SPLIT(A541,""&gt;"")"),"United States ")</f>
        <v>United States </v>
      </c>
      <c r="C541" s="4" t="str">
        <f>IFERROR(__xludf.DUMMYFUNCTION("""COMPUTED_VALUE""")," Reach ")</f>
        <v> Reach </v>
      </c>
      <c r="D541" s="4" t="str">
        <f>IFERROR(__xludf.DUMMYFUNCTION("""COMPUTED_VALUE""")," Propensity Models ")</f>
        <v> Propensity Models </v>
      </c>
      <c r="E541" s="4" t="str">
        <f>IFERROR(__xludf.DUMMYFUNCTION("""COMPUTED_VALUE""")," Online ")</f>
        <v> Online </v>
      </c>
      <c r="F541" s="4" t="str">
        <f>IFERROR(__xludf.DUMMYFUNCTION("""COMPUTED_VALUE""")," Electronics and Gadgets")</f>
        <v> Electronics and Gadgets</v>
      </c>
      <c r="G541" s="4"/>
      <c r="H541" s="4"/>
      <c r="I541" s="4"/>
      <c r="J541" s="5" t="s">
        <v>15</v>
      </c>
      <c r="K541" s="5" t="s">
        <v>31</v>
      </c>
      <c r="L541" s="5" t="s">
        <v>24</v>
      </c>
      <c r="M541" s="6" t="s">
        <v>795</v>
      </c>
      <c r="N541" s="5" t="s">
        <v>36</v>
      </c>
      <c r="O541" s="5" t="s">
        <v>27</v>
      </c>
      <c r="P541" s="5">
        <v>10389.0</v>
      </c>
      <c r="Q541" s="5">
        <v>55.0</v>
      </c>
      <c r="R541" s="5">
        <v>8161.0</v>
      </c>
      <c r="S541" s="5">
        <v>9951.0</v>
      </c>
      <c r="T541" s="5">
        <v>2.0</v>
      </c>
      <c r="U541" s="9">
        <v>2582.493847</v>
      </c>
    </row>
    <row r="542" hidden="1">
      <c r="A542" s="4" t="s">
        <v>1542</v>
      </c>
      <c r="B542" s="4" t="str">
        <f>IFERROR(__xludf.DUMMYFUNCTION("SPLIT(A542,""&gt;"")"),"United States ")</f>
        <v>United States </v>
      </c>
      <c r="C542" s="4" t="str">
        <f>IFERROR(__xludf.DUMMYFUNCTION("""COMPUTED_VALUE""")," Interest Propensities ")</f>
        <v> Interest Propensities </v>
      </c>
      <c r="D542" s="4" t="str">
        <f>IFERROR(__xludf.DUMMYFUNCTION("""COMPUTED_VALUE""")," MUnited Statesic ")</f>
        <v> MUnited Statesic </v>
      </c>
      <c r="E542" s="4" t="str">
        <f>IFERROR(__xludf.DUMMYFUNCTION("""COMPUTED_VALUE""")," Classic Rock")</f>
        <v> Classic Rock</v>
      </c>
      <c r="F542" s="4"/>
      <c r="G542" s="4"/>
      <c r="H542" s="4"/>
      <c r="I542" s="4"/>
      <c r="J542" s="5" t="s">
        <v>15</v>
      </c>
      <c r="K542" s="5" t="s">
        <v>42</v>
      </c>
      <c r="L542" s="5" t="s">
        <v>35</v>
      </c>
      <c r="M542" s="6" t="s">
        <v>795</v>
      </c>
      <c r="N542" s="5" t="s">
        <v>19</v>
      </c>
      <c r="O542" s="5" t="s">
        <v>52</v>
      </c>
      <c r="P542" s="5">
        <v>62040.0</v>
      </c>
      <c r="Q542" s="5">
        <v>174.0</v>
      </c>
      <c r="R542" s="5">
        <v>43853.0</v>
      </c>
      <c r="S542" s="5">
        <v>58642.0</v>
      </c>
      <c r="T542" s="5">
        <v>15.0</v>
      </c>
      <c r="U542" s="9">
        <v>2139.065793</v>
      </c>
    </row>
    <row r="543">
      <c r="A543" s="4" t="s">
        <v>1543</v>
      </c>
      <c r="B543" s="4" t="str">
        <f>IFERROR(__xludf.DUMMYFUNCTION("SPLIT(A543,""&gt;"")"),"OnAudience ")</f>
        <v>OnAudience </v>
      </c>
      <c r="C543" s="4" t="str">
        <f>IFERROR(__xludf.DUMMYFUNCTION("""COMPUTED_VALUE""")," Interest ")</f>
        <v> Interest </v>
      </c>
      <c r="D543" s="4" t="str">
        <f>IFERROR(__xludf.DUMMYFUNCTION("""COMPUTED_VALUE""")," Social life")</f>
        <v> Social life</v>
      </c>
      <c r="E543" s="4"/>
      <c r="F543" s="4"/>
      <c r="G543" s="4"/>
      <c r="H543" s="4"/>
      <c r="I543" s="4"/>
      <c r="J543" s="5" t="s">
        <v>15</v>
      </c>
      <c r="K543" s="5" t="s">
        <v>42</v>
      </c>
      <c r="L543" s="5" t="s">
        <v>78</v>
      </c>
      <c r="M543" s="6" t="s">
        <v>795</v>
      </c>
      <c r="N543" s="5" t="s">
        <v>46</v>
      </c>
      <c r="O543" s="5" t="s">
        <v>27</v>
      </c>
      <c r="P543" s="5">
        <v>83537.0</v>
      </c>
      <c r="Q543" s="5">
        <v>222.0</v>
      </c>
      <c r="R543" s="5">
        <v>67987.0</v>
      </c>
      <c r="S543" s="5">
        <v>79409.0</v>
      </c>
      <c r="T543" s="5">
        <v>4.0</v>
      </c>
      <c r="U543" s="9">
        <v>1761.079323</v>
      </c>
    </row>
    <row r="544">
      <c r="A544" s="4" t="s">
        <v>1544</v>
      </c>
      <c r="B544" s="4" t="str">
        <f>IFERROR(__xludf.DUMMYFUNCTION("SPLIT(A544,""&gt;"")"),"United States Travel ")</f>
        <v>United States Travel </v>
      </c>
      <c r="C544" s="4" t="str">
        <f>IFERROR(__xludf.DUMMYFUNCTION("""COMPUTED_VALUE""")," Likely BUnited Statesiness Travel ")</f>
        <v> Likely BUnited Statesiness Travel </v>
      </c>
      <c r="D544" s="4" t="str">
        <f>IFERROR(__xludf.DUMMYFUNCTION("""COMPUTED_VALUE""")," Number of Nights Stayed ")</f>
        <v> Number of Nights Stayed </v>
      </c>
      <c r="E544" s="4" t="str">
        <f>IFERROR(__xludf.DUMMYFUNCTION("""COMPUTED_VALUE""")," 0 Nights")</f>
        <v> 0 Nights</v>
      </c>
      <c r="F544" s="4"/>
      <c r="G544" s="4"/>
      <c r="H544" s="4"/>
      <c r="I544" s="4"/>
      <c r="J544" s="5" t="s">
        <v>61</v>
      </c>
      <c r="K544" s="5" t="s">
        <v>23</v>
      </c>
      <c r="L544" s="5" t="s">
        <v>45</v>
      </c>
      <c r="M544" s="6" t="s">
        <v>795</v>
      </c>
      <c r="N544" s="5" t="s">
        <v>19</v>
      </c>
      <c r="O544" s="5" t="s">
        <v>27</v>
      </c>
      <c r="P544" s="5">
        <v>81054.0</v>
      </c>
      <c r="Q544" s="5">
        <v>265.0</v>
      </c>
      <c r="R544" s="5">
        <v>56762.0</v>
      </c>
      <c r="S544" s="5">
        <v>76198.0</v>
      </c>
      <c r="T544" s="5">
        <v>16.0</v>
      </c>
      <c r="U544" s="9">
        <v>1532.357841</v>
      </c>
    </row>
    <row r="545" hidden="1">
      <c r="A545" s="4" t="s">
        <v>1545</v>
      </c>
      <c r="B545" s="4" t="str">
        <f>IFERROR(__xludf.DUMMYFUNCTION("SPLIT(A545,""&gt;"")"),"United States ")</f>
        <v>United States </v>
      </c>
      <c r="C545" s="4" t="str">
        <f>IFERROR(__xludf.DUMMYFUNCTION("""COMPUTED_VALUE"""),"Price-Driven Traditionalist Audience")</f>
        <v>Price-Driven Traditionalist Audience</v>
      </c>
      <c r="D545" s="4"/>
      <c r="E545" s="4"/>
      <c r="F545" s="4"/>
      <c r="G545" s="4"/>
      <c r="H545" s="4"/>
      <c r="I545" s="4"/>
      <c r="J545" s="5" t="s">
        <v>15</v>
      </c>
      <c r="K545" s="5" t="s">
        <v>42</v>
      </c>
      <c r="L545" s="5" t="s">
        <v>173</v>
      </c>
      <c r="M545" s="6" t="s">
        <v>795</v>
      </c>
      <c r="N545" s="5" t="s">
        <v>191</v>
      </c>
      <c r="O545" s="5" t="s">
        <v>52</v>
      </c>
      <c r="P545" s="5">
        <v>35043.0</v>
      </c>
      <c r="Q545" s="5">
        <v>140.0</v>
      </c>
      <c r="R545" s="5">
        <v>20942.0</v>
      </c>
      <c r="S545" s="5">
        <v>33479.0</v>
      </c>
      <c r="T545" s="5">
        <v>24.0</v>
      </c>
      <c r="U545" s="9">
        <v>1527.97628</v>
      </c>
    </row>
    <row r="546">
      <c r="A546" s="4" t="s">
        <v>1546</v>
      </c>
      <c r="B546" s="4" t="str">
        <f>IFERROR(__xludf.DUMMYFUNCTION("SPLIT(A546,""&gt;"")"),"Online Behavior")</f>
        <v>Online Behavior</v>
      </c>
      <c r="C546" s="4" t="str">
        <f>IFERROR(__xludf.DUMMYFUNCTION("""COMPUTED_VALUE"""),"United States")</f>
        <v>United States</v>
      </c>
      <c r="D546" s="4" t="str">
        <f>IFERROR(__xludf.DUMMYFUNCTION("""COMPUTED_VALUE"""),"Intent ")</f>
        <v>Intent </v>
      </c>
      <c r="E546" s="4" t="str">
        <f>IFERROR(__xludf.DUMMYFUNCTION("""COMPUTED_VALUE""")," Travel")</f>
        <v> Travel</v>
      </c>
      <c r="F546" s="4" t="str">
        <f>IFERROR(__xludf.DUMMYFUNCTION("""COMPUTED_VALUE"""),"Luxury Travel")</f>
        <v>Luxury Travel</v>
      </c>
      <c r="G546" s="4"/>
      <c r="H546" s="4"/>
      <c r="I546" s="4"/>
      <c r="J546" s="5" t="s">
        <v>22</v>
      </c>
      <c r="K546" s="5" t="s">
        <v>23</v>
      </c>
      <c r="L546" s="5" t="s">
        <v>181</v>
      </c>
      <c r="M546" s="6" t="s">
        <v>801</v>
      </c>
      <c r="N546" s="5" t="s">
        <v>19</v>
      </c>
      <c r="O546" s="5" t="s">
        <v>27</v>
      </c>
      <c r="P546" s="5">
        <v>14509.0</v>
      </c>
      <c r="Q546" s="5">
        <v>90.0</v>
      </c>
      <c r="R546" s="5">
        <v>866.0</v>
      </c>
      <c r="S546" s="5">
        <v>13268.0</v>
      </c>
      <c r="T546" s="5">
        <v>8.0</v>
      </c>
      <c r="U546" s="9">
        <v>5521.18913</v>
      </c>
    </row>
    <row r="547" hidden="1">
      <c r="A547" s="4" t="s">
        <v>1547</v>
      </c>
      <c r="B547" s="4" t="str">
        <f>IFERROR(__xludf.DUMMYFUNCTION("SPLIT(A547,""&gt;"")"),"Media and Entertainment ")</f>
        <v>Media and Entertainment </v>
      </c>
      <c r="C547" s="4" t="str">
        <f>IFERROR(__xludf.DUMMYFUNCTION("""COMPUTED_VALUE""")," Television (TV) ")</f>
        <v> Television (TV) </v>
      </c>
      <c r="D547" s="4" t="str">
        <f>IFERROR(__xludf.DUMMYFUNCTION("""COMPUTED_VALUE""")," Viewership ")</f>
        <v> Viewership </v>
      </c>
      <c r="E547" s="4" t="str">
        <f>IFERROR(__xludf.DUMMYFUNCTION("""COMPUTED_VALUE""")," TV Genres ")</f>
        <v> TV Genres </v>
      </c>
      <c r="F547" s="4" t="str">
        <f>IFERROR(__xludf.DUMMYFUNCTION("""COMPUTED_VALUE""")," Drama")</f>
        <v> Drama</v>
      </c>
      <c r="G547" s="4"/>
      <c r="H547" s="4"/>
      <c r="I547" s="4"/>
      <c r="J547" s="5" t="s">
        <v>15</v>
      </c>
      <c r="K547" s="5" t="s">
        <v>23</v>
      </c>
      <c r="L547" s="5" t="s">
        <v>24</v>
      </c>
      <c r="M547" s="6" t="s">
        <v>803</v>
      </c>
      <c r="N547" s="5" t="s">
        <v>48</v>
      </c>
      <c r="O547" s="5" t="s">
        <v>52</v>
      </c>
      <c r="P547" s="5">
        <v>16325.0</v>
      </c>
      <c r="Q547" s="5">
        <v>78.0</v>
      </c>
      <c r="R547" s="5">
        <v>9558.0</v>
      </c>
      <c r="S547" s="5">
        <v>15426.0</v>
      </c>
      <c r="T547" s="5">
        <v>21.0</v>
      </c>
      <c r="U547" s="9">
        <v>1814.098581</v>
      </c>
    </row>
    <row r="548">
      <c r="A548" s="4" t="s">
        <v>1548</v>
      </c>
      <c r="B548" s="4" t="str">
        <f>IFERROR(__xludf.DUMMYFUNCTION("SPLIT(A548,""&gt;"")"),"United States ")</f>
        <v>United States </v>
      </c>
      <c r="C548" s="4" t="str">
        <f>IFERROR(__xludf.DUMMYFUNCTION("""COMPUTED_VALUE""")," Sociodemographic ")</f>
        <v> Sociodemographic </v>
      </c>
      <c r="D548" s="4" t="str">
        <f>IFERROR(__xludf.DUMMYFUNCTION("""COMPUTED_VALUE""")," ConneXions Lifestage ")</f>
        <v> ConneXions Lifestage </v>
      </c>
      <c r="E548" s="4" t="str">
        <f>IFERROR(__xludf.DUMMYFUNCTION("""COMPUTED_VALUE""")," Y2 Emerging Techies")</f>
        <v> Y2 Emerging Techies</v>
      </c>
      <c r="F548" s="4"/>
      <c r="G548" s="4"/>
      <c r="H548" s="4"/>
      <c r="I548" s="4"/>
      <c r="J548" s="5" t="s">
        <v>15</v>
      </c>
      <c r="K548" s="5" t="s">
        <v>23</v>
      </c>
      <c r="L548" s="5" t="s">
        <v>183</v>
      </c>
      <c r="M548" s="6" t="s">
        <v>805</v>
      </c>
      <c r="N548" s="5" t="s">
        <v>19</v>
      </c>
      <c r="O548" s="5" t="s">
        <v>27</v>
      </c>
      <c r="P548" s="5">
        <v>10485.0</v>
      </c>
      <c r="Q548" s="5">
        <v>84.0</v>
      </c>
      <c r="R548" s="5">
        <v>4255.0</v>
      </c>
      <c r="S548" s="5">
        <v>7669.0</v>
      </c>
      <c r="T548" s="5">
        <v>2.0</v>
      </c>
      <c r="U548" s="9">
        <v>2239.262819</v>
      </c>
    </row>
    <row r="549">
      <c r="A549" s="4" t="s">
        <v>1549</v>
      </c>
      <c r="B549" s="4" t="str">
        <f>IFERROR(__xludf.DUMMYFUNCTION("SPLIT(A549,""&gt;"")"),"United States ")</f>
        <v>United States </v>
      </c>
      <c r="C549" s="4" t="str">
        <f>IFERROR(__xludf.DUMMYFUNCTION("""COMPUTED_VALUE""")," Automotive ")</f>
        <v> Automotive </v>
      </c>
      <c r="D549" s="4" t="str">
        <f>IFERROR(__xludf.DUMMYFUNCTION("""COMPUTED_VALUE""")," Auto Loyalists and Defectors ")</f>
        <v> Auto Loyalists and Defectors </v>
      </c>
      <c r="E549" s="4" t="str">
        <f>IFERROR(__xludf.DUMMYFUNCTION("""COMPUTED_VALUE""")," Auto Make Defectors")</f>
        <v> Auto Make Defectors</v>
      </c>
      <c r="F549" s="4"/>
      <c r="G549" s="4"/>
      <c r="H549" s="4"/>
      <c r="I549" s="4"/>
      <c r="J549" s="5" t="s">
        <v>22</v>
      </c>
      <c r="K549" s="5" t="s">
        <v>16</v>
      </c>
      <c r="L549" s="5" t="s">
        <v>17</v>
      </c>
      <c r="M549" s="6" t="s">
        <v>807</v>
      </c>
      <c r="N549" s="5" t="s">
        <v>161</v>
      </c>
      <c r="O549" s="5" t="s">
        <v>27</v>
      </c>
      <c r="P549" s="5">
        <v>11561.0</v>
      </c>
      <c r="Q549" s="5">
        <v>87.0</v>
      </c>
      <c r="R549" s="5">
        <v>4063.0</v>
      </c>
      <c r="S549" s="5">
        <v>9941.0</v>
      </c>
      <c r="T549" s="5">
        <v>5.0</v>
      </c>
      <c r="U549" s="9">
        <v>1911.931953</v>
      </c>
    </row>
    <row r="550">
      <c r="A550" s="4" t="s">
        <v>808</v>
      </c>
      <c r="B550" s="4" t="str">
        <f>IFERROR(__xludf.DUMMYFUNCTION("SPLIT(A550,""&gt;"")"),"Online Behavior")</f>
        <v>Online Behavior</v>
      </c>
      <c r="C550" s="4" t="str">
        <f>IFERROR(__xludf.DUMMYFUNCTION("""COMPUTED_VALUE"""),"United States")</f>
        <v>United States</v>
      </c>
      <c r="D550" s="4" t="str">
        <f>IFERROR(__xludf.DUMMYFUNCTION("""COMPUTED_VALUE"""),"Online Communities")</f>
        <v>Online Communities</v>
      </c>
      <c r="E550" s="4" t="str">
        <f>IFERROR(__xludf.DUMMYFUNCTION("""COMPUTED_VALUE"""),"Blogging Resources and Services")</f>
        <v>Blogging Resources and Services</v>
      </c>
      <c r="F550" s="4"/>
      <c r="G550" s="4"/>
      <c r="H550" s="4"/>
      <c r="I550" s="4"/>
      <c r="J550" s="5" t="s">
        <v>22</v>
      </c>
      <c r="K550" s="5" t="s">
        <v>31</v>
      </c>
      <c r="L550" s="5" t="s">
        <v>84</v>
      </c>
      <c r="M550" s="6" t="s">
        <v>809</v>
      </c>
      <c r="N550" s="5" t="s">
        <v>50</v>
      </c>
      <c r="O550" s="5" t="s">
        <v>27</v>
      </c>
      <c r="P550" s="5">
        <v>18136.0</v>
      </c>
      <c r="Q550" s="5">
        <v>69.0</v>
      </c>
      <c r="R550" s="5">
        <v>10842.0</v>
      </c>
      <c r="S550" s="5">
        <v>14953.0</v>
      </c>
      <c r="T550" s="5">
        <v>9.0</v>
      </c>
      <c r="U550" s="9">
        <v>6860.359597</v>
      </c>
    </row>
    <row r="551">
      <c r="A551" s="4" t="s">
        <v>1550</v>
      </c>
      <c r="B551" s="4" t="str">
        <f>IFERROR(__xludf.DUMMYFUNCTION("SPLIT(A551,""&gt;"")"),"United States ")</f>
        <v>United States </v>
      </c>
      <c r="C551" s="4" t="str">
        <f>IFERROR(__xludf.DUMMYFUNCTION("""COMPUTED_VALUE""")," Brand Propensities ")</f>
        <v> Brand Propensities </v>
      </c>
      <c r="D551" s="4" t="str">
        <f>IFERROR(__xludf.DUMMYFUNCTION("""COMPUTED_VALUE""")," Electronics ")</f>
        <v> Electronics </v>
      </c>
      <c r="E551" s="4" t="str">
        <f>IFERROR(__xludf.DUMMYFUNCTION("""COMPUTED_VALUE""")," Crutchfield Buyer Propensity")</f>
        <v> Crutchfield Buyer Propensity</v>
      </c>
      <c r="F551" s="4"/>
      <c r="G551" s="4"/>
      <c r="H551" s="4"/>
      <c r="I551" s="4"/>
      <c r="J551" s="5" t="s">
        <v>15</v>
      </c>
      <c r="K551" s="5" t="s">
        <v>23</v>
      </c>
      <c r="L551" s="5" t="s">
        <v>17</v>
      </c>
      <c r="M551" s="6" t="s">
        <v>809</v>
      </c>
      <c r="N551" s="5" t="s">
        <v>161</v>
      </c>
      <c r="O551" s="5" t="s">
        <v>27</v>
      </c>
      <c r="P551" s="5">
        <v>8437.0</v>
      </c>
      <c r="Q551" s="5">
        <v>63.0</v>
      </c>
      <c r="R551" s="5">
        <v>5271.0</v>
      </c>
      <c r="S551" s="5">
        <v>7065.0</v>
      </c>
      <c r="T551" s="5">
        <v>2.0</v>
      </c>
      <c r="U551" s="9">
        <v>1880.533168</v>
      </c>
    </row>
    <row r="552" hidden="1">
      <c r="A552" s="4" t="s">
        <v>1551</v>
      </c>
      <c r="B552" s="4" t="str">
        <f>IFERROR(__xludf.DUMMYFUNCTION("SPLIT(A552,""&gt;"")"),"Online Behavior")</f>
        <v>Online Behavior</v>
      </c>
      <c r="C552" s="4" t="str">
        <f>IFERROR(__xludf.DUMMYFUNCTION("""COMPUTED_VALUE"""),"United States")</f>
        <v>United States</v>
      </c>
      <c r="D552" s="4" t="str">
        <f>IFERROR(__xludf.DUMMYFUNCTION("""COMPUTED_VALUE"""),"Intent ")</f>
        <v>Intent </v>
      </c>
      <c r="E552" s="4" t="str">
        <f>IFERROR(__xludf.DUMMYFUNCTION("""COMPUTED_VALUE""")," Auto Buyers ")</f>
        <v> Auto Buyers </v>
      </c>
      <c r="F552" s="4" t="str">
        <f>IFERROR(__xludf.DUMMYFUNCTION("""COMPUTED_VALUE""")," Car Make")</f>
        <v> Car Make</v>
      </c>
      <c r="G552" s="4" t="str">
        <f>IFERROR(__xludf.DUMMYFUNCTION("""COMPUTED_VALUE"""),"Subaru")</f>
        <v>Subaru</v>
      </c>
      <c r="H552" s="4"/>
      <c r="I552" s="4"/>
      <c r="J552" s="5" t="s">
        <v>15</v>
      </c>
      <c r="K552" s="5" t="s">
        <v>23</v>
      </c>
      <c r="L552" s="5" t="s">
        <v>17</v>
      </c>
      <c r="M552" s="13" t="s">
        <v>1552</v>
      </c>
      <c r="N552" s="5" t="s">
        <v>36</v>
      </c>
      <c r="O552" s="5" t="s">
        <v>20</v>
      </c>
      <c r="P552" s="5">
        <v>7965.0</v>
      </c>
      <c r="Q552" s="5">
        <v>50.0</v>
      </c>
      <c r="R552" s="5">
        <v>5230.0</v>
      </c>
      <c r="S552" s="5">
        <v>6923.0</v>
      </c>
      <c r="T552" s="5">
        <v>10.0</v>
      </c>
      <c r="U552" s="9">
        <v>6298.513929</v>
      </c>
    </row>
    <row r="553">
      <c r="A553" s="4" t="s">
        <v>1553</v>
      </c>
      <c r="B553" s="4" t="str">
        <f>IFERROR(__xludf.DUMMYFUNCTION("SPLIT(A553,""&gt;"")"),"Online Behavior")</f>
        <v>Online Behavior</v>
      </c>
      <c r="C553" s="4" t="str">
        <f>IFERROR(__xludf.DUMMYFUNCTION("""COMPUTED_VALUE"""),"United States")</f>
        <v>United States</v>
      </c>
      <c r="D553" s="4" t="str">
        <f>IFERROR(__xludf.DUMMYFUNCTION("""COMPUTED_VALUE"""),"Finance ")</f>
        <v>Finance </v>
      </c>
      <c r="E553" s="4" t="str">
        <f>IFERROR(__xludf.DUMMYFUNCTION("""COMPUTED_VALUE""")," Grants, Scholarships and Financial Aid")</f>
        <v> Grants, Scholarships and Financial Aid</v>
      </c>
      <c r="F553" s="4" t="str">
        <f>IFERROR(__xludf.DUMMYFUNCTION("""COMPUTED_VALUE"""),"Government Grants")</f>
        <v>Government Grants</v>
      </c>
      <c r="G553" s="4"/>
      <c r="H553" s="4"/>
      <c r="I553" s="4"/>
      <c r="J553" s="5" t="s">
        <v>15</v>
      </c>
      <c r="K553" s="5" t="s">
        <v>16</v>
      </c>
      <c r="L553" s="5" t="s">
        <v>84</v>
      </c>
      <c r="M553" s="13" t="s">
        <v>1552</v>
      </c>
      <c r="N553" s="5" t="s">
        <v>46</v>
      </c>
      <c r="O553" s="5" t="s">
        <v>27</v>
      </c>
      <c r="P553" s="5">
        <v>14350.0</v>
      </c>
      <c r="Q553" s="5">
        <v>60.0</v>
      </c>
      <c r="R553" s="5">
        <v>8228.0</v>
      </c>
      <c r="S553" s="5">
        <v>13396.0</v>
      </c>
      <c r="T553" s="5">
        <v>6.0</v>
      </c>
      <c r="U553" s="9">
        <v>6114.034936</v>
      </c>
    </row>
    <row r="554">
      <c r="A554" s="4" t="s">
        <v>1554</v>
      </c>
      <c r="B554" s="4" t="str">
        <f>IFERROR(__xludf.DUMMYFUNCTION("SPLIT(A554,""&gt;"")"),"Online Behavior")</f>
        <v>Online Behavior</v>
      </c>
      <c r="C554" s="4" t="str">
        <f>IFERROR(__xludf.DUMMYFUNCTION("""COMPUTED_VALUE"""),"United States")</f>
        <v>United States</v>
      </c>
      <c r="D554" s="4" t="str">
        <f>IFERROR(__xludf.DUMMYFUNCTION("""COMPUTED_VALUE"""),"Autos and Vehicles ")</f>
        <v>Autos and Vehicles </v>
      </c>
      <c r="E554" s="4" t="str">
        <f>IFERROR(__xludf.DUMMYFUNCTION("""COMPUTED_VALUE""")," Brands")</f>
        <v> Brands</v>
      </c>
      <c r="F554" s="4" t="str">
        <f>IFERROR(__xludf.DUMMYFUNCTION("""COMPUTED_VALUE"""),"Mini")</f>
        <v>Mini</v>
      </c>
      <c r="G554" s="4"/>
      <c r="H554" s="4"/>
      <c r="I554" s="4"/>
      <c r="J554" s="5" t="s">
        <v>22</v>
      </c>
      <c r="K554" s="5" t="s">
        <v>16</v>
      </c>
      <c r="L554" s="5" t="s">
        <v>131</v>
      </c>
      <c r="M554" s="13" t="s">
        <v>1552</v>
      </c>
      <c r="N554" s="5" t="s">
        <v>26</v>
      </c>
      <c r="O554" s="5" t="s">
        <v>27</v>
      </c>
      <c r="P554" s="5">
        <v>24100.0</v>
      </c>
      <c r="Q554" s="5">
        <v>110.0</v>
      </c>
      <c r="R554" s="5">
        <v>11355.0</v>
      </c>
      <c r="S554" s="5">
        <v>21740.0</v>
      </c>
      <c r="T554" s="5">
        <v>5.0</v>
      </c>
      <c r="U554" s="9">
        <v>5912.260975</v>
      </c>
    </row>
    <row r="555" hidden="1">
      <c r="A555" s="4" t="s">
        <v>1555</v>
      </c>
      <c r="B555" s="4" t="str">
        <f>IFERROR(__xludf.DUMMYFUNCTION("SPLIT(A555,""&gt;"")"),"Online Behavior")</f>
        <v>Online Behavior</v>
      </c>
      <c r="C555" s="4" t="str">
        <f>IFERROR(__xludf.DUMMYFUNCTION("""COMPUTED_VALUE"""),"United States")</f>
        <v>United States</v>
      </c>
      <c r="D555" s="4" t="str">
        <f>IFERROR(__xludf.DUMMYFUNCTION("""COMPUTED_VALUE"""),"Autos and Vehicles ")</f>
        <v>Autos and Vehicles </v>
      </c>
      <c r="E555" s="4" t="str">
        <f>IFERROR(__xludf.DUMMYFUNCTION("""COMPUTED_VALUE""")," Brands")</f>
        <v> Brands</v>
      </c>
      <c r="F555" s="4" t="str">
        <f>IFERROR(__xludf.DUMMYFUNCTION("""COMPUTED_VALUE"""),"Buick")</f>
        <v>Buick</v>
      </c>
      <c r="G555" s="4"/>
      <c r="H555" s="4"/>
      <c r="I555" s="4"/>
      <c r="J555" s="5" t="s">
        <v>15</v>
      </c>
      <c r="K555" s="5" t="s">
        <v>16</v>
      </c>
      <c r="L555" s="5" t="s">
        <v>150</v>
      </c>
      <c r="M555" s="13" t="s">
        <v>1552</v>
      </c>
      <c r="N555" s="5" t="s">
        <v>19</v>
      </c>
      <c r="O555" s="5" t="s">
        <v>20</v>
      </c>
      <c r="P555" s="5">
        <v>21599.0</v>
      </c>
      <c r="Q555" s="5">
        <v>66.0</v>
      </c>
      <c r="R555" s="5">
        <v>13600.0</v>
      </c>
      <c r="S555" s="5">
        <v>20256.0</v>
      </c>
      <c r="T555" s="5">
        <v>9.0</v>
      </c>
      <c r="U555" s="9">
        <v>5551.387415</v>
      </c>
    </row>
    <row r="556" hidden="1">
      <c r="A556" s="4" t="s">
        <v>1556</v>
      </c>
      <c r="B556" s="4" t="str">
        <f>IFERROR(__xludf.DUMMYFUNCTION("SPLIT(A556,""&gt;"")"),"United States Financial ")</f>
        <v>United States Financial </v>
      </c>
      <c r="C556" s="4" t="str">
        <f>IFERROR(__xludf.DUMMYFUNCTION("""COMPUTED_VALUE""")," Likely In Market Timing ")</f>
        <v> Likely In Market Timing </v>
      </c>
      <c r="D556" s="4" t="str">
        <f>IFERROR(__xludf.DUMMYFUNCTION("""COMPUTED_VALUE""")," Not At All Likely to Purchase ")</f>
        <v> Not At All Likely to Purchase </v>
      </c>
      <c r="E556" s="4" t="str">
        <f>IFERROR(__xludf.DUMMYFUNCTION("""COMPUTED_VALUE""")," First Home/Residence In The Next Year (Financial)")</f>
        <v> First Home/Residence In The Next Year (Financial)</v>
      </c>
      <c r="F556" s="4"/>
      <c r="G556" s="4"/>
      <c r="H556" s="4"/>
      <c r="I556" s="4"/>
      <c r="J556" s="5" t="s">
        <v>15</v>
      </c>
      <c r="K556" s="5" t="s">
        <v>23</v>
      </c>
      <c r="L556" s="5" t="s">
        <v>35</v>
      </c>
      <c r="M556" s="13" t="s">
        <v>1552</v>
      </c>
      <c r="N556" s="5" t="s">
        <v>36</v>
      </c>
      <c r="O556" s="5" t="s">
        <v>52</v>
      </c>
      <c r="P556" s="5">
        <v>35335.0</v>
      </c>
      <c r="Q556" s="5">
        <v>120.0</v>
      </c>
      <c r="R556" s="5">
        <v>22566.0</v>
      </c>
      <c r="S556" s="5">
        <v>30685.0</v>
      </c>
      <c r="T556" s="5">
        <v>15.0</v>
      </c>
      <c r="U556" s="9">
        <v>1866.34747</v>
      </c>
    </row>
    <row r="557">
      <c r="A557" s="4" t="s">
        <v>1557</v>
      </c>
      <c r="B557" s="4" t="str">
        <f>IFERROR(__xludf.DUMMYFUNCTION("SPLIT(A557,""&gt;"")"),"Transactional ")</f>
        <v>Transactional </v>
      </c>
      <c r="C557" s="4" t="str">
        <f>IFERROR(__xludf.DUMMYFUNCTION("""COMPUTED_VALUE""")," Q3 Gardening Shoppers")</f>
        <v> Q3 Gardening Shoppers</v>
      </c>
      <c r="D557" s="4"/>
      <c r="E557" s="4"/>
      <c r="F557" s="4"/>
      <c r="G557" s="4"/>
      <c r="H557" s="4"/>
      <c r="I557" s="4"/>
      <c r="J557" s="5" t="s">
        <v>15</v>
      </c>
      <c r="K557" s="5" t="s">
        <v>42</v>
      </c>
      <c r="L557" s="5" t="s">
        <v>29</v>
      </c>
      <c r="M557" s="13" t="s">
        <v>1552</v>
      </c>
      <c r="N557" s="5" t="s">
        <v>19</v>
      </c>
      <c r="O557" s="5" t="s">
        <v>27</v>
      </c>
      <c r="P557" s="5">
        <v>14763.0</v>
      </c>
      <c r="Q557" s="5">
        <v>40.0</v>
      </c>
      <c r="R557" s="5">
        <v>8955.0</v>
      </c>
      <c r="S557" s="5">
        <v>13829.0</v>
      </c>
      <c r="T557" s="5">
        <v>2.0</v>
      </c>
      <c r="U557" s="9">
        <v>1531.926885</v>
      </c>
    </row>
    <row r="558">
      <c r="A558" s="4" t="s">
        <v>1558</v>
      </c>
      <c r="B558" s="4" t="str">
        <f>IFERROR(__xludf.DUMMYFUNCTION("SPLIT(A558,""&gt;"")"),"Online Behavior")</f>
        <v>Online Behavior</v>
      </c>
      <c r="C558" s="4" t="str">
        <f>IFERROR(__xludf.DUMMYFUNCTION("""COMPUTED_VALUE"""),"United States")</f>
        <v>United States</v>
      </c>
      <c r="D558" s="4" t="str">
        <f>IFERROR(__xludf.DUMMYFUNCTION("""COMPUTED_VALUE"""),"Travel")</f>
        <v>Travel</v>
      </c>
      <c r="E558" s="4" t="str">
        <f>IFERROR(__xludf.DUMMYFUNCTION("""COMPUTED_VALUE"""),"Tourist Destinations ")</f>
        <v>Tourist Destinations </v>
      </c>
      <c r="F558" s="4" t="str">
        <f>IFERROR(__xludf.DUMMYFUNCTION("""COMPUTED_VALUE""")," Historical Sites and Buildings")</f>
        <v> Historical Sites and Buildings</v>
      </c>
      <c r="G558" s="4"/>
      <c r="H558" s="4"/>
      <c r="I558" s="4"/>
      <c r="J558" s="5" t="s">
        <v>22</v>
      </c>
      <c r="K558" s="5" t="s">
        <v>42</v>
      </c>
      <c r="L558" s="5" t="s">
        <v>29</v>
      </c>
      <c r="M558" s="6" t="s">
        <v>819</v>
      </c>
      <c r="N558" s="5" t="s">
        <v>117</v>
      </c>
      <c r="O558" s="5" t="s">
        <v>27</v>
      </c>
      <c r="P558" s="5">
        <v>47360.0</v>
      </c>
      <c r="Q558" s="5">
        <v>126.0</v>
      </c>
      <c r="R558" s="5">
        <v>8047.0</v>
      </c>
      <c r="S558" s="5">
        <v>33641.0</v>
      </c>
      <c r="T558" s="5">
        <v>9.0</v>
      </c>
      <c r="U558" s="9">
        <v>6502.274933</v>
      </c>
    </row>
    <row r="559">
      <c r="A559" s="4" t="s">
        <v>820</v>
      </c>
      <c r="B559" s="4" t="str">
        <f>IFERROR(__xludf.DUMMYFUNCTION("SPLIT(A559,""&gt;"")"),"Online Behavior")</f>
        <v>Online Behavior</v>
      </c>
      <c r="C559" s="4" t="str">
        <f>IFERROR(__xludf.DUMMYFUNCTION("""COMPUTED_VALUE"""),"United States")</f>
        <v>United States</v>
      </c>
      <c r="D559" s="4" t="str">
        <f>IFERROR(__xludf.DUMMYFUNCTION("""COMPUTED_VALUE"""),"The Changing Consumer")</f>
        <v>The Changing Consumer</v>
      </c>
      <c r="E559" s="4" t="str">
        <f>IFERROR(__xludf.DUMMYFUNCTION("""COMPUTED_VALUE"""),"Telehealth")</f>
        <v>Telehealth</v>
      </c>
      <c r="F559" s="4"/>
      <c r="G559" s="4"/>
      <c r="H559" s="4"/>
      <c r="I559" s="4"/>
      <c r="J559" s="5" t="s">
        <v>61</v>
      </c>
      <c r="K559" s="5" t="s">
        <v>23</v>
      </c>
      <c r="L559" s="5" t="s">
        <v>84</v>
      </c>
      <c r="M559" s="6" t="s">
        <v>819</v>
      </c>
      <c r="N559" s="5" t="s">
        <v>36</v>
      </c>
      <c r="O559" s="5" t="s">
        <v>27</v>
      </c>
      <c r="P559" s="5">
        <v>19408.0</v>
      </c>
      <c r="Q559" s="5">
        <v>58.0</v>
      </c>
      <c r="R559" s="5">
        <v>6596.0</v>
      </c>
      <c r="S559" s="5">
        <v>13880.0</v>
      </c>
      <c r="T559" s="5">
        <v>2.0</v>
      </c>
      <c r="U559" s="9">
        <v>5492.821648</v>
      </c>
    </row>
    <row r="560">
      <c r="A560" s="4" t="s">
        <v>821</v>
      </c>
      <c r="B560" s="4" t="str">
        <f>IFERROR(__xludf.DUMMYFUNCTION("SPLIT(A560,""&gt;"")"),"Online Behavior")</f>
        <v>Online Behavior</v>
      </c>
      <c r="C560" s="4" t="str">
        <f>IFERROR(__xludf.DUMMYFUNCTION("""COMPUTED_VALUE"""),"United States")</f>
        <v>United States</v>
      </c>
      <c r="D560" s="4" t="str">
        <f>IFERROR(__xludf.DUMMYFUNCTION("""COMPUTED_VALUE"""),"Travel")</f>
        <v>Travel</v>
      </c>
      <c r="E560" s="4" t="str">
        <f>IFERROR(__xludf.DUMMYFUNCTION("""COMPUTED_VALUE"""),"Carpooling and Vehicle Sharing")</f>
        <v>Carpooling and Vehicle Sharing</v>
      </c>
      <c r="F560" s="4"/>
      <c r="G560" s="4"/>
      <c r="H560" s="4"/>
      <c r="I560" s="4"/>
      <c r="J560" s="5" t="s">
        <v>61</v>
      </c>
      <c r="K560" s="5" t="s">
        <v>23</v>
      </c>
      <c r="L560" s="5" t="s">
        <v>55</v>
      </c>
      <c r="M560" s="6" t="s">
        <v>819</v>
      </c>
      <c r="N560" s="5" t="s">
        <v>26</v>
      </c>
      <c r="O560" s="5" t="s">
        <v>27</v>
      </c>
      <c r="P560" s="5">
        <v>46190.0</v>
      </c>
      <c r="Q560" s="5">
        <v>130.0</v>
      </c>
      <c r="R560" s="5">
        <v>8618.0</v>
      </c>
      <c r="S560" s="5">
        <v>41618.0</v>
      </c>
      <c r="T560" s="5">
        <v>1.0</v>
      </c>
      <c r="U560" s="9">
        <v>5464.109817</v>
      </c>
    </row>
    <row r="561" hidden="1">
      <c r="A561" s="4" t="s">
        <v>822</v>
      </c>
      <c r="B561" s="4" t="str">
        <f>IFERROR(__xludf.DUMMYFUNCTION("SPLIT(A561,""&gt;"")"),"Online Behavior")</f>
        <v>Online Behavior</v>
      </c>
      <c r="C561" s="4" t="str">
        <f>IFERROR(__xludf.DUMMYFUNCTION("""COMPUTED_VALUE"""),"United States")</f>
        <v>United States</v>
      </c>
      <c r="D561" s="4" t="str">
        <f>IFERROR(__xludf.DUMMYFUNCTION("""COMPUTED_VALUE"""),"Law and Government")</f>
        <v>Law and Government</v>
      </c>
      <c r="E561" s="4" t="str">
        <f>IFERROR(__xludf.DUMMYFUNCTION("""COMPUTED_VALUE"""),"Government")</f>
        <v>Government</v>
      </c>
      <c r="F561" s="4"/>
      <c r="G561" s="4"/>
      <c r="H561" s="4"/>
      <c r="I561" s="4"/>
      <c r="J561" s="5" t="s">
        <v>15</v>
      </c>
      <c r="K561" s="5" t="s">
        <v>23</v>
      </c>
      <c r="L561" s="5" t="s">
        <v>35</v>
      </c>
      <c r="M561" s="6" t="s">
        <v>819</v>
      </c>
      <c r="N561" s="5" t="s">
        <v>48</v>
      </c>
      <c r="O561" s="5" t="s">
        <v>52</v>
      </c>
      <c r="P561" s="5">
        <v>18537.0</v>
      </c>
      <c r="Q561" s="5">
        <v>95.0</v>
      </c>
      <c r="R561" s="5">
        <v>6473.0</v>
      </c>
      <c r="S561" s="5">
        <v>17081.0</v>
      </c>
      <c r="T561" s="5">
        <v>4.0</v>
      </c>
      <c r="U561" s="9">
        <v>5206.238968</v>
      </c>
    </row>
    <row r="562">
      <c r="A562" s="4" t="s">
        <v>1559</v>
      </c>
      <c r="B562" s="4" t="str">
        <f>IFERROR(__xludf.DUMMYFUNCTION("SPLIT(A562,""&gt;"")"),"United States ")</f>
        <v>United States </v>
      </c>
      <c r="C562" s="4" t="str">
        <f>IFERROR(__xludf.DUMMYFUNCTION("""COMPUTED_VALUE""")," B2B ")</f>
        <v> B2B </v>
      </c>
      <c r="D562" s="4" t="str">
        <f>IFERROR(__xludf.DUMMYFUNCTION("""COMPUTED_VALUE""")," B2B Decision Maker Responsibilities ")</f>
        <v> B2B Decision Maker Responsibilities </v>
      </c>
      <c r="E562" s="4" t="str">
        <f>IFERROR(__xludf.DUMMYFUNCTION("""COMPUTED_VALUE""")," Security Services")</f>
        <v> Security Services</v>
      </c>
      <c r="F562" s="4"/>
      <c r="G562" s="4"/>
      <c r="H562" s="4"/>
      <c r="I562" s="4"/>
      <c r="J562" s="5" t="s">
        <v>22</v>
      </c>
      <c r="K562" s="5" t="s">
        <v>16</v>
      </c>
      <c r="L562" s="5" t="s">
        <v>39</v>
      </c>
      <c r="M562" s="6" t="s">
        <v>819</v>
      </c>
      <c r="N562" s="5" t="s">
        <v>26</v>
      </c>
      <c r="O562" s="5" t="s">
        <v>27</v>
      </c>
      <c r="P562" s="5">
        <v>12488.0</v>
      </c>
      <c r="Q562" s="5">
        <v>99.0</v>
      </c>
      <c r="R562" s="5">
        <v>4021.0</v>
      </c>
      <c r="S562" s="5">
        <v>11403.0</v>
      </c>
      <c r="T562" s="5">
        <v>4.0</v>
      </c>
      <c r="U562" s="9">
        <v>2176.657469</v>
      </c>
    </row>
    <row r="563">
      <c r="A563" s="4" t="s">
        <v>1560</v>
      </c>
      <c r="B563" s="4" t="str">
        <f>IFERROR(__xludf.DUMMYFUNCTION("SPLIT(A563,""&gt;"")"),"OnAudience ")</f>
        <v>OnAudience </v>
      </c>
      <c r="C563" s="4" t="str">
        <f>IFERROR(__xludf.DUMMYFUNCTION("""COMPUTED_VALUE""")," Intent")</f>
        <v> Intent</v>
      </c>
      <c r="D563" s="4"/>
      <c r="E563" s="4"/>
      <c r="F563" s="4"/>
      <c r="G563" s="4"/>
      <c r="H563" s="4"/>
      <c r="I563" s="4"/>
      <c r="J563" s="5" t="s">
        <v>22</v>
      </c>
      <c r="K563" s="5" t="s">
        <v>42</v>
      </c>
      <c r="L563" s="5" t="s">
        <v>35</v>
      </c>
      <c r="M563" s="6" t="s">
        <v>819</v>
      </c>
      <c r="N563" s="5" t="s">
        <v>19</v>
      </c>
      <c r="O563" s="5" t="s">
        <v>27</v>
      </c>
      <c r="P563" s="5">
        <v>19212.0</v>
      </c>
      <c r="Q563" s="5">
        <v>54.0</v>
      </c>
      <c r="R563" s="5">
        <v>6872.0</v>
      </c>
      <c r="S563" s="5">
        <v>14248.0</v>
      </c>
      <c r="T563" s="5">
        <v>10.0</v>
      </c>
      <c r="U563" s="9">
        <v>2133.077113</v>
      </c>
    </row>
    <row r="564">
      <c r="A564" s="4" t="s">
        <v>1561</v>
      </c>
      <c r="B564" s="4" t="str">
        <f>IFERROR(__xludf.DUMMYFUNCTION("SPLIT(A564,""&gt;"")"),"United States Financial ")</f>
        <v>United States Financial </v>
      </c>
      <c r="C564" s="4" t="str">
        <f>IFERROR(__xludf.DUMMYFUNCTION("""COMPUTED_VALUE""")," Likely Credit Card ")</f>
        <v> Likely Credit Card </v>
      </c>
      <c r="D564" s="4" t="str">
        <f>IFERROR(__xludf.DUMMYFUNCTION("""COMPUTED_VALUE""")," Behavior ")</f>
        <v> Behavior </v>
      </c>
      <c r="E564" s="4" t="str">
        <f>IFERROR(__xludf.DUMMYFUNCTION("""COMPUTED_VALUE""")," United Statesed for Personal Purposes")</f>
        <v> United Statesed for Personal Purposes</v>
      </c>
      <c r="F564" s="4"/>
      <c r="G564" s="4"/>
      <c r="H564" s="4"/>
      <c r="I564" s="4"/>
      <c r="J564" s="5" t="s">
        <v>15</v>
      </c>
      <c r="K564" s="5" t="s">
        <v>42</v>
      </c>
      <c r="L564" s="5" t="s">
        <v>183</v>
      </c>
      <c r="M564" s="6" t="s">
        <v>819</v>
      </c>
      <c r="N564" s="5" t="s">
        <v>19</v>
      </c>
      <c r="O564" s="5" t="s">
        <v>27</v>
      </c>
      <c r="P564" s="5">
        <v>37554.0</v>
      </c>
      <c r="Q564" s="5">
        <v>92.0</v>
      </c>
      <c r="R564" s="5">
        <v>13128.0</v>
      </c>
      <c r="S564" s="5">
        <v>27596.0</v>
      </c>
      <c r="T564" s="5">
        <v>8.0</v>
      </c>
      <c r="U564" s="9">
        <v>1737.843485</v>
      </c>
    </row>
    <row r="565">
      <c r="A565" s="4" t="s">
        <v>1562</v>
      </c>
      <c r="B565" s="4" t="str">
        <f>IFERROR(__xludf.DUMMYFUNCTION("SPLIT(A565,""&gt;"")"),"United States ")</f>
        <v>United States </v>
      </c>
      <c r="C565" s="4" t="str">
        <f>IFERROR(__xludf.DUMMYFUNCTION("""COMPUTED_VALUE""")," Demographic ")</f>
        <v> Demographic </v>
      </c>
      <c r="D565" s="4" t="str">
        <f>IFERROR(__xludf.DUMMYFUNCTION("""COMPUTED_VALUE""")," Family ")</f>
        <v> Family </v>
      </c>
      <c r="E565" s="4" t="str">
        <f>IFERROR(__xludf.DUMMYFUNCTION("""COMPUTED_VALUE""")," Male Head of HoUnited Statesehold")</f>
        <v> Male Head of HoUnited Statesehold</v>
      </c>
      <c r="F565" s="4"/>
      <c r="G565" s="4"/>
      <c r="H565" s="4"/>
      <c r="I565" s="4"/>
      <c r="J565" s="5" t="s">
        <v>22</v>
      </c>
      <c r="K565" s="5" t="s">
        <v>31</v>
      </c>
      <c r="L565" s="5" t="s">
        <v>55</v>
      </c>
      <c r="M565" s="6" t="s">
        <v>819</v>
      </c>
      <c r="N565" s="5" t="s">
        <v>46</v>
      </c>
      <c r="O565" s="5" t="s">
        <v>27</v>
      </c>
      <c r="P565" s="5">
        <v>12510.0</v>
      </c>
      <c r="Q565" s="5">
        <v>74.0</v>
      </c>
      <c r="R565" s="5">
        <v>4391.0</v>
      </c>
      <c r="S565" s="5">
        <v>9098.0</v>
      </c>
      <c r="T565" s="5">
        <v>6.0</v>
      </c>
      <c r="U565" s="9">
        <v>1524.470523</v>
      </c>
    </row>
    <row r="566">
      <c r="A566" s="4" t="s">
        <v>1563</v>
      </c>
      <c r="B566" s="4" t="str">
        <f>IFERROR(__xludf.DUMMYFUNCTION("SPLIT(A566,""&gt;"")"),"United States ")</f>
        <v>United States </v>
      </c>
      <c r="C566" s="4" t="str">
        <f>IFERROR(__xludf.DUMMYFUNCTION("""COMPUTED_VALUE""")," Reach ")</f>
        <v> Reach </v>
      </c>
      <c r="D566" s="4" t="str">
        <f>IFERROR(__xludf.DUMMYFUNCTION("""COMPUTED_VALUE""")," Propensity Models ")</f>
        <v> Propensity Models </v>
      </c>
      <c r="E566" s="4" t="str">
        <f>IFERROR(__xludf.DUMMYFUNCTION("""COMPUTED_VALUE""")," Lifestyle ")</f>
        <v> Lifestyle </v>
      </c>
      <c r="F566" s="4" t="str">
        <f>IFERROR(__xludf.DUMMYFUNCTION("""COMPUTED_VALUE""")," Charities ")</f>
        <v> Charities </v>
      </c>
      <c r="G566" s="4" t="str">
        <f>IFERROR(__xludf.DUMMYFUNCTION("""COMPUTED_VALUE""")," Contributes by Volunteering")</f>
        <v> Contributes by Volunteering</v>
      </c>
      <c r="H566" s="4"/>
      <c r="I566" s="4"/>
      <c r="J566" s="5" t="s">
        <v>61</v>
      </c>
      <c r="K566" s="5" t="s">
        <v>16</v>
      </c>
      <c r="L566" s="5" t="s">
        <v>29</v>
      </c>
      <c r="M566" s="6" t="s">
        <v>828</v>
      </c>
      <c r="N566" s="5" t="s">
        <v>26</v>
      </c>
      <c r="O566" s="5" t="s">
        <v>27</v>
      </c>
      <c r="P566" s="5">
        <v>15475.0</v>
      </c>
      <c r="Q566" s="5">
        <v>110.0</v>
      </c>
      <c r="R566" s="5">
        <v>6019.0</v>
      </c>
      <c r="S566" s="5">
        <v>10952.0</v>
      </c>
      <c r="T566" s="5">
        <v>9.0</v>
      </c>
      <c r="U566" s="9">
        <v>4156.713383</v>
      </c>
    </row>
    <row r="567">
      <c r="A567" s="4" t="s">
        <v>1564</v>
      </c>
      <c r="B567" s="4" t="str">
        <f>IFERROR(__xludf.DUMMYFUNCTION("SPLIT(A567,""&gt;"")"),"OnAudience ")</f>
        <v>OnAudience </v>
      </c>
      <c r="C567" s="4" t="str">
        <f>IFERROR(__xludf.DUMMYFUNCTION("""COMPUTED_VALUE""")," Interest ")</f>
        <v> Interest </v>
      </c>
      <c r="D567" s="4" t="str">
        <f>IFERROR(__xludf.DUMMYFUNCTION("""COMPUTED_VALUE""")," Pets")</f>
        <v> Pets</v>
      </c>
      <c r="E567" s="4"/>
      <c r="F567" s="4"/>
      <c r="G567" s="4"/>
      <c r="H567" s="4"/>
      <c r="I567" s="4"/>
      <c r="J567" s="5" t="s">
        <v>22</v>
      </c>
      <c r="K567" s="5" t="s">
        <v>23</v>
      </c>
      <c r="L567" s="5" t="s">
        <v>95</v>
      </c>
      <c r="M567" s="6" t="s">
        <v>830</v>
      </c>
      <c r="N567" s="5" t="s">
        <v>19</v>
      </c>
      <c r="O567" s="5" t="s">
        <v>27</v>
      </c>
      <c r="P567" s="5">
        <v>20572.0</v>
      </c>
      <c r="Q567" s="5">
        <v>90.0</v>
      </c>
      <c r="R567" s="5">
        <v>2226.0</v>
      </c>
      <c r="S567" s="5">
        <v>16510.0</v>
      </c>
      <c r="T567" s="5">
        <v>10.0</v>
      </c>
      <c r="U567" s="9">
        <v>1529.307229</v>
      </c>
    </row>
    <row r="568">
      <c r="A568" s="4" t="s">
        <v>1565</v>
      </c>
      <c r="B568" s="4" t="str">
        <f>IFERROR(__xludf.DUMMYFUNCTION("SPLIT(A568,""&gt;"")"),"OnAudience ")</f>
        <v>OnAudience </v>
      </c>
      <c r="C568" s="4" t="str">
        <f>IFERROR(__xludf.DUMMYFUNCTION("""COMPUTED_VALUE""")," Interest ")</f>
        <v> Interest </v>
      </c>
      <c r="D568" s="4" t="str">
        <f>IFERROR(__xludf.DUMMYFUNCTION("""COMPUTED_VALUE""")," Technology &amp; Computing ")</f>
        <v> Technology &amp; Computing </v>
      </c>
      <c r="E568" s="4" t="str">
        <f>IFERROR(__xludf.DUMMYFUNCTION("""COMPUTED_VALUE""")," Email")</f>
        <v> Email</v>
      </c>
      <c r="F568" s="4"/>
      <c r="G568" s="4"/>
      <c r="H568" s="4"/>
      <c r="I568" s="4"/>
      <c r="J568" s="5" t="s">
        <v>22</v>
      </c>
      <c r="K568" s="5" t="s">
        <v>23</v>
      </c>
      <c r="L568" s="5" t="s">
        <v>84</v>
      </c>
      <c r="M568" s="6" t="s">
        <v>832</v>
      </c>
      <c r="N568" s="5" t="s">
        <v>327</v>
      </c>
      <c r="O568" s="5" t="s">
        <v>27</v>
      </c>
      <c r="P568" s="5">
        <v>16956.0</v>
      </c>
      <c r="Q568" s="5">
        <v>65.0</v>
      </c>
      <c r="R568" s="5">
        <v>7553.0</v>
      </c>
      <c r="S568" s="5">
        <v>15201.0</v>
      </c>
      <c r="T568" s="5">
        <v>3.0</v>
      </c>
      <c r="U568" s="9">
        <v>1502.680139</v>
      </c>
    </row>
    <row r="569" hidden="1">
      <c r="A569" s="4" t="s">
        <v>1566</v>
      </c>
      <c r="B569" s="4" t="str">
        <f>IFERROR(__xludf.DUMMYFUNCTION("SPLIT(A569,""&gt;"")"),"Online Behavior")</f>
        <v>Online Behavior</v>
      </c>
      <c r="C569" s="4" t="str">
        <f>IFERROR(__xludf.DUMMYFUNCTION("""COMPUTED_VALUE"""),"United States")</f>
        <v>United States</v>
      </c>
      <c r="D569" s="4" t="str">
        <f>IFERROR(__xludf.DUMMYFUNCTION("""COMPUTED_VALUE"""),"Autos and Vehicles ")</f>
        <v>Autos and Vehicles </v>
      </c>
      <c r="E569" s="4" t="str">
        <f>IFERROR(__xludf.DUMMYFUNCTION("""COMPUTED_VALUE""")," Brands")</f>
        <v> Brands</v>
      </c>
      <c r="F569" s="4" t="str">
        <f>IFERROR(__xludf.DUMMYFUNCTION("""COMPUTED_VALUE"""),"LexUnited States")</f>
        <v>LexUnited States</v>
      </c>
      <c r="G569" s="4"/>
      <c r="H569" s="4"/>
      <c r="I569" s="4"/>
      <c r="J569" s="5" t="s">
        <v>15</v>
      </c>
      <c r="K569" s="5" t="s">
        <v>16</v>
      </c>
      <c r="L569" s="5" t="s">
        <v>35</v>
      </c>
      <c r="M569" s="6" t="s">
        <v>834</v>
      </c>
      <c r="N569" s="5" t="s">
        <v>117</v>
      </c>
      <c r="O569" s="5" t="s">
        <v>52</v>
      </c>
      <c r="P569" s="5">
        <v>17075.0</v>
      </c>
      <c r="Q569" s="5">
        <v>44.0</v>
      </c>
      <c r="R569" s="5">
        <v>5508.0</v>
      </c>
      <c r="S569" s="5">
        <v>11539.0</v>
      </c>
      <c r="T569" s="5">
        <v>10.0</v>
      </c>
      <c r="U569" s="9">
        <v>5086.08996</v>
      </c>
    </row>
    <row r="570">
      <c r="A570" s="4" t="s">
        <v>835</v>
      </c>
      <c r="B570" s="4" t="str">
        <f>IFERROR(__xludf.DUMMYFUNCTION("SPLIT(A570,""&gt;"")"),"Online Behavior")</f>
        <v>Online Behavior</v>
      </c>
      <c r="C570" s="4" t="str">
        <f>IFERROR(__xludf.DUMMYFUNCTION("""COMPUTED_VALUE"""),"United States")</f>
        <v>United States</v>
      </c>
      <c r="D570" s="4" t="str">
        <f>IFERROR(__xludf.DUMMYFUNCTION("""COMPUTED_VALUE"""),"The Changing Consumer")</f>
        <v>The Changing Consumer</v>
      </c>
      <c r="E570" s="4" t="str">
        <f>IFERROR(__xludf.DUMMYFUNCTION("""COMPUTED_VALUE"""),"Streaming Services")</f>
        <v>Streaming Services</v>
      </c>
      <c r="F570" s="4"/>
      <c r="G570" s="4"/>
      <c r="H570" s="4"/>
      <c r="I570" s="4"/>
      <c r="J570" s="5" t="s">
        <v>22</v>
      </c>
      <c r="K570" s="5" t="s">
        <v>23</v>
      </c>
      <c r="L570" s="5" t="s">
        <v>84</v>
      </c>
      <c r="M570" s="6" t="s">
        <v>836</v>
      </c>
      <c r="N570" s="5" t="s">
        <v>19</v>
      </c>
      <c r="O570" s="5" t="s">
        <v>27</v>
      </c>
      <c r="P570" s="5">
        <v>9709.0</v>
      </c>
      <c r="Q570" s="5">
        <v>58.0</v>
      </c>
      <c r="R570" s="5">
        <v>3339.0</v>
      </c>
      <c r="S570" s="5">
        <v>7891.0</v>
      </c>
      <c r="T570" s="5">
        <v>3.0</v>
      </c>
      <c r="U570" s="9">
        <v>6994.085353</v>
      </c>
    </row>
    <row r="571">
      <c r="A571" s="4" t="s">
        <v>1567</v>
      </c>
      <c r="B571" s="4" t="str">
        <f>IFERROR(__xludf.DUMMYFUNCTION("SPLIT(A571,""&gt;"")"),"Online Behavior")</f>
        <v>Online Behavior</v>
      </c>
      <c r="C571" s="4" t="str">
        <f>IFERROR(__xludf.DUMMYFUNCTION("""COMPUTED_VALUE"""),"United States")</f>
        <v>United States</v>
      </c>
      <c r="D571" s="4" t="str">
        <f>IFERROR(__xludf.DUMMYFUNCTION("""COMPUTED_VALUE"""),"Autos and Vehicles ")</f>
        <v>Autos and Vehicles </v>
      </c>
      <c r="E571" s="4" t="str">
        <f>IFERROR(__xludf.DUMMYFUNCTION("""COMPUTED_VALUE""")," Brands")</f>
        <v> Brands</v>
      </c>
      <c r="F571" s="4" t="str">
        <f>IFERROR(__xludf.DUMMYFUNCTION("""COMPUTED_VALUE"""),"Pontiac")</f>
        <v>Pontiac</v>
      </c>
      <c r="G571" s="4"/>
      <c r="H571" s="4"/>
      <c r="I571" s="4"/>
      <c r="J571" s="5" t="s">
        <v>22</v>
      </c>
      <c r="K571" s="5" t="s">
        <v>16</v>
      </c>
      <c r="L571" s="5" t="s">
        <v>29</v>
      </c>
      <c r="M571" s="6" t="s">
        <v>836</v>
      </c>
      <c r="N571" s="5" t="s">
        <v>46</v>
      </c>
      <c r="O571" s="5" t="s">
        <v>27</v>
      </c>
      <c r="P571" s="5">
        <v>7769.0</v>
      </c>
      <c r="Q571" s="5">
        <v>10.0</v>
      </c>
      <c r="R571" s="5">
        <v>3152.0</v>
      </c>
      <c r="S571" s="5">
        <v>6464.0</v>
      </c>
      <c r="T571" s="5">
        <v>1.0</v>
      </c>
      <c r="U571" s="9">
        <v>5603.048132</v>
      </c>
    </row>
    <row r="572" hidden="1">
      <c r="A572" s="4" t="s">
        <v>838</v>
      </c>
      <c r="B572" s="4" t="str">
        <f>IFERROR(__xludf.DUMMYFUNCTION("SPLIT(A572,""&gt;"")"),"Online Behavior")</f>
        <v>Online Behavior</v>
      </c>
      <c r="C572" s="4" t="str">
        <f>IFERROR(__xludf.DUMMYFUNCTION("""COMPUTED_VALUE"""),"United States")</f>
        <v>United States</v>
      </c>
      <c r="D572" s="4" t="str">
        <f>IFERROR(__xludf.DUMMYFUNCTION("""COMPUTED_VALUE"""),"Home and Garden")</f>
        <v>Home and Garden</v>
      </c>
      <c r="E572" s="4" t="str">
        <f>IFERROR(__xludf.DUMMYFUNCTION("""COMPUTED_VALUE"""),"Bed and Bath")</f>
        <v>Bed and Bath</v>
      </c>
      <c r="F572" s="4"/>
      <c r="G572" s="4"/>
      <c r="H572" s="4"/>
      <c r="I572" s="4"/>
      <c r="J572" s="5" t="s">
        <v>15</v>
      </c>
      <c r="K572" s="5" t="s">
        <v>42</v>
      </c>
      <c r="L572" s="5" t="s">
        <v>17</v>
      </c>
      <c r="M572" s="6" t="s">
        <v>839</v>
      </c>
      <c r="N572" s="5" t="s">
        <v>19</v>
      </c>
      <c r="O572" s="5" t="s">
        <v>20</v>
      </c>
      <c r="P572" s="5">
        <v>28888.0</v>
      </c>
      <c r="Q572" s="5">
        <v>85.0</v>
      </c>
      <c r="R572" s="5">
        <v>21437.0</v>
      </c>
      <c r="S572" s="5">
        <v>27586.0</v>
      </c>
      <c r="T572" s="5">
        <v>19.0</v>
      </c>
      <c r="U572" s="9">
        <v>6858.578118</v>
      </c>
    </row>
    <row r="573">
      <c r="A573" s="4" t="s">
        <v>1568</v>
      </c>
      <c r="B573" s="4" t="str">
        <f>IFERROR(__xludf.DUMMYFUNCTION("SPLIT(A573,""&gt;"")"),"Media and Entertainment ")</f>
        <v>Media and Entertainment </v>
      </c>
      <c r="C573" s="4" t="str">
        <f>IFERROR(__xludf.DUMMYFUNCTION("""COMPUTED_VALUE""")," Connected TV and Over-the-Top (CTV and OTT)")</f>
        <v> Connected TV and Over-the-Top (CTV and OTT)</v>
      </c>
      <c r="D573" s="4"/>
      <c r="E573" s="4"/>
      <c r="F573" s="4"/>
      <c r="G573" s="4"/>
      <c r="H573" s="4"/>
      <c r="I573" s="4"/>
      <c r="J573" s="5" t="s">
        <v>15</v>
      </c>
      <c r="K573" s="5" t="s">
        <v>23</v>
      </c>
      <c r="L573" s="5" t="s">
        <v>35</v>
      </c>
      <c r="M573" s="6" t="s">
        <v>839</v>
      </c>
      <c r="N573" s="5" t="s">
        <v>19</v>
      </c>
      <c r="O573" s="5" t="s">
        <v>27</v>
      </c>
      <c r="P573" s="5">
        <v>756687.0</v>
      </c>
      <c r="Q573" s="5">
        <v>1984.0</v>
      </c>
      <c r="R573" s="5">
        <v>442979.0</v>
      </c>
      <c r="S573" s="5">
        <v>611813.0</v>
      </c>
      <c r="T573" s="5">
        <v>14.0</v>
      </c>
      <c r="U573" s="9">
        <v>2452.997504</v>
      </c>
    </row>
    <row r="574" hidden="1">
      <c r="A574" s="4" t="s">
        <v>1569</v>
      </c>
      <c r="B574" s="4" t="str">
        <f>IFERROR(__xludf.DUMMYFUNCTION("SPLIT(A574,""&gt;"")"),"United States ")</f>
        <v>United States </v>
      </c>
      <c r="C574" s="4" t="str">
        <f>IFERROR(__xludf.DUMMYFUNCTION("""COMPUTED_VALUE""")," B2B ")</f>
        <v> B2B </v>
      </c>
      <c r="D574" s="4" t="str">
        <f>IFERROR(__xludf.DUMMYFUNCTION("""COMPUTED_VALUE""")," B2B Decision Maker Responsibilities ")</f>
        <v> B2B Decision Maker Responsibilities </v>
      </c>
      <c r="E574" s="4" t="str">
        <f>IFERROR(__xludf.DUMMYFUNCTION("""COMPUTED_VALUE""")," Television providers ")</f>
        <v> Television providers </v>
      </c>
      <c r="F574" s="4" t="str">
        <f>IFERROR(__xludf.DUMMYFUNCTION("""COMPUTED_VALUE""")," services")</f>
        <v> services</v>
      </c>
      <c r="G574" s="4"/>
      <c r="H574" s="4"/>
      <c r="I574" s="4"/>
      <c r="J574" s="5" t="s">
        <v>15</v>
      </c>
      <c r="K574" s="5" t="s">
        <v>16</v>
      </c>
      <c r="L574" s="5" t="s">
        <v>84</v>
      </c>
      <c r="M574" s="6" t="s">
        <v>839</v>
      </c>
      <c r="N574" s="5" t="s">
        <v>19</v>
      </c>
      <c r="O574" s="5" t="s">
        <v>52</v>
      </c>
      <c r="P574" s="5">
        <v>56737.0</v>
      </c>
      <c r="Q574" s="5">
        <v>145.0</v>
      </c>
      <c r="R574" s="5">
        <v>41296.0</v>
      </c>
      <c r="S574" s="5">
        <v>53472.0</v>
      </c>
      <c r="T574" s="5">
        <v>5.0</v>
      </c>
      <c r="U574" s="9">
        <v>2028.370144</v>
      </c>
    </row>
    <row r="575">
      <c r="A575" s="4" t="s">
        <v>1570</v>
      </c>
      <c r="B575" s="4" t="str">
        <f>IFERROR(__xludf.DUMMYFUNCTION("SPLIT(A575,""&gt;"")"),"United States ")</f>
        <v>United States </v>
      </c>
      <c r="C575" s="4" t="str">
        <f>IFERROR(__xludf.DUMMYFUNCTION("""COMPUTED_VALUE""")," B2B ")</f>
        <v> B2B </v>
      </c>
      <c r="D575" s="4" t="str">
        <f>IFERROR(__xludf.DUMMYFUNCTION("""COMPUTED_VALUE""")," Purchase DM ")</f>
        <v> Purchase DM </v>
      </c>
      <c r="E575" s="4" t="str">
        <f>IFERROR(__xludf.DUMMYFUNCTION("""COMPUTED_VALUE""")," Technology Services, Hardware and ")</f>
        <v> Technology Services, Hardware and </v>
      </c>
      <c r="F575" s="4" t="str">
        <f>IFERROR(__xludf.DUMMYFUNCTION("""COMPUTED_VALUE""")," or Software ")</f>
        <v> or Software </v>
      </c>
      <c r="G575" s="4" t="str">
        <f>IFERROR(__xludf.DUMMYFUNCTION("""COMPUTED_VALUE""")," I make the final decision with input from staff ")</f>
        <v> I make the final decision with input from staff </v>
      </c>
      <c r="H575" s="4" t="str">
        <f>IFERROR(__xludf.DUMMYFUNCTION("""COMPUTED_VALUE""")," management")</f>
        <v> management</v>
      </c>
      <c r="I575" s="4"/>
      <c r="J575" s="5" t="s">
        <v>15</v>
      </c>
      <c r="K575" s="5" t="s">
        <v>42</v>
      </c>
      <c r="L575" s="5" t="s">
        <v>95</v>
      </c>
      <c r="M575" s="6" t="s">
        <v>843</v>
      </c>
      <c r="N575" s="5" t="s">
        <v>161</v>
      </c>
      <c r="O575" s="5" t="s">
        <v>27</v>
      </c>
      <c r="P575" s="5">
        <v>217824.0</v>
      </c>
      <c r="Q575" s="5">
        <v>560.0</v>
      </c>
      <c r="R575" s="5">
        <v>75089.0</v>
      </c>
      <c r="S575" s="5">
        <v>179723.0</v>
      </c>
      <c r="T575" s="5">
        <v>16.0</v>
      </c>
      <c r="U575" s="9">
        <v>1451.808544</v>
      </c>
    </row>
    <row r="576">
      <c r="A576" s="4" t="s">
        <v>1571</v>
      </c>
      <c r="B576" s="4" t="str">
        <f>IFERROR(__xludf.DUMMYFUNCTION("SPLIT(A576,""&gt;"")"),"Online Behavior")</f>
        <v>Online Behavior</v>
      </c>
      <c r="C576" s="4" t="str">
        <f>IFERROR(__xludf.DUMMYFUNCTION("""COMPUTED_VALUE"""),"United States")</f>
        <v>United States</v>
      </c>
      <c r="D576" s="4" t="str">
        <f>IFERROR(__xludf.DUMMYFUNCTION("""COMPUTED_VALUE"""),"Intent ")</f>
        <v>Intent </v>
      </c>
      <c r="E576" s="4" t="str">
        <f>IFERROR(__xludf.DUMMYFUNCTION("""COMPUTED_VALUE""")," Auto Buyers ")</f>
        <v> Auto Buyers </v>
      </c>
      <c r="F576" s="4" t="str">
        <f>IFERROR(__xludf.DUMMYFUNCTION("""COMPUTED_VALUE""")," Category")</f>
        <v> Category</v>
      </c>
      <c r="G576" s="4" t="str">
        <f>IFERROR(__xludf.DUMMYFUNCTION("""COMPUTED_VALUE"""),"Van")</f>
        <v>Van</v>
      </c>
      <c r="H576" s="4"/>
      <c r="I576" s="4"/>
      <c r="J576" s="5" t="s">
        <v>22</v>
      </c>
      <c r="K576" s="5" t="s">
        <v>23</v>
      </c>
      <c r="L576" s="5" t="s">
        <v>35</v>
      </c>
      <c r="M576" s="6" t="s">
        <v>845</v>
      </c>
      <c r="N576" s="5" t="s">
        <v>19</v>
      </c>
      <c r="O576" s="5" t="s">
        <v>27</v>
      </c>
      <c r="P576" s="5">
        <v>9153.0</v>
      </c>
      <c r="Q576" s="5">
        <v>23.0</v>
      </c>
      <c r="R576" s="5">
        <v>4345.0</v>
      </c>
      <c r="S576" s="5">
        <v>8376.0</v>
      </c>
      <c r="T576" s="5">
        <v>14.0</v>
      </c>
      <c r="U576" s="9">
        <v>5007.525805</v>
      </c>
    </row>
    <row r="577">
      <c r="A577" s="4" t="s">
        <v>1572</v>
      </c>
      <c r="B577" s="4" t="str">
        <f>IFERROR(__xludf.DUMMYFUNCTION("SPLIT(A577,""&gt;"")"),"Online Behavior")</f>
        <v>Online Behavior</v>
      </c>
      <c r="C577" s="4" t="str">
        <f>IFERROR(__xludf.DUMMYFUNCTION("""COMPUTED_VALUE"""),"United States")</f>
        <v>United States</v>
      </c>
      <c r="D577" s="4" t="str">
        <f>IFERROR(__xludf.DUMMYFUNCTION("""COMPUTED_VALUE"""),"B2B ")</f>
        <v>B2B </v>
      </c>
      <c r="E577" s="4" t="str">
        <f>IFERROR(__xludf.DUMMYFUNCTION("""COMPUTED_VALUE""")," Occupation")</f>
        <v> Occupation</v>
      </c>
      <c r="F577" s="4" t="str">
        <f>IFERROR(__xludf.DUMMYFUNCTION("""COMPUTED_VALUE"""),"Broker")</f>
        <v>Broker</v>
      </c>
      <c r="G577" s="4"/>
      <c r="H577" s="4"/>
      <c r="I577" s="4"/>
      <c r="J577" s="5" t="s">
        <v>22</v>
      </c>
      <c r="K577" s="5" t="s">
        <v>31</v>
      </c>
      <c r="L577" s="5" t="s">
        <v>43</v>
      </c>
      <c r="M577" s="6" t="s">
        <v>847</v>
      </c>
      <c r="N577" s="5" t="s">
        <v>46</v>
      </c>
      <c r="O577" s="5" t="s">
        <v>27</v>
      </c>
      <c r="P577" s="5">
        <v>21962.0</v>
      </c>
      <c r="Q577" s="5">
        <v>120.0</v>
      </c>
      <c r="R577" s="5">
        <v>10702.0</v>
      </c>
      <c r="S577" s="5">
        <v>21034.0</v>
      </c>
      <c r="T577" s="5">
        <v>11.0</v>
      </c>
      <c r="U577" s="9">
        <v>6404.003128</v>
      </c>
    </row>
    <row r="578">
      <c r="A578" s="4" t="s">
        <v>848</v>
      </c>
      <c r="B578" s="4" t="str">
        <f>IFERROR(__xludf.DUMMYFUNCTION("SPLIT(A578,""&gt;"")"),"Online Behavior")</f>
        <v>Online Behavior</v>
      </c>
      <c r="C578" s="4" t="str">
        <f>IFERROR(__xludf.DUMMYFUNCTION("""COMPUTED_VALUE"""),"United States")</f>
        <v>United States</v>
      </c>
      <c r="D578" s="4" t="str">
        <f>IFERROR(__xludf.DUMMYFUNCTION("""COMPUTED_VALUE"""),"The Changing Consumer")</f>
        <v>The Changing Consumer</v>
      </c>
      <c r="E578" s="4" t="str">
        <f>IFERROR(__xludf.DUMMYFUNCTION("""COMPUTED_VALUE"""),"DIY")</f>
        <v>DIY</v>
      </c>
      <c r="F578" s="4"/>
      <c r="G578" s="4"/>
      <c r="H578" s="4"/>
      <c r="I578" s="4"/>
      <c r="J578" s="5" t="s">
        <v>22</v>
      </c>
      <c r="K578" s="5" t="s">
        <v>23</v>
      </c>
      <c r="L578" s="5" t="s">
        <v>32</v>
      </c>
      <c r="M578" s="6" t="s">
        <v>849</v>
      </c>
      <c r="N578" s="5" t="s">
        <v>19</v>
      </c>
      <c r="O578" s="5" t="s">
        <v>27</v>
      </c>
      <c r="P578" s="5">
        <v>12161.0</v>
      </c>
      <c r="Q578" s="5">
        <v>20.0</v>
      </c>
      <c r="R578" s="5">
        <v>6284.0</v>
      </c>
      <c r="S578" s="5">
        <v>10919.0</v>
      </c>
      <c r="T578" s="5">
        <v>4.0</v>
      </c>
      <c r="U578" s="9">
        <v>7273.265988</v>
      </c>
    </row>
    <row r="579">
      <c r="A579" s="4" t="s">
        <v>1573</v>
      </c>
      <c r="B579" s="4" t="str">
        <f>IFERROR(__xludf.DUMMYFUNCTION("SPLIT(A579,""&gt;"")"),"United States ")</f>
        <v>United States </v>
      </c>
      <c r="C579" s="4" t="str">
        <f>IFERROR(__xludf.DUMMYFUNCTION("""COMPUTED_VALUE""")," Reach ")</f>
        <v> Reach </v>
      </c>
      <c r="D579" s="4" t="str">
        <f>IFERROR(__xludf.DUMMYFUNCTION("""COMPUTED_VALUE""")," Propensity Models ")</f>
        <v> Propensity Models </v>
      </c>
      <c r="E579" s="4" t="str">
        <f>IFERROR(__xludf.DUMMYFUNCTION("""COMPUTED_VALUE""")," Hobbies and Interest ")</f>
        <v> Hobbies and Interest </v>
      </c>
      <c r="F579" s="4" t="str">
        <f>IFERROR(__xludf.DUMMYFUNCTION("""COMPUTED_VALUE""")," Sports ")</f>
        <v> Sports </v>
      </c>
      <c r="G579" s="4" t="str">
        <f>IFERROR(__xludf.DUMMYFUNCTION("""COMPUTED_VALUE""")," Canoeing ")</f>
        <v> Canoeing </v>
      </c>
      <c r="H579" s="4" t="str">
        <f>IFERROR(__xludf.DUMMYFUNCTION("""COMPUTED_VALUE""")," Kayaking")</f>
        <v> Kayaking</v>
      </c>
      <c r="I579" s="4"/>
      <c r="J579" s="5" t="s">
        <v>15</v>
      </c>
      <c r="K579" s="5" t="s">
        <v>16</v>
      </c>
      <c r="L579" s="5" t="s">
        <v>29</v>
      </c>
      <c r="M579" s="6" t="s">
        <v>851</v>
      </c>
      <c r="N579" s="5" t="s">
        <v>46</v>
      </c>
      <c r="O579" s="5" t="s">
        <v>27</v>
      </c>
      <c r="P579" s="5">
        <v>10653.0</v>
      </c>
      <c r="Q579" s="5">
        <v>68.0</v>
      </c>
      <c r="R579" s="5">
        <v>5263.0</v>
      </c>
      <c r="S579" s="5">
        <v>9921.0</v>
      </c>
      <c r="T579" s="5">
        <v>11.0</v>
      </c>
      <c r="U579" s="9">
        <v>2641.478397</v>
      </c>
    </row>
    <row r="580">
      <c r="A580" s="4" t="s">
        <v>1574</v>
      </c>
      <c r="B580" s="4" t="str">
        <f>IFERROR(__xludf.DUMMYFUNCTION("SPLIT(A580,""&gt;"")"),"Online Behavior")</f>
        <v>Online Behavior</v>
      </c>
      <c r="C580" s="4" t="str">
        <f>IFERROR(__xludf.DUMMYFUNCTION("""COMPUTED_VALUE"""),"United States")</f>
        <v>United States</v>
      </c>
      <c r="D580" s="4" t="str">
        <f>IFERROR(__xludf.DUMMYFUNCTION("""COMPUTED_VALUE"""),"Autos and Vehicles ")</f>
        <v>Autos and Vehicles </v>
      </c>
      <c r="E580" s="4" t="str">
        <f>IFERROR(__xludf.DUMMYFUNCTION("""COMPUTED_VALUE""")," Brands")</f>
        <v> Brands</v>
      </c>
      <c r="F580" s="4" t="str">
        <f>IFERROR(__xludf.DUMMYFUNCTION("""COMPUTED_VALUE"""),"Nissan")</f>
        <v>Nissan</v>
      </c>
      <c r="G580" s="4"/>
      <c r="H580" s="4"/>
      <c r="I580" s="4"/>
      <c r="J580" s="5" t="s">
        <v>15</v>
      </c>
      <c r="K580" s="5" t="s">
        <v>23</v>
      </c>
      <c r="L580" s="5" t="s">
        <v>35</v>
      </c>
      <c r="M580" s="6" t="s">
        <v>853</v>
      </c>
      <c r="N580" s="5" t="s">
        <v>46</v>
      </c>
      <c r="O580" s="5" t="s">
        <v>27</v>
      </c>
      <c r="P580" s="5">
        <v>7691.0</v>
      </c>
      <c r="Q580" s="5">
        <v>0.0</v>
      </c>
      <c r="R580" s="5">
        <v>3890.0</v>
      </c>
      <c r="S580" s="5">
        <v>5905.0</v>
      </c>
      <c r="T580" s="5">
        <v>1.0</v>
      </c>
      <c r="U580" s="9">
        <v>5927.806788</v>
      </c>
    </row>
    <row r="581">
      <c r="A581" s="4" t="s">
        <v>1575</v>
      </c>
      <c r="B581" s="4" t="str">
        <f>IFERROR(__xludf.DUMMYFUNCTION("SPLIT(A581,""&gt;"")"),"Online Behavior")</f>
        <v>Online Behavior</v>
      </c>
      <c r="C581" s="4" t="str">
        <f>IFERROR(__xludf.DUMMYFUNCTION("""COMPUTED_VALUE"""),"United States")</f>
        <v>United States</v>
      </c>
      <c r="D581" s="4" t="str">
        <f>IFERROR(__xludf.DUMMYFUNCTION("""COMPUTED_VALUE"""),"Finance ")</f>
        <v>Finance </v>
      </c>
      <c r="E581" s="4" t="str">
        <f>IFERROR(__xludf.DUMMYFUNCTION("""COMPUTED_VALUE""")," Banking")</f>
        <v> Banking</v>
      </c>
      <c r="F581" s="4" t="str">
        <f>IFERROR(__xludf.DUMMYFUNCTION("""COMPUTED_VALUE"""),"Debit and Checking Services")</f>
        <v>Debit and Checking Services</v>
      </c>
      <c r="G581" s="4"/>
      <c r="H581" s="4"/>
      <c r="I581" s="4"/>
      <c r="J581" s="5" t="s">
        <v>15</v>
      </c>
      <c r="K581" s="5" t="s">
        <v>16</v>
      </c>
      <c r="L581" s="5" t="s">
        <v>35</v>
      </c>
      <c r="M581" s="6" t="s">
        <v>855</v>
      </c>
      <c r="N581" s="5" t="s">
        <v>46</v>
      </c>
      <c r="O581" s="5" t="s">
        <v>27</v>
      </c>
      <c r="P581" s="5">
        <v>8362.0</v>
      </c>
      <c r="Q581" s="5">
        <v>31.0</v>
      </c>
      <c r="R581" s="5">
        <v>5959.0</v>
      </c>
      <c r="S581" s="5">
        <v>7947.0</v>
      </c>
      <c r="T581" s="5">
        <v>7.0</v>
      </c>
      <c r="U581" s="9">
        <v>6997.468963</v>
      </c>
    </row>
    <row r="582">
      <c r="A582" s="4" t="s">
        <v>1576</v>
      </c>
      <c r="B582" s="4" t="str">
        <f>IFERROR(__xludf.DUMMYFUNCTION("SPLIT(A582,""&gt;"")"),"OnAudience ")</f>
        <v>OnAudience </v>
      </c>
      <c r="C582" s="4" t="str">
        <f>IFERROR(__xludf.DUMMYFUNCTION("""COMPUTED_VALUE""")," Interest ")</f>
        <v> Interest </v>
      </c>
      <c r="D582" s="4" t="str">
        <f>IFERROR(__xludf.DUMMYFUNCTION("""COMPUTED_VALUE""")," Society")</f>
        <v> Society</v>
      </c>
      <c r="E582" s="4"/>
      <c r="F582" s="4"/>
      <c r="G582" s="4"/>
      <c r="H582" s="4"/>
      <c r="I582" s="4"/>
      <c r="J582" s="5" t="s">
        <v>61</v>
      </c>
      <c r="K582" s="5" t="s">
        <v>16</v>
      </c>
      <c r="L582" s="5" t="s">
        <v>66</v>
      </c>
      <c r="M582" s="6" t="s">
        <v>857</v>
      </c>
      <c r="N582" s="5" t="s">
        <v>26</v>
      </c>
      <c r="O582" s="5" t="s">
        <v>27</v>
      </c>
      <c r="P582" s="5">
        <v>7531.0</v>
      </c>
      <c r="Q582" s="5">
        <v>10.0</v>
      </c>
      <c r="R582" s="5">
        <v>3059.0</v>
      </c>
      <c r="S582" s="5">
        <v>6523.0</v>
      </c>
      <c r="T582" s="5">
        <v>1.0</v>
      </c>
      <c r="U582" s="9">
        <v>1937.058388</v>
      </c>
    </row>
    <row r="583">
      <c r="A583" s="4" t="s">
        <v>1577</v>
      </c>
      <c r="B583" s="4" t="str">
        <f>IFERROR(__xludf.DUMMYFUNCTION("SPLIT(A583,""&gt;"")"),"Online Behavior")</f>
        <v>Online Behavior</v>
      </c>
      <c r="C583" s="4" t="str">
        <f>IFERROR(__xludf.DUMMYFUNCTION("""COMPUTED_VALUE"""),"United States")</f>
        <v>United States</v>
      </c>
      <c r="D583" s="4" t="str">
        <f>IFERROR(__xludf.DUMMYFUNCTION("""COMPUTED_VALUE"""),"Autos and Vehicles ")</f>
        <v>Autos and Vehicles </v>
      </c>
      <c r="E583" s="4" t="str">
        <f>IFERROR(__xludf.DUMMYFUNCTION("""COMPUTED_VALUE""")," Brands")</f>
        <v> Brands</v>
      </c>
      <c r="F583" s="4" t="str">
        <f>IFERROR(__xludf.DUMMYFUNCTION("""COMPUTED_VALUE"""),"Fiat")</f>
        <v>Fiat</v>
      </c>
      <c r="G583" s="4"/>
      <c r="H583" s="4"/>
      <c r="I583" s="4"/>
      <c r="J583" s="5" t="s">
        <v>15</v>
      </c>
      <c r="K583" s="5" t="s">
        <v>42</v>
      </c>
      <c r="L583" s="5" t="s">
        <v>35</v>
      </c>
      <c r="M583" s="6" t="s">
        <v>859</v>
      </c>
      <c r="N583" s="5" t="s">
        <v>36</v>
      </c>
      <c r="O583" s="5" t="s">
        <v>27</v>
      </c>
      <c r="P583" s="5">
        <v>11417.0</v>
      </c>
      <c r="Q583" s="5">
        <v>78.0</v>
      </c>
      <c r="R583" s="5">
        <v>1387.0</v>
      </c>
      <c r="S583" s="5">
        <v>9924.0</v>
      </c>
      <c r="T583" s="5">
        <v>9.0</v>
      </c>
      <c r="U583" s="9">
        <v>6206.637108</v>
      </c>
    </row>
    <row r="584">
      <c r="A584" s="4" t="s">
        <v>1578</v>
      </c>
      <c r="B584" s="4" t="str">
        <f>IFERROR(__xludf.DUMMYFUNCTION("SPLIT(A584,""&gt;"")"),"Mobile - United States ")</f>
        <v>Mobile - United States </v>
      </c>
      <c r="C584" s="4" t="str">
        <f>IFERROR(__xludf.DUMMYFUNCTION("""COMPUTED_VALUE""")," Automotive ")</f>
        <v> Automotive </v>
      </c>
      <c r="D584" s="4" t="str">
        <f>IFERROR(__xludf.DUMMYFUNCTION("""COMPUTED_VALUE""")," Repair &amp; Oil Change ")</f>
        <v> Repair &amp; Oil Change </v>
      </c>
      <c r="E584" s="4" t="str">
        <f>IFERROR(__xludf.DUMMYFUNCTION("""COMPUTED_VALUE""")," Intend")</f>
        <v> Intend</v>
      </c>
      <c r="F584" s="4"/>
      <c r="G584" s="4"/>
      <c r="H584" s="4"/>
      <c r="I584" s="4"/>
      <c r="J584" s="5" t="s">
        <v>22</v>
      </c>
      <c r="K584" s="5" t="s">
        <v>16</v>
      </c>
      <c r="L584" s="5" t="s">
        <v>29</v>
      </c>
      <c r="M584" s="6" t="s">
        <v>861</v>
      </c>
      <c r="N584" s="5" t="s">
        <v>117</v>
      </c>
      <c r="O584" s="5" t="s">
        <v>27</v>
      </c>
      <c r="P584" s="5">
        <v>9157.0</v>
      </c>
      <c r="Q584" s="5">
        <v>60.0</v>
      </c>
      <c r="R584" s="5">
        <v>4520.0</v>
      </c>
      <c r="S584" s="5">
        <v>8037.0</v>
      </c>
      <c r="T584" s="5">
        <v>2.0</v>
      </c>
      <c r="U584" s="9">
        <v>1449.177804</v>
      </c>
    </row>
    <row r="585">
      <c r="A585" s="4" t="s">
        <v>1579</v>
      </c>
      <c r="B585" s="4" t="str">
        <f>IFERROR(__xludf.DUMMYFUNCTION("SPLIT(A585,""&gt;"")"),"United States ")</f>
        <v>United States </v>
      </c>
      <c r="C585" s="4" t="str">
        <f>IFERROR(__xludf.DUMMYFUNCTION("""COMPUTED_VALUE""")," Home Renovation ")</f>
        <v> Home Renovation </v>
      </c>
      <c r="D585" s="4" t="str">
        <f>IFERROR(__xludf.DUMMYFUNCTION("""COMPUTED_VALUE""")," Home Renovators")</f>
        <v> Home Renovators</v>
      </c>
      <c r="E585" s="4"/>
      <c r="F585" s="4"/>
      <c r="G585" s="4"/>
      <c r="H585" s="4"/>
      <c r="I585" s="4"/>
      <c r="J585" s="5" t="s">
        <v>15</v>
      </c>
      <c r="K585" s="5" t="s">
        <v>31</v>
      </c>
      <c r="L585" s="5" t="s">
        <v>35</v>
      </c>
      <c r="M585" s="6" t="s">
        <v>863</v>
      </c>
      <c r="N585" s="5" t="s">
        <v>19</v>
      </c>
      <c r="O585" s="5" t="s">
        <v>27</v>
      </c>
      <c r="P585" s="5">
        <v>15547.0</v>
      </c>
      <c r="Q585" s="5">
        <v>70.0</v>
      </c>
      <c r="R585" s="5">
        <v>7615.0</v>
      </c>
      <c r="S585" s="5">
        <v>14939.0</v>
      </c>
      <c r="T585" s="5">
        <v>3.0</v>
      </c>
      <c r="U585" s="9">
        <v>1767.464456</v>
      </c>
    </row>
    <row r="586">
      <c r="A586" s="4" t="s">
        <v>864</v>
      </c>
      <c r="B586" s="4" t="str">
        <f>IFERROR(__xludf.DUMMYFUNCTION("SPLIT(A586,""&gt;"")"),"Online Behavior")</f>
        <v>Online Behavior</v>
      </c>
      <c r="C586" s="4" t="str">
        <f>IFERROR(__xludf.DUMMYFUNCTION("""COMPUTED_VALUE"""),"United States")</f>
        <v>United States</v>
      </c>
      <c r="D586" s="4" t="str">
        <f>IFERROR(__xludf.DUMMYFUNCTION("""COMPUTED_VALUE"""),"News")</f>
        <v>News</v>
      </c>
      <c r="E586" s="4" t="str">
        <f>IFERROR(__xludf.DUMMYFUNCTION("""COMPUTED_VALUE"""),"Politics")</f>
        <v>Politics</v>
      </c>
      <c r="F586" s="4"/>
      <c r="G586" s="4"/>
      <c r="H586" s="4"/>
      <c r="I586" s="4"/>
      <c r="J586" s="5" t="s">
        <v>22</v>
      </c>
      <c r="K586" s="5" t="s">
        <v>23</v>
      </c>
      <c r="L586" s="5" t="s">
        <v>78</v>
      </c>
      <c r="M586" s="13" t="s">
        <v>1580</v>
      </c>
      <c r="N586" s="5" t="s">
        <v>19</v>
      </c>
      <c r="O586" s="5" t="s">
        <v>27</v>
      </c>
      <c r="P586" s="5">
        <v>55445.0</v>
      </c>
      <c r="Q586" s="5">
        <v>155.0</v>
      </c>
      <c r="R586" s="5">
        <v>4565.0</v>
      </c>
      <c r="S586" s="5">
        <v>53407.0</v>
      </c>
      <c r="T586" s="5">
        <v>36.0</v>
      </c>
      <c r="U586" s="9">
        <v>7948.480752</v>
      </c>
    </row>
    <row r="587">
      <c r="A587" s="4" t="s">
        <v>866</v>
      </c>
      <c r="B587" s="4" t="str">
        <f>IFERROR(__xludf.DUMMYFUNCTION("SPLIT(A587,""&gt;"")"),"Online Behavior")</f>
        <v>Online Behavior</v>
      </c>
      <c r="C587" s="4" t="str">
        <f>IFERROR(__xludf.DUMMYFUNCTION("""COMPUTED_VALUE"""),"United States")</f>
        <v>United States</v>
      </c>
      <c r="D587" s="4" t="str">
        <f>IFERROR(__xludf.DUMMYFUNCTION("""COMPUTED_VALUE"""),"Life Event")</f>
        <v>Life Event</v>
      </c>
      <c r="E587" s="4" t="str">
        <f>IFERROR(__xludf.DUMMYFUNCTION("""COMPUTED_VALUE"""),"Job Search")</f>
        <v>Job Search</v>
      </c>
      <c r="F587" s="4"/>
      <c r="G587" s="4"/>
      <c r="H587" s="4"/>
      <c r="I587" s="4"/>
      <c r="J587" s="5" t="s">
        <v>22</v>
      </c>
      <c r="K587" s="5" t="s">
        <v>42</v>
      </c>
      <c r="L587" s="5" t="s">
        <v>78</v>
      </c>
      <c r="M587" s="13" t="s">
        <v>1580</v>
      </c>
      <c r="N587" s="5" t="s">
        <v>19</v>
      </c>
      <c r="O587" s="5" t="s">
        <v>27</v>
      </c>
      <c r="P587" s="5">
        <v>18081.0</v>
      </c>
      <c r="Q587" s="5">
        <v>44.0</v>
      </c>
      <c r="R587" s="5">
        <v>4545.0</v>
      </c>
      <c r="S587" s="5">
        <v>15617.0</v>
      </c>
      <c r="T587" s="5">
        <v>15.0</v>
      </c>
      <c r="U587" s="9">
        <v>6522.637526</v>
      </c>
    </row>
    <row r="588" hidden="1">
      <c r="A588" s="4" t="s">
        <v>1581</v>
      </c>
      <c r="B588" s="4" t="str">
        <f>IFERROR(__xludf.DUMMYFUNCTION("SPLIT(A588,""&gt;"")"),"Online Behavior")</f>
        <v>Online Behavior</v>
      </c>
      <c r="C588" s="4" t="str">
        <f>IFERROR(__xludf.DUMMYFUNCTION("""COMPUTED_VALUE"""),"United States")</f>
        <v>United States</v>
      </c>
      <c r="D588" s="4" t="str">
        <f>IFERROR(__xludf.DUMMYFUNCTION("""COMPUTED_VALUE"""),"Food and Drink")</f>
        <v>Food and Drink</v>
      </c>
      <c r="E588" s="4" t="str">
        <f>IFERROR(__xludf.DUMMYFUNCTION("""COMPUTED_VALUE"""),"Restaurants ")</f>
        <v>Restaurants </v>
      </c>
      <c r="F588" s="4" t="str">
        <f>IFERROR(__xludf.DUMMYFUNCTION("""COMPUTED_VALUE""")," Fine Dining")</f>
        <v> Fine Dining</v>
      </c>
      <c r="G588" s="4"/>
      <c r="H588" s="4"/>
      <c r="I588" s="4"/>
      <c r="J588" s="5" t="s">
        <v>15</v>
      </c>
      <c r="K588" s="5" t="s">
        <v>31</v>
      </c>
      <c r="L588" s="5" t="s">
        <v>78</v>
      </c>
      <c r="M588" s="13" t="s">
        <v>1580</v>
      </c>
      <c r="N588" s="5" t="s">
        <v>19</v>
      </c>
      <c r="O588" s="5" t="s">
        <v>52</v>
      </c>
      <c r="P588" s="5">
        <v>95655.0</v>
      </c>
      <c r="Q588" s="5">
        <v>275.0</v>
      </c>
      <c r="R588" s="5">
        <v>9202.0</v>
      </c>
      <c r="S588" s="5">
        <v>85273.0</v>
      </c>
      <c r="T588" s="5">
        <v>24.0</v>
      </c>
      <c r="U588" s="9">
        <v>6189.416082</v>
      </c>
    </row>
    <row r="589" hidden="1">
      <c r="A589" s="4" t="s">
        <v>1582</v>
      </c>
      <c r="B589" s="4" t="str">
        <f>IFERROR(__xludf.DUMMYFUNCTION("SPLIT(A589,""&gt;"")"),"United States ")</f>
        <v>United States </v>
      </c>
      <c r="C589" s="4" t="str">
        <f>IFERROR(__xludf.DUMMYFUNCTION("""COMPUTED_VALUE""")," Brand Propensities ")</f>
        <v> Brand Propensities </v>
      </c>
      <c r="D589" s="4" t="str">
        <f>IFERROR(__xludf.DUMMYFUNCTION("""COMPUTED_VALUE""")," Apparel ")</f>
        <v> Apparel </v>
      </c>
      <c r="E589" s="4" t="str">
        <f>IFERROR(__xludf.DUMMYFUNCTION("""COMPUTED_VALUE""")," Lady Foot Locker Buyer Propensity")</f>
        <v> Lady Foot Locker Buyer Propensity</v>
      </c>
      <c r="F589" s="4"/>
      <c r="G589" s="4"/>
      <c r="H589" s="4"/>
      <c r="I589" s="4"/>
      <c r="J589" s="5" t="s">
        <v>15</v>
      </c>
      <c r="K589" s="5" t="s">
        <v>16</v>
      </c>
      <c r="L589" s="5" t="s">
        <v>641</v>
      </c>
      <c r="M589" s="13" t="s">
        <v>1580</v>
      </c>
      <c r="N589" s="5" t="s">
        <v>26</v>
      </c>
      <c r="O589" s="5" t="s">
        <v>52</v>
      </c>
      <c r="P589" s="5">
        <v>57257.0</v>
      </c>
      <c r="Q589" s="5">
        <v>167.0</v>
      </c>
      <c r="R589" s="5">
        <v>3797.0</v>
      </c>
      <c r="S589" s="5">
        <v>51520.0</v>
      </c>
      <c r="T589" s="5">
        <v>1.0</v>
      </c>
      <c r="U589" s="9">
        <v>1841.358126</v>
      </c>
    </row>
    <row r="590">
      <c r="A590" s="4" t="s">
        <v>1583</v>
      </c>
      <c r="B590" s="4" t="str">
        <f>IFERROR(__xludf.DUMMYFUNCTION("SPLIT(A590,""&gt;"")"),"United States ")</f>
        <v>United States </v>
      </c>
      <c r="C590" s="4" t="str">
        <f>IFERROR(__xludf.DUMMYFUNCTION("""COMPUTED_VALUE""")," Demographic ")</f>
        <v> Demographic </v>
      </c>
      <c r="D590" s="4" t="str">
        <f>IFERROR(__xludf.DUMMYFUNCTION("""COMPUTED_VALUE""")," HoUnited Statesehold Income $50k+")</f>
        <v> HoUnited Statesehold Income $50k+</v>
      </c>
      <c r="E590" s="4"/>
      <c r="F590" s="4"/>
      <c r="G590" s="4"/>
      <c r="H590" s="4"/>
      <c r="I590" s="4"/>
      <c r="J590" s="5" t="s">
        <v>61</v>
      </c>
      <c r="K590" s="5" t="s">
        <v>42</v>
      </c>
      <c r="L590" s="5" t="s">
        <v>39</v>
      </c>
      <c r="M590" s="13" t="s">
        <v>1580</v>
      </c>
      <c r="N590" s="5" t="s">
        <v>36</v>
      </c>
      <c r="O590" s="5" t="s">
        <v>27</v>
      </c>
      <c r="P590" s="5">
        <v>20417.0</v>
      </c>
      <c r="Q590" s="5">
        <v>86.0</v>
      </c>
      <c r="R590" s="5">
        <v>1016.0</v>
      </c>
      <c r="S590" s="5">
        <v>13468.0</v>
      </c>
      <c r="T590" s="5">
        <v>5.0</v>
      </c>
      <c r="U590" s="9">
        <v>1805.600513</v>
      </c>
    </row>
    <row r="591">
      <c r="A591" s="4" t="s">
        <v>1584</v>
      </c>
      <c r="B591" s="4" t="str">
        <f>IFERROR(__xludf.DUMMYFUNCTION("SPLIT(A591,""&gt;"")"),"Mobile - United States ")</f>
        <v>Mobile - United States </v>
      </c>
      <c r="C591" s="4" t="str">
        <f>IFERROR(__xludf.DUMMYFUNCTION("""COMPUTED_VALUE""")," Food ")</f>
        <v> Food </v>
      </c>
      <c r="D591" s="4" t="str">
        <f>IFERROR(__xludf.DUMMYFUNCTION("""COMPUTED_VALUE""")," Restaurant ")</f>
        <v> Restaurant </v>
      </c>
      <c r="E591" s="4" t="str">
        <f>IFERROR(__xludf.DUMMYFUNCTION("""COMPUTED_VALUE""")," Brand ")</f>
        <v> Brand </v>
      </c>
      <c r="F591" s="4" t="str">
        <f>IFERROR(__xludf.DUMMYFUNCTION("""COMPUTED_VALUE""")," Red Lobster")</f>
        <v> Red Lobster</v>
      </c>
      <c r="G591" s="4"/>
      <c r="H591" s="4"/>
      <c r="I591" s="4"/>
      <c r="J591" s="5" t="s">
        <v>15</v>
      </c>
      <c r="K591" s="5" t="s">
        <v>23</v>
      </c>
      <c r="L591" s="5" t="s">
        <v>35</v>
      </c>
      <c r="M591" s="13" t="s">
        <v>1580</v>
      </c>
      <c r="N591" s="5" t="s">
        <v>46</v>
      </c>
      <c r="O591" s="5" t="s">
        <v>27</v>
      </c>
      <c r="P591" s="5">
        <v>57917.0</v>
      </c>
      <c r="Q591" s="5">
        <v>212.0</v>
      </c>
      <c r="R591" s="5">
        <v>3650.0</v>
      </c>
      <c r="S591" s="5">
        <v>55128.0</v>
      </c>
      <c r="T591" s="5">
        <v>5.0</v>
      </c>
      <c r="U591" s="9">
        <v>1669.728905</v>
      </c>
    </row>
    <row r="592">
      <c r="A592" s="4" t="s">
        <v>1585</v>
      </c>
      <c r="B592" s="4" t="str">
        <f>IFERROR(__xludf.DUMMYFUNCTION("SPLIT(A592,""&gt;"")"),"United States ")</f>
        <v>United States </v>
      </c>
      <c r="C592" s="4" t="str">
        <f>IFERROR(__xludf.DUMMYFUNCTION("""COMPUTED_VALUE""")," B2B ")</f>
        <v> B2B </v>
      </c>
      <c r="D592" s="4" t="str">
        <f>IFERROR(__xludf.DUMMYFUNCTION("""COMPUTED_VALUE""")," B2B Decision Maker Responsibilities ")</f>
        <v> B2B Decision Maker Responsibilities </v>
      </c>
      <c r="E592" s="4" t="str">
        <f>IFERROR(__xludf.DUMMYFUNCTION("""COMPUTED_VALUE""")," Print, Copy or Photo Services")</f>
        <v> Print, Copy or Photo Services</v>
      </c>
      <c r="F592" s="4"/>
      <c r="G592" s="4"/>
      <c r="H592" s="4"/>
      <c r="I592" s="4"/>
      <c r="J592" s="5" t="s">
        <v>15</v>
      </c>
      <c r="K592" s="5" t="s">
        <v>16</v>
      </c>
      <c r="L592" s="5" t="s">
        <v>29</v>
      </c>
      <c r="M592" s="13" t="s">
        <v>1580</v>
      </c>
      <c r="N592" s="5" t="s">
        <v>19</v>
      </c>
      <c r="O592" s="5" t="s">
        <v>27</v>
      </c>
      <c r="P592" s="5">
        <v>141157.0</v>
      </c>
      <c r="Q592" s="5">
        <v>420.0</v>
      </c>
      <c r="R592" s="5">
        <v>8280.0</v>
      </c>
      <c r="S592" s="5">
        <v>107935.0</v>
      </c>
      <c r="T592" s="5">
        <v>4.0</v>
      </c>
      <c r="U592" s="9">
        <v>1631.782949</v>
      </c>
    </row>
    <row r="593">
      <c r="A593" s="4" t="s">
        <v>1586</v>
      </c>
      <c r="B593" s="4" t="str">
        <f>IFERROR(__xludf.DUMMYFUNCTION("SPLIT(A593,""&gt;"")"),"Online Behavior")</f>
        <v>Online Behavior</v>
      </c>
      <c r="C593" s="4" t="str">
        <f>IFERROR(__xludf.DUMMYFUNCTION("""COMPUTED_VALUE"""),"United States")</f>
        <v>United States</v>
      </c>
      <c r="D593" s="4" t="str">
        <f>IFERROR(__xludf.DUMMYFUNCTION("""COMPUTED_VALUE"""),"Beauty and Fitness")</f>
        <v>Beauty and Fitness</v>
      </c>
      <c r="E593" s="4" t="str">
        <f>IFERROR(__xludf.DUMMYFUNCTION("""COMPUTED_VALUE"""),"Face and Body Care ")</f>
        <v>Face and Body Care </v>
      </c>
      <c r="F593" s="4" t="str">
        <f>IFERROR(__xludf.DUMMYFUNCTION("""COMPUTED_VALUE""")," Hygiene and Toiletries")</f>
        <v> Hygiene and Toiletries</v>
      </c>
      <c r="G593" s="4"/>
      <c r="H593" s="4"/>
      <c r="I593" s="4"/>
      <c r="J593" s="5" t="s">
        <v>15</v>
      </c>
      <c r="K593" s="5" t="s">
        <v>31</v>
      </c>
      <c r="L593" s="5" t="s">
        <v>35</v>
      </c>
      <c r="M593" s="6" t="s">
        <v>873</v>
      </c>
      <c r="N593" s="5" t="s">
        <v>48</v>
      </c>
      <c r="O593" s="5" t="s">
        <v>27</v>
      </c>
      <c r="P593" s="5">
        <v>247106.0</v>
      </c>
      <c r="Q593" s="5">
        <v>750.0</v>
      </c>
      <c r="R593" s="5">
        <v>159618.0</v>
      </c>
      <c r="S593" s="5">
        <v>233150.0</v>
      </c>
      <c r="T593" s="5">
        <v>32.0</v>
      </c>
      <c r="U593" s="9">
        <v>7629.94427</v>
      </c>
    </row>
    <row r="594">
      <c r="A594" s="4" t="s">
        <v>1587</v>
      </c>
      <c r="B594" s="4" t="str">
        <f>IFERROR(__xludf.DUMMYFUNCTION("SPLIT(A594,""&gt;"")"),"Online Behavior")</f>
        <v>Online Behavior</v>
      </c>
      <c r="C594" s="4" t="str">
        <f>IFERROR(__xludf.DUMMYFUNCTION("""COMPUTED_VALUE"""),"United States")</f>
        <v>United States</v>
      </c>
      <c r="D594" s="4" t="str">
        <f>IFERROR(__xludf.DUMMYFUNCTION("""COMPUTED_VALUE"""),"Finance ")</f>
        <v>Finance </v>
      </c>
      <c r="E594" s="4" t="str">
        <f>IFERROR(__xludf.DUMMYFUNCTION("""COMPUTED_VALUE""")," Banking")</f>
        <v> Banking</v>
      </c>
      <c r="F594" s="4" t="str">
        <f>IFERROR(__xludf.DUMMYFUNCTION("""COMPUTED_VALUE"""),"Savings Accounts")</f>
        <v>Savings Accounts</v>
      </c>
      <c r="G594" s="4"/>
      <c r="H594" s="4"/>
      <c r="I594" s="4"/>
      <c r="J594" s="5" t="s">
        <v>15</v>
      </c>
      <c r="K594" s="5" t="s">
        <v>16</v>
      </c>
      <c r="L594" s="5" t="s">
        <v>35</v>
      </c>
      <c r="M594" s="6" t="s">
        <v>873</v>
      </c>
      <c r="N594" s="5" t="s">
        <v>19</v>
      </c>
      <c r="O594" s="5" t="s">
        <v>27</v>
      </c>
      <c r="P594" s="5">
        <v>357707.0</v>
      </c>
      <c r="Q594" s="5">
        <v>951.0</v>
      </c>
      <c r="R594" s="5">
        <v>203987.0</v>
      </c>
      <c r="S594" s="5">
        <v>338107.0</v>
      </c>
      <c r="T594" s="5">
        <v>74.0</v>
      </c>
      <c r="U594" s="9">
        <v>6749.202353</v>
      </c>
    </row>
    <row r="595" hidden="1">
      <c r="A595" s="4" t="s">
        <v>1588</v>
      </c>
      <c r="B595" s="4" t="str">
        <f>IFERROR(__xludf.DUMMYFUNCTION("SPLIT(A595,""&gt;"")"),"Online Behavior")</f>
        <v>Online Behavior</v>
      </c>
      <c r="C595" s="4" t="str">
        <f>IFERROR(__xludf.DUMMYFUNCTION("""COMPUTED_VALUE"""),"United States")</f>
        <v>United States</v>
      </c>
      <c r="D595" s="4" t="str">
        <f>IFERROR(__xludf.DUMMYFUNCTION("""COMPUTED_VALUE"""),"Validated Demographic ")</f>
        <v>Validated Demographic </v>
      </c>
      <c r="E595" s="4" t="str">
        <f>IFERROR(__xludf.DUMMYFUNCTION("""COMPUTED_VALUE""")," Gender and Age Combined")</f>
        <v> Gender and Age Combined</v>
      </c>
      <c r="F595" s="4" t="str">
        <f>IFERROR(__xludf.DUMMYFUNCTION("""COMPUTED_VALUE"""),"Males 25-64")</f>
        <v>Males 25-64</v>
      </c>
      <c r="G595" s="4"/>
      <c r="H595" s="4"/>
      <c r="I595" s="4"/>
      <c r="J595" s="5" t="s">
        <v>15</v>
      </c>
      <c r="K595" s="5" t="s">
        <v>42</v>
      </c>
      <c r="L595" s="5" t="s">
        <v>35</v>
      </c>
      <c r="M595" s="6" t="s">
        <v>873</v>
      </c>
      <c r="N595" s="5" t="s">
        <v>117</v>
      </c>
      <c r="O595" s="5" t="s">
        <v>20</v>
      </c>
      <c r="P595" s="5">
        <v>48707.0</v>
      </c>
      <c r="Q595" s="5">
        <v>185.0</v>
      </c>
      <c r="R595" s="5">
        <v>25182.0</v>
      </c>
      <c r="S595" s="5">
        <v>44696.0</v>
      </c>
      <c r="T595" s="5">
        <v>13.0</v>
      </c>
      <c r="U595" s="9">
        <v>5600.355643</v>
      </c>
    </row>
    <row r="596">
      <c r="A596" s="4" t="s">
        <v>1589</v>
      </c>
      <c r="B596" s="4" t="str">
        <f>IFERROR(__xludf.DUMMYFUNCTION("SPLIT(A596,""&gt;"")"),"Mobile - United States ")</f>
        <v>Mobile - United States </v>
      </c>
      <c r="C596" s="4" t="str">
        <f>IFERROR(__xludf.DUMMYFUNCTION("""COMPUTED_VALUE""")," Gamers ")</f>
        <v> Gamers </v>
      </c>
      <c r="D596" s="4" t="str">
        <f>IFERROR(__xludf.DUMMYFUNCTION("""COMPUTED_VALUE""")," Online ")</f>
        <v> Online </v>
      </c>
      <c r="E596" s="4" t="str">
        <f>IFERROR(__xludf.DUMMYFUNCTION("""COMPUTED_VALUE""")," United Statesers")</f>
        <v> United Statesers</v>
      </c>
      <c r="F596" s="4"/>
      <c r="G596" s="4"/>
      <c r="H596" s="4"/>
      <c r="I596" s="4"/>
      <c r="J596" s="5" t="s">
        <v>22</v>
      </c>
      <c r="K596" s="5" t="s">
        <v>16</v>
      </c>
      <c r="L596" s="5" t="s">
        <v>155</v>
      </c>
      <c r="M596" s="6" t="s">
        <v>873</v>
      </c>
      <c r="N596" s="5" t="s">
        <v>36</v>
      </c>
      <c r="O596" s="5" t="s">
        <v>27</v>
      </c>
      <c r="P596" s="5">
        <v>16372.0</v>
      </c>
      <c r="Q596" s="5">
        <v>90.0</v>
      </c>
      <c r="R596" s="5">
        <v>4731.0</v>
      </c>
      <c r="S596" s="5">
        <v>15332.0</v>
      </c>
      <c r="T596" s="5">
        <v>9.0</v>
      </c>
      <c r="U596" s="9">
        <v>1704.511123</v>
      </c>
    </row>
    <row r="597">
      <c r="A597" s="4" t="s">
        <v>1590</v>
      </c>
      <c r="B597" s="4" t="str">
        <f>IFERROR(__xludf.DUMMYFUNCTION("SPLIT(A597,""&gt;"")"),"United States ")</f>
        <v>United States </v>
      </c>
      <c r="C597" s="4" t="str">
        <f>IFERROR(__xludf.DUMMYFUNCTION("""COMPUTED_VALUE""")," Interest Propensities ")</f>
        <v> Interest Propensities </v>
      </c>
      <c r="D597" s="4" t="str">
        <f>IFERROR(__xludf.DUMMYFUNCTION("""COMPUTED_VALUE""")," Activities and Interests ")</f>
        <v> Activities and Interests </v>
      </c>
      <c r="E597" s="4" t="str">
        <f>IFERROR(__xludf.DUMMYFUNCTION("""COMPUTED_VALUE""")," Buying and Selling Homes ")</f>
        <v> Buying and Selling Homes </v>
      </c>
      <c r="F597" s="4" t="str">
        <f>IFERROR(__xludf.DUMMYFUNCTION("""COMPUTED_VALUE""")," Real Estate")</f>
        <v> Real Estate</v>
      </c>
      <c r="G597" s="4"/>
      <c r="H597" s="4"/>
      <c r="I597" s="4"/>
      <c r="J597" s="5" t="s">
        <v>15</v>
      </c>
      <c r="K597" s="5" t="s">
        <v>16</v>
      </c>
      <c r="L597" s="5" t="s">
        <v>55</v>
      </c>
      <c r="M597" s="6" t="s">
        <v>873</v>
      </c>
      <c r="N597" s="5" t="s">
        <v>19</v>
      </c>
      <c r="O597" s="5" t="s">
        <v>27</v>
      </c>
      <c r="P597" s="5">
        <v>14799.0</v>
      </c>
      <c r="Q597" s="5">
        <v>59.0</v>
      </c>
      <c r="R597" s="5">
        <v>1403.0</v>
      </c>
      <c r="S597" s="5">
        <v>13410.0</v>
      </c>
      <c r="T597" s="5">
        <v>9.0</v>
      </c>
      <c r="U597" s="9">
        <v>1693.760435</v>
      </c>
    </row>
    <row r="598">
      <c r="A598" s="4" t="s">
        <v>1591</v>
      </c>
      <c r="B598" s="4" t="str">
        <f>IFERROR(__xludf.DUMMYFUNCTION("SPLIT(A598,""&gt;"")"),"OnAudience ")</f>
        <v>OnAudience </v>
      </c>
      <c r="C598" s="4" t="str">
        <f>IFERROR(__xludf.DUMMYFUNCTION("""COMPUTED_VALUE""")," Interest ")</f>
        <v> Interest </v>
      </c>
      <c r="D598" s="4" t="str">
        <f>IFERROR(__xludf.DUMMYFUNCTION("""COMPUTED_VALUE""")," Shopping ")</f>
        <v> Shopping </v>
      </c>
      <c r="E598" s="4" t="str">
        <f>IFERROR(__xludf.DUMMYFUNCTION("""COMPUTED_VALUE""")," LuxurioUnited States Brands")</f>
        <v> LuxurioUnited States Brands</v>
      </c>
      <c r="F598" s="4"/>
      <c r="G598" s="4"/>
      <c r="H598" s="4"/>
      <c r="I598" s="4"/>
      <c r="J598" s="5" t="s">
        <v>22</v>
      </c>
      <c r="K598" s="5" t="s">
        <v>42</v>
      </c>
      <c r="L598" s="5" t="s">
        <v>45</v>
      </c>
      <c r="M598" s="6" t="s">
        <v>873</v>
      </c>
      <c r="N598" s="5" t="s">
        <v>19</v>
      </c>
      <c r="O598" s="5" t="s">
        <v>27</v>
      </c>
      <c r="P598" s="5">
        <v>97346.0</v>
      </c>
      <c r="Q598" s="5">
        <v>790.0</v>
      </c>
      <c r="R598" s="5">
        <v>44118.0</v>
      </c>
      <c r="S598" s="5">
        <v>91080.0</v>
      </c>
      <c r="T598" s="5">
        <v>19.0</v>
      </c>
      <c r="U598" s="9">
        <v>1657.56487</v>
      </c>
    </row>
    <row r="599">
      <c r="A599" s="4" t="s">
        <v>1592</v>
      </c>
      <c r="B599" s="4" t="str">
        <f>IFERROR(__xludf.DUMMYFUNCTION("SPLIT(A599,""&gt;"")"),"Online Behavior")</f>
        <v>Online Behavior</v>
      </c>
      <c r="C599" s="4" t="str">
        <f>IFERROR(__xludf.DUMMYFUNCTION("""COMPUTED_VALUE"""),"United States")</f>
        <v>United States</v>
      </c>
      <c r="D599" s="4" t="str">
        <f>IFERROR(__xludf.DUMMYFUNCTION("""COMPUTED_VALUE"""),"Validated Demographic ")</f>
        <v>Validated Demographic </v>
      </c>
      <c r="E599" s="4" t="str">
        <f>IFERROR(__xludf.DUMMYFUNCTION("""COMPUTED_VALUE""")," Gender and Age Combined")</f>
        <v> Gender and Age Combined</v>
      </c>
      <c r="F599" s="4" t="str">
        <f>IFERROR(__xludf.DUMMYFUNCTION("""COMPUTED_VALUE"""),"Males 55-64")</f>
        <v>Males 55-64</v>
      </c>
      <c r="G599" s="4"/>
      <c r="H599" s="4"/>
      <c r="I599" s="4"/>
      <c r="J599" s="5" t="s">
        <v>22</v>
      </c>
      <c r="K599" s="5" t="s">
        <v>23</v>
      </c>
      <c r="L599" s="5" t="s">
        <v>78</v>
      </c>
      <c r="M599" s="6" t="s">
        <v>880</v>
      </c>
      <c r="N599" s="5" t="s">
        <v>50</v>
      </c>
      <c r="O599" s="5" t="s">
        <v>27</v>
      </c>
      <c r="P599" s="5">
        <v>44361.0</v>
      </c>
      <c r="Q599" s="5">
        <v>166.0</v>
      </c>
      <c r="R599" s="5">
        <v>36040.0</v>
      </c>
      <c r="S599" s="5">
        <v>40684.0</v>
      </c>
      <c r="T599" s="5">
        <v>17.0</v>
      </c>
      <c r="U599" s="9">
        <v>5048.852553</v>
      </c>
    </row>
    <row r="600">
      <c r="A600" s="4" t="s">
        <v>881</v>
      </c>
      <c r="B600" s="4" t="str">
        <f>IFERROR(__xludf.DUMMYFUNCTION("SPLIT(A600,""&gt;"")"),"Restaurants")</f>
        <v>Restaurants</v>
      </c>
      <c r="C600" s="4"/>
      <c r="D600" s="4"/>
      <c r="E600" s="4"/>
      <c r="F600" s="4"/>
      <c r="G600" s="4"/>
      <c r="H600" s="4"/>
      <c r="I600" s="4"/>
      <c r="J600" s="5" t="s">
        <v>15</v>
      </c>
      <c r="K600" s="5" t="s">
        <v>42</v>
      </c>
      <c r="L600" s="5" t="s">
        <v>39</v>
      </c>
      <c r="M600" s="6" t="s">
        <v>880</v>
      </c>
      <c r="N600" s="5" t="s">
        <v>19</v>
      </c>
      <c r="O600" s="5" t="s">
        <v>27</v>
      </c>
      <c r="P600" s="5">
        <v>12280.0</v>
      </c>
      <c r="Q600" s="5">
        <v>40.0</v>
      </c>
      <c r="R600" s="5">
        <v>9613.0</v>
      </c>
      <c r="S600" s="5">
        <v>11247.0</v>
      </c>
      <c r="T600" s="5">
        <v>4.0</v>
      </c>
      <c r="U600" s="9">
        <v>1765.39871</v>
      </c>
    </row>
    <row r="601" hidden="1">
      <c r="A601" s="4" t="s">
        <v>1593</v>
      </c>
      <c r="B601" s="4" t="str">
        <f>IFERROR(__xludf.DUMMYFUNCTION("SPLIT(A601,""&gt;"")"),"OnAudience ")</f>
        <v>OnAudience </v>
      </c>
      <c r="C601" s="4" t="str">
        <f>IFERROR(__xludf.DUMMYFUNCTION("""COMPUTED_VALUE""")," Interest ")</f>
        <v> Interest </v>
      </c>
      <c r="D601" s="4" t="str">
        <f>IFERROR(__xludf.DUMMYFUNCTION("""COMPUTED_VALUE""")," Hobbies &amp; Interests ")</f>
        <v> Hobbies &amp; Interests </v>
      </c>
      <c r="E601" s="4" t="str">
        <f>IFERROR(__xludf.DUMMYFUNCTION("""COMPUTED_VALUE""")," Art")</f>
        <v> Art</v>
      </c>
      <c r="F601" s="4"/>
      <c r="G601" s="4"/>
      <c r="H601" s="4"/>
      <c r="I601" s="4"/>
      <c r="J601" s="5" t="s">
        <v>15</v>
      </c>
      <c r="K601" s="5" t="s">
        <v>16</v>
      </c>
      <c r="L601" s="5" t="s">
        <v>17</v>
      </c>
      <c r="M601" s="6" t="s">
        <v>880</v>
      </c>
      <c r="N601" s="5" t="s">
        <v>36</v>
      </c>
      <c r="O601" s="5" t="s">
        <v>52</v>
      </c>
      <c r="P601" s="5">
        <v>22934.0</v>
      </c>
      <c r="Q601" s="5">
        <v>81.0</v>
      </c>
      <c r="R601" s="5">
        <v>18536.0</v>
      </c>
      <c r="S601" s="5">
        <v>21019.0</v>
      </c>
      <c r="T601" s="5">
        <v>5.0</v>
      </c>
      <c r="U601" s="9">
        <v>1711.106338</v>
      </c>
    </row>
    <row r="602">
      <c r="A602" s="4" t="s">
        <v>1594</v>
      </c>
      <c r="B602" s="4" t="str">
        <f>IFERROR(__xludf.DUMMYFUNCTION("SPLIT(A602,""&gt;"")"),"Online Behavior")</f>
        <v>Online Behavior</v>
      </c>
      <c r="C602" s="4" t="str">
        <f>IFERROR(__xludf.DUMMYFUNCTION("""COMPUTED_VALUE"""),"United States")</f>
        <v>United States</v>
      </c>
      <c r="D602" s="4" t="str">
        <f>IFERROR(__xludf.DUMMYFUNCTION("""COMPUTED_VALUE"""),"Autos and Vehicles ")</f>
        <v>Autos and Vehicles </v>
      </c>
      <c r="E602" s="4" t="str">
        <f>IFERROR(__xludf.DUMMYFUNCTION("""COMPUTED_VALUE""")," Brands")</f>
        <v> Brands</v>
      </c>
      <c r="F602" s="4" t="str">
        <f>IFERROR(__xludf.DUMMYFUNCTION("""COMPUTED_VALUE"""),"Peugeot")</f>
        <v>Peugeot</v>
      </c>
      <c r="G602" s="4"/>
      <c r="H602" s="4"/>
      <c r="I602" s="4"/>
      <c r="J602" s="5" t="s">
        <v>22</v>
      </c>
      <c r="K602" s="5" t="s">
        <v>42</v>
      </c>
      <c r="L602" s="5" t="s">
        <v>35</v>
      </c>
      <c r="M602" s="6" t="s">
        <v>884</v>
      </c>
      <c r="N602" s="5" t="s">
        <v>19</v>
      </c>
      <c r="O602" s="5" t="s">
        <v>27</v>
      </c>
      <c r="P602" s="5">
        <v>17317.0</v>
      </c>
      <c r="Q602" s="5">
        <v>68.0</v>
      </c>
      <c r="R602" s="5">
        <v>8055.0</v>
      </c>
      <c r="S602" s="5">
        <v>12724.0</v>
      </c>
      <c r="T602" s="5">
        <v>12.0</v>
      </c>
      <c r="U602" s="9">
        <v>5668.857079</v>
      </c>
    </row>
    <row r="603">
      <c r="A603" s="4" t="s">
        <v>1595</v>
      </c>
      <c r="B603" s="4" t="str">
        <f>IFERROR(__xludf.DUMMYFUNCTION("SPLIT(A603,""&gt;"")"),"OnAudience ")</f>
        <v>OnAudience </v>
      </c>
      <c r="C603" s="4" t="str">
        <f>IFERROR(__xludf.DUMMYFUNCTION("""COMPUTED_VALUE""")," Interest")</f>
        <v> Interest</v>
      </c>
      <c r="D603" s="4"/>
      <c r="E603" s="4"/>
      <c r="F603" s="4"/>
      <c r="G603" s="4"/>
      <c r="H603" s="4"/>
      <c r="I603" s="4"/>
      <c r="J603" s="5" t="s">
        <v>15</v>
      </c>
      <c r="K603" s="5" t="s">
        <v>23</v>
      </c>
      <c r="L603" s="5" t="s">
        <v>78</v>
      </c>
      <c r="M603" s="6" t="s">
        <v>886</v>
      </c>
      <c r="N603" s="5" t="s">
        <v>36</v>
      </c>
      <c r="O603" s="5" t="s">
        <v>27</v>
      </c>
      <c r="P603" s="5">
        <v>11343.0</v>
      </c>
      <c r="Q603" s="5">
        <v>69.0</v>
      </c>
      <c r="R603" s="5">
        <v>5900.0</v>
      </c>
      <c r="S603" s="5">
        <v>10175.0</v>
      </c>
      <c r="T603" s="5">
        <v>3.0</v>
      </c>
      <c r="U603" s="9">
        <v>2178.153775</v>
      </c>
    </row>
    <row r="604" hidden="1">
      <c r="A604" s="4" t="s">
        <v>1596</v>
      </c>
      <c r="B604" s="4" t="str">
        <f>IFERROR(__xludf.DUMMYFUNCTION("SPLIT(A604,""&gt;"")"),"Real Estate ")</f>
        <v>Real Estate </v>
      </c>
      <c r="C604" s="4" t="str">
        <f>IFERROR(__xludf.DUMMYFUNCTION("""COMPUTED_VALUE""")," Property Type")</f>
        <v> Property Type</v>
      </c>
      <c r="D604" s="4" t="str">
        <f>IFERROR(__xludf.DUMMYFUNCTION("""COMPUTED_VALUE""")," Residential")</f>
        <v> Residential</v>
      </c>
      <c r="E604" s="4"/>
      <c r="F604" s="4"/>
      <c r="G604" s="4"/>
      <c r="H604" s="4"/>
      <c r="I604" s="4"/>
      <c r="J604" s="5" t="s">
        <v>15</v>
      </c>
      <c r="K604" s="5" t="s">
        <v>42</v>
      </c>
      <c r="L604" s="5" t="s">
        <v>356</v>
      </c>
      <c r="M604" s="6" t="s">
        <v>886</v>
      </c>
      <c r="N604" s="5" t="s">
        <v>19</v>
      </c>
      <c r="O604" s="5" t="s">
        <v>20</v>
      </c>
      <c r="P604" s="5">
        <v>11043.0</v>
      </c>
      <c r="Q604" s="5">
        <v>125.0</v>
      </c>
      <c r="R604" s="5">
        <v>4547.0</v>
      </c>
      <c r="S604" s="5">
        <v>9666.0</v>
      </c>
      <c r="T604" s="5">
        <v>13.0</v>
      </c>
      <c r="U604" s="9">
        <v>1858.132171</v>
      </c>
    </row>
    <row r="605">
      <c r="A605" s="4" t="s">
        <v>1597</v>
      </c>
      <c r="B605" s="4" t="str">
        <f>IFERROR(__xludf.DUMMYFUNCTION("SPLIT(A605,""&gt;"")"),"Media Source ")</f>
        <v>Media Source </v>
      </c>
      <c r="C605" s="4" t="str">
        <f>IFERROR(__xludf.DUMMYFUNCTION("""COMPUTED_VALUE""")," LBDigital ")</f>
        <v> LBDigital </v>
      </c>
      <c r="D605" s="4" t="str">
        <f>IFERROR(__xludf.DUMMYFUNCTION("""COMPUTED_VALUE""")," Open For BUnited Statesiness B2B")</f>
        <v> Open For BUnited Statesiness B2B</v>
      </c>
      <c r="E605" s="4"/>
      <c r="F605" s="4"/>
      <c r="G605" s="4"/>
      <c r="H605" s="4"/>
      <c r="I605" s="4"/>
      <c r="J605" s="5" t="s">
        <v>22</v>
      </c>
      <c r="K605" s="5" t="s">
        <v>31</v>
      </c>
      <c r="L605" s="5" t="s">
        <v>17</v>
      </c>
      <c r="M605" s="6" t="s">
        <v>886</v>
      </c>
      <c r="N605" s="5" t="s">
        <v>48</v>
      </c>
      <c r="O605" s="5" t="s">
        <v>27</v>
      </c>
      <c r="P605" s="5">
        <v>21737.0</v>
      </c>
      <c r="Q605" s="5">
        <v>80.0</v>
      </c>
      <c r="R605" s="5">
        <v>11206.0</v>
      </c>
      <c r="S605" s="5">
        <v>19459.0</v>
      </c>
      <c r="T605" s="5">
        <v>4.0</v>
      </c>
      <c r="U605" s="9">
        <v>1521.576648</v>
      </c>
    </row>
    <row r="606">
      <c r="A606" s="4" t="s">
        <v>889</v>
      </c>
      <c r="B606" s="4" t="str">
        <f>IFERROR(__xludf.DUMMYFUNCTION("SPLIT(A606,""&gt;"")"),"Online Behavior")</f>
        <v>Online Behavior</v>
      </c>
      <c r="C606" s="4" t="str">
        <f>IFERROR(__xludf.DUMMYFUNCTION("""COMPUTED_VALUE"""),"United States")</f>
        <v>United States</v>
      </c>
      <c r="D606" s="4" t="str">
        <f>IFERROR(__xludf.DUMMYFUNCTION("""COMPUTED_VALUE"""),"Life Event")</f>
        <v>Life Event</v>
      </c>
      <c r="E606" s="4" t="str">
        <f>IFERROR(__xludf.DUMMYFUNCTION("""COMPUTED_VALUE"""),"Home Buying")</f>
        <v>Home Buying</v>
      </c>
      <c r="F606" s="4"/>
      <c r="G606" s="4"/>
      <c r="H606" s="4"/>
      <c r="I606" s="4"/>
      <c r="J606" s="5" t="s">
        <v>15</v>
      </c>
      <c r="K606" s="5" t="s">
        <v>16</v>
      </c>
      <c r="L606" s="5" t="s">
        <v>78</v>
      </c>
      <c r="M606" s="6" t="s">
        <v>890</v>
      </c>
      <c r="N606" s="5" t="s">
        <v>26</v>
      </c>
      <c r="O606" s="5" t="s">
        <v>27</v>
      </c>
      <c r="P606" s="5">
        <v>9362.0</v>
      </c>
      <c r="Q606" s="5">
        <v>39.0</v>
      </c>
      <c r="R606" s="5">
        <v>5202.0</v>
      </c>
      <c r="S606" s="5">
        <v>8928.0</v>
      </c>
      <c r="T606" s="5">
        <v>6.0</v>
      </c>
      <c r="U606" s="9">
        <v>7312.492757</v>
      </c>
    </row>
    <row r="607" hidden="1">
      <c r="A607" s="4" t="s">
        <v>1598</v>
      </c>
      <c r="B607" s="4" t="str">
        <f>IFERROR(__xludf.DUMMYFUNCTION("SPLIT(A607,""&gt;"")"),"OnAudience ")</f>
        <v>OnAudience </v>
      </c>
      <c r="C607" s="4" t="str">
        <f>IFERROR(__xludf.DUMMYFUNCTION("""COMPUTED_VALUE""")," Intent ")</f>
        <v> Intent </v>
      </c>
      <c r="D607" s="4" t="str">
        <f>IFERROR(__xludf.DUMMYFUNCTION("""COMPUTED_VALUE""")," Baby &amp; Toddler")</f>
        <v> Baby &amp; Toddler</v>
      </c>
      <c r="E607" s="4"/>
      <c r="F607" s="4"/>
      <c r="G607" s="4"/>
      <c r="H607" s="4"/>
      <c r="I607" s="4"/>
      <c r="J607" s="5" t="s">
        <v>15</v>
      </c>
      <c r="K607" s="5" t="s">
        <v>31</v>
      </c>
      <c r="L607" s="5" t="s">
        <v>183</v>
      </c>
      <c r="M607" s="6" t="s">
        <v>890</v>
      </c>
      <c r="N607" s="5" t="s">
        <v>117</v>
      </c>
      <c r="O607" s="5" t="s">
        <v>52</v>
      </c>
      <c r="P607" s="5">
        <v>16628.0</v>
      </c>
      <c r="Q607" s="5">
        <v>70.0</v>
      </c>
      <c r="R607" s="5">
        <v>7974.0</v>
      </c>
      <c r="S607" s="5">
        <v>15969.0</v>
      </c>
      <c r="T607" s="5">
        <v>13.0</v>
      </c>
      <c r="U607" s="9">
        <v>1665.965851</v>
      </c>
    </row>
    <row r="608" hidden="1">
      <c r="A608" s="4" t="s">
        <v>1599</v>
      </c>
      <c r="B608" s="4" t="str">
        <f>IFERROR(__xludf.DUMMYFUNCTION("SPLIT(A608,""&gt;"")"),"Online Behavior")</f>
        <v>Online Behavior</v>
      </c>
      <c r="C608" s="4" t="str">
        <f>IFERROR(__xludf.DUMMYFUNCTION("""COMPUTED_VALUE"""),"United States")</f>
        <v>United States</v>
      </c>
      <c r="D608" s="4" t="str">
        <f>IFERROR(__xludf.DUMMYFUNCTION("""COMPUTED_VALUE"""),"Beauty and Fitness")</f>
        <v>Beauty and Fitness</v>
      </c>
      <c r="E608" s="4" t="str">
        <f>IFERROR(__xludf.DUMMYFUNCTION("""COMPUTED_VALUE"""),"Fitness ")</f>
        <v>Fitness </v>
      </c>
      <c r="F608" s="4" t="str">
        <f>IFERROR(__xludf.DUMMYFUNCTION("""COMPUTED_VALUE""")," Fitness Equipment and Accessories")</f>
        <v> Fitness Equipment and Accessories</v>
      </c>
      <c r="G608" s="4"/>
      <c r="H608" s="4"/>
      <c r="I608" s="4"/>
      <c r="J608" s="5" t="s">
        <v>15</v>
      </c>
      <c r="K608" s="5" t="s">
        <v>31</v>
      </c>
      <c r="L608" s="5" t="s">
        <v>66</v>
      </c>
      <c r="M608" s="6" t="s">
        <v>893</v>
      </c>
      <c r="N608" s="5" t="s">
        <v>19</v>
      </c>
      <c r="O608" s="5" t="s">
        <v>52</v>
      </c>
      <c r="P608" s="5">
        <v>24875.0</v>
      </c>
      <c r="Q608" s="5">
        <v>67.0</v>
      </c>
      <c r="R608" s="5">
        <v>14213.0</v>
      </c>
      <c r="S608" s="5">
        <v>23455.0</v>
      </c>
      <c r="T608" s="5">
        <v>8.0</v>
      </c>
      <c r="U608" s="9">
        <v>4652.242051</v>
      </c>
    </row>
    <row r="609">
      <c r="A609" s="4" t="s">
        <v>1600</v>
      </c>
      <c r="B609" s="4" t="str">
        <f>IFERROR(__xludf.DUMMYFUNCTION("SPLIT(A609,""&gt;"")"),"United States Buying Channel Preference ")</f>
        <v>United States Buying Channel Preference </v>
      </c>
      <c r="C609" s="4" t="str">
        <f>IFERROR(__xludf.DUMMYFUNCTION("""COMPUTED_VALUE""")," Online")</f>
        <v> Online</v>
      </c>
      <c r="D609" s="4"/>
      <c r="E609" s="4"/>
      <c r="F609" s="4"/>
      <c r="G609" s="4"/>
      <c r="H609" s="4"/>
      <c r="I609" s="4"/>
      <c r="J609" s="5" t="s">
        <v>22</v>
      </c>
      <c r="K609" s="5" t="s">
        <v>31</v>
      </c>
      <c r="L609" s="5" t="s">
        <v>32</v>
      </c>
      <c r="M609" s="6" t="s">
        <v>893</v>
      </c>
      <c r="N609" s="5" t="s">
        <v>46</v>
      </c>
      <c r="O609" s="5" t="s">
        <v>27</v>
      </c>
      <c r="P609" s="5">
        <v>10707.0</v>
      </c>
      <c r="Q609" s="5">
        <v>57.0</v>
      </c>
      <c r="R609" s="5">
        <v>6300.0</v>
      </c>
      <c r="S609" s="5">
        <v>10089.0</v>
      </c>
      <c r="T609" s="5">
        <v>3.0</v>
      </c>
      <c r="U609" s="9">
        <v>1603.859264</v>
      </c>
    </row>
    <row r="610">
      <c r="A610" s="4" t="s">
        <v>1601</v>
      </c>
      <c r="B610" s="4" t="str">
        <f>IFERROR(__xludf.DUMMYFUNCTION("SPLIT(A610,""&gt;"")"),"Online Behavior")</f>
        <v>Online Behavior</v>
      </c>
      <c r="C610" s="4" t="str">
        <f>IFERROR(__xludf.DUMMYFUNCTION("""COMPUTED_VALUE"""),"United States")</f>
        <v>United States</v>
      </c>
      <c r="D610" s="4" t="str">
        <f>IFERROR(__xludf.DUMMYFUNCTION("""COMPUTED_VALUE"""),"Validated Demographic ")</f>
        <v>Validated Demographic </v>
      </c>
      <c r="E610" s="4" t="str">
        <f>IFERROR(__xludf.DUMMYFUNCTION("""COMPUTED_VALUE""")," Age")</f>
        <v> Age</v>
      </c>
      <c r="F610" s="4" t="str">
        <f>IFERROR(__xludf.DUMMYFUNCTION("""COMPUTED_VALUE"""),"65 or older")</f>
        <v>65 or older</v>
      </c>
      <c r="G610" s="4"/>
      <c r="H610" s="4"/>
      <c r="I610" s="4"/>
      <c r="J610" s="5" t="s">
        <v>22</v>
      </c>
      <c r="K610" s="5" t="s">
        <v>42</v>
      </c>
      <c r="L610" s="5" t="s">
        <v>39</v>
      </c>
      <c r="M610" s="6" t="s">
        <v>896</v>
      </c>
      <c r="N610" s="5" t="s">
        <v>167</v>
      </c>
      <c r="O610" s="5" t="s">
        <v>27</v>
      </c>
      <c r="P610" s="5">
        <v>10386.0</v>
      </c>
      <c r="Q610" s="5">
        <v>65.0</v>
      </c>
      <c r="R610" s="5">
        <v>5876.0</v>
      </c>
      <c r="S610" s="5">
        <v>10048.0</v>
      </c>
      <c r="T610" s="5">
        <v>15.0</v>
      </c>
      <c r="U610" s="9">
        <v>4439.838064</v>
      </c>
    </row>
    <row r="611">
      <c r="A611" s="4" t="s">
        <v>1602</v>
      </c>
      <c r="B611" s="4" t="str">
        <f>IFERROR(__xludf.DUMMYFUNCTION("SPLIT(A611,""&gt;"")"),"United States ")</f>
        <v>United States </v>
      </c>
      <c r="C611" s="4" t="str">
        <f>IFERROR(__xludf.DUMMYFUNCTION("""COMPUTED_VALUE"""),"Made In America Audience")</f>
        <v>Made In America Audience</v>
      </c>
      <c r="D611" s="4"/>
      <c r="E611" s="4"/>
      <c r="F611" s="4"/>
      <c r="G611" s="4"/>
      <c r="H611" s="4"/>
      <c r="I611" s="4"/>
      <c r="J611" s="5" t="s">
        <v>22</v>
      </c>
      <c r="K611" s="5" t="s">
        <v>31</v>
      </c>
      <c r="L611" s="5" t="s">
        <v>78</v>
      </c>
      <c r="M611" s="6" t="s">
        <v>898</v>
      </c>
      <c r="N611" s="5" t="s">
        <v>26</v>
      </c>
      <c r="O611" s="5" t="s">
        <v>27</v>
      </c>
      <c r="P611" s="5">
        <v>16137.0</v>
      </c>
      <c r="Q611" s="5">
        <v>40.0</v>
      </c>
      <c r="R611" s="5">
        <v>7938.0</v>
      </c>
      <c r="S611" s="5">
        <v>14030.0</v>
      </c>
      <c r="T611" s="5">
        <v>4.0</v>
      </c>
      <c r="U611" s="9">
        <v>1835.048738</v>
      </c>
    </row>
    <row r="612">
      <c r="A612" s="4" t="s">
        <v>1603</v>
      </c>
      <c r="B612" s="4" t="str">
        <f>IFERROR(__xludf.DUMMYFUNCTION("SPLIT(A612,""&gt;"")"),"Online Behavior")</f>
        <v>Online Behavior</v>
      </c>
      <c r="C612" s="4" t="str">
        <f>IFERROR(__xludf.DUMMYFUNCTION("""COMPUTED_VALUE"""),"United States")</f>
        <v>United States</v>
      </c>
      <c r="D612" s="4" t="str">
        <f>IFERROR(__xludf.DUMMYFUNCTION("""COMPUTED_VALUE"""),"Intent ")</f>
        <v>Intent </v>
      </c>
      <c r="E612" s="4" t="str">
        <f>IFERROR(__xludf.DUMMYFUNCTION("""COMPUTED_VALUE""")," Shopping")</f>
        <v> Shopping</v>
      </c>
      <c r="F612" s="4" t="str">
        <f>IFERROR(__xludf.DUMMYFUNCTION("""COMPUTED_VALUE"""),"Drug Stores ")</f>
        <v>Drug Stores </v>
      </c>
      <c r="G612" s="4" t="str">
        <f>IFERROR(__xludf.DUMMYFUNCTION("""COMPUTED_VALUE""")," Walgreens")</f>
        <v> Walgreens</v>
      </c>
      <c r="H612" s="4"/>
      <c r="I612" s="4"/>
      <c r="J612" s="5" t="s">
        <v>61</v>
      </c>
      <c r="K612" s="5" t="s">
        <v>16</v>
      </c>
      <c r="L612" s="5" t="s">
        <v>78</v>
      </c>
      <c r="M612" s="13" t="s">
        <v>1604</v>
      </c>
      <c r="N612" s="5" t="s">
        <v>19</v>
      </c>
      <c r="O612" s="5" t="s">
        <v>27</v>
      </c>
      <c r="P612" s="5">
        <v>39373.0</v>
      </c>
      <c r="Q612" s="5">
        <v>99.0</v>
      </c>
      <c r="R612" s="5">
        <v>23152.0</v>
      </c>
      <c r="S612" s="5">
        <v>35857.0</v>
      </c>
      <c r="T612" s="5">
        <v>17.0</v>
      </c>
      <c r="U612" s="9">
        <v>6342.885786</v>
      </c>
    </row>
    <row r="613">
      <c r="A613" s="4" t="s">
        <v>1605</v>
      </c>
      <c r="B613" s="4" t="str">
        <f>IFERROR(__xludf.DUMMYFUNCTION("SPLIT(A613,""&gt;"")"),"Online Behavior")</f>
        <v>Online Behavior</v>
      </c>
      <c r="C613" s="4" t="str">
        <f>IFERROR(__xludf.DUMMYFUNCTION("""COMPUTED_VALUE"""),"United States")</f>
        <v>United States</v>
      </c>
      <c r="D613" s="4" t="str">
        <f>IFERROR(__xludf.DUMMYFUNCTION("""COMPUTED_VALUE"""),"Validated Demographic ")</f>
        <v>Validated Demographic </v>
      </c>
      <c r="E613" s="4" t="str">
        <f>IFERROR(__xludf.DUMMYFUNCTION("""COMPUTED_VALUE""")," Gender and Age Combined")</f>
        <v> Gender and Age Combined</v>
      </c>
      <c r="F613" s="4" t="str">
        <f>IFERROR(__xludf.DUMMYFUNCTION("""COMPUTED_VALUE"""),"Males 25 or older")</f>
        <v>Males 25 or older</v>
      </c>
      <c r="G613" s="4"/>
      <c r="H613" s="4"/>
      <c r="I613" s="4"/>
      <c r="J613" s="5" t="s">
        <v>22</v>
      </c>
      <c r="K613" s="5" t="s">
        <v>16</v>
      </c>
      <c r="L613" s="5" t="s">
        <v>35</v>
      </c>
      <c r="M613" s="13" t="s">
        <v>1604</v>
      </c>
      <c r="N613" s="5" t="s">
        <v>48</v>
      </c>
      <c r="O613" s="5" t="s">
        <v>27</v>
      </c>
      <c r="P613" s="5">
        <v>47016.0</v>
      </c>
      <c r="Q613" s="5">
        <v>199.0</v>
      </c>
      <c r="R613" s="5">
        <v>12210.0</v>
      </c>
      <c r="S613" s="5">
        <v>38039.0</v>
      </c>
      <c r="T613" s="5">
        <v>13.0</v>
      </c>
      <c r="U613" s="9">
        <v>5974.87508</v>
      </c>
    </row>
    <row r="614">
      <c r="A614" s="4" t="s">
        <v>1606</v>
      </c>
      <c r="B614" s="4" t="str">
        <f>IFERROR(__xludf.DUMMYFUNCTION("SPLIT(A614,""&gt;"")"),"Online Behavior")</f>
        <v>Online Behavior</v>
      </c>
      <c r="C614" s="4" t="str">
        <f>IFERROR(__xludf.DUMMYFUNCTION("""COMPUTED_VALUE"""),"United States")</f>
        <v>United States</v>
      </c>
      <c r="D614" s="4" t="str">
        <f>IFERROR(__xludf.DUMMYFUNCTION("""COMPUTED_VALUE"""),"Intent ")</f>
        <v>Intent </v>
      </c>
      <c r="E614" s="4" t="str">
        <f>IFERROR(__xludf.DUMMYFUNCTION("""COMPUTED_VALUE""")," Auto Buyers ")</f>
        <v> Auto Buyers </v>
      </c>
      <c r="F614" s="4" t="str">
        <f>IFERROR(__xludf.DUMMYFUNCTION("""COMPUTED_VALUE""")," Type")</f>
        <v> Type</v>
      </c>
      <c r="G614" s="4" t="str">
        <f>IFERROR(__xludf.DUMMYFUNCTION("""COMPUTED_VALUE"""),"Crossover")</f>
        <v>Crossover</v>
      </c>
      <c r="H614" s="4"/>
      <c r="I614" s="4"/>
      <c r="J614" s="5" t="s">
        <v>22</v>
      </c>
      <c r="K614" s="5" t="s">
        <v>31</v>
      </c>
      <c r="L614" s="5" t="s">
        <v>35</v>
      </c>
      <c r="M614" s="13" t="s">
        <v>1604</v>
      </c>
      <c r="N614" s="5" t="s">
        <v>19</v>
      </c>
      <c r="O614" s="5" t="s">
        <v>27</v>
      </c>
      <c r="P614" s="5">
        <v>25539.0</v>
      </c>
      <c r="Q614" s="5">
        <v>78.0</v>
      </c>
      <c r="R614" s="5">
        <v>12130.0</v>
      </c>
      <c r="S614" s="5">
        <v>24129.0</v>
      </c>
      <c r="T614" s="5">
        <v>15.0</v>
      </c>
      <c r="U614" s="9">
        <v>4804.493233</v>
      </c>
    </row>
    <row r="615">
      <c r="A615" s="4" t="s">
        <v>1607</v>
      </c>
      <c r="B615" s="4" t="str">
        <f>IFERROR(__xludf.DUMMYFUNCTION("SPLIT(A615,""&gt;"")"),"Online Behavior")</f>
        <v>Online Behavior</v>
      </c>
      <c r="C615" s="4" t="str">
        <f>IFERROR(__xludf.DUMMYFUNCTION("""COMPUTED_VALUE"""),"United States")</f>
        <v>United States</v>
      </c>
      <c r="D615" s="4" t="str">
        <f>IFERROR(__xludf.DUMMYFUNCTION("""COMPUTED_VALUE"""),"Intent ")</f>
        <v>Intent </v>
      </c>
      <c r="E615" s="4" t="str">
        <f>IFERROR(__xludf.DUMMYFUNCTION("""COMPUTED_VALUE""")," Auto Buyers ")</f>
        <v> Auto Buyers </v>
      </c>
      <c r="F615" s="4" t="str">
        <f>IFERROR(__xludf.DUMMYFUNCTION("""COMPUTED_VALUE""")," Car Make")</f>
        <v> Car Make</v>
      </c>
      <c r="G615" s="4" t="str">
        <f>IFERROR(__xludf.DUMMYFUNCTION("""COMPUTED_VALUE"""),"Peugeot")</f>
        <v>Peugeot</v>
      </c>
      <c r="H615" s="4"/>
      <c r="I615" s="4"/>
      <c r="J615" s="5" t="s">
        <v>15</v>
      </c>
      <c r="K615" s="5" t="s">
        <v>23</v>
      </c>
      <c r="L615" s="5" t="s">
        <v>78</v>
      </c>
      <c r="M615" s="13" t="s">
        <v>1604</v>
      </c>
      <c r="N615" s="5" t="s">
        <v>19</v>
      </c>
      <c r="O615" s="5" t="s">
        <v>27</v>
      </c>
      <c r="P615" s="5">
        <v>186404.0</v>
      </c>
      <c r="Q615" s="5">
        <v>940.0</v>
      </c>
      <c r="R615" s="5">
        <v>30885.0</v>
      </c>
      <c r="S615" s="5">
        <v>151358.0</v>
      </c>
      <c r="T615" s="5">
        <v>3.0</v>
      </c>
      <c r="U615" s="9">
        <v>4702.027505</v>
      </c>
    </row>
    <row r="616">
      <c r="A616" s="4" t="s">
        <v>1608</v>
      </c>
      <c r="B616" s="4" t="str">
        <f>IFERROR(__xludf.DUMMYFUNCTION("SPLIT(A616,""&gt;"")"),"Purchase Behaviors ")</f>
        <v>Purchase Behaviors </v>
      </c>
      <c r="C616" s="4" t="str">
        <f>IFERROR(__xludf.DUMMYFUNCTION("""COMPUTED_VALUE""")," Q2 Spring Cleaners")</f>
        <v> Q2 Spring Cleaners</v>
      </c>
      <c r="D616" s="4"/>
      <c r="E616" s="4"/>
      <c r="F616" s="4"/>
      <c r="G616" s="4"/>
      <c r="H616" s="4"/>
      <c r="I616" s="4"/>
      <c r="J616" s="5" t="s">
        <v>22</v>
      </c>
      <c r="K616" s="5" t="s">
        <v>16</v>
      </c>
      <c r="L616" s="5" t="s">
        <v>433</v>
      </c>
      <c r="M616" s="13" t="s">
        <v>1604</v>
      </c>
      <c r="N616" s="5" t="s">
        <v>46</v>
      </c>
      <c r="O616" s="5" t="s">
        <v>27</v>
      </c>
      <c r="P616" s="5">
        <v>19549.0</v>
      </c>
      <c r="Q616" s="5">
        <v>84.0</v>
      </c>
      <c r="R616" s="5">
        <v>6187.0</v>
      </c>
      <c r="S616" s="5">
        <v>17166.0</v>
      </c>
      <c r="T616" s="5">
        <v>2.0</v>
      </c>
      <c r="U616" s="9">
        <v>1844.986921</v>
      </c>
    </row>
    <row r="617">
      <c r="A617" s="4" t="s">
        <v>1609</v>
      </c>
      <c r="B617" s="4" t="str">
        <f>IFERROR(__xludf.DUMMYFUNCTION("SPLIT(A617,""&gt;"")"),"Mobile - United States ")</f>
        <v>Mobile - United States </v>
      </c>
      <c r="C617" s="4" t="str">
        <f>IFERROR(__xludf.DUMMYFUNCTION("""COMPUTED_VALUE""")," Automotive ")</f>
        <v> Automotive </v>
      </c>
      <c r="D617" s="4" t="str">
        <f>IFERROR(__xludf.DUMMYFUNCTION("""COMPUTED_VALUE""")," Vehicle Ownership ")</f>
        <v> Vehicle Ownership </v>
      </c>
      <c r="E617" s="4" t="str">
        <f>IFERROR(__xludf.DUMMYFUNCTION("""COMPUTED_VALUE""")," Brand ")</f>
        <v> Brand </v>
      </c>
      <c r="F617" s="4" t="str">
        <f>IFERROR(__xludf.DUMMYFUNCTION("""COMPUTED_VALUE""")," BMW")</f>
        <v> BMW</v>
      </c>
      <c r="G617" s="4"/>
      <c r="H617" s="4"/>
      <c r="I617" s="4"/>
      <c r="J617" s="5" t="s">
        <v>22</v>
      </c>
      <c r="K617" s="5" t="s">
        <v>42</v>
      </c>
      <c r="L617" s="5" t="s">
        <v>39</v>
      </c>
      <c r="M617" s="13" t="s">
        <v>1610</v>
      </c>
      <c r="N617" s="5" t="s">
        <v>46</v>
      </c>
      <c r="O617" s="5" t="s">
        <v>27</v>
      </c>
      <c r="P617" s="5">
        <v>17561.0</v>
      </c>
      <c r="Q617" s="5">
        <v>50.0</v>
      </c>
      <c r="R617" s="5">
        <v>2960.0</v>
      </c>
      <c r="S617" s="5">
        <v>9953.0</v>
      </c>
      <c r="T617" s="5">
        <v>10.0</v>
      </c>
      <c r="U617" s="9">
        <v>1519.90401</v>
      </c>
    </row>
    <row r="618">
      <c r="A618" s="4" t="s">
        <v>1611</v>
      </c>
      <c r="B618" s="4" t="str">
        <f>IFERROR(__xludf.DUMMYFUNCTION("SPLIT(A618,""&gt;"")"),"Mobile - United States ")</f>
        <v>Mobile - United States </v>
      </c>
      <c r="C618" s="4" t="str">
        <f>IFERROR(__xludf.DUMMYFUNCTION("""COMPUTED_VALUE""")," Food ")</f>
        <v> Food </v>
      </c>
      <c r="D618" s="4" t="str">
        <f>IFERROR(__xludf.DUMMYFUNCTION("""COMPUTED_VALUE""")," Restaurant ")</f>
        <v> Restaurant </v>
      </c>
      <c r="E618" s="4" t="str">
        <f>IFERROR(__xludf.DUMMYFUNCTION("""COMPUTED_VALUE""")," Brand ")</f>
        <v> Brand </v>
      </c>
      <c r="F618" s="4" t="str">
        <f>IFERROR(__xludf.DUMMYFUNCTION("""COMPUTED_VALUE""")," Krispy Kreme")</f>
        <v> Krispy Kreme</v>
      </c>
      <c r="G618" s="4"/>
      <c r="H618" s="4"/>
      <c r="I618" s="4"/>
      <c r="J618" s="5" t="s">
        <v>61</v>
      </c>
      <c r="K618" s="5" t="s">
        <v>42</v>
      </c>
      <c r="L618" s="5" t="s">
        <v>32</v>
      </c>
      <c r="M618" s="13" t="s">
        <v>1612</v>
      </c>
      <c r="N618" s="5" t="s">
        <v>26</v>
      </c>
      <c r="O618" s="5" t="s">
        <v>27</v>
      </c>
      <c r="P618" s="5">
        <v>13608.0</v>
      </c>
      <c r="Q618" s="5">
        <v>66.0</v>
      </c>
      <c r="R618" s="5">
        <v>2714.0</v>
      </c>
      <c r="S618" s="5">
        <v>9332.0</v>
      </c>
      <c r="T618" s="5">
        <v>1.0</v>
      </c>
      <c r="U618" s="9">
        <v>1762.663235</v>
      </c>
    </row>
    <row r="619">
      <c r="A619" s="4" t="s">
        <v>1613</v>
      </c>
      <c r="B619" s="4" t="str">
        <f>IFERROR(__xludf.DUMMYFUNCTION("SPLIT(A619,""&gt;"")"),"Online Behavior")</f>
        <v>Online Behavior</v>
      </c>
      <c r="C619" s="4" t="str">
        <f>IFERROR(__xludf.DUMMYFUNCTION("""COMPUTED_VALUE"""),"United States")</f>
        <v>United States</v>
      </c>
      <c r="D619" s="4" t="str">
        <f>IFERROR(__xludf.DUMMYFUNCTION("""COMPUTED_VALUE"""),"Arts and Entertainment")</f>
        <v>Arts and Entertainment</v>
      </c>
      <c r="E619" s="4" t="str">
        <f>IFERROR(__xludf.DUMMYFUNCTION("""COMPUTED_VALUE"""),"Events and Listings ")</f>
        <v>Events and Listings </v>
      </c>
      <c r="F619" s="4" t="str">
        <f>IFERROR(__xludf.DUMMYFUNCTION("""COMPUTED_VALUE""")," Concerts and MUnited Statesic Festivals")</f>
        <v> Concerts and MUnited Statesic Festivals</v>
      </c>
      <c r="G619" s="4"/>
      <c r="H619" s="4"/>
      <c r="I619" s="4"/>
      <c r="J619" s="5" t="s">
        <v>61</v>
      </c>
      <c r="K619" s="5" t="s">
        <v>23</v>
      </c>
      <c r="L619" s="5" t="s">
        <v>35</v>
      </c>
      <c r="M619" s="13" t="s">
        <v>1614</v>
      </c>
      <c r="N619" s="5" t="s">
        <v>19</v>
      </c>
      <c r="O619" s="5" t="s">
        <v>27</v>
      </c>
      <c r="P619" s="7">
        <v>446774.0</v>
      </c>
      <c r="Q619" s="5">
        <v>951.0</v>
      </c>
      <c r="R619" s="7">
        <v>196581.0</v>
      </c>
      <c r="S619" s="7">
        <v>379758.0</v>
      </c>
      <c r="T619" s="5">
        <v>33.0</v>
      </c>
      <c r="U619" s="9">
        <v>6956.627366</v>
      </c>
    </row>
    <row r="620">
      <c r="A620" s="4" t="s">
        <v>911</v>
      </c>
      <c r="B620" s="4" t="str">
        <f>IFERROR(__xludf.DUMMYFUNCTION("SPLIT(A620,""&gt;"")"),"Online Behavior")</f>
        <v>Online Behavior</v>
      </c>
      <c r="C620" s="4" t="str">
        <f>IFERROR(__xludf.DUMMYFUNCTION("""COMPUTED_VALUE"""),"United States")</f>
        <v>United States</v>
      </c>
      <c r="D620" s="4" t="str">
        <f>IFERROR(__xludf.DUMMYFUNCTION("""COMPUTED_VALUE"""),"Home and Garden")</f>
        <v>Home and Garden</v>
      </c>
      <c r="E620" s="4" t="str">
        <f>IFERROR(__xludf.DUMMYFUNCTION("""COMPUTED_VALUE"""),"Yard and Patio")</f>
        <v>Yard and Patio</v>
      </c>
      <c r="F620" s="4"/>
      <c r="G620" s="4"/>
      <c r="H620" s="4"/>
      <c r="I620" s="4"/>
      <c r="J620" s="5" t="s">
        <v>15</v>
      </c>
      <c r="K620" s="5" t="s">
        <v>16</v>
      </c>
      <c r="L620" s="5" t="s">
        <v>17</v>
      </c>
      <c r="M620" s="6" t="s">
        <v>912</v>
      </c>
      <c r="N620" s="5" t="s">
        <v>117</v>
      </c>
      <c r="O620" s="5" t="s">
        <v>27</v>
      </c>
      <c r="P620" s="5">
        <v>11607.0</v>
      </c>
      <c r="Q620" s="5">
        <v>184.0</v>
      </c>
      <c r="R620" s="5">
        <v>5218.0</v>
      </c>
      <c r="S620" s="5">
        <v>10763.0</v>
      </c>
      <c r="T620" s="5">
        <v>12.0</v>
      </c>
      <c r="U620" s="9">
        <v>6909.732318</v>
      </c>
    </row>
    <row r="621">
      <c r="A621" s="4" t="s">
        <v>1615</v>
      </c>
      <c r="B621" s="4" t="str">
        <f>IFERROR(__xludf.DUMMYFUNCTION("SPLIT(A621,""&gt;"")"),"United States ")</f>
        <v>United States </v>
      </c>
      <c r="C621" s="4" t="str">
        <f>IFERROR(__xludf.DUMMYFUNCTION("""COMPUTED_VALUE""")," Sociodemographic ")</f>
        <v> Sociodemographic </v>
      </c>
      <c r="D621" s="4" t="str">
        <f>IFERROR(__xludf.DUMMYFUNCTION("""COMPUTED_VALUE""")," PRIZM Premier Lifestage ")</f>
        <v> PRIZM Premier Lifestage </v>
      </c>
      <c r="E621" s="4" t="str">
        <f>IFERROR(__xludf.DUMMYFUNCTION("""COMPUTED_VALUE""")," F2 Young Accumulators")</f>
        <v> F2 Young Accumulators</v>
      </c>
      <c r="F621" s="4"/>
      <c r="G621" s="4"/>
      <c r="H621" s="4"/>
      <c r="I621" s="4"/>
      <c r="J621" s="5" t="s">
        <v>61</v>
      </c>
      <c r="K621" s="5" t="s">
        <v>16</v>
      </c>
      <c r="L621" s="5" t="s">
        <v>78</v>
      </c>
      <c r="M621" s="6" t="s">
        <v>912</v>
      </c>
      <c r="N621" s="5" t="s">
        <v>117</v>
      </c>
      <c r="O621" s="5" t="s">
        <v>27</v>
      </c>
      <c r="P621" s="5">
        <v>72117.0</v>
      </c>
      <c r="Q621" s="5">
        <v>187.0</v>
      </c>
      <c r="R621" s="5">
        <v>9807.0</v>
      </c>
      <c r="S621" s="5">
        <v>68568.0</v>
      </c>
      <c r="T621" s="5">
        <v>16.0</v>
      </c>
      <c r="U621" s="9">
        <v>1702.317206</v>
      </c>
    </row>
    <row r="622" hidden="1">
      <c r="A622" s="4" t="s">
        <v>1616</v>
      </c>
      <c r="B622" s="4" t="str">
        <f>IFERROR(__xludf.DUMMYFUNCTION("SPLIT(A622,""&gt;"")"),"OnAudience ")</f>
        <v>OnAudience </v>
      </c>
      <c r="C622" s="4" t="str">
        <f>IFERROR(__xludf.DUMMYFUNCTION("""COMPUTED_VALUE""")," Interest ")</f>
        <v> Interest </v>
      </c>
      <c r="D622" s="4" t="str">
        <f>IFERROR(__xludf.DUMMYFUNCTION("""COMPUTED_VALUE""")," Food &amp; Drink")</f>
        <v> Food &amp; Drink</v>
      </c>
      <c r="E622" s="4"/>
      <c r="F622" s="4"/>
      <c r="G622" s="4"/>
      <c r="H622" s="4"/>
      <c r="I622" s="4"/>
      <c r="J622" s="5" t="s">
        <v>15</v>
      </c>
      <c r="K622" s="5" t="s">
        <v>42</v>
      </c>
      <c r="L622" s="5" t="s">
        <v>126</v>
      </c>
      <c r="M622" s="6" t="s">
        <v>912</v>
      </c>
      <c r="N622" s="5" t="s">
        <v>19</v>
      </c>
      <c r="O622" s="5" t="s">
        <v>52</v>
      </c>
      <c r="P622" s="5">
        <v>38070.0</v>
      </c>
      <c r="Q622" s="5">
        <v>146.0</v>
      </c>
      <c r="R622" s="5">
        <v>15253.0</v>
      </c>
      <c r="S622" s="5">
        <v>35453.0</v>
      </c>
      <c r="T622" s="5">
        <v>8.0</v>
      </c>
      <c r="U622" s="9">
        <v>1653.510777</v>
      </c>
    </row>
    <row r="623">
      <c r="A623" s="4" t="s">
        <v>1617</v>
      </c>
      <c r="B623" s="4" t="str">
        <f>IFERROR(__xludf.DUMMYFUNCTION("SPLIT(A623,""&gt;"")"),"United States ")</f>
        <v>United States </v>
      </c>
      <c r="C623" s="4" t="str">
        <f>IFERROR(__xludf.DUMMYFUNCTION("""COMPUTED_VALUE""")," Brand Propensities ")</f>
        <v> Brand Propensities </v>
      </c>
      <c r="D623" s="4" t="str">
        <f>IFERROR(__xludf.DUMMYFUNCTION("""COMPUTED_VALUE""")," Travel ")</f>
        <v> Travel </v>
      </c>
      <c r="E623" s="4" t="str">
        <f>IFERROR(__xludf.DUMMYFUNCTION("""COMPUTED_VALUE""")," MGM Resorts International Buyer Propensity")</f>
        <v> MGM Resorts International Buyer Propensity</v>
      </c>
      <c r="F623" s="4"/>
      <c r="G623" s="4"/>
      <c r="H623" s="4"/>
      <c r="I623" s="4"/>
      <c r="J623" s="5" t="s">
        <v>61</v>
      </c>
      <c r="K623" s="5" t="s">
        <v>16</v>
      </c>
      <c r="L623" s="5" t="s">
        <v>78</v>
      </c>
      <c r="M623" s="6" t="s">
        <v>912</v>
      </c>
      <c r="N623" s="5" t="s">
        <v>46</v>
      </c>
      <c r="O623" s="5" t="s">
        <v>27</v>
      </c>
      <c r="P623" s="5">
        <v>32400.0</v>
      </c>
      <c r="Q623" s="5">
        <v>87.0</v>
      </c>
      <c r="R623" s="5">
        <v>5152.0</v>
      </c>
      <c r="S623" s="5">
        <v>30383.0</v>
      </c>
      <c r="T623" s="5">
        <v>9.0</v>
      </c>
      <c r="U623" s="9">
        <v>1522.352623</v>
      </c>
    </row>
    <row r="624">
      <c r="A624" s="4" t="s">
        <v>916</v>
      </c>
      <c r="B624" s="4" t="str">
        <f>IFERROR(__xludf.DUMMYFUNCTION("SPLIT(A624,""&gt;"")"),"Online Behavior")</f>
        <v>Online Behavior</v>
      </c>
      <c r="C624" s="4" t="str">
        <f>IFERROR(__xludf.DUMMYFUNCTION("""COMPUTED_VALUE"""),"United States")</f>
        <v>United States</v>
      </c>
      <c r="D624" s="4" t="str">
        <f>IFERROR(__xludf.DUMMYFUNCTION("""COMPUTED_VALUE"""),"Law and Government")</f>
        <v>Law and Government</v>
      </c>
      <c r="E624" s="4" t="str">
        <f>IFERROR(__xludf.DUMMYFUNCTION("""COMPUTED_VALUE"""),"Legal")</f>
        <v>Legal</v>
      </c>
      <c r="F624" s="4"/>
      <c r="G624" s="4"/>
      <c r="H624" s="4"/>
      <c r="I624" s="4"/>
      <c r="J624" s="5" t="s">
        <v>22</v>
      </c>
      <c r="K624" s="5" t="s">
        <v>42</v>
      </c>
      <c r="L624" s="5" t="s">
        <v>35</v>
      </c>
      <c r="M624" s="6" t="s">
        <v>917</v>
      </c>
      <c r="N624" s="5" t="s">
        <v>1046</v>
      </c>
      <c r="O624" s="5" t="s">
        <v>27</v>
      </c>
      <c r="P624" s="5">
        <v>9867.0</v>
      </c>
      <c r="Q624" s="5">
        <v>30.0</v>
      </c>
      <c r="R624" s="5">
        <v>6867.0</v>
      </c>
      <c r="S624" s="5">
        <v>9347.0</v>
      </c>
      <c r="T624" s="5">
        <v>12.0</v>
      </c>
      <c r="U624" s="9">
        <v>6839.569086</v>
      </c>
    </row>
    <row r="625">
      <c r="A625" s="4" t="s">
        <v>918</v>
      </c>
      <c r="B625" s="4" t="str">
        <f>IFERROR(__xludf.DUMMYFUNCTION("SPLIT(A625,""&gt;"")"),"Online Behavior")</f>
        <v>Online Behavior</v>
      </c>
      <c r="C625" s="4" t="str">
        <f>IFERROR(__xludf.DUMMYFUNCTION("""COMPUTED_VALUE"""),"United States")</f>
        <v>United States</v>
      </c>
      <c r="D625" s="4" t="str">
        <f>IFERROR(__xludf.DUMMYFUNCTION("""COMPUTED_VALUE"""),"Sports")</f>
        <v>Sports</v>
      </c>
      <c r="E625" s="4" t="str">
        <f>IFERROR(__xludf.DUMMYFUNCTION("""COMPUTED_VALUE"""),"College Sports")</f>
        <v>College Sports</v>
      </c>
      <c r="F625" s="4"/>
      <c r="G625" s="4"/>
      <c r="H625" s="4"/>
      <c r="I625" s="4"/>
      <c r="J625" s="5" t="s">
        <v>15</v>
      </c>
      <c r="K625" s="5" t="s">
        <v>31</v>
      </c>
      <c r="L625" s="5" t="s">
        <v>17</v>
      </c>
      <c r="M625" s="6" t="s">
        <v>919</v>
      </c>
      <c r="N625" s="5" t="s">
        <v>36</v>
      </c>
      <c r="O625" s="5" t="s">
        <v>27</v>
      </c>
      <c r="P625" s="5">
        <v>1109184.0</v>
      </c>
      <c r="Q625" s="5">
        <v>3142.0</v>
      </c>
      <c r="R625" s="5">
        <v>83035.0</v>
      </c>
      <c r="S625" s="5">
        <v>782482.0</v>
      </c>
      <c r="T625" s="5">
        <v>25.0</v>
      </c>
      <c r="U625" s="9">
        <v>7490.860779</v>
      </c>
    </row>
    <row r="626">
      <c r="A626" s="4" t="s">
        <v>1618</v>
      </c>
      <c r="B626" s="4" t="str">
        <f>IFERROR(__xludf.DUMMYFUNCTION("SPLIT(A626,""&gt;"")"),"Online Behavior")</f>
        <v>Online Behavior</v>
      </c>
      <c r="C626" s="4" t="str">
        <f>IFERROR(__xludf.DUMMYFUNCTION("""COMPUTED_VALUE"""),"United States")</f>
        <v>United States</v>
      </c>
      <c r="D626" s="4" t="str">
        <f>IFERROR(__xludf.DUMMYFUNCTION("""COMPUTED_VALUE"""),"B2B ")</f>
        <v>B2B </v>
      </c>
      <c r="E626" s="4" t="str">
        <f>IFERROR(__xludf.DUMMYFUNCTION("""COMPUTED_VALUE""")," Occupation")</f>
        <v> Occupation</v>
      </c>
      <c r="F626" s="4" t="str">
        <f>IFERROR(__xludf.DUMMYFUNCTION("""COMPUTED_VALUE"""),"Entrepreneur")</f>
        <v>Entrepreneur</v>
      </c>
      <c r="G626" s="4"/>
      <c r="H626" s="4"/>
      <c r="I626" s="4"/>
      <c r="J626" s="5" t="s">
        <v>22</v>
      </c>
      <c r="K626" s="5" t="s">
        <v>42</v>
      </c>
      <c r="L626" s="5" t="s">
        <v>29</v>
      </c>
      <c r="M626" s="6" t="s">
        <v>919</v>
      </c>
      <c r="N626" s="5" t="s">
        <v>26</v>
      </c>
      <c r="O626" s="5" t="s">
        <v>27</v>
      </c>
      <c r="P626" s="5">
        <v>686858.0</v>
      </c>
      <c r="Q626" s="5">
        <v>2085.0</v>
      </c>
      <c r="R626" s="5">
        <v>81956.0</v>
      </c>
      <c r="S626" s="5">
        <v>624118.0</v>
      </c>
      <c r="T626" s="5">
        <v>19.0</v>
      </c>
      <c r="U626" s="9">
        <v>7467.081487</v>
      </c>
    </row>
    <row r="627">
      <c r="A627" s="4" t="s">
        <v>921</v>
      </c>
      <c r="B627" s="4" t="str">
        <f>IFERROR(__xludf.DUMMYFUNCTION("SPLIT(A627,""&gt;"")"),"Online Behavior")</f>
        <v>Online Behavior</v>
      </c>
      <c r="C627" s="4" t="str">
        <f>IFERROR(__xludf.DUMMYFUNCTION("""COMPUTED_VALUE"""),"United States")</f>
        <v>United States</v>
      </c>
      <c r="D627" s="4" t="str">
        <f>IFERROR(__xludf.DUMMYFUNCTION("""COMPUTED_VALUE"""),"Food and Drink")</f>
        <v>Food and Drink</v>
      </c>
      <c r="E627" s="4" t="str">
        <f>IFERROR(__xludf.DUMMYFUNCTION("""COMPUTED_VALUE"""),"Cooking and Recipes")</f>
        <v>Cooking and Recipes</v>
      </c>
      <c r="F627" s="4"/>
      <c r="G627" s="4"/>
      <c r="H627" s="4"/>
      <c r="I627" s="4"/>
      <c r="J627" s="5" t="s">
        <v>61</v>
      </c>
      <c r="K627" s="5" t="s">
        <v>23</v>
      </c>
      <c r="L627" s="5" t="s">
        <v>35</v>
      </c>
      <c r="M627" s="6" t="s">
        <v>919</v>
      </c>
      <c r="N627" s="5" t="s">
        <v>46</v>
      </c>
      <c r="O627" s="5" t="s">
        <v>27</v>
      </c>
      <c r="P627" s="5">
        <v>40929.0</v>
      </c>
      <c r="Q627" s="5">
        <v>142.0</v>
      </c>
      <c r="R627" s="5">
        <v>9249.0</v>
      </c>
      <c r="S627" s="5">
        <v>31564.0</v>
      </c>
      <c r="T627" s="5">
        <v>8.0</v>
      </c>
      <c r="U627" s="9">
        <v>6764.520637</v>
      </c>
    </row>
    <row r="628">
      <c r="A628" s="4" t="s">
        <v>922</v>
      </c>
      <c r="B628" s="4" t="str">
        <f>IFERROR(__xludf.DUMMYFUNCTION("SPLIT(A628,""&gt;"")"),"Online Behavior")</f>
        <v>Online Behavior</v>
      </c>
      <c r="C628" s="4" t="str">
        <f>IFERROR(__xludf.DUMMYFUNCTION("""COMPUTED_VALUE"""),"United States")</f>
        <v>United States</v>
      </c>
      <c r="D628" s="4" t="str">
        <f>IFERROR(__xludf.DUMMYFUNCTION("""COMPUTED_VALUE"""),"Online Communities")</f>
        <v>Online Communities</v>
      </c>
      <c r="E628" s="4" t="str">
        <f>IFERROR(__xludf.DUMMYFUNCTION("""COMPUTED_VALUE"""),"Dating and Personals")</f>
        <v>Dating and Personals</v>
      </c>
      <c r="F628" s="4"/>
      <c r="G628" s="4"/>
      <c r="H628" s="4"/>
      <c r="I628" s="4"/>
      <c r="J628" s="5" t="s">
        <v>22</v>
      </c>
      <c r="K628" s="5" t="s">
        <v>23</v>
      </c>
      <c r="L628" s="5" t="s">
        <v>39</v>
      </c>
      <c r="M628" s="6" t="s">
        <v>919</v>
      </c>
      <c r="N628" s="5" t="s">
        <v>19</v>
      </c>
      <c r="O628" s="5" t="s">
        <v>27</v>
      </c>
      <c r="P628" s="5">
        <v>39844.0</v>
      </c>
      <c r="Q628" s="5">
        <v>99.0</v>
      </c>
      <c r="R628" s="5">
        <v>11077.0</v>
      </c>
      <c r="S628" s="5">
        <v>30190.0</v>
      </c>
      <c r="T628" s="5">
        <v>9.0</v>
      </c>
      <c r="U628" s="9">
        <v>6367.869929</v>
      </c>
    </row>
    <row r="629">
      <c r="A629" s="4" t="s">
        <v>1619</v>
      </c>
      <c r="B629" s="4" t="str">
        <f>IFERROR(__xludf.DUMMYFUNCTION("SPLIT(A629,""&gt;"")"),"Online Behavior")</f>
        <v>Online Behavior</v>
      </c>
      <c r="C629" s="4" t="str">
        <f>IFERROR(__xludf.DUMMYFUNCTION("""COMPUTED_VALUE"""),"United States")</f>
        <v>United States</v>
      </c>
      <c r="D629" s="4" t="str">
        <f>IFERROR(__xludf.DUMMYFUNCTION("""COMPUTED_VALUE"""),"Intent ")</f>
        <v>Intent </v>
      </c>
      <c r="E629" s="4" t="str">
        <f>IFERROR(__xludf.DUMMYFUNCTION("""COMPUTED_VALUE""")," Shopping")</f>
        <v> Shopping</v>
      </c>
      <c r="F629" s="4" t="str">
        <f>IFERROR(__xludf.DUMMYFUNCTION("""COMPUTED_VALUE"""),"CPG")</f>
        <v>CPG</v>
      </c>
      <c r="G629" s="4" t="str">
        <f>IFERROR(__xludf.DUMMYFUNCTION("""COMPUTED_VALUE""")," Home Care")</f>
        <v> Home Care</v>
      </c>
      <c r="H629" s="4"/>
      <c r="I629" s="4"/>
      <c r="J629" s="5" t="s">
        <v>22</v>
      </c>
      <c r="K629" s="5" t="s">
        <v>16</v>
      </c>
      <c r="L629" s="5" t="s">
        <v>66</v>
      </c>
      <c r="M629" s="6" t="s">
        <v>919</v>
      </c>
      <c r="N629" s="5" t="s">
        <v>19</v>
      </c>
      <c r="O629" s="5" t="s">
        <v>27</v>
      </c>
      <c r="P629" s="5">
        <v>210700.0</v>
      </c>
      <c r="Q629" s="5">
        <v>704.0</v>
      </c>
      <c r="R629" s="5">
        <v>94625.0</v>
      </c>
      <c r="S629" s="5">
        <v>180681.0</v>
      </c>
      <c r="T629" s="5">
        <v>3.0</v>
      </c>
      <c r="U629" s="9">
        <v>6341.879301</v>
      </c>
    </row>
    <row r="630">
      <c r="A630" s="4" t="s">
        <v>1620</v>
      </c>
      <c r="B630" s="4" t="str">
        <f>IFERROR(__xludf.DUMMYFUNCTION("SPLIT(A630,""&gt;"")"),"Online Behavior")</f>
        <v>Online Behavior</v>
      </c>
      <c r="C630" s="4" t="str">
        <f>IFERROR(__xludf.DUMMYFUNCTION("""COMPUTED_VALUE"""),"United States")</f>
        <v>United States</v>
      </c>
      <c r="D630" s="4" t="str">
        <f>IFERROR(__xludf.DUMMYFUNCTION("""COMPUTED_VALUE"""),"Intent ")</f>
        <v>Intent </v>
      </c>
      <c r="E630" s="4" t="str">
        <f>IFERROR(__xludf.DUMMYFUNCTION("""COMPUTED_VALUE""")," Financial Intent")</f>
        <v> Financial Intent</v>
      </c>
      <c r="F630" s="4" t="str">
        <f>IFERROR(__xludf.DUMMYFUNCTION("""COMPUTED_VALUE"""),"Insurance ")</f>
        <v>Insurance </v>
      </c>
      <c r="G630" s="4" t="str">
        <f>IFERROR(__xludf.DUMMYFUNCTION("""COMPUTED_VALUE""")," Auto")</f>
        <v> Auto</v>
      </c>
      <c r="H630" s="4"/>
      <c r="I630" s="4"/>
      <c r="J630" s="5" t="s">
        <v>22</v>
      </c>
      <c r="K630" s="5" t="s">
        <v>23</v>
      </c>
      <c r="L630" s="5" t="s">
        <v>142</v>
      </c>
      <c r="M630" s="6" t="s">
        <v>919</v>
      </c>
      <c r="N630" s="5" t="s">
        <v>26</v>
      </c>
      <c r="O630" s="5" t="s">
        <v>27</v>
      </c>
      <c r="P630" s="5">
        <v>42884.0</v>
      </c>
      <c r="Q630" s="5">
        <v>104.0</v>
      </c>
      <c r="R630" s="5">
        <v>4345.0</v>
      </c>
      <c r="S630" s="5">
        <v>25153.0</v>
      </c>
      <c r="T630" s="5">
        <v>9.0</v>
      </c>
      <c r="U630" s="9">
        <v>6322.152655</v>
      </c>
    </row>
    <row r="631" hidden="1">
      <c r="A631" s="4" t="s">
        <v>1621</v>
      </c>
      <c r="B631" s="4" t="str">
        <f>IFERROR(__xludf.DUMMYFUNCTION("SPLIT(A631,""&gt;"")"),"Online Behavior")</f>
        <v>Online Behavior</v>
      </c>
      <c r="C631" s="4" t="str">
        <f>IFERROR(__xludf.DUMMYFUNCTION("""COMPUTED_VALUE"""),"United States")</f>
        <v>United States</v>
      </c>
      <c r="D631" s="4" t="str">
        <f>IFERROR(__xludf.DUMMYFUNCTION("""COMPUTED_VALUE"""),"Intent ")</f>
        <v>Intent </v>
      </c>
      <c r="E631" s="4" t="str">
        <f>IFERROR(__xludf.DUMMYFUNCTION("""COMPUTED_VALUE""")," Auto Buyers ")</f>
        <v> Auto Buyers </v>
      </c>
      <c r="F631" s="4" t="str">
        <f>IFERROR(__xludf.DUMMYFUNCTION("""COMPUTED_VALUE""")," Car Make")</f>
        <v> Car Make</v>
      </c>
      <c r="G631" s="4" t="str">
        <f>IFERROR(__xludf.DUMMYFUNCTION("""COMPUTED_VALUE"""),"Jeep")</f>
        <v>Jeep</v>
      </c>
      <c r="H631" s="4"/>
      <c r="I631" s="4"/>
      <c r="J631" s="5" t="s">
        <v>15</v>
      </c>
      <c r="K631" s="5" t="s">
        <v>23</v>
      </c>
      <c r="L631" s="5" t="s">
        <v>78</v>
      </c>
      <c r="M631" s="6" t="s">
        <v>919</v>
      </c>
      <c r="N631" s="5" t="s">
        <v>136</v>
      </c>
      <c r="O631" s="5" t="s">
        <v>52</v>
      </c>
      <c r="P631" s="5">
        <v>96779.0</v>
      </c>
      <c r="Q631" s="5">
        <v>299.0</v>
      </c>
      <c r="R631" s="5">
        <v>9831.0</v>
      </c>
      <c r="S631" s="5">
        <v>63640.0</v>
      </c>
      <c r="T631" s="5">
        <v>12.0</v>
      </c>
      <c r="U631" s="9">
        <v>6317.510754</v>
      </c>
    </row>
    <row r="632">
      <c r="A632" s="4" t="s">
        <v>926</v>
      </c>
      <c r="B632" s="4" t="str">
        <f>IFERROR(__xludf.DUMMYFUNCTION("SPLIT(A632,""&gt;"")"),"Online Behavior")</f>
        <v>Online Behavior</v>
      </c>
      <c r="C632" s="4" t="str">
        <f>IFERROR(__xludf.DUMMYFUNCTION("""COMPUTED_VALUE"""),"United States")</f>
        <v>United States</v>
      </c>
      <c r="D632" s="4" t="str">
        <f>IFERROR(__xludf.DUMMYFUNCTION("""COMPUTED_VALUE"""),"Travel")</f>
        <v>Travel</v>
      </c>
      <c r="E632" s="4" t="str">
        <f>IFERROR(__xludf.DUMMYFUNCTION("""COMPUTED_VALUE"""),"Specialty Travel")</f>
        <v>Specialty Travel</v>
      </c>
      <c r="F632" s="4"/>
      <c r="G632" s="4"/>
      <c r="H632" s="4"/>
      <c r="I632" s="4"/>
      <c r="J632" s="5" t="s">
        <v>15</v>
      </c>
      <c r="K632" s="5" t="s">
        <v>23</v>
      </c>
      <c r="L632" s="5" t="s">
        <v>35</v>
      </c>
      <c r="M632" s="6" t="s">
        <v>919</v>
      </c>
      <c r="N632" s="5" t="s">
        <v>19</v>
      </c>
      <c r="O632" s="5" t="s">
        <v>27</v>
      </c>
      <c r="P632" s="5">
        <v>182114.0</v>
      </c>
      <c r="Q632" s="5">
        <v>500.0</v>
      </c>
      <c r="R632" s="5">
        <v>14477.0</v>
      </c>
      <c r="S632" s="5">
        <v>139167.0</v>
      </c>
      <c r="T632" s="5">
        <v>29.0</v>
      </c>
      <c r="U632" s="9">
        <v>6307.900751</v>
      </c>
    </row>
    <row r="633">
      <c r="A633" s="4" t="s">
        <v>927</v>
      </c>
      <c r="B633" s="4" t="str">
        <f>IFERROR(__xludf.DUMMYFUNCTION("SPLIT(A633,""&gt;"")"),"Online Behavior")</f>
        <v>Online Behavior</v>
      </c>
      <c r="C633" s="4" t="str">
        <f>IFERROR(__xludf.DUMMYFUNCTION("""COMPUTED_VALUE"""),"United States")</f>
        <v>United States</v>
      </c>
      <c r="D633" s="4" t="str">
        <f>IFERROR(__xludf.DUMMYFUNCTION("""COMPUTED_VALUE"""),"Hobbies and Leisure")</f>
        <v>Hobbies and Leisure</v>
      </c>
      <c r="E633" s="4" t="str">
        <f>IFERROR(__xludf.DUMMYFUNCTION("""COMPUTED_VALUE"""),"Clubs and Organizations")</f>
        <v>Clubs and Organizations</v>
      </c>
      <c r="F633" s="4"/>
      <c r="G633" s="4"/>
      <c r="H633" s="4"/>
      <c r="I633" s="4"/>
      <c r="J633" s="5" t="s">
        <v>61</v>
      </c>
      <c r="K633" s="5" t="s">
        <v>16</v>
      </c>
      <c r="L633" s="5" t="s">
        <v>35</v>
      </c>
      <c r="M633" s="6" t="s">
        <v>919</v>
      </c>
      <c r="N633" s="5" t="s">
        <v>19</v>
      </c>
      <c r="O633" s="5" t="s">
        <v>27</v>
      </c>
      <c r="P633" s="5">
        <v>207823.0</v>
      </c>
      <c r="Q633" s="5">
        <v>600.0</v>
      </c>
      <c r="R633" s="5">
        <v>33602.0</v>
      </c>
      <c r="S633" s="5">
        <v>167814.0</v>
      </c>
      <c r="T633" s="5">
        <v>13.0</v>
      </c>
      <c r="U633" s="9">
        <v>6048.955611</v>
      </c>
    </row>
    <row r="634">
      <c r="A634" s="4" t="s">
        <v>1622</v>
      </c>
      <c r="B634" s="4" t="str">
        <f>IFERROR(__xludf.DUMMYFUNCTION("SPLIT(A634,""&gt;"")"),"Online Behavior")</f>
        <v>Online Behavior</v>
      </c>
      <c r="C634" s="4" t="str">
        <f>IFERROR(__xludf.DUMMYFUNCTION("""COMPUTED_VALUE"""),"United States")</f>
        <v>United States</v>
      </c>
      <c r="D634" s="4" t="str">
        <f>IFERROR(__xludf.DUMMYFUNCTION("""COMPUTED_VALUE"""),"Autos and Vehicles ")</f>
        <v>Autos and Vehicles </v>
      </c>
      <c r="E634" s="4" t="str">
        <f>IFERROR(__xludf.DUMMYFUNCTION("""COMPUTED_VALUE""")," Brands")</f>
        <v> Brands</v>
      </c>
      <c r="F634" s="4" t="str">
        <f>IFERROR(__xludf.DUMMYFUNCTION("""COMPUTED_VALUE"""),"Kia")</f>
        <v>Kia</v>
      </c>
      <c r="G634" s="4"/>
      <c r="H634" s="4"/>
      <c r="I634" s="4"/>
      <c r="J634" s="5" t="s">
        <v>61</v>
      </c>
      <c r="K634" s="5" t="s">
        <v>16</v>
      </c>
      <c r="L634" s="5" t="s">
        <v>29</v>
      </c>
      <c r="M634" s="6" t="s">
        <v>919</v>
      </c>
      <c r="N634" s="5" t="s">
        <v>19</v>
      </c>
      <c r="O634" s="5" t="s">
        <v>27</v>
      </c>
      <c r="P634" s="5">
        <v>257862.0</v>
      </c>
      <c r="Q634" s="5">
        <v>700.0</v>
      </c>
      <c r="R634" s="5">
        <v>105048.0</v>
      </c>
      <c r="S634" s="5">
        <v>238629.0</v>
      </c>
      <c r="T634" s="5">
        <v>21.0</v>
      </c>
      <c r="U634" s="9">
        <v>5899.429483</v>
      </c>
    </row>
    <row r="635" hidden="1">
      <c r="A635" s="4" t="s">
        <v>929</v>
      </c>
      <c r="B635" s="4" t="str">
        <f>IFERROR(__xludf.DUMMYFUNCTION("SPLIT(A635,""&gt;"")"),"Online Behavior")</f>
        <v>Online Behavior</v>
      </c>
      <c r="C635" s="4" t="str">
        <f>IFERROR(__xludf.DUMMYFUNCTION("""COMPUTED_VALUE"""),"United States")</f>
        <v>United States</v>
      </c>
      <c r="D635" s="4" t="str">
        <f>IFERROR(__xludf.DUMMYFUNCTION("""COMPUTED_VALUE"""),"Internet and Telecom")</f>
        <v>Internet and Telecom</v>
      </c>
      <c r="E635" s="4" t="str">
        <f>IFERROR(__xludf.DUMMYFUNCTION("""COMPUTED_VALUE"""),"Search Engines")</f>
        <v>Search Engines</v>
      </c>
      <c r="F635" s="4"/>
      <c r="G635" s="4"/>
      <c r="H635" s="4"/>
      <c r="I635" s="4"/>
      <c r="J635" s="5" t="s">
        <v>15</v>
      </c>
      <c r="K635" s="5" t="s">
        <v>42</v>
      </c>
      <c r="L635" s="5" t="s">
        <v>35</v>
      </c>
      <c r="M635" s="6" t="s">
        <v>919</v>
      </c>
      <c r="N635" s="5" t="s">
        <v>26</v>
      </c>
      <c r="O635" s="5" t="s">
        <v>52</v>
      </c>
      <c r="P635" s="5">
        <v>26439.0</v>
      </c>
      <c r="Q635" s="5">
        <v>95.0</v>
      </c>
      <c r="R635" s="5">
        <v>7093.0</v>
      </c>
      <c r="S635" s="5">
        <v>19681.0</v>
      </c>
      <c r="T635" s="5">
        <v>7.0</v>
      </c>
      <c r="U635" s="9">
        <v>5330.781969</v>
      </c>
    </row>
    <row r="636">
      <c r="A636" s="4" t="s">
        <v>930</v>
      </c>
      <c r="B636" s="4" t="str">
        <f>IFERROR(__xludf.DUMMYFUNCTION("SPLIT(A636,""&gt;"")"),"Online Behavior")</f>
        <v>Online Behavior</v>
      </c>
      <c r="C636" s="4" t="str">
        <f>IFERROR(__xludf.DUMMYFUNCTION("""COMPUTED_VALUE"""),"United States")</f>
        <v>United States</v>
      </c>
      <c r="D636" s="4" t="str">
        <f>IFERROR(__xludf.DUMMYFUNCTION("""COMPUTED_VALUE"""),"Internet and Telecom")</f>
        <v>Internet and Telecom</v>
      </c>
      <c r="E636" s="4" t="str">
        <f>IFERROR(__xludf.DUMMYFUNCTION("""COMPUTED_VALUE"""),"Web Portals")</f>
        <v>Web Portals</v>
      </c>
      <c r="F636" s="4"/>
      <c r="G636" s="4"/>
      <c r="H636" s="4"/>
      <c r="I636" s="4"/>
      <c r="J636" s="5" t="s">
        <v>22</v>
      </c>
      <c r="K636" s="5" t="s">
        <v>42</v>
      </c>
      <c r="L636" s="5" t="s">
        <v>204</v>
      </c>
      <c r="M636" s="6" t="s">
        <v>919</v>
      </c>
      <c r="N636" s="5" t="s">
        <v>19</v>
      </c>
      <c r="O636" s="5" t="s">
        <v>27</v>
      </c>
      <c r="P636" s="5">
        <v>96508.0</v>
      </c>
      <c r="Q636" s="5">
        <v>351.0</v>
      </c>
      <c r="R636" s="5">
        <v>47065.0</v>
      </c>
      <c r="S636" s="5">
        <v>73640.0</v>
      </c>
      <c r="T636" s="5">
        <v>15.0</v>
      </c>
      <c r="U636" s="9">
        <v>5310.769572</v>
      </c>
    </row>
    <row r="637">
      <c r="A637" s="4" t="s">
        <v>1623</v>
      </c>
      <c r="B637" s="4" t="str">
        <f>IFERROR(__xludf.DUMMYFUNCTION("SPLIT(A637,""&gt;"")"),"Online Behavior")</f>
        <v>Online Behavior</v>
      </c>
      <c r="C637" s="4" t="str">
        <f>IFERROR(__xludf.DUMMYFUNCTION("""COMPUTED_VALUE"""),"United States")</f>
        <v>United States</v>
      </c>
      <c r="D637" s="4" t="str">
        <f>IFERROR(__xludf.DUMMYFUNCTION("""COMPUTED_VALUE"""),"Validated Demographic ")</f>
        <v>Validated Demographic </v>
      </c>
      <c r="E637" s="4" t="str">
        <f>IFERROR(__xludf.DUMMYFUNCTION("""COMPUTED_VALUE""")," Age")</f>
        <v> Age</v>
      </c>
      <c r="F637" s="4" t="str">
        <f>IFERROR(__xludf.DUMMYFUNCTION("""COMPUTED_VALUE"""),"25-54")</f>
        <v>25-54</v>
      </c>
      <c r="G637" s="4"/>
      <c r="H637" s="4"/>
      <c r="I637" s="4"/>
      <c r="J637" s="5" t="s">
        <v>15</v>
      </c>
      <c r="K637" s="5" t="s">
        <v>16</v>
      </c>
      <c r="L637" s="5" t="s">
        <v>78</v>
      </c>
      <c r="M637" s="6" t="s">
        <v>919</v>
      </c>
      <c r="N637" s="5" t="s">
        <v>19</v>
      </c>
      <c r="O637" s="5" t="s">
        <v>27</v>
      </c>
      <c r="P637" s="5">
        <v>198163.0</v>
      </c>
      <c r="Q637" s="5">
        <v>469.0</v>
      </c>
      <c r="R637" s="5">
        <v>76695.0</v>
      </c>
      <c r="S637" s="5">
        <v>183585.0</v>
      </c>
      <c r="T637" s="5">
        <v>31.0</v>
      </c>
      <c r="U637" s="9">
        <v>5204.313768</v>
      </c>
    </row>
    <row r="638">
      <c r="A638" s="4" t="s">
        <v>932</v>
      </c>
      <c r="B638" s="4" t="str">
        <f>IFERROR(__xludf.DUMMYFUNCTION("SPLIT(A638,""&gt;"")"),"Online Behavior")</f>
        <v>Online Behavior</v>
      </c>
      <c r="C638" s="4" t="str">
        <f>IFERROR(__xludf.DUMMYFUNCTION("""COMPUTED_VALUE"""),"United States")</f>
        <v>United States</v>
      </c>
      <c r="D638" s="4" t="str">
        <f>IFERROR(__xludf.DUMMYFUNCTION("""COMPUTED_VALUE"""),"Hobbies and Leisure")</f>
        <v>Hobbies and Leisure</v>
      </c>
      <c r="E638" s="4" t="str">
        <f>IFERROR(__xludf.DUMMYFUNCTION("""COMPUTED_VALUE"""),"Water Activities")</f>
        <v>Water Activities</v>
      </c>
      <c r="F638" s="4"/>
      <c r="G638" s="4"/>
      <c r="H638" s="4"/>
      <c r="I638" s="4"/>
      <c r="J638" s="5" t="s">
        <v>22</v>
      </c>
      <c r="K638" s="5" t="s">
        <v>31</v>
      </c>
      <c r="L638" s="5" t="s">
        <v>214</v>
      </c>
      <c r="M638" s="6" t="s">
        <v>919</v>
      </c>
      <c r="N638" s="5" t="s">
        <v>19</v>
      </c>
      <c r="O638" s="5" t="s">
        <v>27</v>
      </c>
      <c r="P638" s="5">
        <v>156427.0</v>
      </c>
      <c r="Q638" s="5">
        <v>512.0</v>
      </c>
      <c r="R638" s="5">
        <v>61821.0</v>
      </c>
      <c r="S638" s="5">
        <v>145505.0</v>
      </c>
      <c r="T638" s="5">
        <v>3.0</v>
      </c>
      <c r="U638" s="9">
        <v>5159.747494</v>
      </c>
    </row>
    <row r="639">
      <c r="A639" s="4" t="s">
        <v>1624</v>
      </c>
      <c r="B639" s="4" t="str">
        <f>IFERROR(__xludf.DUMMYFUNCTION("SPLIT(A639,""&gt;"")"),"Online Behavior")</f>
        <v>Online Behavior</v>
      </c>
      <c r="C639" s="4" t="str">
        <f>IFERROR(__xludf.DUMMYFUNCTION("""COMPUTED_VALUE"""),"United States")</f>
        <v>United States</v>
      </c>
      <c r="D639" s="4" t="str">
        <f>IFERROR(__xludf.DUMMYFUNCTION("""COMPUTED_VALUE"""),"Finance ")</f>
        <v>Finance </v>
      </c>
      <c r="E639" s="4" t="str">
        <f>IFERROR(__xludf.DUMMYFUNCTION("""COMPUTED_VALUE""")," Insurance")</f>
        <v> Insurance</v>
      </c>
      <c r="F639" s="4" t="str">
        <f>IFERROR(__xludf.DUMMYFUNCTION("""COMPUTED_VALUE"""),"Travel Insurance")</f>
        <v>Travel Insurance</v>
      </c>
      <c r="G639" s="4"/>
      <c r="H639" s="4"/>
      <c r="I639" s="4"/>
      <c r="J639" s="5" t="s">
        <v>15</v>
      </c>
      <c r="K639" s="5" t="s">
        <v>42</v>
      </c>
      <c r="L639" s="5" t="s">
        <v>39</v>
      </c>
      <c r="M639" s="6" t="s">
        <v>919</v>
      </c>
      <c r="N639" s="5" t="s">
        <v>36</v>
      </c>
      <c r="O639" s="5" t="s">
        <v>27</v>
      </c>
      <c r="P639" s="5">
        <v>61574.0</v>
      </c>
      <c r="Q639" s="5">
        <v>280.0</v>
      </c>
      <c r="R639" s="5">
        <v>18717.0</v>
      </c>
      <c r="S639" s="5">
        <v>46367.0</v>
      </c>
      <c r="T639" s="5">
        <v>8.0</v>
      </c>
      <c r="U639" s="9">
        <v>4999.665205</v>
      </c>
    </row>
    <row r="640" hidden="1">
      <c r="A640" s="4" t="s">
        <v>1625</v>
      </c>
      <c r="B640" s="4" t="str">
        <f>IFERROR(__xludf.DUMMYFUNCTION("SPLIT(A640,""&gt;"")"),"Online Behavior")</f>
        <v>Online Behavior</v>
      </c>
      <c r="C640" s="4" t="str">
        <f>IFERROR(__xludf.DUMMYFUNCTION("""COMPUTED_VALUE"""),"United States")</f>
        <v>United States</v>
      </c>
      <c r="D640" s="4" t="str">
        <f>IFERROR(__xludf.DUMMYFUNCTION("""COMPUTED_VALUE"""),"Intent ")</f>
        <v>Intent </v>
      </c>
      <c r="E640" s="4" t="str">
        <f>IFERROR(__xludf.DUMMYFUNCTION("""COMPUTED_VALUE""")," Services")</f>
        <v> Services</v>
      </c>
      <c r="F640" s="4" t="str">
        <f>IFERROR(__xludf.DUMMYFUNCTION("""COMPUTED_VALUE"""),"Restaurants")</f>
        <v>Restaurants</v>
      </c>
      <c r="G640" s="4"/>
      <c r="H640" s="4"/>
      <c r="I640" s="4"/>
      <c r="J640" s="5" t="s">
        <v>15</v>
      </c>
      <c r="K640" s="5" t="s">
        <v>31</v>
      </c>
      <c r="L640" s="5" t="s">
        <v>29</v>
      </c>
      <c r="M640" s="6" t="s">
        <v>919</v>
      </c>
      <c r="N640" s="5" t="s">
        <v>19</v>
      </c>
      <c r="O640" s="5" t="s">
        <v>20</v>
      </c>
      <c r="P640" s="5">
        <v>29856.0</v>
      </c>
      <c r="Q640" s="5">
        <v>111.0</v>
      </c>
      <c r="R640" s="5">
        <v>7664.0</v>
      </c>
      <c r="S640" s="5">
        <v>21698.0</v>
      </c>
      <c r="T640" s="5">
        <v>9.0</v>
      </c>
      <c r="U640" s="9">
        <v>4851.394446</v>
      </c>
    </row>
    <row r="641">
      <c r="A641" s="4" t="s">
        <v>1626</v>
      </c>
      <c r="B641" s="4" t="str">
        <f>IFERROR(__xludf.DUMMYFUNCTION("SPLIT(A641,""&gt;"")"),"Online Behavior")</f>
        <v>Online Behavior</v>
      </c>
      <c r="C641" s="4" t="str">
        <f>IFERROR(__xludf.DUMMYFUNCTION("""COMPUTED_VALUE"""),"United States")</f>
        <v>United States</v>
      </c>
      <c r="D641" s="4" t="str">
        <f>IFERROR(__xludf.DUMMYFUNCTION("""COMPUTED_VALUE"""),"Intent ")</f>
        <v>Intent </v>
      </c>
      <c r="E641" s="4" t="str">
        <f>IFERROR(__xludf.DUMMYFUNCTION("""COMPUTED_VALUE""")," Travel")</f>
        <v> Travel</v>
      </c>
      <c r="F641" s="4" t="str">
        <f>IFERROR(__xludf.DUMMYFUNCTION("""COMPUTED_VALUE"""),"Future Travel")</f>
        <v>Future Travel</v>
      </c>
      <c r="G641" s="4"/>
      <c r="H641" s="4"/>
      <c r="I641" s="4"/>
      <c r="J641" s="5" t="s">
        <v>15</v>
      </c>
      <c r="K641" s="5" t="s">
        <v>31</v>
      </c>
      <c r="L641" s="5" t="s">
        <v>35</v>
      </c>
      <c r="M641" s="6" t="s">
        <v>919</v>
      </c>
      <c r="N641" s="5" t="s">
        <v>19</v>
      </c>
      <c r="O641" s="5" t="s">
        <v>27</v>
      </c>
      <c r="P641" s="5">
        <v>100991.0</v>
      </c>
      <c r="Q641" s="5">
        <v>286.0</v>
      </c>
      <c r="R641" s="5">
        <v>56138.0</v>
      </c>
      <c r="S641" s="5">
        <v>88836.0</v>
      </c>
      <c r="T641" s="5">
        <v>9.0</v>
      </c>
      <c r="U641" s="9">
        <v>4652.367629</v>
      </c>
    </row>
    <row r="642">
      <c r="A642" s="4" t="s">
        <v>1627</v>
      </c>
      <c r="B642" s="4" t="str">
        <f>IFERROR(__xludf.DUMMYFUNCTION("SPLIT(A642,""&gt;"")"),"Online Behavior")</f>
        <v>Online Behavior</v>
      </c>
      <c r="C642" s="4" t="str">
        <f>IFERROR(__xludf.DUMMYFUNCTION("""COMPUTED_VALUE"""),"United States")</f>
        <v>United States</v>
      </c>
      <c r="D642" s="4" t="str">
        <f>IFERROR(__xludf.DUMMYFUNCTION("""COMPUTED_VALUE"""),"Intent ")</f>
        <v>Intent </v>
      </c>
      <c r="E642" s="4" t="str">
        <f>IFERROR(__xludf.DUMMYFUNCTION("""COMPUTED_VALUE""")," Shopping")</f>
        <v> Shopping</v>
      </c>
      <c r="F642" s="4" t="str">
        <f>IFERROR(__xludf.DUMMYFUNCTION("""COMPUTED_VALUE"""),"CPG")</f>
        <v>CPG</v>
      </c>
      <c r="G642" s="4" t="str">
        <f>IFERROR(__xludf.DUMMYFUNCTION("""COMPUTED_VALUE""")," Cosmetics")</f>
        <v> Cosmetics</v>
      </c>
      <c r="H642" s="4"/>
      <c r="I642" s="4"/>
      <c r="J642" s="5" t="s">
        <v>22</v>
      </c>
      <c r="K642" s="5" t="s">
        <v>16</v>
      </c>
      <c r="L642" s="5" t="s">
        <v>35</v>
      </c>
      <c r="M642" s="6" t="s">
        <v>919</v>
      </c>
      <c r="N642" s="5" t="s">
        <v>19</v>
      </c>
      <c r="O642" s="5" t="s">
        <v>27</v>
      </c>
      <c r="P642" s="5">
        <v>43327.0</v>
      </c>
      <c r="Q642" s="5">
        <v>140.0</v>
      </c>
      <c r="R642" s="5">
        <v>4689.0</v>
      </c>
      <c r="S642" s="5">
        <v>31363.0</v>
      </c>
      <c r="T642" s="5">
        <v>14.0</v>
      </c>
      <c r="U642" s="9">
        <v>4554.876884</v>
      </c>
    </row>
    <row r="643">
      <c r="A643" s="4" t="s">
        <v>937</v>
      </c>
      <c r="B643" s="4" t="str">
        <f>IFERROR(__xludf.DUMMYFUNCTION("SPLIT(A643,""&gt;"")"),"Online Behavior")</f>
        <v>Online Behavior</v>
      </c>
      <c r="C643" s="4" t="str">
        <f>IFERROR(__xludf.DUMMYFUNCTION("""COMPUTED_VALUE"""),"United States")</f>
        <v>United States</v>
      </c>
      <c r="D643" s="4" t="str">
        <f>IFERROR(__xludf.DUMMYFUNCTION("""COMPUTED_VALUE"""),"Travel")</f>
        <v>Travel</v>
      </c>
      <c r="E643" s="4" t="str">
        <f>IFERROR(__xludf.DUMMYFUNCTION("""COMPUTED_VALUE"""),"Travel Guides and Travelogues")</f>
        <v>Travel Guides and Travelogues</v>
      </c>
      <c r="F643" s="4"/>
      <c r="G643" s="4"/>
      <c r="H643" s="4"/>
      <c r="I643" s="4"/>
      <c r="J643" s="5" t="s">
        <v>22</v>
      </c>
      <c r="K643" s="5" t="s">
        <v>16</v>
      </c>
      <c r="L643" s="5" t="s">
        <v>29</v>
      </c>
      <c r="M643" s="6" t="s">
        <v>919</v>
      </c>
      <c r="N643" s="5" t="s">
        <v>19</v>
      </c>
      <c r="O643" s="5" t="s">
        <v>27</v>
      </c>
      <c r="P643" s="5">
        <v>212009.0</v>
      </c>
      <c r="Q643" s="5">
        <v>555.0</v>
      </c>
      <c r="R643" s="5">
        <v>16903.0</v>
      </c>
      <c r="S643" s="5">
        <v>149653.0</v>
      </c>
      <c r="T643" s="5">
        <v>15.0</v>
      </c>
      <c r="U643" s="9">
        <v>3983.621797</v>
      </c>
    </row>
    <row r="644" hidden="1">
      <c r="A644" s="4" t="s">
        <v>938</v>
      </c>
      <c r="B644" s="4" t="str">
        <f>IFERROR(__xludf.DUMMYFUNCTION("SPLIT(A644,""&gt;"")"),"Online Behavior")</f>
        <v>Online Behavior</v>
      </c>
      <c r="C644" s="4" t="str">
        <f>IFERROR(__xludf.DUMMYFUNCTION("""COMPUTED_VALUE"""),"United States")</f>
        <v>United States</v>
      </c>
      <c r="D644" s="4" t="str">
        <f>IFERROR(__xludf.DUMMYFUNCTION("""COMPUTED_VALUE"""),"The Changing Consumer")</f>
        <v>The Changing Consumer</v>
      </c>
      <c r="E644" s="4" t="str">
        <f>IFERROR(__xludf.DUMMYFUNCTION("""COMPUTED_VALUE"""),"Pet Adoption")</f>
        <v>Pet Adoption</v>
      </c>
      <c r="F644" s="4"/>
      <c r="G644" s="4"/>
      <c r="H644" s="4"/>
      <c r="I644" s="4"/>
      <c r="J644" s="5" t="s">
        <v>15</v>
      </c>
      <c r="K644" s="5" t="s">
        <v>16</v>
      </c>
      <c r="L644" s="5" t="s">
        <v>66</v>
      </c>
      <c r="M644" s="6" t="s">
        <v>919</v>
      </c>
      <c r="N644" s="5" t="s">
        <v>19</v>
      </c>
      <c r="O644" s="5" t="s">
        <v>20</v>
      </c>
      <c r="P644" s="5">
        <v>45668.0</v>
      </c>
      <c r="Q644" s="5">
        <v>130.0</v>
      </c>
      <c r="R644" s="5">
        <v>16872.0</v>
      </c>
      <c r="S644" s="5">
        <v>32085.0</v>
      </c>
      <c r="T644" s="5">
        <v>9.0</v>
      </c>
      <c r="U644" s="9">
        <v>3444.202946</v>
      </c>
    </row>
    <row r="645">
      <c r="A645" s="4" t="s">
        <v>939</v>
      </c>
      <c r="B645" s="4" t="str">
        <f>IFERROR(__xludf.DUMMYFUNCTION("SPLIT(A645,""&gt;"")"),"Media and Entertainment")</f>
        <v>Media and Entertainment</v>
      </c>
      <c r="C645" s="4"/>
      <c r="D645" s="4"/>
      <c r="E645" s="4"/>
      <c r="F645" s="4"/>
      <c r="G645" s="4"/>
      <c r="H645" s="4"/>
      <c r="I645" s="4"/>
      <c r="J645" s="5" t="s">
        <v>22</v>
      </c>
      <c r="K645" s="5" t="s">
        <v>42</v>
      </c>
      <c r="L645" s="5" t="s">
        <v>78</v>
      </c>
      <c r="M645" s="6" t="s">
        <v>919</v>
      </c>
      <c r="N645" s="5" t="s">
        <v>19</v>
      </c>
      <c r="O645" s="5" t="s">
        <v>27</v>
      </c>
      <c r="P645" s="5">
        <v>654902.0</v>
      </c>
      <c r="Q645" s="5">
        <v>1874.0</v>
      </c>
      <c r="R645" s="5">
        <v>40733.0</v>
      </c>
      <c r="S645" s="5">
        <v>477114.0</v>
      </c>
      <c r="T645" s="5">
        <v>14.0</v>
      </c>
      <c r="U645" s="9">
        <v>3178.610315</v>
      </c>
    </row>
    <row r="646">
      <c r="A646" s="4" t="s">
        <v>940</v>
      </c>
      <c r="B646" s="4" t="str">
        <f>IFERROR(__xludf.DUMMYFUNCTION("SPLIT(A646,""&gt;"")"),"Retail")</f>
        <v>Retail</v>
      </c>
      <c r="C646" s="4"/>
      <c r="D646" s="4"/>
      <c r="E646" s="4"/>
      <c r="F646" s="4"/>
      <c r="G646" s="4"/>
      <c r="H646" s="4"/>
      <c r="I646" s="4"/>
      <c r="J646" s="5" t="s">
        <v>22</v>
      </c>
      <c r="K646" s="5" t="s">
        <v>23</v>
      </c>
      <c r="L646" s="5" t="s">
        <v>150</v>
      </c>
      <c r="M646" s="6" t="s">
        <v>919</v>
      </c>
      <c r="N646" s="5" t="s">
        <v>26</v>
      </c>
      <c r="O646" s="5" t="s">
        <v>27</v>
      </c>
      <c r="P646" s="5">
        <v>239164.0</v>
      </c>
      <c r="Q646" s="5">
        <v>699.0</v>
      </c>
      <c r="R646" s="5">
        <v>86250.0</v>
      </c>
      <c r="S646" s="5">
        <v>198209.0</v>
      </c>
      <c r="T646" s="5">
        <v>41.0</v>
      </c>
      <c r="U646" s="9">
        <v>2819.935266</v>
      </c>
    </row>
    <row r="647">
      <c r="A647" s="4" t="s">
        <v>1628</v>
      </c>
      <c r="B647" s="4" t="str">
        <f>IFERROR(__xludf.DUMMYFUNCTION("SPLIT(A647,""&gt;"")"),"United States ")</f>
        <v>United States </v>
      </c>
      <c r="C647" s="4" t="str">
        <f>IFERROR(__xludf.DUMMYFUNCTION("""COMPUTED_VALUE""")," Reach ")</f>
        <v> Reach </v>
      </c>
      <c r="D647" s="4" t="str">
        <f>IFERROR(__xludf.DUMMYFUNCTION("""COMPUTED_VALUE""")," Propensity Models ")</f>
        <v> Propensity Models </v>
      </c>
      <c r="E647" s="4" t="str">
        <f>IFERROR(__xludf.DUMMYFUNCTION("""COMPUTED_VALUE""")," Hobbies and Interest ")</f>
        <v> Hobbies and Interest </v>
      </c>
      <c r="F647" s="4" t="str">
        <f>IFERROR(__xludf.DUMMYFUNCTION("""COMPUTED_VALUE""")," Sports ")</f>
        <v> Sports </v>
      </c>
      <c r="G647" s="4" t="str">
        <f>IFERROR(__xludf.DUMMYFUNCTION("""COMPUTED_VALUE""")," Boating")</f>
        <v> Boating</v>
      </c>
      <c r="H647" s="4"/>
      <c r="I647" s="4"/>
      <c r="J647" s="5" t="s">
        <v>15</v>
      </c>
      <c r="K647" s="5" t="s">
        <v>16</v>
      </c>
      <c r="L647" s="5" t="s">
        <v>35</v>
      </c>
      <c r="M647" s="6" t="s">
        <v>919</v>
      </c>
      <c r="N647" s="5" t="s">
        <v>36</v>
      </c>
      <c r="O647" s="5" t="s">
        <v>27</v>
      </c>
      <c r="P647" s="5">
        <v>564387.0</v>
      </c>
      <c r="Q647" s="5">
        <v>1984.0</v>
      </c>
      <c r="R647" s="5">
        <v>78234.0</v>
      </c>
      <c r="S647" s="5">
        <v>438695.0</v>
      </c>
      <c r="T647" s="5">
        <v>6.0</v>
      </c>
      <c r="U647" s="9">
        <v>2712.379678</v>
      </c>
    </row>
    <row r="648">
      <c r="A648" s="4" t="s">
        <v>1629</v>
      </c>
      <c r="B648" s="4" t="str">
        <f>IFERROR(__xludf.DUMMYFUNCTION("SPLIT(A648,""&gt;"")"),"United States ")</f>
        <v>United States </v>
      </c>
      <c r="C648" s="4" t="str">
        <f>IFERROR(__xludf.DUMMYFUNCTION("""COMPUTED_VALUE""")," Financially in Charge ")</f>
        <v> Financially in Charge </v>
      </c>
      <c r="D648" s="4" t="str">
        <f>IFERROR(__xludf.DUMMYFUNCTION("""COMPUTED_VALUE""")," Performance Score: Top 50%")</f>
        <v> Performance Score: Top 50%</v>
      </c>
      <c r="E648" s="4"/>
      <c r="F648" s="4"/>
      <c r="G648" s="4"/>
      <c r="H648" s="4"/>
      <c r="I648" s="4"/>
      <c r="J648" s="5" t="s">
        <v>22</v>
      </c>
      <c r="K648" s="5" t="s">
        <v>42</v>
      </c>
      <c r="L648" s="5" t="s">
        <v>78</v>
      </c>
      <c r="M648" s="6" t="s">
        <v>919</v>
      </c>
      <c r="N648" s="5" t="s">
        <v>19</v>
      </c>
      <c r="O648" s="5" t="s">
        <v>27</v>
      </c>
      <c r="P648" s="5">
        <v>12512.0</v>
      </c>
      <c r="Q648" s="5">
        <v>69.0</v>
      </c>
      <c r="R648" s="5">
        <v>6240.0</v>
      </c>
      <c r="S648" s="5">
        <v>9672.0</v>
      </c>
      <c r="T648" s="5">
        <v>1.0</v>
      </c>
      <c r="U648" s="9">
        <v>2298.888965</v>
      </c>
    </row>
    <row r="649">
      <c r="A649" s="4" t="s">
        <v>1630</v>
      </c>
      <c r="B649" s="4" t="str">
        <f>IFERROR(__xludf.DUMMYFUNCTION("SPLIT(A649,""&gt;"")"),"United States ")</f>
        <v>United States </v>
      </c>
      <c r="C649" s="4" t="str">
        <f>IFERROR(__xludf.DUMMYFUNCTION("""COMPUTED_VALUE""")," Reach ")</f>
        <v> Reach </v>
      </c>
      <c r="D649" s="4" t="str">
        <f>IFERROR(__xludf.DUMMYFUNCTION("""COMPUTED_VALUE""")," Propensity Models ")</f>
        <v> Propensity Models </v>
      </c>
      <c r="E649" s="4" t="str">
        <f>IFERROR(__xludf.DUMMYFUNCTION("""COMPUTED_VALUE""")," Online ")</f>
        <v> Online </v>
      </c>
      <c r="F649" s="4" t="str">
        <f>IFERROR(__xludf.DUMMYFUNCTION("""COMPUTED_VALUE""")," Pets")</f>
        <v> Pets</v>
      </c>
      <c r="G649" s="4"/>
      <c r="H649" s="4"/>
      <c r="I649" s="4"/>
      <c r="J649" s="5" t="s">
        <v>22</v>
      </c>
      <c r="K649" s="5" t="s">
        <v>16</v>
      </c>
      <c r="L649" s="5" t="s">
        <v>17</v>
      </c>
      <c r="M649" s="6" t="s">
        <v>919</v>
      </c>
      <c r="N649" s="5" t="s">
        <v>19</v>
      </c>
      <c r="O649" s="5" t="s">
        <v>27</v>
      </c>
      <c r="P649" s="5">
        <v>68008.0</v>
      </c>
      <c r="Q649" s="5">
        <v>204.0</v>
      </c>
      <c r="R649" s="5">
        <v>2996.0</v>
      </c>
      <c r="S649" s="5">
        <v>49686.0</v>
      </c>
      <c r="T649" s="5">
        <v>9.0</v>
      </c>
      <c r="U649" s="9">
        <v>1923.808141</v>
      </c>
    </row>
    <row r="650">
      <c r="A650" s="4" t="s">
        <v>1631</v>
      </c>
      <c r="B650" s="4" t="str">
        <f>IFERROR(__xludf.DUMMYFUNCTION("SPLIT(A650,""&gt;"")"),"United States ")</f>
        <v>United States </v>
      </c>
      <c r="C650" s="4" t="str">
        <f>IFERROR(__xludf.DUMMYFUNCTION("""COMPUTED_VALUE""")," Interest Propensities ")</f>
        <v> Interest Propensities </v>
      </c>
      <c r="D650" s="4" t="str">
        <f>IFERROR(__xludf.DUMMYFUNCTION("""COMPUTED_VALUE""")," Insurance ")</f>
        <v> Insurance </v>
      </c>
      <c r="E650" s="4" t="str">
        <f>IFERROR(__xludf.DUMMYFUNCTION("""COMPUTED_VALUE""")," Lincoln Heritage")</f>
        <v> Lincoln Heritage</v>
      </c>
      <c r="F650" s="4"/>
      <c r="G650" s="4"/>
      <c r="H650" s="4"/>
      <c r="I650" s="4"/>
      <c r="J650" s="5" t="s">
        <v>22</v>
      </c>
      <c r="K650" s="5" t="s">
        <v>23</v>
      </c>
      <c r="L650" s="5" t="s">
        <v>78</v>
      </c>
      <c r="M650" s="6" t="s">
        <v>919</v>
      </c>
      <c r="N650" s="5" t="s">
        <v>26</v>
      </c>
      <c r="O650" s="5" t="s">
        <v>27</v>
      </c>
      <c r="P650" s="5">
        <v>61848.0</v>
      </c>
      <c r="Q650" s="5">
        <v>213.0</v>
      </c>
      <c r="R650" s="5">
        <v>6581.0</v>
      </c>
      <c r="S650" s="5">
        <v>44917.0</v>
      </c>
      <c r="T650" s="5">
        <v>15.0</v>
      </c>
      <c r="U650" s="9">
        <v>1819.893602</v>
      </c>
    </row>
    <row r="651">
      <c r="A651" s="4" t="s">
        <v>1632</v>
      </c>
      <c r="B651" s="4" t="str">
        <f>IFERROR(__xludf.DUMMYFUNCTION("SPLIT(A651,""&gt;"")"),"Real Estate ")</f>
        <v>Real Estate </v>
      </c>
      <c r="C651" s="4" t="str">
        <f>IFERROR(__xludf.DUMMYFUNCTION("""COMPUTED_VALUE""")," Lot Size ")</f>
        <v> Lot Size </v>
      </c>
      <c r="D651" s="4" t="str">
        <f>IFERROR(__xludf.DUMMYFUNCTION("""COMPUTED_VALUE""")," Cozy Outdoor Living Space (Less than  an Acre)")</f>
        <v> Cozy Outdoor Living Space (Less than  an Acre)</v>
      </c>
      <c r="E651" s="4"/>
      <c r="F651" s="4"/>
      <c r="G651" s="4"/>
      <c r="H651" s="4"/>
      <c r="I651" s="4"/>
      <c r="J651" s="5" t="s">
        <v>15</v>
      </c>
      <c r="K651" s="5" t="s">
        <v>31</v>
      </c>
      <c r="L651" s="5" t="s">
        <v>78</v>
      </c>
      <c r="M651" s="6" t="s">
        <v>919</v>
      </c>
      <c r="N651" s="5" t="s">
        <v>36</v>
      </c>
      <c r="O651" s="5" t="s">
        <v>27</v>
      </c>
      <c r="P651" s="5">
        <v>232635.0</v>
      </c>
      <c r="Q651" s="5">
        <v>666.0</v>
      </c>
      <c r="R651" s="5">
        <v>34008.0</v>
      </c>
      <c r="S651" s="5">
        <v>195803.0</v>
      </c>
      <c r="T651" s="5">
        <v>39.0</v>
      </c>
      <c r="U651" s="9">
        <v>1773.991882</v>
      </c>
    </row>
    <row r="652">
      <c r="A652" s="4" t="s">
        <v>1633</v>
      </c>
      <c r="B652" s="4" t="str">
        <f>IFERROR(__xludf.DUMMYFUNCTION("SPLIT(A652,""&gt;"")"),"United States Demographic ")</f>
        <v>United States Demographic </v>
      </c>
      <c r="C652" s="4" t="str">
        <f>IFERROR(__xludf.DUMMYFUNCTION("""COMPUTED_VALUE""")," Age ")</f>
        <v> Age </v>
      </c>
      <c r="D652" s="4" t="str">
        <f>IFERROR(__xludf.DUMMYFUNCTION("""COMPUTED_VALUE""")," Specialty Age Range ")</f>
        <v> Specialty Age Range </v>
      </c>
      <c r="E652" s="4" t="str">
        <f>IFERROR(__xludf.DUMMYFUNCTION("""COMPUTED_VALUE""")," 21+")</f>
        <v> 21+</v>
      </c>
      <c r="F652" s="4"/>
      <c r="G652" s="4"/>
      <c r="H652" s="4"/>
      <c r="I652" s="4"/>
      <c r="J652" s="5" t="s">
        <v>15</v>
      </c>
      <c r="K652" s="5" t="s">
        <v>16</v>
      </c>
      <c r="L652" s="5" t="s">
        <v>35</v>
      </c>
      <c r="M652" s="6" t="s">
        <v>919</v>
      </c>
      <c r="N652" s="5" t="s">
        <v>26</v>
      </c>
      <c r="O652" s="5" t="s">
        <v>27</v>
      </c>
      <c r="P652" s="5">
        <v>180353.0</v>
      </c>
      <c r="Q652" s="5">
        <v>471.0</v>
      </c>
      <c r="R652" s="5">
        <v>67637.0</v>
      </c>
      <c r="S652" s="5">
        <v>145416.0</v>
      </c>
      <c r="T652" s="5">
        <v>8.0</v>
      </c>
      <c r="U652" s="9">
        <v>1720.881985</v>
      </c>
    </row>
    <row r="653">
      <c r="A653" s="4" t="s">
        <v>1634</v>
      </c>
      <c r="B653" s="4" t="str">
        <f>IFERROR(__xludf.DUMMYFUNCTION("SPLIT(A653,""&gt;"")"),"United States Mail Order Buyer")</f>
        <v>United States Mail Order Buyer</v>
      </c>
      <c r="C653" s="4"/>
      <c r="D653" s="4"/>
      <c r="E653" s="4"/>
      <c r="F653" s="4"/>
      <c r="G653" s="4"/>
      <c r="H653" s="4"/>
      <c r="I653" s="4"/>
      <c r="J653" s="5" t="s">
        <v>22</v>
      </c>
      <c r="K653" s="5" t="s">
        <v>16</v>
      </c>
      <c r="L653" s="5" t="s">
        <v>78</v>
      </c>
      <c r="M653" s="6" t="s">
        <v>919</v>
      </c>
      <c r="N653" s="5" t="s">
        <v>19</v>
      </c>
      <c r="O653" s="5" t="s">
        <v>27</v>
      </c>
      <c r="P653" s="5">
        <v>78433.0</v>
      </c>
      <c r="Q653" s="5">
        <v>204.0</v>
      </c>
      <c r="R653" s="5">
        <v>24067.0</v>
      </c>
      <c r="S653" s="5">
        <v>58308.0</v>
      </c>
      <c r="T653" s="5">
        <v>16.0</v>
      </c>
      <c r="U653" s="9">
        <v>1612.549327</v>
      </c>
    </row>
    <row r="654">
      <c r="A654" s="4" t="s">
        <v>1635</v>
      </c>
      <c r="B654" s="4" t="str">
        <f>IFERROR(__xludf.DUMMYFUNCTION("SPLIT(A654,""&gt;"")"),"United States ")</f>
        <v>United States </v>
      </c>
      <c r="C654" s="4" t="str">
        <f>IFERROR(__xludf.DUMMYFUNCTION("""COMPUTED_VALUE""")," Brand Propensities ")</f>
        <v> Brand Propensities </v>
      </c>
      <c r="D654" s="4" t="str">
        <f>IFERROR(__xludf.DUMMYFUNCTION("""COMPUTED_VALUE""")," Big Box Dollar General Buyer Propensity")</f>
        <v> Big Box Dollar General Buyer Propensity</v>
      </c>
      <c r="E654" s="4"/>
      <c r="F654" s="4"/>
      <c r="G654" s="4"/>
      <c r="H654" s="4"/>
      <c r="I654" s="4"/>
      <c r="J654" s="5" t="s">
        <v>22</v>
      </c>
      <c r="K654" s="5" t="s">
        <v>23</v>
      </c>
      <c r="L654" s="5" t="s">
        <v>35</v>
      </c>
      <c r="M654" s="6" t="s">
        <v>919</v>
      </c>
      <c r="N654" s="5" t="s">
        <v>117</v>
      </c>
      <c r="O654" s="5" t="s">
        <v>27</v>
      </c>
      <c r="P654" s="5">
        <v>194833.0</v>
      </c>
      <c r="Q654" s="5">
        <v>499.0</v>
      </c>
      <c r="R654" s="5">
        <v>29091.0</v>
      </c>
      <c r="S654" s="5">
        <v>143813.0</v>
      </c>
      <c r="T654" s="5">
        <v>4.0</v>
      </c>
      <c r="U654" s="9">
        <v>1586.314519</v>
      </c>
    </row>
    <row r="655">
      <c r="A655" s="4" t="s">
        <v>1636</v>
      </c>
      <c r="B655" s="4" t="str">
        <f>IFERROR(__xludf.DUMMYFUNCTION("SPLIT(A655,""&gt;"")"),"OnAudience ")</f>
        <v>OnAudience </v>
      </c>
      <c r="C655" s="4" t="str">
        <f>IFERROR(__xludf.DUMMYFUNCTION("""COMPUTED_VALUE""")," Interest ")</f>
        <v> Interest </v>
      </c>
      <c r="D655" s="4" t="str">
        <f>IFERROR(__xludf.DUMMYFUNCTION("""COMPUTED_VALUE""")," News ")</f>
        <v> News </v>
      </c>
      <c r="E655" s="4" t="str">
        <f>IFERROR(__xludf.DUMMYFUNCTION("""COMPUTED_VALUE""")," International News")</f>
        <v> International News</v>
      </c>
      <c r="F655" s="4"/>
      <c r="G655" s="4"/>
      <c r="H655" s="4"/>
      <c r="I655" s="4"/>
      <c r="J655" s="5" t="s">
        <v>15</v>
      </c>
      <c r="K655" s="5" t="s">
        <v>31</v>
      </c>
      <c r="L655" s="5" t="s">
        <v>142</v>
      </c>
      <c r="M655" s="6" t="s">
        <v>919</v>
      </c>
      <c r="N655" s="5" t="s">
        <v>117</v>
      </c>
      <c r="O655" s="5" t="s">
        <v>27</v>
      </c>
      <c r="P655" s="5">
        <v>197192.0</v>
      </c>
      <c r="Q655" s="5">
        <v>519.0</v>
      </c>
      <c r="R655" s="5">
        <v>80623.0</v>
      </c>
      <c r="S655" s="5">
        <v>181763.0</v>
      </c>
      <c r="T655" s="5">
        <v>5.0</v>
      </c>
      <c r="U655" s="9">
        <v>1584.731757</v>
      </c>
    </row>
    <row r="656">
      <c r="A656" s="4" t="s">
        <v>1637</v>
      </c>
      <c r="B656" s="4" t="str">
        <f>IFERROR(__xludf.DUMMYFUNCTION("SPLIT(A656,""&gt;"")"),"Mobile Audience ")</f>
        <v>Mobile Audience </v>
      </c>
      <c r="C656" s="4" t="str">
        <f>IFERROR(__xludf.DUMMYFUNCTION("""COMPUTED_VALUE""")," Lifestyle ")</f>
        <v> Lifestyle </v>
      </c>
      <c r="D656" s="4" t="str">
        <f>IFERROR(__xludf.DUMMYFUNCTION("""COMPUTED_VALUE""")," Arts EnthUnited Statesiasts")</f>
        <v> Arts EnthUnited Statesiasts</v>
      </c>
      <c r="E656" s="4"/>
      <c r="F656" s="4"/>
      <c r="G656" s="4"/>
      <c r="H656" s="4"/>
      <c r="I656" s="4"/>
      <c r="J656" s="5" t="s">
        <v>15</v>
      </c>
      <c r="K656" s="5" t="s">
        <v>42</v>
      </c>
      <c r="L656" s="5" t="s">
        <v>55</v>
      </c>
      <c r="M656" s="6" t="s">
        <v>919</v>
      </c>
      <c r="N656" s="5" t="s">
        <v>26</v>
      </c>
      <c r="O656" s="5" t="s">
        <v>27</v>
      </c>
      <c r="P656" s="5">
        <v>40519.0</v>
      </c>
      <c r="Q656" s="5">
        <v>111.0</v>
      </c>
      <c r="R656" s="5">
        <v>6105.0</v>
      </c>
      <c r="S656" s="5">
        <v>26283.0</v>
      </c>
      <c r="T656" s="5">
        <v>10.0</v>
      </c>
      <c r="U656" s="9">
        <v>1582.410977</v>
      </c>
    </row>
    <row r="657">
      <c r="A657" s="4" t="s">
        <v>1638</v>
      </c>
      <c r="B657" s="4" t="str">
        <f>IFERROR(__xludf.DUMMYFUNCTION("SPLIT(A657,""&gt;"")"),"United States ")</f>
        <v>United States </v>
      </c>
      <c r="C657" s="4" t="str">
        <f>IFERROR(__xludf.DUMMYFUNCTION("""COMPUTED_VALUE""")," Interest Propensities ")</f>
        <v> Interest Propensities </v>
      </c>
      <c r="D657" s="4" t="str">
        <f>IFERROR(__xludf.DUMMYFUNCTION("""COMPUTED_VALUE""")," MUnited Statesic ")</f>
        <v> MUnited Statesic </v>
      </c>
      <c r="E657" s="4" t="str">
        <f>IFERROR(__xludf.DUMMYFUNCTION("""COMPUTED_VALUE""")," Hip Hop and Rap")</f>
        <v> Hip Hop and Rap</v>
      </c>
      <c r="F657" s="4"/>
      <c r="G657" s="4"/>
      <c r="H657" s="4"/>
      <c r="I657" s="4"/>
      <c r="J657" s="5" t="s">
        <v>22</v>
      </c>
      <c r="K657" s="5" t="s">
        <v>23</v>
      </c>
      <c r="L657" s="5" t="s">
        <v>173</v>
      </c>
      <c r="M657" s="6" t="s">
        <v>919</v>
      </c>
      <c r="N657" s="5" t="s">
        <v>19</v>
      </c>
      <c r="O657" s="5" t="s">
        <v>27</v>
      </c>
      <c r="P657" s="5">
        <v>254780.0</v>
      </c>
      <c r="Q657" s="5">
        <v>699.0</v>
      </c>
      <c r="R657" s="5">
        <v>19169.0</v>
      </c>
      <c r="S657" s="5">
        <v>182583.0</v>
      </c>
      <c r="T657" s="5">
        <v>4.0</v>
      </c>
      <c r="U657" s="9">
        <v>1561.021915</v>
      </c>
    </row>
    <row r="658">
      <c r="A658" s="4" t="s">
        <v>1639</v>
      </c>
      <c r="B658" s="4" t="str">
        <f>IFERROR(__xludf.DUMMYFUNCTION("SPLIT(A658,""&gt;"")"),"Lotame ")</f>
        <v>Lotame </v>
      </c>
      <c r="C658" s="4" t="str">
        <f>IFERROR(__xludf.DUMMYFUNCTION("""COMPUTED_VALUE""")," Travel ")</f>
        <v> Travel </v>
      </c>
      <c r="D658" s="4" t="str">
        <f>IFERROR(__xludf.DUMMYFUNCTION("""COMPUTED_VALUE""")," Thanksgiving Travel")</f>
        <v> Thanksgiving Travel</v>
      </c>
      <c r="E658" s="4"/>
      <c r="F658" s="4"/>
      <c r="G658" s="4"/>
      <c r="H658" s="4"/>
      <c r="I658" s="4"/>
      <c r="J658" s="5" t="s">
        <v>22</v>
      </c>
      <c r="K658" s="5" t="s">
        <v>31</v>
      </c>
      <c r="L658" s="5" t="s">
        <v>953</v>
      </c>
      <c r="M658" s="6" t="s">
        <v>919</v>
      </c>
      <c r="N658" s="5" t="s">
        <v>19</v>
      </c>
      <c r="O658" s="5" t="s">
        <v>27</v>
      </c>
      <c r="P658" s="5">
        <v>36543.0</v>
      </c>
      <c r="Q658" s="5">
        <v>147.0</v>
      </c>
      <c r="R658" s="5">
        <v>18046.0</v>
      </c>
      <c r="S658" s="5">
        <v>27358.0</v>
      </c>
      <c r="T658" s="5">
        <v>6.0</v>
      </c>
      <c r="U658" s="9">
        <v>1513.088728</v>
      </c>
    </row>
    <row r="659">
      <c r="A659" s="4" t="s">
        <v>1640</v>
      </c>
      <c r="B659" s="4" t="str">
        <f>IFERROR(__xludf.DUMMYFUNCTION("SPLIT(A659,""&gt;"")"),"United States ")</f>
        <v>United States </v>
      </c>
      <c r="C659" s="4" t="str">
        <f>IFERROR(__xludf.DUMMYFUNCTION("""COMPUTED_VALUE""")," Sociodemographic ")</f>
        <v> Sociodemographic </v>
      </c>
      <c r="D659" s="4" t="str">
        <f>IFERROR(__xludf.DUMMYFUNCTION("""COMPUTED_VALUE""")," ConneXions Lifestage ")</f>
        <v> ConneXions Lifestage </v>
      </c>
      <c r="E659" s="4" t="str">
        <f>IFERROR(__xludf.DUMMYFUNCTION("""COMPUTED_VALUE""")," F2 Suburban Spenders")</f>
        <v> F2 Suburban Spenders</v>
      </c>
      <c r="F659" s="4"/>
      <c r="G659" s="4"/>
      <c r="H659" s="4"/>
      <c r="I659" s="4"/>
      <c r="J659" s="5" t="s">
        <v>22</v>
      </c>
      <c r="K659" s="5" t="s">
        <v>23</v>
      </c>
      <c r="L659" s="5" t="s">
        <v>29</v>
      </c>
      <c r="M659" s="6" t="s">
        <v>919</v>
      </c>
      <c r="N659" s="5" t="s">
        <v>19</v>
      </c>
      <c r="O659" s="5" t="s">
        <v>27</v>
      </c>
      <c r="P659" s="5">
        <v>292885.0</v>
      </c>
      <c r="Q659" s="5">
        <v>796.0</v>
      </c>
      <c r="R659" s="5">
        <v>12733.0</v>
      </c>
      <c r="S659" s="5">
        <v>203986.0</v>
      </c>
      <c r="T659" s="5">
        <v>4.0</v>
      </c>
      <c r="U659" s="9">
        <v>1503.913054</v>
      </c>
    </row>
    <row r="660">
      <c r="A660" s="4" t="s">
        <v>1641</v>
      </c>
      <c r="B660" s="4" t="str">
        <f>IFERROR(__xludf.DUMMYFUNCTION("SPLIT(A660,""&gt;"")"),"Travel and Tourism ")</f>
        <v>Travel and Tourism </v>
      </c>
      <c r="C660" s="4" t="str">
        <f>IFERROR(__xludf.DUMMYFUNCTION("""COMPUTED_VALUE""")," Interest (Affinity) ")</f>
        <v> Interest (Affinity) </v>
      </c>
      <c r="D660" s="4" t="str">
        <f>IFERROR(__xludf.DUMMYFUNCTION("""COMPUTED_VALUE""")," Destinations ")</f>
        <v> Destinations </v>
      </c>
      <c r="E660" s="4" t="str">
        <f>IFERROR(__xludf.DUMMYFUNCTION("""COMPUTED_VALUE""")," Africa")</f>
        <v> Africa</v>
      </c>
      <c r="F660" s="4"/>
      <c r="G660" s="4"/>
      <c r="H660" s="4"/>
      <c r="I660" s="4"/>
      <c r="J660" s="5" t="s">
        <v>15</v>
      </c>
      <c r="K660" s="5" t="s">
        <v>16</v>
      </c>
      <c r="L660" s="5" t="s">
        <v>55</v>
      </c>
      <c r="M660" s="6" t="s">
        <v>919</v>
      </c>
      <c r="N660" s="5" t="s">
        <v>136</v>
      </c>
      <c r="O660" s="5" t="s">
        <v>27</v>
      </c>
      <c r="P660" s="5">
        <v>253577.0</v>
      </c>
      <c r="Q660" s="5">
        <v>890.0</v>
      </c>
      <c r="R660" s="5">
        <v>66972.0</v>
      </c>
      <c r="S660" s="5">
        <v>191183.0</v>
      </c>
      <c r="T660" s="5">
        <v>44.0</v>
      </c>
      <c r="U660" s="9">
        <v>1493.074494</v>
      </c>
    </row>
    <row r="661">
      <c r="A661" s="4" t="s">
        <v>1642</v>
      </c>
      <c r="B661" s="4" t="str">
        <f>IFERROR(__xludf.DUMMYFUNCTION("SPLIT(A661,""&gt;"")"),"Purchase-Based ")</f>
        <v>Purchase-Based </v>
      </c>
      <c r="C661" s="4" t="str">
        <f>IFERROR(__xludf.DUMMYFUNCTION("""COMPUTED_VALUE""")," Categories ")</f>
        <v> Categories </v>
      </c>
      <c r="D661" s="4" t="str">
        <f>IFERROR(__xludf.DUMMYFUNCTION("""COMPUTED_VALUE""")," Office Supplies Buyers")</f>
        <v> Office Supplies Buyers</v>
      </c>
      <c r="E661" s="4"/>
      <c r="F661" s="4"/>
      <c r="G661" s="4"/>
      <c r="H661" s="4"/>
      <c r="I661" s="4"/>
      <c r="J661" s="5" t="s">
        <v>15</v>
      </c>
      <c r="K661" s="5" t="s">
        <v>16</v>
      </c>
      <c r="L661" s="5" t="s">
        <v>35</v>
      </c>
      <c r="M661" s="6" t="s">
        <v>919</v>
      </c>
      <c r="N661" s="5" t="s">
        <v>184</v>
      </c>
      <c r="O661" s="5" t="s">
        <v>27</v>
      </c>
      <c r="P661" s="5">
        <v>12280.0</v>
      </c>
      <c r="Q661" s="5">
        <v>90.0</v>
      </c>
      <c r="R661" s="5">
        <v>7633.0</v>
      </c>
      <c r="S661" s="5">
        <v>11053.0</v>
      </c>
      <c r="T661" s="5">
        <v>5.0</v>
      </c>
      <c r="U661" s="9">
        <v>1452.207361</v>
      </c>
    </row>
    <row r="662">
      <c r="A662" s="4" t="s">
        <v>957</v>
      </c>
      <c r="B662" s="4" t="str">
        <f>IFERROR(__xludf.DUMMYFUNCTION("SPLIT(A662,""&gt;"")"),"Online Behavior")</f>
        <v>Online Behavior</v>
      </c>
      <c r="C662" s="4" t="str">
        <f>IFERROR(__xludf.DUMMYFUNCTION("""COMPUTED_VALUE"""),"United States")</f>
        <v>United States</v>
      </c>
      <c r="D662" s="4" t="str">
        <f>IFERROR(__xludf.DUMMYFUNCTION("""COMPUTED_VALUE"""),"Sports")</f>
        <v>Sports</v>
      </c>
      <c r="E662" s="4" t="str">
        <f>IFERROR(__xludf.DUMMYFUNCTION("""COMPUTED_VALUE"""),"Extreme Sports")</f>
        <v>Extreme Sports</v>
      </c>
      <c r="F662" s="4"/>
      <c r="G662" s="4"/>
      <c r="H662" s="4"/>
      <c r="I662" s="4"/>
      <c r="J662" s="5" t="s">
        <v>15</v>
      </c>
      <c r="K662" s="5" t="s">
        <v>16</v>
      </c>
      <c r="L662" s="5" t="s">
        <v>55</v>
      </c>
      <c r="M662" s="6" t="s">
        <v>958</v>
      </c>
      <c r="N662" s="5" t="s">
        <v>50</v>
      </c>
      <c r="O662" s="5" t="s">
        <v>27</v>
      </c>
      <c r="P662" s="5">
        <v>14599.0</v>
      </c>
      <c r="Q662" s="5">
        <v>33.0</v>
      </c>
      <c r="R662" s="5">
        <v>1779.0</v>
      </c>
      <c r="S662" s="5">
        <v>12458.0</v>
      </c>
      <c r="T662" s="5">
        <v>4.0</v>
      </c>
      <c r="U662" s="9">
        <v>5092.559215</v>
      </c>
    </row>
    <row r="663" hidden="1">
      <c r="A663" s="4" t="s">
        <v>1643</v>
      </c>
      <c r="B663" s="4" t="str">
        <f>IFERROR(__xludf.DUMMYFUNCTION("SPLIT(A663,""&gt;"")"),"United States Financial ")</f>
        <v>United States Financial </v>
      </c>
      <c r="C663" s="4" t="str">
        <f>IFERROR(__xludf.DUMMYFUNCTION("""COMPUTED_VALUE""")," Likely Attitude and Behavior ")</f>
        <v> Likely Attitude and Behavior </v>
      </c>
      <c r="D663" s="4" t="str">
        <f>IFERROR(__xludf.DUMMYFUNCTION("""COMPUTED_VALUE""")," Completely Disagree ")</f>
        <v> Completely Disagree </v>
      </c>
      <c r="E663" s="4" t="str">
        <f>IFERROR(__xludf.DUMMYFUNCTION("""COMPUTED_VALUE""")," When I Find A Financial Product/Service I Like I Typically Recommend It To People I Know (Financial)")</f>
        <v> When I Find A Financial Product/Service I Like I Typically Recommend It To People I Know (Financial)</v>
      </c>
      <c r="F663" s="4"/>
      <c r="G663" s="4"/>
      <c r="H663" s="4"/>
      <c r="I663" s="4"/>
      <c r="J663" s="5" t="s">
        <v>15</v>
      </c>
      <c r="K663" s="5" t="s">
        <v>16</v>
      </c>
      <c r="L663" s="5" t="s">
        <v>78</v>
      </c>
      <c r="M663" s="6" t="s">
        <v>958</v>
      </c>
      <c r="N663" s="5" t="s">
        <v>19</v>
      </c>
      <c r="O663" s="5" t="s">
        <v>52</v>
      </c>
      <c r="P663" s="5">
        <v>16175.0</v>
      </c>
      <c r="Q663" s="5">
        <v>35.0</v>
      </c>
      <c r="R663" s="5">
        <v>1923.0</v>
      </c>
      <c r="S663" s="5">
        <v>15085.0</v>
      </c>
      <c r="T663" s="5">
        <v>2.0</v>
      </c>
      <c r="U663" s="9">
        <v>1649.069475</v>
      </c>
    </row>
    <row r="664">
      <c r="A664" s="4" t="s">
        <v>1644</v>
      </c>
      <c r="B664" s="4" t="str">
        <f>IFERROR(__xludf.DUMMYFUNCTION("SPLIT(A664,""&gt;"")"),"Online Behavior")</f>
        <v>Online Behavior</v>
      </c>
      <c r="C664" s="4" t="str">
        <f>IFERROR(__xludf.DUMMYFUNCTION("""COMPUTED_VALUE"""),"United States")</f>
        <v>United States</v>
      </c>
      <c r="D664" s="4" t="str">
        <f>IFERROR(__xludf.DUMMYFUNCTION("""COMPUTED_VALUE"""),"Intent ")</f>
        <v>Intent </v>
      </c>
      <c r="E664" s="4" t="str">
        <f>IFERROR(__xludf.DUMMYFUNCTION("""COMPUTED_VALUE""")," Auto Buyers")</f>
        <v> Auto Buyers</v>
      </c>
      <c r="F664" s="4" t="str">
        <f>IFERROR(__xludf.DUMMYFUNCTION("""COMPUTED_VALUE"""),"New")</f>
        <v>New</v>
      </c>
      <c r="G664" s="4"/>
      <c r="H664" s="4"/>
      <c r="I664" s="4"/>
      <c r="J664" s="5" t="s">
        <v>22</v>
      </c>
      <c r="K664" s="5" t="s">
        <v>31</v>
      </c>
      <c r="L664" s="5" t="s">
        <v>17</v>
      </c>
      <c r="M664" s="6" t="s">
        <v>961</v>
      </c>
      <c r="N664" s="5" t="s">
        <v>19</v>
      </c>
      <c r="O664" s="5" t="s">
        <v>27</v>
      </c>
      <c r="P664" s="5">
        <v>42830.0</v>
      </c>
      <c r="Q664" s="5">
        <v>160.0</v>
      </c>
      <c r="R664" s="5">
        <v>24499.0</v>
      </c>
      <c r="S664" s="5">
        <v>34496.0</v>
      </c>
      <c r="T664" s="5">
        <v>5.0</v>
      </c>
      <c r="U664" s="9">
        <v>6261.575724</v>
      </c>
    </row>
    <row r="665">
      <c r="A665" s="4" t="s">
        <v>962</v>
      </c>
      <c r="B665" s="4" t="str">
        <f>IFERROR(__xludf.DUMMYFUNCTION("SPLIT(A665,""&gt;"")"),"Online Behavior")</f>
        <v>Online Behavior</v>
      </c>
      <c r="C665" s="4" t="str">
        <f>IFERROR(__xludf.DUMMYFUNCTION("""COMPUTED_VALUE"""),"United States")</f>
        <v>United States</v>
      </c>
      <c r="D665" s="4" t="str">
        <f>IFERROR(__xludf.DUMMYFUNCTION("""COMPUTED_VALUE"""),"The Changing Consumer")</f>
        <v>The Changing Consumer</v>
      </c>
      <c r="E665" s="4" t="str">
        <f>IFERROR(__xludf.DUMMYFUNCTION("""COMPUTED_VALUE"""),"Home Learning")</f>
        <v>Home Learning</v>
      </c>
      <c r="F665" s="4"/>
      <c r="G665" s="4"/>
      <c r="H665" s="4"/>
      <c r="I665" s="4"/>
      <c r="J665" s="5" t="s">
        <v>22</v>
      </c>
      <c r="K665" s="5" t="s">
        <v>31</v>
      </c>
      <c r="L665" s="5" t="s">
        <v>35</v>
      </c>
      <c r="M665" s="6" t="s">
        <v>961</v>
      </c>
      <c r="N665" s="5" t="s">
        <v>19</v>
      </c>
      <c r="O665" s="5" t="s">
        <v>27</v>
      </c>
      <c r="P665" s="5">
        <v>12209.0</v>
      </c>
      <c r="Q665" s="5">
        <v>147.0</v>
      </c>
      <c r="R665" s="5">
        <v>3976.0</v>
      </c>
      <c r="S665" s="5">
        <v>5219.0</v>
      </c>
      <c r="T665" s="5">
        <v>4.0</v>
      </c>
      <c r="U665" s="9">
        <v>3818.955182</v>
      </c>
    </row>
    <row r="666" hidden="1">
      <c r="A666" s="4" t="s">
        <v>1645</v>
      </c>
      <c r="B666" s="4" t="str">
        <f>IFERROR(__xludf.DUMMYFUNCTION("SPLIT(A666,""&gt;"")"),"Online Behavior")</f>
        <v>Online Behavior</v>
      </c>
      <c r="C666" s="4" t="str">
        <f>IFERROR(__xludf.DUMMYFUNCTION("""COMPUTED_VALUE"""),"United States")</f>
        <v>United States</v>
      </c>
      <c r="D666" s="4" t="str">
        <f>IFERROR(__xludf.DUMMYFUNCTION("""COMPUTED_VALUE"""),"B2B ")</f>
        <v>B2B </v>
      </c>
      <c r="E666" s="4" t="str">
        <f>IFERROR(__xludf.DUMMYFUNCTION("""COMPUTED_VALUE""")," Occupation")</f>
        <v> Occupation</v>
      </c>
      <c r="F666" s="4" t="str">
        <f>IFERROR(__xludf.DUMMYFUNCTION("""COMPUTED_VALUE"""),"PropertyManager")</f>
        <v>PropertyManager</v>
      </c>
      <c r="G666" s="4"/>
      <c r="H666" s="4"/>
      <c r="I666" s="4"/>
      <c r="J666" s="5" t="s">
        <v>15</v>
      </c>
      <c r="K666" s="5" t="s">
        <v>42</v>
      </c>
      <c r="L666" s="5" t="s">
        <v>35</v>
      </c>
      <c r="M666" s="6" t="s">
        <v>961</v>
      </c>
      <c r="N666" s="5" t="s">
        <v>19</v>
      </c>
      <c r="O666" s="5" t="s">
        <v>20</v>
      </c>
      <c r="P666" s="5">
        <v>7447.0</v>
      </c>
      <c r="Q666" s="5">
        <v>10.0</v>
      </c>
      <c r="R666" s="5">
        <v>4163.0</v>
      </c>
      <c r="S666" s="5">
        <v>5586.0</v>
      </c>
      <c r="T666" s="5">
        <v>19.0</v>
      </c>
      <c r="U666" s="9">
        <v>3311.941246</v>
      </c>
    </row>
    <row r="667">
      <c r="A667" s="4" t="s">
        <v>1646</v>
      </c>
      <c r="B667" s="4" t="str">
        <f>IFERROR(__xludf.DUMMYFUNCTION("SPLIT(A667,""&gt;"")"),"United States ")</f>
        <v>United States </v>
      </c>
      <c r="C667" s="4" t="str">
        <f>IFERROR(__xludf.DUMMYFUNCTION("""COMPUTED_VALUE""")," Entertainment and Pastimes ")</f>
        <v> Entertainment and Pastimes </v>
      </c>
      <c r="D667" s="4" t="str">
        <f>IFERROR(__xludf.DUMMYFUNCTION("""COMPUTED_VALUE""")," Entertainment and Pastimes")</f>
        <v> Entertainment and Pastimes</v>
      </c>
      <c r="E667" s="4"/>
      <c r="F667" s="4"/>
      <c r="G667" s="4"/>
      <c r="H667" s="4"/>
      <c r="I667" s="4"/>
      <c r="J667" s="5" t="s">
        <v>15</v>
      </c>
      <c r="K667" s="5" t="s">
        <v>42</v>
      </c>
      <c r="L667" s="5" t="s">
        <v>84</v>
      </c>
      <c r="M667" s="6" t="s">
        <v>961</v>
      </c>
      <c r="N667" s="5" t="s">
        <v>36</v>
      </c>
      <c r="O667" s="5" t="s">
        <v>27</v>
      </c>
      <c r="P667" s="5">
        <v>8545.0</v>
      </c>
      <c r="Q667" s="5">
        <v>20.0</v>
      </c>
      <c r="R667" s="5">
        <v>3454.0</v>
      </c>
      <c r="S667" s="5">
        <v>5510.0</v>
      </c>
      <c r="T667" s="5">
        <v>2.0</v>
      </c>
      <c r="U667" s="9">
        <v>2181.247949</v>
      </c>
    </row>
    <row r="668">
      <c r="A668" s="4" t="s">
        <v>965</v>
      </c>
      <c r="B668" s="4" t="str">
        <f>IFERROR(__xludf.DUMMYFUNCTION("SPLIT(A668,""&gt;"")"),"Travel")</f>
        <v>Travel</v>
      </c>
      <c r="C668" s="4"/>
      <c r="D668" s="4"/>
      <c r="E668" s="4"/>
      <c r="F668" s="4"/>
      <c r="G668" s="4"/>
      <c r="H668" s="4"/>
      <c r="I668" s="4"/>
      <c r="J668" s="5" t="s">
        <v>15</v>
      </c>
      <c r="K668" s="5" t="s">
        <v>23</v>
      </c>
      <c r="L668" s="5" t="s">
        <v>55</v>
      </c>
      <c r="M668" s="6" t="s">
        <v>961</v>
      </c>
      <c r="N668" s="5" t="s">
        <v>46</v>
      </c>
      <c r="O668" s="5" t="s">
        <v>27</v>
      </c>
      <c r="P668" s="5">
        <v>12319.0</v>
      </c>
      <c r="Q668" s="5">
        <v>40.0</v>
      </c>
      <c r="R668" s="5">
        <v>7028.0</v>
      </c>
      <c r="S668" s="5">
        <v>10191.0</v>
      </c>
      <c r="T668" s="5">
        <v>7.0</v>
      </c>
      <c r="U668" s="9">
        <v>1668.016</v>
      </c>
    </row>
    <row r="669">
      <c r="A669" s="4" t="s">
        <v>1647</v>
      </c>
      <c r="B669" s="4" t="str">
        <f>IFERROR(__xludf.DUMMYFUNCTION("SPLIT(A669,""&gt;"")"),"United States ")</f>
        <v>United States </v>
      </c>
      <c r="C669" s="4" t="str">
        <f>IFERROR(__xludf.DUMMYFUNCTION("""COMPUTED_VALUE""")," AUTO ")</f>
        <v> AUTO </v>
      </c>
      <c r="D669" s="4" t="str">
        <f>IFERROR(__xludf.DUMMYFUNCTION("""COMPUTED_VALUE""")," Auto Car Purchase Next Year ")</f>
        <v> Auto Car Purchase Next Year </v>
      </c>
      <c r="E669" s="4" t="str">
        <f>IFERROR(__xludf.DUMMYFUNCTION("""COMPUTED_VALUE""")," Yes")</f>
        <v> Yes</v>
      </c>
      <c r="F669" s="4"/>
      <c r="G669" s="4"/>
      <c r="H669" s="4"/>
      <c r="I669" s="4"/>
      <c r="J669" s="5" t="s">
        <v>22</v>
      </c>
      <c r="K669" s="5" t="s">
        <v>16</v>
      </c>
      <c r="L669" s="5" t="s">
        <v>32</v>
      </c>
      <c r="M669" s="6" t="s">
        <v>961</v>
      </c>
      <c r="N669" s="5" t="s">
        <v>117</v>
      </c>
      <c r="O669" s="5" t="s">
        <v>27</v>
      </c>
      <c r="P669" s="5">
        <v>31359.0</v>
      </c>
      <c r="Q669" s="5">
        <v>66.0</v>
      </c>
      <c r="R669" s="5">
        <v>18348.0</v>
      </c>
      <c r="S669" s="5">
        <v>25950.0</v>
      </c>
      <c r="T669" s="5">
        <v>24.0</v>
      </c>
      <c r="U669" s="9">
        <v>1623.614838</v>
      </c>
    </row>
    <row r="670">
      <c r="A670" s="4" t="s">
        <v>1648</v>
      </c>
      <c r="B670" s="4" t="str">
        <f>IFERROR(__xludf.DUMMYFUNCTION("SPLIT(A670,""&gt;"")"),"United States Financial ")</f>
        <v>United States Financial </v>
      </c>
      <c r="C670" s="4" t="str">
        <f>IFERROR(__xludf.DUMMYFUNCTION("""COMPUTED_VALUE""")," Method of Payment ")</f>
        <v> Method of Payment </v>
      </c>
      <c r="D670" s="4" t="str">
        <f>IFERROR(__xludf.DUMMYFUNCTION("""COMPUTED_VALUE""")," Other")</f>
        <v> Other</v>
      </c>
      <c r="E670" s="4"/>
      <c r="F670" s="4"/>
      <c r="G670" s="4"/>
      <c r="H670" s="4"/>
      <c r="I670" s="4"/>
      <c r="J670" s="5" t="s">
        <v>22</v>
      </c>
      <c r="K670" s="5" t="s">
        <v>16</v>
      </c>
      <c r="L670" s="5" t="s">
        <v>29</v>
      </c>
      <c r="M670" s="6" t="s">
        <v>961</v>
      </c>
      <c r="N670" s="5" t="s">
        <v>36</v>
      </c>
      <c r="O670" s="5" t="s">
        <v>27</v>
      </c>
      <c r="P670" s="5">
        <v>15311.0</v>
      </c>
      <c r="Q670" s="5">
        <v>10.0</v>
      </c>
      <c r="R670" s="5">
        <v>7757.0</v>
      </c>
      <c r="S670" s="5">
        <v>12630.0</v>
      </c>
      <c r="T670" s="5">
        <v>19.0</v>
      </c>
      <c r="U670" s="9">
        <v>1471.187144</v>
      </c>
    </row>
    <row r="671">
      <c r="A671" s="4" t="s">
        <v>1649</v>
      </c>
      <c r="B671" s="4" t="str">
        <f>IFERROR(__xludf.DUMMYFUNCTION("SPLIT(A671,""&gt;"")"),"Online Behavior")</f>
        <v>Online Behavior</v>
      </c>
      <c r="C671" s="4" t="str">
        <f>IFERROR(__xludf.DUMMYFUNCTION("""COMPUTED_VALUE"""),"United States")</f>
        <v>United States</v>
      </c>
      <c r="D671" s="4" t="str">
        <f>IFERROR(__xludf.DUMMYFUNCTION("""COMPUTED_VALUE"""),"Arts and Entertainment")</f>
        <v>Arts and Entertainment</v>
      </c>
      <c r="E671" s="4" t="str">
        <f>IFERROR(__xludf.DUMMYFUNCTION("""COMPUTED_VALUE"""),"Events and Listings ")</f>
        <v>Events and Listings </v>
      </c>
      <c r="F671" s="4" t="str">
        <f>IFERROR(__xludf.DUMMYFUNCTION("""COMPUTED_VALUE""")," Event Ticket Sales")</f>
        <v> Event Ticket Sales</v>
      </c>
      <c r="G671" s="4"/>
      <c r="H671" s="4"/>
      <c r="I671" s="4"/>
      <c r="J671" s="5" t="s">
        <v>61</v>
      </c>
      <c r="K671" s="5" t="s">
        <v>23</v>
      </c>
      <c r="L671" s="5" t="s">
        <v>39</v>
      </c>
      <c r="M671" s="6" t="s">
        <v>969</v>
      </c>
      <c r="N671" s="5" t="s">
        <v>36</v>
      </c>
      <c r="O671" s="5" t="s">
        <v>27</v>
      </c>
      <c r="P671" s="5">
        <v>23488.0</v>
      </c>
      <c r="Q671" s="5">
        <v>75.0</v>
      </c>
      <c r="R671" s="5">
        <v>4620.0</v>
      </c>
      <c r="S671" s="5">
        <v>22254.0</v>
      </c>
      <c r="T671" s="5">
        <v>9.0</v>
      </c>
      <c r="U671" s="9">
        <v>6667.727715</v>
      </c>
    </row>
    <row r="672">
      <c r="A672" s="4" t="s">
        <v>1650</v>
      </c>
      <c r="B672" s="4" t="str">
        <f>IFERROR(__xludf.DUMMYFUNCTION("SPLIT(A672,""&gt;"")"),"Online Behavior")</f>
        <v>Online Behavior</v>
      </c>
      <c r="C672" s="4" t="str">
        <f>IFERROR(__xludf.DUMMYFUNCTION("""COMPUTED_VALUE"""),"United States")</f>
        <v>United States</v>
      </c>
      <c r="D672" s="4" t="str">
        <f>IFERROR(__xludf.DUMMYFUNCTION("""COMPUTED_VALUE"""),"Intent ")</f>
        <v>Intent </v>
      </c>
      <c r="E672" s="4" t="str">
        <f>IFERROR(__xludf.DUMMYFUNCTION("""COMPUTED_VALUE""")," Travel")</f>
        <v> Travel</v>
      </c>
      <c r="F672" s="4" t="str">
        <f>IFERROR(__xludf.DUMMYFUNCTION("""COMPUTED_VALUE"""),"Travel")</f>
        <v>Travel</v>
      </c>
      <c r="G672" s="4"/>
      <c r="H672" s="4"/>
      <c r="I672" s="4"/>
      <c r="J672" s="5" t="s">
        <v>61</v>
      </c>
      <c r="K672" s="5" t="s">
        <v>16</v>
      </c>
      <c r="L672" s="5" t="s">
        <v>78</v>
      </c>
      <c r="M672" s="6" t="s">
        <v>969</v>
      </c>
      <c r="N672" s="5" t="s">
        <v>26</v>
      </c>
      <c r="O672" s="5" t="s">
        <v>27</v>
      </c>
      <c r="P672" s="5">
        <v>11789.0</v>
      </c>
      <c r="Q672" s="5">
        <v>20.0</v>
      </c>
      <c r="R672" s="5">
        <v>6187.0</v>
      </c>
      <c r="S672" s="5">
        <v>10028.0</v>
      </c>
      <c r="T672" s="5">
        <v>3.0</v>
      </c>
      <c r="U672" s="9">
        <v>6505.526456</v>
      </c>
    </row>
    <row r="673" hidden="1">
      <c r="A673" s="4" t="s">
        <v>1651</v>
      </c>
      <c r="B673" s="4" t="str">
        <f>IFERROR(__xludf.DUMMYFUNCTION("SPLIT(A673,""&gt;"")"),"United States ")</f>
        <v>United States </v>
      </c>
      <c r="C673" s="4" t="str">
        <f>IFERROR(__xludf.DUMMYFUNCTION("""COMPUTED_VALUE"""),"Quality-First Shopper Audience")</f>
        <v>Quality-First Shopper Audience</v>
      </c>
      <c r="D673" s="4"/>
      <c r="E673" s="4"/>
      <c r="F673" s="4"/>
      <c r="G673" s="4"/>
      <c r="H673" s="4"/>
      <c r="I673" s="4"/>
      <c r="J673" s="5" t="s">
        <v>15</v>
      </c>
      <c r="K673" s="5" t="s">
        <v>42</v>
      </c>
      <c r="L673" s="5" t="s">
        <v>39</v>
      </c>
      <c r="M673" s="6" t="s">
        <v>969</v>
      </c>
      <c r="N673" s="5" t="s">
        <v>19</v>
      </c>
      <c r="O673" s="5" t="s">
        <v>52</v>
      </c>
      <c r="P673" s="5">
        <v>16142.0</v>
      </c>
      <c r="Q673" s="5">
        <v>30.0</v>
      </c>
      <c r="R673" s="5">
        <v>7064.0</v>
      </c>
      <c r="S673" s="5">
        <v>15433.0</v>
      </c>
      <c r="T673" s="5">
        <v>5.0</v>
      </c>
      <c r="U673" s="9">
        <v>2209.650957</v>
      </c>
    </row>
    <row r="674">
      <c r="A674" s="4" t="s">
        <v>1652</v>
      </c>
      <c r="B674" s="4" t="str">
        <f>IFERROR(__xludf.DUMMYFUNCTION("SPLIT(A674,""&gt;"")"),"United States Demographic ")</f>
        <v>United States Demographic </v>
      </c>
      <c r="C674" s="4" t="str">
        <f>IFERROR(__xludf.DUMMYFUNCTION("""COMPUTED_VALUE""")," Preferred Language ")</f>
        <v> Preferred Language </v>
      </c>
      <c r="D674" s="4" t="str">
        <f>IFERROR(__xludf.DUMMYFUNCTION("""COMPUTED_VALUE""")," Non-Hispanic")</f>
        <v> Non-Hispanic</v>
      </c>
      <c r="E674" s="4"/>
      <c r="F674" s="4"/>
      <c r="G674" s="4"/>
      <c r="H674" s="4"/>
      <c r="I674" s="4"/>
      <c r="J674" s="5" t="s">
        <v>15</v>
      </c>
      <c r="K674" s="5" t="s">
        <v>16</v>
      </c>
      <c r="L674" s="5" t="s">
        <v>39</v>
      </c>
      <c r="M674" s="6" t="s">
        <v>969</v>
      </c>
      <c r="N674" s="5" t="s">
        <v>46</v>
      </c>
      <c r="O674" s="5" t="s">
        <v>27</v>
      </c>
      <c r="P674" s="5">
        <v>37355.0</v>
      </c>
      <c r="Q674" s="5">
        <v>145.0</v>
      </c>
      <c r="R674" s="5">
        <v>17138.0</v>
      </c>
      <c r="S674" s="5">
        <v>35689.0</v>
      </c>
      <c r="T674" s="5">
        <v>3.0</v>
      </c>
      <c r="U674" s="9">
        <v>1577.366086</v>
      </c>
    </row>
    <row r="675">
      <c r="A675" s="4" t="s">
        <v>973</v>
      </c>
      <c r="B675" s="4" t="str">
        <f>IFERROR(__xludf.DUMMYFUNCTION("SPLIT(A675,""&gt;"")"),"Online Behavior")</f>
        <v>Online Behavior</v>
      </c>
      <c r="C675" s="4" t="str">
        <f>IFERROR(__xludf.DUMMYFUNCTION("""COMPUTED_VALUE"""),"United States")</f>
        <v>United States</v>
      </c>
      <c r="D675" s="4" t="str">
        <f>IFERROR(__xludf.DUMMYFUNCTION("""COMPUTED_VALUE"""),"News")</f>
        <v>News</v>
      </c>
      <c r="E675" s="4" t="str">
        <f>IFERROR(__xludf.DUMMYFUNCTION("""COMPUTED_VALUE"""),"Weather")</f>
        <v>Weather</v>
      </c>
      <c r="F675" s="4"/>
      <c r="G675" s="4"/>
      <c r="H675" s="4"/>
      <c r="I675" s="4"/>
      <c r="J675" s="5" t="s">
        <v>15</v>
      </c>
      <c r="K675" s="5" t="s">
        <v>31</v>
      </c>
      <c r="L675" s="5" t="s">
        <v>78</v>
      </c>
      <c r="M675" s="6" t="s">
        <v>969</v>
      </c>
      <c r="N675" s="5" t="s">
        <v>19</v>
      </c>
      <c r="O675" s="5" t="s">
        <v>27</v>
      </c>
      <c r="P675" s="5">
        <v>9404.0</v>
      </c>
      <c r="Q675" s="5">
        <v>30.0</v>
      </c>
      <c r="R675" s="5">
        <v>4781.0</v>
      </c>
      <c r="S675" s="5">
        <v>7943.0</v>
      </c>
      <c r="T675" s="5">
        <v>4.0</v>
      </c>
      <c r="U675" s="9">
        <v>1345.369</v>
      </c>
    </row>
    <row r="676">
      <c r="A676" s="4" t="s">
        <v>1653</v>
      </c>
      <c r="B676" s="4" t="str">
        <f>IFERROR(__xludf.DUMMYFUNCTION("SPLIT(A676,""&gt;"")"),"Mobile - United States ")</f>
        <v>Mobile - United States </v>
      </c>
      <c r="C676" s="4" t="str">
        <f>IFERROR(__xludf.DUMMYFUNCTION("""COMPUTED_VALUE""")," Sports ")</f>
        <v> Sports </v>
      </c>
      <c r="D676" s="4" t="str">
        <f>IFERROR(__xludf.DUMMYFUNCTION("""COMPUTED_VALUE""")," Basketball ")</f>
        <v> Basketball </v>
      </c>
      <c r="E676" s="4" t="str">
        <f>IFERROR(__xludf.DUMMYFUNCTION("""COMPUTED_VALUE""")," NCAA College Basketball")</f>
        <v> NCAA College Basketball</v>
      </c>
      <c r="F676" s="4"/>
      <c r="G676" s="4"/>
      <c r="H676" s="4"/>
      <c r="I676" s="4"/>
      <c r="J676" s="5" t="s">
        <v>15</v>
      </c>
      <c r="K676" s="5" t="s">
        <v>16</v>
      </c>
      <c r="L676" s="5" t="s">
        <v>78</v>
      </c>
      <c r="M676" s="6" t="s">
        <v>975</v>
      </c>
      <c r="N676" s="5" t="s">
        <v>36</v>
      </c>
      <c r="O676" s="5" t="s">
        <v>27</v>
      </c>
      <c r="P676" s="5">
        <v>13642.0</v>
      </c>
      <c r="Q676" s="5">
        <v>40.0</v>
      </c>
      <c r="R676" s="5">
        <v>9830.0</v>
      </c>
      <c r="S676" s="5">
        <v>11658.0</v>
      </c>
      <c r="T676" s="5">
        <v>3.0</v>
      </c>
      <c r="U676" s="9">
        <v>1731.271848</v>
      </c>
    </row>
    <row r="677">
      <c r="A677" s="4" t="s">
        <v>1654</v>
      </c>
      <c r="B677" s="4" t="str">
        <f>IFERROR(__xludf.DUMMYFUNCTION("SPLIT(A677,""&gt;"")"),"Media and Entertainment ")</f>
        <v>Media and Entertainment </v>
      </c>
      <c r="C677" s="4" t="str">
        <f>IFERROR(__xludf.DUMMYFUNCTION("""COMPUTED_VALUE""")," Television (TV) ")</f>
        <v> Television (TV) </v>
      </c>
      <c r="D677" s="4" t="str">
        <f>IFERROR(__xludf.DUMMYFUNCTION("""COMPUTED_VALUE""")," Viewership")</f>
        <v> Viewership</v>
      </c>
      <c r="E677" s="4"/>
      <c r="F677" s="4"/>
      <c r="G677" s="4"/>
      <c r="H677" s="4"/>
      <c r="I677" s="4"/>
      <c r="J677" s="5" t="s">
        <v>15</v>
      </c>
      <c r="K677" s="5" t="s">
        <v>23</v>
      </c>
      <c r="L677" s="5" t="s">
        <v>78</v>
      </c>
      <c r="M677" s="6" t="s">
        <v>977</v>
      </c>
      <c r="N677" s="5" t="s">
        <v>46</v>
      </c>
      <c r="O677" s="5" t="s">
        <v>27</v>
      </c>
      <c r="P677" s="5">
        <v>14693.0</v>
      </c>
      <c r="Q677" s="5">
        <v>70.0</v>
      </c>
      <c r="R677" s="5">
        <v>6597.0</v>
      </c>
      <c r="S677" s="5">
        <v>13508.0</v>
      </c>
      <c r="T677" s="5">
        <v>4.0</v>
      </c>
      <c r="U677" s="9">
        <v>2047.348924</v>
      </c>
    </row>
    <row r="678">
      <c r="A678" s="4" t="s">
        <v>1655</v>
      </c>
      <c r="B678" s="4" t="str">
        <f>IFERROR(__xludf.DUMMYFUNCTION("SPLIT(A678,""&gt;"")"),"Online Behavior")</f>
        <v>Online Behavior</v>
      </c>
      <c r="C678" s="4" t="str">
        <f>IFERROR(__xludf.DUMMYFUNCTION("""COMPUTED_VALUE"""),"United States")</f>
        <v>United States</v>
      </c>
      <c r="D678" s="4" t="str">
        <f>IFERROR(__xludf.DUMMYFUNCTION("""COMPUTED_VALUE"""),"Intent ")</f>
        <v>Intent </v>
      </c>
      <c r="E678" s="4" t="str">
        <f>IFERROR(__xludf.DUMMYFUNCTION("""COMPUTED_VALUE""")," Shopping")</f>
        <v> Shopping</v>
      </c>
      <c r="F678" s="4" t="str">
        <f>IFERROR(__xludf.DUMMYFUNCTION("""COMPUTED_VALUE"""),"Home Improvement")</f>
        <v>Home Improvement</v>
      </c>
      <c r="G678" s="4"/>
      <c r="H678" s="4"/>
      <c r="I678" s="4"/>
      <c r="J678" s="5" t="s">
        <v>22</v>
      </c>
      <c r="K678" s="5" t="s">
        <v>16</v>
      </c>
      <c r="L678" s="5" t="s">
        <v>24</v>
      </c>
      <c r="M678" s="6" t="s">
        <v>979</v>
      </c>
      <c r="N678" s="5" t="s">
        <v>19</v>
      </c>
      <c r="O678" s="5" t="s">
        <v>27</v>
      </c>
      <c r="P678" s="5">
        <v>9357.0</v>
      </c>
      <c r="Q678" s="5">
        <v>60.0</v>
      </c>
      <c r="R678" s="5">
        <v>1754.0</v>
      </c>
      <c r="S678" s="5">
        <v>8343.0</v>
      </c>
      <c r="T678" s="5">
        <v>10.0</v>
      </c>
      <c r="U678" s="9">
        <v>6559.477756</v>
      </c>
    </row>
    <row r="679" hidden="1">
      <c r="A679" s="4" t="s">
        <v>1656</v>
      </c>
      <c r="B679" s="4" t="str">
        <f>IFERROR(__xludf.DUMMYFUNCTION("SPLIT(A679,""&gt;"")"),"United States ")</f>
        <v>United States </v>
      </c>
      <c r="C679" s="4" t="str">
        <f>IFERROR(__xludf.DUMMYFUNCTION("""COMPUTED_VALUE""")," Interest Propensities ")</f>
        <v> Interest Propensities </v>
      </c>
      <c r="D679" s="4" t="str">
        <f>IFERROR(__xludf.DUMMYFUNCTION("""COMPUTED_VALUE""")," Activities and Interests ")</f>
        <v> Activities and Interests </v>
      </c>
      <c r="E679" s="4" t="str">
        <f>IFERROR(__xludf.DUMMYFUNCTION("""COMPUTED_VALUE""")," Ecommerce")</f>
        <v> Ecommerce</v>
      </c>
      <c r="F679" s="4"/>
      <c r="G679" s="4"/>
      <c r="H679" s="4"/>
      <c r="I679" s="4"/>
      <c r="J679" s="5" t="s">
        <v>15</v>
      </c>
      <c r="K679" s="5" t="s">
        <v>16</v>
      </c>
      <c r="L679" s="5" t="s">
        <v>78</v>
      </c>
      <c r="M679" s="6" t="s">
        <v>981</v>
      </c>
      <c r="N679" s="5" t="s">
        <v>19</v>
      </c>
      <c r="O679" s="5" t="s">
        <v>52</v>
      </c>
      <c r="P679" s="5">
        <v>20459.0</v>
      </c>
      <c r="Q679" s="5">
        <v>40.0</v>
      </c>
      <c r="R679" s="5">
        <v>12668.0</v>
      </c>
      <c r="S679" s="5">
        <v>18613.0</v>
      </c>
      <c r="T679" s="5">
        <v>4.0</v>
      </c>
      <c r="U679" s="9">
        <v>1842.606513</v>
      </c>
    </row>
    <row r="680">
      <c r="A680" s="4" t="s">
        <v>1657</v>
      </c>
      <c r="B680" s="4" t="str">
        <f>IFERROR(__xludf.DUMMYFUNCTION("SPLIT(A680,""&gt;"")"),"Online Behavior")</f>
        <v>Online Behavior</v>
      </c>
      <c r="C680" s="4" t="str">
        <f>IFERROR(__xludf.DUMMYFUNCTION("""COMPUTED_VALUE"""),"United States")</f>
        <v>United States</v>
      </c>
      <c r="D680" s="4" t="str">
        <f>IFERROR(__xludf.DUMMYFUNCTION("""COMPUTED_VALUE"""),"Autos and Vehicles ")</f>
        <v>Autos and Vehicles </v>
      </c>
      <c r="E680" s="4" t="str">
        <f>IFERROR(__xludf.DUMMYFUNCTION("""COMPUTED_VALUE""")," Brands")</f>
        <v> Brands</v>
      </c>
      <c r="F680" s="4" t="str">
        <f>IFERROR(__xludf.DUMMYFUNCTION("""COMPUTED_VALUE"""),"Vauxhall-Opel")</f>
        <v>Vauxhall-Opel</v>
      </c>
      <c r="G680" s="4"/>
      <c r="H680" s="4"/>
      <c r="I680" s="4"/>
      <c r="J680" s="5" t="s">
        <v>61</v>
      </c>
      <c r="K680" s="5" t="s">
        <v>23</v>
      </c>
      <c r="L680" s="5" t="s">
        <v>17</v>
      </c>
      <c r="M680" s="6" t="s">
        <v>983</v>
      </c>
      <c r="N680" s="5" t="s">
        <v>19</v>
      </c>
      <c r="O680" s="5" t="s">
        <v>27</v>
      </c>
      <c r="P680" s="5">
        <v>17382.0</v>
      </c>
      <c r="Q680" s="5">
        <v>100.0</v>
      </c>
      <c r="R680" s="5">
        <v>7411.0</v>
      </c>
      <c r="S680" s="5">
        <v>16576.0</v>
      </c>
      <c r="T680" s="5">
        <v>8.0</v>
      </c>
      <c r="U680" s="9">
        <v>5797.219977</v>
      </c>
    </row>
    <row r="681">
      <c r="A681" s="4" t="s">
        <v>1658</v>
      </c>
      <c r="B681" s="4" t="str">
        <f>IFERROR(__xludf.DUMMYFUNCTION("SPLIT(A681,""&gt;"")"),"Media and Entertainment ")</f>
        <v>Media and Entertainment </v>
      </c>
      <c r="C681" s="4" t="str">
        <f>IFERROR(__xludf.DUMMYFUNCTION("""COMPUTED_VALUE""")," Movies ")</f>
        <v> Movies </v>
      </c>
      <c r="D681" s="4" t="str">
        <f>IFERROR(__xludf.DUMMYFUNCTION("""COMPUTED_VALUE""")," EnthUnited Statesiasts")</f>
        <v> EnthUnited Statesiasts</v>
      </c>
      <c r="E681" s="4"/>
      <c r="F681" s="4"/>
      <c r="G681" s="4"/>
      <c r="H681" s="4"/>
      <c r="I681" s="4"/>
      <c r="J681" s="5" t="s">
        <v>22</v>
      </c>
      <c r="K681" s="5" t="s">
        <v>16</v>
      </c>
      <c r="L681" s="5" t="s">
        <v>84</v>
      </c>
      <c r="M681" s="6" t="s">
        <v>985</v>
      </c>
      <c r="N681" s="5" t="s">
        <v>46</v>
      </c>
      <c r="O681" s="5" t="s">
        <v>27</v>
      </c>
      <c r="P681" s="5">
        <v>13466.0</v>
      </c>
      <c r="Q681" s="5">
        <v>150.0</v>
      </c>
      <c r="R681" s="5">
        <v>8684.0</v>
      </c>
      <c r="S681" s="5">
        <v>11766.0</v>
      </c>
      <c r="T681" s="5">
        <v>1.0</v>
      </c>
      <c r="U681" s="9">
        <v>1527.176274</v>
      </c>
    </row>
    <row r="682">
      <c r="A682" s="4" t="s">
        <v>1659</v>
      </c>
      <c r="B682" s="4" t="str">
        <f>IFERROR(__xludf.DUMMYFUNCTION("SPLIT(A682,""&gt;"")"),"OnAudience ")</f>
        <v>OnAudience </v>
      </c>
      <c r="C682" s="4" t="str">
        <f>IFERROR(__xludf.DUMMYFUNCTION("""COMPUTED_VALUE""")," Interest ")</f>
        <v> Interest </v>
      </c>
      <c r="D682" s="4" t="str">
        <f>IFERROR(__xludf.DUMMYFUNCTION("""COMPUTED_VALUE""")," Technology &amp; Computing")</f>
        <v> Technology &amp; Computing</v>
      </c>
      <c r="E682" s="4"/>
      <c r="F682" s="4"/>
      <c r="G682" s="4"/>
      <c r="H682" s="4"/>
      <c r="I682" s="4"/>
      <c r="J682" s="5" t="s">
        <v>61</v>
      </c>
      <c r="K682" s="5" t="s">
        <v>42</v>
      </c>
      <c r="L682" s="5" t="s">
        <v>131</v>
      </c>
      <c r="M682" s="6" t="s">
        <v>987</v>
      </c>
      <c r="N682" s="5" t="s">
        <v>26</v>
      </c>
      <c r="O682" s="5" t="s">
        <v>27</v>
      </c>
      <c r="P682" s="5">
        <v>23410.0</v>
      </c>
      <c r="Q682" s="5">
        <v>66.0</v>
      </c>
      <c r="R682" s="5">
        <v>13626.0</v>
      </c>
      <c r="S682" s="5">
        <v>22109.0</v>
      </c>
      <c r="T682" s="5">
        <v>6.0</v>
      </c>
      <c r="U682" s="9">
        <v>1930.180523</v>
      </c>
    </row>
    <row r="683">
      <c r="A683" s="4" t="s">
        <v>1660</v>
      </c>
      <c r="B683" s="4" t="str">
        <f>IFERROR(__xludf.DUMMYFUNCTION("SPLIT(A683,""&gt;"")"),"Media and Entertainment ")</f>
        <v>Media and Entertainment </v>
      </c>
      <c r="C683" s="4" t="str">
        <f>IFERROR(__xludf.DUMMYFUNCTION("""COMPUTED_VALUE""")," Audio and Video Streaming ")</f>
        <v> Audio and Video Streaming </v>
      </c>
      <c r="D683" s="4" t="str">
        <f>IFERROR(__xludf.DUMMYFUNCTION("""COMPUTED_VALUE""")," Streaming Video")</f>
        <v> Streaming Video</v>
      </c>
      <c r="E683" s="4"/>
      <c r="F683" s="4"/>
      <c r="G683" s="4"/>
      <c r="H683" s="4"/>
      <c r="I683" s="4"/>
      <c r="J683" s="5" t="s">
        <v>22</v>
      </c>
      <c r="K683" s="5" t="s">
        <v>16</v>
      </c>
      <c r="L683" s="5" t="s">
        <v>32</v>
      </c>
      <c r="M683" s="6" t="s">
        <v>987</v>
      </c>
      <c r="N683" s="5" t="s">
        <v>48</v>
      </c>
      <c r="O683" s="5" t="s">
        <v>27</v>
      </c>
      <c r="P683" s="5">
        <v>13713.0</v>
      </c>
      <c r="Q683" s="5">
        <v>151.0</v>
      </c>
      <c r="R683" s="5">
        <v>8339.0</v>
      </c>
      <c r="S683" s="5">
        <v>13051.0</v>
      </c>
      <c r="T683" s="5">
        <v>5.0</v>
      </c>
      <c r="U683" s="9">
        <v>1490.006197</v>
      </c>
    </row>
    <row r="684">
      <c r="A684" s="4" t="s">
        <v>1661</v>
      </c>
      <c r="B684" s="4" t="str">
        <f>IFERROR(__xludf.DUMMYFUNCTION("SPLIT(A684,""&gt;"")"),"Online Behavior")</f>
        <v>Online Behavior</v>
      </c>
      <c r="C684" s="4" t="str">
        <f>IFERROR(__xludf.DUMMYFUNCTION("""COMPUTED_VALUE"""),"United States")</f>
        <v>United States</v>
      </c>
      <c r="D684" s="4" t="str">
        <f>IFERROR(__xludf.DUMMYFUNCTION("""COMPUTED_VALUE"""),"Intent ")</f>
        <v>Intent </v>
      </c>
      <c r="E684" s="4" t="str">
        <f>IFERROR(__xludf.DUMMYFUNCTION("""COMPUTED_VALUE""")," Travel")</f>
        <v> Travel</v>
      </c>
      <c r="F684" s="4" t="str">
        <f>IFERROR(__xludf.DUMMYFUNCTION("""COMPUTED_VALUE"""),"Budget Travel")</f>
        <v>Budget Travel</v>
      </c>
      <c r="G684" s="4"/>
      <c r="H684" s="4"/>
      <c r="I684" s="4"/>
      <c r="J684" s="5" t="s">
        <v>61</v>
      </c>
      <c r="K684" s="5" t="s">
        <v>16</v>
      </c>
      <c r="L684" s="5" t="s">
        <v>17</v>
      </c>
      <c r="M684" s="6" t="s">
        <v>990</v>
      </c>
      <c r="N684" s="5" t="s">
        <v>26</v>
      </c>
      <c r="O684" s="5" t="s">
        <v>27</v>
      </c>
      <c r="P684" s="5">
        <v>10565.0</v>
      </c>
      <c r="Q684" s="5">
        <v>66.0</v>
      </c>
      <c r="R684" s="5">
        <v>6248.0</v>
      </c>
      <c r="S684" s="5">
        <v>10141.0</v>
      </c>
      <c r="T684" s="5">
        <v>9.0</v>
      </c>
      <c r="U684" s="9">
        <v>6236.113094</v>
      </c>
    </row>
    <row r="685">
      <c r="A685" s="4" t="s">
        <v>991</v>
      </c>
      <c r="B685" s="4" t="str">
        <f>IFERROR(__xludf.DUMMYFUNCTION("SPLIT(A685,""&gt;"")"),"Online Behavior")</f>
        <v>Online Behavior</v>
      </c>
      <c r="C685" s="4" t="str">
        <f>IFERROR(__xludf.DUMMYFUNCTION("""COMPUTED_VALUE"""),"United States")</f>
        <v>United States</v>
      </c>
      <c r="D685" s="4" t="str">
        <f>IFERROR(__xludf.DUMMYFUNCTION("""COMPUTED_VALUE"""),"Beauty and Fitness")</f>
        <v>Beauty and Fitness</v>
      </c>
      <c r="E685" s="4" t="str">
        <f>IFERROR(__xludf.DUMMYFUNCTION("""COMPUTED_VALUE"""),"Spas and Beauty Services")</f>
        <v>Spas and Beauty Services</v>
      </c>
      <c r="F685" s="4"/>
      <c r="G685" s="4"/>
      <c r="H685" s="4"/>
      <c r="I685" s="4"/>
      <c r="J685" s="5" t="s">
        <v>22</v>
      </c>
      <c r="K685" s="5" t="s">
        <v>23</v>
      </c>
      <c r="L685" s="5" t="s">
        <v>35</v>
      </c>
      <c r="M685" s="6" t="s">
        <v>992</v>
      </c>
      <c r="N685" s="5" t="s">
        <v>26</v>
      </c>
      <c r="O685" s="5" t="s">
        <v>27</v>
      </c>
      <c r="P685" s="5">
        <v>888037.0</v>
      </c>
      <c r="Q685" s="5">
        <v>2841.0</v>
      </c>
      <c r="R685" s="5">
        <v>370429.0</v>
      </c>
      <c r="S685" s="5">
        <v>820340.0</v>
      </c>
      <c r="T685" s="5">
        <v>42.0</v>
      </c>
      <c r="U685" s="9">
        <v>8134.350524</v>
      </c>
    </row>
    <row r="686">
      <c r="A686" s="4" t="s">
        <v>1662</v>
      </c>
      <c r="B686" s="4" t="str">
        <f>IFERROR(__xludf.DUMMYFUNCTION("SPLIT(A686,""&gt;"")"),"Online Behavior")</f>
        <v>Online Behavior</v>
      </c>
      <c r="C686" s="4" t="str">
        <f>IFERROR(__xludf.DUMMYFUNCTION("""COMPUTED_VALUE"""),"United States")</f>
        <v>United States</v>
      </c>
      <c r="D686" s="4" t="str">
        <f>IFERROR(__xludf.DUMMYFUNCTION("""COMPUTED_VALUE"""),"Finance ")</f>
        <v>Finance </v>
      </c>
      <c r="E686" s="4" t="str">
        <f>IFERROR(__xludf.DUMMYFUNCTION("""COMPUTED_VALUE""")," Accounting and Auditing")</f>
        <v> Accounting and Auditing</v>
      </c>
      <c r="F686" s="4" t="str">
        <f>IFERROR(__xludf.DUMMYFUNCTION("""COMPUTED_VALUE"""),"Accounting and Auditing")</f>
        <v>Accounting and Auditing</v>
      </c>
      <c r="G686" s="4"/>
      <c r="H686" s="4"/>
      <c r="I686" s="4"/>
      <c r="J686" s="5" t="s">
        <v>15</v>
      </c>
      <c r="K686" s="5" t="s">
        <v>16</v>
      </c>
      <c r="L686" s="5" t="s">
        <v>35</v>
      </c>
      <c r="M686" s="6" t="s">
        <v>992</v>
      </c>
      <c r="N686" s="5" t="s">
        <v>50</v>
      </c>
      <c r="O686" s="5" t="s">
        <v>27</v>
      </c>
      <c r="P686" s="5">
        <v>1767940.0</v>
      </c>
      <c r="Q686" s="5">
        <v>4852.0</v>
      </c>
      <c r="R686" s="5">
        <v>881525.0</v>
      </c>
      <c r="S686" s="5">
        <v>1550866.0</v>
      </c>
      <c r="T686" s="5">
        <v>78.0</v>
      </c>
      <c r="U686" s="9">
        <v>7511.656191</v>
      </c>
    </row>
    <row r="687">
      <c r="A687" s="4" t="s">
        <v>994</v>
      </c>
      <c r="B687" s="4" t="str">
        <f>IFERROR(__xludf.DUMMYFUNCTION("SPLIT(A687,""&gt;"")"),"Online Behavior")</f>
        <v>Online Behavior</v>
      </c>
      <c r="C687" s="4" t="str">
        <f>IFERROR(__xludf.DUMMYFUNCTION("""COMPUTED_VALUE"""),"United States")</f>
        <v>United States</v>
      </c>
      <c r="D687" s="4" t="str">
        <f>IFERROR(__xludf.DUMMYFUNCTION("""COMPUTED_VALUE"""),"Life Event")</f>
        <v>Life Event</v>
      </c>
      <c r="E687" s="4" t="str">
        <f>IFERROR(__xludf.DUMMYFUNCTION("""COMPUTED_VALUE"""),"University Graduation")</f>
        <v>University Graduation</v>
      </c>
      <c r="F687" s="4"/>
      <c r="G687" s="4"/>
      <c r="H687" s="4"/>
      <c r="I687" s="4"/>
      <c r="J687" s="5" t="s">
        <v>15</v>
      </c>
      <c r="K687" s="5" t="s">
        <v>23</v>
      </c>
      <c r="L687" s="5" t="s">
        <v>78</v>
      </c>
      <c r="M687" s="6" t="s">
        <v>992</v>
      </c>
      <c r="N687" s="5" t="s">
        <v>19</v>
      </c>
      <c r="O687" s="5" t="s">
        <v>27</v>
      </c>
      <c r="P687" s="5">
        <v>1221746.0</v>
      </c>
      <c r="Q687" s="5">
        <v>3874.0</v>
      </c>
      <c r="R687" s="5">
        <v>512107.0</v>
      </c>
      <c r="S687" s="5">
        <v>1088748.0</v>
      </c>
      <c r="T687" s="5">
        <v>19.0</v>
      </c>
      <c r="U687" s="9">
        <v>7483.887187</v>
      </c>
    </row>
    <row r="688">
      <c r="A688" s="4" t="s">
        <v>995</v>
      </c>
      <c r="B688" s="4" t="str">
        <f>IFERROR(__xludf.DUMMYFUNCTION("SPLIT(A688,""&gt;"")"),"Online Behavior")</f>
        <v>Online Behavior</v>
      </c>
      <c r="C688" s="4" t="str">
        <f>IFERROR(__xludf.DUMMYFUNCTION("""COMPUTED_VALUE"""),"United States")</f>
        <v>United States</v>
      </c>
      <c r="D688" s="4" t="str">
        <f>IFERROR(__xludf.DUMMYFUNCTION("""COMPUTED_VALUE"""),"Life Event")</f>
        <v>Life Event</v>
      </c>
      <c r="E688" s="4" t="str">
        <f>IFERROR(__xludf.DUMMYFUNCTION("""COMPUTED_VALUE"""),"College Applications")</f>
        <v>College Applications</v>
      </c>
      <c r="F688" s="4"/>
      <c r="G688" s="4"/>
      <c r="H688" s="4"/>
      <c r="I688" s="4"/>
      <c r="J688" s="5" t="s">
        <v>22</v>
      </c>
      <c r="K688" s="5" t="s">
        <v>16</v>
      </c>
      <c r="L688" s="5" t="s">
        <v>35</v>
      </c>
      <c r="M688" s="6" t="s">
        <v>992</v>
      </c>
      <c r="N688" s="5" t="s">
        <v>1046</v>
      </c>
      <c r="O688" s="5" t="s">
        <v>27</v>
      </c>
      <c r="P688" s="5">
        <v>446774.0</v>
      </c>
      <c r="Q688" s="5">
        <v>1245.0</v>
      </c>
      <c r="R688" s="5">
        <v>163786.0</v>
      </c>
      <c r="S688" s="5">
        <v>374116.0</v>
      </c>
      <c r="T688" s="5">
        <v>12.0</v>
      </c>
      <c r="U688" s="9">
        <v>7248.231612</v>
      </c>
    </row>
    <row r="689">
      <c r="A689" s="4" t="s">
        <v>996</v>
      </c>
      <c r="B689" s="4" t="str">
        <f>IFERROR(__xludf.DUMMYFUNCTION("SPLIT(A689,""&gt;"")"),"Online Behavior")</f>
        <v>Online Behavior</v>
      </c>
      <c r="C689" s="4" t="str">
        <f>IFERROR(__xludf.DUMMYFUNCTION("""COMPUTED_VALUE"""),"United States")</f>
        <v>United States</v>
      </c>
      <c r="D689" s="4" t="str">
        <f>IFERROR(__xludf.DUMMYFUNCTION("""COMPUTED_VALUE"""),"Games")</f>
        <v>Games</v>
      </c>
      <c r="E689" s="4" t="str">
        <f>IFERROR(__xludf.DUMMYFUNCTION("""COMPUTED_VALUE"""),"Arcade and Coin-Op Games")</f>
        <v>Arcade and Coin-Op Games</v>
      </c>
      <c r="F689" s="4"/>
      <c r="G689" s="4"/>
      <c r="H689" s="4"/>
      <c r="I689" s="4"/>
      <c r="J689" s="5" t="s">
        <v>22</v>
      </c>
      <c r="K689" s="5" t="s">
        <v>23</v>
      </c>
      <c r="L689" s="5" t="s">
        <v>45</v>
      </c>
      <c r="M689" s="6" t="s">
        <v>992</v>
      </c>
      <c r="N689" s="5" t="s">
        <v>46</v>
      </c>
      <c r="O689" s="5" t="s">
        <v>27</v>
      </c>
      <c r="P689" s="5">
        <v>120603.0</v>
      </c>
      <c r="Q689" s="5">
        <v>298.0</v>
      </c>
      <c r="R689" s="5">
        <v>47405.0</v>
      </c>
      <c r="S689" s="5">
        <v>100881.0</v>
      </c>
      <c r="T689" s="5">
        <v>10.0</v>
      </c>
      <c r="U689" s="9">
        <v>6633.532635</v>
      </c>
    </row>
    <row r="690">
      <c r="A690" s="4" t="s">
        <v>997</v>
      </c>
      <c r="B690" s="4" t="str">
        <f>IFERROR(__xludf.DUMMYFUNCTION("SPLIT(A690,""&gt;"")"),"Online Behavior")</f>
        <v>Online Behavior</v>
      </c>
      <c r="C690" s="4" t="str">
        <f>IFERROR(__xludf.DUMMYFUNCTION("""COMPUTED_VALUE"""),"United States")</f>
        <v>United States</v>
      </c>
      <c r="D690" s="4" t="str">
        <f>IFERROR(__xludf.DUMMYFUNCTION("""COMPUTED_VALUE"""),"Life Event")</f>
        <v>Life Event</v>
      </c>
      <c r="E690" s="4" t="str">
        <f>IFERROR(__xludf.DUMMYFUNCTION("""COMPUTED_VALUE"""),"Movers")</f>
        <v>Movers</v>
      </c>
      <c r="F690" s="4"/>
      <c r="G690" s="4"/>
      <c r="H690" s="4"/>
      <c r="I690" s="4"/>
      <c r="J690" s="5" t="s">
        <v>15</v>
      </c>
      <c r="K690" s="5" t="s">
        <v>16</v>
      </c>
      <c r="L690" s="5" t="s">
        <v>32</v>
      </c>
      <c r="M690" s="6" t="s">
        <v>992</v>
      </c>
      <c r="N690" s="5" t="s">
        <v>19</v>
      </c>
      <c r="O690" s="5" t="s">
        <v>27</v>
      </c>
      <c r="P690" s="5">
        <v>310255.0</v>
      </c>
      <c r="Q690" s="5">
        <v>970.0</v>
      </c>
      <c r="R690" s="5">
        <v>105054.0</v>
      </c>
      <c r="S690" s="5">
        <v>260998.0</v>
      </c>
      <c r="T690" s="5">
        <v>14.0</v>
      </c>
      <c r="U690" s="9">
        <v>6057.856722</v>
      </c>
    </row>
    <row r="691">
      <c r="A691" s="4" t="s">
        <v>1663</v>
      </c>
      <c r="B691" s="4" t="str">
        <f>IFERROR(__xludf.DUMMYFUNCTION("SPLIT(A691,""&gt;"")"),"Online Behavior")</f>
        <v>Online Behavior</v>
      </c>
      <c r="C691" s="4" t="str">
        <f>IFERROR(__xludf.DUMMYFUNCTION("""COMPUTED_VALUE"""),"United States")</f>
        <v>United States</v>
      </c>
      <c r="D691" s="4" t="str">
        <f>IFERROR(__xludf.DUMMYFUNCTION("""COMPUTED_VALUE"""),"Intent ")</f>
        <v>Intent </v>
      </c>
      <c r="E691" s="4" t="str">
        <f>IFERROR(__xludf.DUMMYFUNCTION("""COMPUTED_VALUE""")," Services")</f>
        <v> Services</v>
      </c>
      <c r="F691" s="4" t="str">
        <f>IFERROR(__xludf.DUMMYFUNCTION("""COMPUTED_VALUE"""),"Pets")</f>
        <v>Pets</v>
      </c>
      <c r="G691" s="4"/>
      <c r="H691" s="4"/>
      <c r="I691" s="4"/>
      <c r="J691" s="5" t="s">
        <v>15</v>
      </c>
      <c r="K691" s="5" t="s">
        <v>31</v>
      </c>
      <c r="L691" s="5" t="s">
        <v>183</v>
      </c>
      <c r="M691" s="6" t="s">
        <v>992</v>
      </c>
      <c r="N691" s="5" t="s">
        <v>36</v>
      </c>
      <c r="O691" s="5" t="s">
        <v>27</v>
      </c>
      <c r="P691" s="5">
        <v>818919.0</v>
      </c>
      <c r="Q691" s="5">
        <v>1987.0</v>
      </c>
      <c r="R691" s="5">
        <v>395852.0</v>
      </c>
      <c r="S691" s="5">
        <v>699064.0</v>
      </c>
      <c r="T691" s="5">
        <v>22.0</v>
      </c>
      <c r="U691" s="9">
        <v>6012.102465</v>
      </c>
    </row>
    <row r="692">
      <c r="A692" s="4" t="s">
        <v>1664</v>
      </c>
      <c r="B692" s="4" t="str">
        <f>IFERROR(__xludf.DUMMYFUNCTION("SPLIT(A692,""&gt;"")"),"Online Behavior")</f>
        <v>Online Behavior</v>
      </c>
      <c r="C692" s="4" t="str">
        <f>IFERROR(__xludf.DUMMYFUNCTION("""COMPUTED_VALUE"""),"United States")</f>
        <v>United States</v>
      </c>
      <c r="D692" s="4" t="str">
        <f>IFERROR(__xludf.DUMMYFUNCTION("""COMPUTED_VALUE"""),"Hobbies and Leisure")</f>
        <v>Hobbies and Leisure</v>
      </c>
      <c r="E692" s="4" t="str">
        <f>IFERROR(__xludf.DUMMYFUNCTION("""COMPUTED_VALUE"""),"Special Occasions ")</f>
        <v>Special Occasions </v>
      </c>
      <c r="F692" s="4" t="str">
        <f>IFERROR(__xludf.DUMMYFUNCTION("""COMPUTED_VALUE""")," Holidays and Seasonal Events")</f>
        <v> Holidays and Seasonal Events</v>
      </c>
      <c r="G692" s="4"/>
      <c r="H692" s="4"/>
      <c r="I692" s="4"/>
      <c r="J692" s="5" t="s">
        <v>22</v>
      </c>
      <c r="K692" s="5" t="s">
        <v>16</v>
      </c>
      <c r="L692" s="5" t="s">
        <v>78</v>
      </c>
      <c r="M692" s="6" t="s">
        <v>992</v>
      </c>
      <c r="N692" s="5" t="s">
        <v>327</v>
      </c>
      <c r="O692" s="5" t="s">
        <v>27</v>
      </c>
      <c r="P692" s="5">
        <v>760502.0</v>
      </c>
      <c r="Q692" s="5">
        <v>2140.0</v>
      </c>
      <c r="R692" s="5">
        <v>326721.0</v>
      </c>
      <c r="S692" s="5">
        <v>700814.0</v>
      </c>
      <c r="T692" s="5">
        <v>17.0</v>
      </c>
      <c r="U692" s="9">
        <v>5179.041532</v>
      </c>
    </row>
    <row r="693">
      <c r="A693" s="4" t="s">
        <v>1000</v>
      </c>
      <c r="B693" s="4" t="str">
        <f>IFERROR(__xludf.DUMMYFUNCTION("SPLIT(A693,""&gt;"")"),"Online Behavior")</f>
        <v>Online Behavior</v>
      </c>
      <c r="C693" s="4" t="str">
        <f>IFERROR(__xludf.DUMMYFUNCTION("""COMPUTED_VALUE"""),"United States")</f>
        <v>United States</v>
      </c>
      <c r="D693" s="4" t="str">
        <f>IFERROR(__xludf.DUMMYFUNCTION("""COMPUTED_VALUE"""),"The Changing Consumer")</f>
        <v>The Changing Consumer</v>
      </c>
      <c r="E693" s="4" t="str">
        <f>IFERROR(__xludf.DUMMYFUNCTION("""COMPUTED_VALUE"""),"Virtual Events")</f>
        <v>Virtual Events</v>
      </c>
      <c r="F693" s="4"/>
      <c r="G693" s="4"/>
      <c r="H693" s="4"/>
      <c r="I693" s="4"/>
      <c r="J693" s="5" t="s">
        <v>22</v>
      </c>
      <c r="K693" s="5" t="s">
        <v>42</v>
      </c>
      <c r="L693" s="5" t="s">
        <v>55</v>
      </c>
      <c r="M693" s="6" t="s">
        <v>992</v>
      </c>
      <c r="N693" s="5" t="s">
        <v>19</v>
      </c>
      <c r="O693" s="5" t="s">
        <v>27</v>
      </c>
      <c r="P693" s="5">
        <v>571090.0</v>
      </c>
      <c r="Q693" s="5">
        <v>1541.0</v>
      </c>
      <c r="R693" s="5">
        <v>246243.0</v>
      </c>
      <c r="S693" s="5">
        <v>532325.0</v>
      </c>
      <c r="T693" s="5">
        <v>11.0</v>
      </c>
      <c r="U693" s="9">
        <v>4733.618783</v>
      </c>
    </row>
    <row r="694" hidden="1">
      <c r="A694" s="4" t="s">
        <v>1001</v>
      </c>
      <c r="B694" s="4" t="str">
        <f>IFERROR(__xludf.DUMMYFUNCTION("SPLIT(A694,""&gt;"")"),"Online Behavior")</f>
        <v>Online Behavior</v>
      </c>
      <c r="C694" s="4" t="str">
        <f>IFERROR(__xludf.DUMMYFUNCTION("""COMPUTED_VALUE"""),"United States")</f>
        <v>United States</v>
      </c>
      <c r="D694" s="4" t="str">
        <f>IFERROR(__xludf.DUMMYFUNCTION("""COMPUTED_VALUE"""),"Beauty and Fitness")</f>
        <v>Beauty and Fitness</v>
      </c>
      <c r="E694" s="4" t="str">
        <f>IFERROR(__xludf.DUMMYFUNCTION("""COMPUTED_VALUE"""),"Beauty Pageants")</f>
        <v>Beauty Pageants</v>
      </c>
      <c r="F694" s="4"/>
      <c r="G694" s="4"/>
      <c r="H694" s="4"/>
      <c r="I694" s="4"/>
      <c r="J694" s="5" t="s">
        <v>15</v>
      </c>
      <c r="K694" s="5" t="s">
        <v>23</v>
      </c>
      <c r="L694" s="5" t="s">
        <v>35</v>
      </c>
      <c r="M694" s="6" t="s">
        <v>992</v>
      </c>
      <c r="N694" s="5" t="s">
        <v>46</v>
      </c>
      <c r="O694" s="5" t="s">
        <v>20</v>
      </c>
      <c r="P694" s="5">
        <v>7584.0</v>
      </c>
      <c r="Q694" s="5">
        <v>40.0</v>
      </c>
      <c r="R694" s="5">
        <v>3093.0</v>
      </c>
      <c r="S694" s="5">
        <v>6897.0</v>
      </c>
      <c r="T694" s="5">
        <v>2.0</v>
      </c>
      <c r="U694" s="9">
        <v>4467.080758</v>
      </c>
    </row>
    <row r="695" hidden="1">
      <c r="A695" s="4" t="s">
        <v>1665</v>
      </c>
      <c r="B695" s="4" t="str">
        <f>IFERROR(__xludf.DUMMYFUNCTION("SPLIT(A695,""&gt;"")"),"Online Behavior")</f>
        <v>Online Behavior</v>
      </c>
      <c r="C695" s="4" t="str">
        <f>IFERROR(__xludf.DUMMYFUNCTION("""COMPUTED_VALUE"""),"United States")</f>
        <v>United States</v>
      </c>
      <c r="D695" s="4" t="str">
        <f>IFERROR(__xludf.DUMMYFUNCTION("""COMPUTED_VALUE"""),"Autos and Vehicles ")</f>
        <v>Autos and Vehicles </v>
      </c>
      <c r="E695" s="4" t="str">
        <f>IFERROR(__xludf.DUMMYFUNCTION("""COMPUTED_VALUE""")," Brands")</f>
        <v> Brands</v>
      </c>
      <c r="F695" s="4" t="str">
        <f>IFERROR(__xludf.DUMMYFUNCTION("""COMPUTED_VALUE"""),"Aston Martin")</f>
        <v>Aston Martin</v>
      </c>
      <c r="G695" s="4"/>
      <c r="H695" s="4"/>
      <c r="I695" s="4"/>
      <c r="J695" s="5" t="s">
        <v>15</v>
      </c>
      <c r="K695" s="5" t="s">
        <v>16</v>
      </c>
      <c r="L695" s="5" t="s">
        <v>24</v>
      </c>
      <c r="M695" s="6" t="s">
        <v>992</v>
      </c>
      <c r="N695" s="5" t="s">
        <v>19</v>
      </c>
      <c r="O695" s="5" t="s">
        <v>52</v>
      </c>
      <c r="P695" s="5">
        <v>84460.0</v>
      </c>
      <c r="Q695" s="5">
        <v>209.0</v>
      </c>
      <c r="R695" s="5">
        <v>13169.0</v>
      </c>
      <c r="S695" s="5">
        <v>26688.0</v>
      </c>
      <c r="T695" s="5">
        <v>1.0</v>
      </c>
      <c r="U695" s="9">
        <v>4279.230955</v>
      </c>
    </row>
    <row r="696">
      <c r="A696" s="4" t="s">
        <v>1666</v>
      </c>
      <c r="B696" s="4" t="str">
        <f>IFERROR(__xludf.DUMMYFUNCTION("SPLIT(A696,""&gt;"")"),"United States ")</f>
        <v>United States </v>
      </c>
      <c r="C696" s="4" t="str">
        <f>IFERROR(__xludf.DUMMYFUNCTION("""COMPUTED_VALUE""")," Reach ")</f>
        <v> Reach </v>
      </c>
      <c r="D696" s="4" t="str">
        <f>IFERROR(__xludf.DUMMYFUNCTION("""COMPUTED_VALUE""")," Propensity Models ")</f>
        <v> Propensity Models </v>
      </c>
      <c r="E696" s="4" t="str">
        <f>IFERROR(__xludf.DUMMYFUNCTION("""COMPUTED_VALUE""")," Hobbies and Interest ")</f>
        <v> Hobbies and Interest </v>
      </c>
      <c r="F696" s="4" t="str">
        <f>IFERROR(__xludf.DUMMYFUNCTION("""COMPUTED_VALUE""")," Books ")</f>
        <v> Books </v>
      </c>
      <c r="G696" s="4" t="str">
        <f>IFERROR(__xludf.DUMMYFUNCTION("""COMPUTED_VALUE""")," E-Book Reader")</f>
        <v> E-Book Reader</v>
      </c>
      <c r="H696" s="4"/>
      <c r="I696" s="4"/>
      <c r="J696" s="5" t="s">
        <v>15</v>
      </c>
      <c r="K696" s="5" t="s">
        <v>42</v>
      </c>
      <c r="L696" s="5" t="s">
        <v>214</v>
      </c>
      <c r="M696" s="6" t="s">
        <v>992</v>
      </c>
      <c r="N696" s="5" t="s">
        <v>36</v>
      </c>
      <c r="O696" s="5" t="s">
        <v>27</v>
      </c>
      <c r="P696" s="5">
        <v>90123.0</v>
      </c>
      <c r="Q696" s="5">
        <v>60.0</v>
      </c>
      <c r="R696" s="5">
        <v>33421.0</v>
      </c>
      <c r="S696" s="5">
        <v>66729.0</v>
      </c>
      <c r="T696" s="5">
        <v>9.0</v>
      </c>
      <c r="U696" s="9">
        <v>3433.914287</v>
      </c>
    </row>
    <row r="697">
      <c r="A697" s="4" t="s">
        <v>1667</v>
      </c>
      <c r="B697" s="4" t="str">
        <f>IFERROR(__xludf.DUMMYFUNCTION("SPLIT(A697,""&gt;"")"),"United States ")</f>
        <v>United States </v>
      </c>
      <c r="C697" s="4" t="str">
        <f>IFERROR(__xludf.DUMMYFUNCTION("""COMPUTED_VALUE""")," AUTO ")</f>
        <v> AUTO </v>
      </c>
      <c r="D697" s="4" t="str">
        <f>IFERROR(__xludf.DUMMYFUNCTION("""COMPUTED_VALUE""")," Decision Maker for Auto Purchase ")</f>
        <v> Decision Maker for Auto Purchase </v>
      </c>
      <c r="E697" s="4" t="str">
        <f>IFERROR(__xludf.DUMMYFUNCTION("""COMPUTED_VALUE""")," I was the sole decision-maker")</f>
        <v> I was the sole decision-maker</v>
      </c>
      <c r="F697" s="4"/>
      <c r="G697" s="4"/>
      <c r="H697" s="4"/>
      <c r="I697" s="4"/>
      <c r="J697" s="5" t="s">
        <v>15</v>
      </c>
      <c r="K697" s="5" t="s">
        <v>16</v>
      </c>
      <c r="L697" s="5" t="s">
        <v>78</v>
      </c>
      <c r="M697" s="6" t="s">
        <v>992</v>
      </c>
      <c r="N697" s="5" t="s">
        <v>19</v>
      </c>
      <c r="O697" s="5" t="s">
        <v>27</v>
      </c>
      <c r="P697" s="5">
        <v>1116343.0</v>
      </c>
      <c r="Q697" s="5">
        <v>3104.0</v>
      </c>
      <c r="R697" s="5">
        <v>550519.0</v>
      </c>
      <c r="S697" s="5">
        <v>977978.0</v>
      </c>
      <c r="T697" s="5">
        <v>9.0</v>
      </c>
      <c r="U697" s="9">
        <v>2494.217596</v>
      </c>
    </row>
    <row r="698">
      <c r="A698" s="4" t="s">
        <v>1668</v>
      </c>
      <c r="B698" s="4" t="str">
        <f>IFERROR(__xludf.DUMMYFUNCTION("SPLIT(A698,""&gt;"")"),"United States ")</f>
        <v>United States </v>
      </c>
      <c r="C698" s="4" t="str">
        <f>IFERROR(__xludf.DUMMYFUNCTION("""COMPUTED_VALUE""")," B2B ")</f>
        <v> B2B </v>
      </c>
      <c r="D698" s="4" t="str">
        <f>IFERROR(__xludf.DUMMYFUNCTION("""COMPUTED_VALUE""")," B2B Decision Maker Responsibilities ")</f>
        <v> B2B Decision Maker Responsibilities </v>
      </c>
      <c r="E698" s="4" t="str">
        <f>IFERROR(__xludf.DUMMYFUNCTION("""COMPUTED_VALUE""")," Purchasing Vehicles or Automobile Services")</f>
        <v> Purchasing Vehicles or Automobile Services</v>
      </c>
      <c r="F698" s="4"/>
      <c r="G698" s="4"/>
      <c r="H698" s="4"/>
      <c r="I698" s="4"/>
      <c r="J698" s="5" t="s">
        <v>15</v>
      </c>
      <c r="K698" s="5" t="s">
        <v>16</v>
      </c>
      <c r="L698" s="5" t="s">
        <v>273</v>
      </c>
      <c r="M698" s="6" t="s">
        <v>992</v>
      </c>
      <c r="N698" s="5" t="s">
        <v>26</v>
      </c>
      <c r="O698" s="5" t="s">
        <v>27</v>
      </c>
      <c r="P698" s="5">
        <v>276716.0</v>
      </c>
      <c r="Q698" s="5">
        <v>799.0</v>
      </c>
      <c r="R698" s="5">
        <v>114927.0</v>
      </c>
      <c r="S698" s="5">
        <v>255481.0</v>
      </c>
      <c r="T698" s="5">
        <v>49.0</v>
      </c>
      <c r="U698" s="9">
        <v>2276.277471</v>
      </c>
    </row>
    <row r="699" hidden="1">
      <c r="A699" s="4" t="s">
        <v>1669</v>
      </c>
      <c r="B699" s="4" t="str">
        <f>IFERROR(__xludf.DUMMYFUNCTION("SPLIT(A699,""&gt;"")"),"Media and Entertainment ")</f>
        <v>Media and Entertainment </v>
      </c>
      <c r="C699" s="4" t="str">
        <f>IFERROR(__xludf.DUMMYFUNCTION("""COMPUTED_VALUE""")," Audio and Video Streaming ")</f>
        <v> Audio and Video Streaming </v>
      </c>
      <c r="D699" s="4" t="str">
        <f>IFERROR(__xludf.DUMMYFUNCTION("""COMPUTED_VALUE""")," Streaming Video ")</f>
        <v> Streaming Video </v>
      </c>
      <c r="E699" s="4" t="str">
        <f>IFERROR(__xludf.DUMMYFUNCTION("""COMPUTED_VALUE""")," Interest (Affinity) ")</f>
        <v> Interest (Affinity) </v>
      </c>
      <c r="F699" s="4" t="str">
        <f>IFERROR(__xludf.DUMMYFUNCTION("""COMPUTED_VALUE""")," Streaming Services")</f>
        <v> Streaming Services</v>
      </c>
      <c r="G699" s="4"/>
      <c r="H699" s="4"/>
      <c r="I699" s="4"/>
      <c r="J699" s="5" t="s">
        <v>15</v>
      </c>
      <c r="K699" s="5" t="s">
        <v>23</v>
      </c>
      <c r="L699" s="5" t="s">
        <v>24</v>
      </c>
      <c r="M699" s="6" t="s">
        <v>992</v>
      </c>
      <c r="N699" s="5" t="s">
        <v>19</v>
      </c>
      <c r="O699" s="5" t="s">
        <v>20</v>
      </c>
      <c r="P699" s="5">
        <v>17049.0</v>
      </c>
      <c r="Q699" s="5">
        <v>84.0</v>
      </c>
      <c r="R699" s="5">
        <v>191.0</v>
      </c>
      <c r="S699" s="5">
        <v>15564.0</v>
      </c>
      <c r="T699" s="5">
        <v>15.0</v>
      </c>
      <c r="U699" s="9">
        <v>2144.489587</v>
      </c>
    </row>
    <row r="700" hidden="1">
      <c r="A700" s="4" t="s">
        <v>1670</v>
      </c>
      <c r="B700" s="4" t="str">
        <f>IFERROR(__xludf.DUMMYFUNCTION("SPLIT(A700,""&gt;"")"),"Mobile - United States ")</f>
        <v>Mobile - United States </v>
      </c>
      <c r="C700" s="4" t="str">
        <f>IFERROR(__xludf.DUMMYFUNCTION("""COMPUTED_VALUE""")," Demographics ")</f>
        <v> Demographics </v>
      </c>
      <c r="D700" s="4" t="str">
        <f>IFERROR(__xludf.DUMMYFUNCTION("""COMPUTED_VALUE""")," Education ")</f>
        <v> Education </v>
      </c>
      <c r="E700" s="4" t="str">
        <f>IFERROR(__xludf.DUMMYFUNCTION("""COMPUTED_VALUE""")," High Education Achievement")</f>
        <v> High Education Achievement</v>
      </c>
      <c r="F700" s="4"/>
      <c r="G700" s="4"/>
      <c r="H700" s="4"/>
      <c r="I700" s="4"/>
      <c r="J700" s="5" t="s">
        <v>15</v>
      </c>
      <c r="K700" s="5" t="s">
        <v>23</v>
      </c>
      <c r="L700" s="5" t="s">
        <v>17</v>
      </c>
      <c r="M700" s="6" t="s">
        <v>992</v>
      </c>
      <c r="N700" s="5" t="s">
        <v>19</v>
      </c>
      <c r="O700" s="5" t="s">
        <v>52</v>
      </c>
      <c r="P700" s="5">
        <v>74164.0</v>
      </c>
      <c r="Q700" s="5">
        <v>241.0</v>
      </c>
      <c r="R700" s="5">
        <v>25104.0</v>
      </c>
      <c r="S700" s="5">
        <v>61242.0</v>
      </c>
      <c r="T700" s="5">
        <v>19.0</v>
      </c>
      <c r="U700" s="9">
        <v>1902.301443</v>
      </c>
    </row>
    <row r="701">
      <c r="A701" s="4" t="s">
        <v>1671</v>
      </c>
      <c r="B701" s="4" t="str">
        <f>IFERROR(__xludf.DUMMYFUNCTION("SPLIT(A701,""&gt;"")"),"Media and Entertainment ")</f>
        <v>Media and Entertainment </v>
      </c>
      <c r="C701" s="4" t="str">
        <f>IFERROR(__xludf.DUMMYFUNCTION("""COMPUTED_VALUE""")," Sports and Recreational Activities ")</f>
        <v> Sports and Recreational Activities </v>
      </c>
      <c r="D701" s="4" t="str">
        <f>IFERROR(__xludf.DUMMYFUNCTION("""COMPUTED_VALUE""")," Interest (Affinity) ")</f>
        <v> Interest (Affinity) </v>
      </c>
      <c r="E701" s="4" t="str">
        <f>IFERROR(__xludf.DUMMYFUNCTION("""COMPUTED_VALUE""")," Individual Sports")</f>
        <v> Individual Sports</v>
      </c>
      <c r="F701" s="4"/>
      <c r="G701" s="4"/>
      <c r="H701" s="4"/>
      <c r="I701" s="4"/>
      <c r="J701" s="5" t="s">
        <v>22</v>
      </c>
      <c r="K701" s="5" t="s">
        <v>16</v>
      </c>
      <c r="L701" s="5" t="s">
        <v>35</v>
      </c>
      <c r="M701" s="6" t="s">
        <v>992</v>
      </c>
      <c r="N701" s="5" t="s">
        <v>161</v>
      </c>
      <c r="O701" s="5" t="s">
        <v>27</v>
      </c>
      <c r="P701" s="5">
        <v>37227.0</v>
      </c>
      <c r="Q701" s="5">
        <v>130.0</v>
      </c>
      <c r="R701" s="5">
        <v>13542.0</v>
      </c>
      <c r="S701" s="5">
        <v>32456.0</v>
      </c>
      <c r="T701" s="5">
        <v>4.0</v>
      </c>
      <c r="U701" s="9">
        <v>1901.094691</v>
      </c>
    </row>
    <row r="702">
      <c r="A702" s="4" t="s">
        <v>1672</v>
      </c>
      <c r="B702" s="4" t="str">
        <f>IFERROR(__xludf.DUMMYFUNCTION("SPLIT(A702,""&gt;"")"),"United States ")</f>
        <v>United States </v>
      </c>
      <c r="C702" s="4" t="str">
        <f>IFERROR(__xludf.DUMMYFUNCTION("""COMPUTED_VALUE""")," Interest Propensities ")</f>
        <v> Interest Propensities </v>
      </c>
      <c r="D702" s="4" t="str">
        <f>IFERROR(__xludf.DUMMYFUNCTION("""COMPUTED_VALUE""")," TV and Movies ")</f>
        <v> TV and Movies </v>
      </c>
      <c r="E702" s="4" t="str">
        <f>IFERROR(__xludf.DUMMYFUNCTION("""COMPUTED_VALUE""")," Drama")</f>
        <v> Drama</v>
      </c>
      <c r="F702" s="4"/>
      <c r="G702" s="4"/>
      <c r="H702" s="4"/>
      <c r="I702" s="4"/>
      <c r="J702" s="5" t="s">
        <v>15</v>
      </c>
      <c r="K702" s="5" t="s">
        <v>42</v>
      </c>
      <c r="L702" s="5" t="s">
        <v>17</v>
      </c>
      <c r="M702" s="6" t="s">
        <v>992</v>
      </c>
      <c r="N702" s="5" t="s">
        <v>26</v>
      </c>
      <c r="O702" s="5" t="s">
        <v>27</v>
      </c>
      <c r="P702" s="5">
        <v>556152.0</v>
      </c>
      <c r="Q702" s="5">
        <v>1867.0</v>
      </c>
      <c r="R702" s="5">
        <v>221833.0</v>
      </c>
      <c r="S702" s="5">
        <v>480882.0</v>
      </c>
      <c r="T702" s="5">
        <v>7.0</v>
      </c>
      <c r="U702" s="9">
        <v>1818.100044</v>
      </c>
    </row>
    <row r="703" hidden="1">
      <c r="A703" s="4" t="s">
        <v>1673</v>
      </c>
      <c r="B703" s="4" t="str">
        <f>IFERROR(__xludf.DUMMYFUNCTION("SPLIT(A703,""&gt;"")"),"United States ")</f>
        <v>United States </v>
      </c>
      <c r="C703" s="4" t="str">
        <f>IFERROR(__xludf.DUMMYFUNCTION("""COMPUTED_VALUE""")," Interest Propensities ")</f>
        <v> Interest Propensities </v>
      </c>
      <c r="D703" s="4" t="str">
        <f>IFERROR(__xludf.DUMMYFUNCTION("""COMPUTED_VALUE""")," Insurance ")</f>
        <v> Insurance </v>
      </c>
      <c r="E703" s="4" t="str">
        <f>IFERROR(__xludf.DUMMYFUNCTION("""COMPUTED_VALUE""")," Transamerica")</f>
        <v> Transamerica</v>
      </c>
      <c r="F703" s="4"/>
      <c r="G703" s="4"/>
      <c r="H703" s="4"/>
      <c r="I703" s="4"/>
      <c r="J703" s="5" t="s">
        <v>15</v>
      </c>
      <c r="K703" s="5" t="s">
        <v>31</v>
      </c>
      <c r="L703" s="5" t="s">
        <v>35</v>
      </c>
      <c r="M703" s="6" t="s">
        <v>992</v>
      </c>
      <c r="N703" s="5" t="s">
        <v>19</v>
      </c>
      <c r="O703" s="5" t="s">
        <v>20</v>
      </c>
      <c r="P703" s="5">
        <v>598460.0</v>
      </c>
      <c r="Q703" s="5">
        <v>1654.0</v>
      </c>
      <c r="R703" s="5">
        <v>201153.0</v>
      </c>
      <c r="S703" s="5">
        <v>557263.0</v>
      </c>
      <c r="T703" s="5">
        <v>13.0</v>
      </c>
      <c r="U703" s="9">
        <v>1689.744507</v>
      </c>
    </row>
    <row r="704">
      <c r="A704" s="4" t="s">
        <v>1011</v>
      </c>
      <c r="B704" s="4" t="str">
        <f>IFERROR(__xludf.DUMMYFUNCTION("SPLIT(A704,""&gt;"")"),"Media &amp; Entertainment")</f>
        <v>Media &amp; Entertainment</v>
      </c>
      <c r="C704" s="4"/>
      <c r="D704" s="4"/>
      <c r="E704" s="4"/>
      <c r="F704" s="4"/>
      <c r="G704" s="4"/>
      <c r="H704" s="4"/>
      <c r="I704" s="4"/>
      <c r="J704" s="5" t="s">
        <v>15</v>
      </c>
      <c r="K704" s="5" t="s">
        <v>16</v>
      </c>
      <c r="L704" s="5" t="s">
        <v>35</v>
      </c>
      <c r="M704" s="6" t="s">
        <v>992</v>
      </c>
      <c r="N704" s="5" t="s">
        <v>19</v>
      </c>
      <c r="O704" s="5" t="s">
        <v>27</v>
      </c>
      <c r="P704" s="5">
        <v>421110.0</v>
      </c>
      <c r="Q704" s="5">
        <v>984.0</v>
      </c>
      <c r="R704" s="5">
        <v>212140.0</v>
      </c>
      <c r="S704" s="5">
        <v>389474.0</v>
      </c>
      <c r="T704" s="5">
        <v>4.0</v>
      </c>
      <c r="U704" s="9">
        <v>1635.920216</v>
      </c>
    </row>
    <row r="705" hidden="1">
      <c r="A705" s="4" t="s">
        <v>1674</v>
      </c>
      <c r="B705" s="4" t="str">
        <f>IFERROR(__xludf.DUMMYFUNCTION("SPLIT(A705,""&gt;"")"),"United States ")</f>
        <v>United States </v>
      </c>
      <c r="C705" s="4" t="str">
        <f>IFERROR(__xludf.DUMMYFUNCTION("""COMPUTED_VALUE""")," Brand Propensities ")</f>
        <v> Brand Propensities </v>
      </c>
      <c r="D705" s="4" t="str">
        <f>IFERROR(__xludf.DUMMYFUNCTION("""COMPUTED_VALUE""")," Apparel ")</f>
        <v> Apparel </v>
      </c>
      <c r="E705" s="4" t="str">
        <f>IFERROR(__xludf.DUMMYFUNCTION("""COMPUTED_VALUE""")," The Men's WearhoUnited Statese Buyer Propensity")</f>
        <v> The Men's WearhoUnited Statese Buyer Propensity</v>
      </c>
      <c r="F705" s="4"/>
      <c r="G705" s="4"/>
      <c r="H705" s="4"/>
      <c r="I705" s="4"/>
      <c r="J705" s="5" t="s">
        <v>15</v>
      </c>
      <c r="K705" s="5" t="s">
        <v>31</v>
      </c>
      <c r="L705" s="5" t="s">
        <v>45</v>
      </c>
      <c r="M705" s="6" t="s">
        <v>992</v>
      </c>
      <c r="N705" s="5" t="s">
        <v>46</v>
      </c>
      <c r="O705" s="5" t="s">
        <v>52</v>
      </c>
      <c r="P705" s="5">
        <v>59296.0</v>
      </c>
      <c r="Q705" s="5">
        <v>170.0</v>
      </c>
      <c r="R705" s="5">
        <v>25482.0</v>
      </c>
      <c r="S705" s="5">
        <v>54149.0</v>
      </c>
      <c r="T705" s="5">
        <v>4.0</v>
      </c>
      <c r="U705" s="9">
        <v>1568.715259</v>
      </c>
    </row>
    <row r="706" hidden="1">
      <c r="A706" s="4" t="s">
        <v>1675</v>
      </c>
      <c r="B706" s="4" t="str">
        <f>IFERROR(__xludf.DUMMYFUNCTION("SPLIT(A706,""&gt;"")"),"Travel and Tourism ")</f>
        <v>Travel and Tourism </v>
      </c>
      <c r="C706" s="4" t="str">
        <f>IFERROR(__xludf.DUMMYFUNCTION("""COMPUTED_VALUE""")," Interest (Affinity) ")</f>
        <v> Interest (Affinity) </v>
      </c>
      <c r="D706" s="4" t="str">
        <f>IFERROR(__xludf.DUMMYFUNCTION("""COMPUTED_VALUE""")," Products ")</f>
        <v> Products </v>
      </c>
      <c r="E706" s="4" t="str">
        <f>IFERROR(__xludf.DUMMYFUNCTION("""COMPUTED_VALUE""")," Air Travel")</f>
        <v> Air Travel</v>
      </c>
      <c r="F706" s="4"/>
      <c r="G706" s="4"/>
      <c r="H706" s="4"/>
      <c r="I706" s="4"/>
      <c r="J706" s="5" t="s">
        <v>15</v>
      </c>
      <c r="K706" s="5" t="s">
        <v>42</v>
      </c>
      <c r="L706" s="5" t="s">
        <v>398</v>
      </c>
      <c r="M706" s="6" t="s">
        <v>992</v>
      </c>
      <c r="N706" s="5" t="s">
        <v>46</v>
      </c>
      <c r="O706" s="5" t="s">
        <v>52</v>
      </c>
      <c r="P706" s="5">
        <v>307888.0</v>
      </c>
      <c r="Q706" s="5">
        <v>863.0</v>
      </c>
      <c r="R706" s="5">
        <v>134959.0</v>
      </c>
      <c r="S706" s="5">
        <v>274790.0</v>
      </c>
      <c r="T706" s="5">
        <v>11.0</v>
      </c>
      <c r="U706" s="9">
        <v>1559.643865</v>
      </c>
    </row>
    <row r="707">
      <c r="A707" s="4" t="s">
        <v>1676</v>
      </c>
      <c r="B707" s="4" t="str">
        <f>IFERROR(__xludf.DUMMYFUNCTION("SPLIT(A707,""&gt;"")"),"OnAudience ")</f>
        <v>OnAudience </v>
      </c>
      <c r="C707" s="4" t="str">
        <f>IFERROR(__xludf.DUMMYFUNCTION("""COMPUTED_VALUE""")," Interest ")</f>
        <v> Interest </v>
      </c>
      <c r="D707" s="4" t="str">
        <f>IFERROR(__xludf.DUMMYFUNCTION("""COMPUTED_VALUE""")," Technology &amp; Computing ")</f>
        <v> Technology &amp; Computing </v>
      </c>
      <c r="E707" s="4" t="str">
        <f>IFERROR(__xludf.DUMMYFUNCTION("""COMPUTED_VALUE""")," Entertainment")</f>
        <v> Entertainment</v>
      </c>
      <c r="F707" s="4"/>
      <c r="G707" s="4"/>
      <c r="H707" s="4"/>
      <c r="I707" s="4"/>
      <c r="J707" s="5" t="s">
        <v>15</v>
      </c>
      <c r="K707" s="5" t="s">
        <v>23</v>
      </c>
      <c r="L707" s="5" t="s">
        <v>24</v>
      </c>
      <c r="M707" s="6" t="s">
        <v>992</v>
      </c>
      <c r="N707" s="5" t="s">
        <v>46</v>
      </c>
      <c r="O707" s="5" t="s">
        <v>27</v>
      </c>
      <c r="P707" s="5">
        <v>85965.0</v>
      </c>
      <c r="Q707" s="5">
        <v>233.0</v>
      </c>
      <c r="R707" s="5">
        <v>33865.0</v>
      </c>
      <c r="S707" s="5">
        <v>78662.0</v>
      </c>
      <c r="T707" s="5">
        <v>3.0</v>
      </c>
      <c r="U707" s="9">
        <v>1555.534812</v>
      </c>
    </row>
    <row r="708">
      <c r="A708" s="4" t="s">
        <v>1677</v>
      </c>
      <c r="B708" s="4" t="str">
        <f>IFERROR(__xludf.DUMMYFUNCTION("SPLIT(A708,""&gt;"")"),"United States ")</f>
        <v>United States </v>
      </c>
      <c r="C708" s="4" t="str">
        <f>IFERROR(__xludf.DUMMYFUNCTION("""COMPUTED_VALUE""")," Brand Propensities ")</f>
        <v> Brand Propensities </v>
      </c>
      <c r="D708" s="4" t="str">
        <f>IFERROR(__xludf.DUMMYFUNCTION("""COMPUTED_VALUE""")," Restaurants and Dining ")</f>
        <v> Restaurants and Dining </v>
      </c>
      <c r="E708" s="4" t="str">
        <f>IFERROR(__xludf.DUMMYFUNCTION("""COMPUTED_VALUE""")," Seamless Buyer Propensity")</f>
        <v> Seamless Buyer Propensity</v>
      </c>
      <c r="F708" s="4"/>
      <c r="G708" s="4"/>
      <c r="H708" s="4"/>
      <c r="I708" s="4"/>
      <c r="J708" s="5" t="s">
        <v>15</v>
      </c>
      <c r="K708" s="5" t="s">
        <v>31</v>
      </c>
      <c r="L708" s="5" t="s">
        <v>55</v>
      </c>
      <c r="M708" s="6" t="s">
        <v>992</v>
      </c>
      <c r="N708" s="5" t="s">
        <v>46</v>
      </c>
      <c r="O708" s="5" t="s">
        <v>27</v>
      </c>
      <c r="P708" s="5">
        <v>335664.0</v>
      </c>
      <c r="Q708" s="5">
        <v>852.0</v>
      </c>
      <c r="R708" s="5">
        <v>148742.0</v>
      </c>
      <c r="S708" s="5">
        <v>313071.0</v>
      </c>
      <c r="T708" s="5">
        <v>25.0</v>
      </c>
      <c r="U708" s="9">
        <v>1542.500216</v>
      </c>
    </row>
    <row r="709">
      <c r="A709" s="4" t="s">
        <v>1678</v>
      </c>
      <c r="B709" s="4" t="str">
        <f>IFERROR(__xludf.DUMMYFUNCTION("SPLIT(A709,""&gt;"")"),"Mobile - United States ")</f>
        <v>Mobile - United States </v>
      </c>
      <c r="C709" s="4" t="str">
        <f>IFERROR(__xludf.DUMMYFUNCTION("""COMPUTED_VALUE""")," Sports ")</f>
        <v> Sports </v>
      </c>
      <c r="D709" s="4" t="str">
        <f>IFERROR(__xludf.DUMMYFUNCTION("""COMPUTED_VALUE""")," Motor Sports ")</f>
        <v> Motor Sports </v>
      </c>
      <c r="E709" s="4" t="str">
        <f>IFERROR(__xludf.DUMMYFUNCTION("""COMPUTED_VALUE""")," NASCAR")</f>
        <v> NASCAR</v>
      </c>
      <c r="F709" s="4"/>
      <c r="G709" s="4"/>
      <c r="H709" s="4"/>
      <c r="I709" s="4"/>
      <c r="J709" s="5" t="s">
        <v>22</v>
      </c>
      <c r="K709" s="5" t="s">
        <v>31</v>
      </c>
      <c r="L709" s="5" t="s">
        <v>273</v>
      </c>
      <c r="M709" s="6" t="s">
        <v>992</v>
      </c>
      <c r="N709" s="5" t="s">
        <v>19</v>
      </c>
      <c r="O709" s="5" t="s">
        <v>27</v>
      </c>
      <c r="P709" s="5">
        <v>74516.0</v>
      </c>
      <c r="Q709" s="5">
        <v>200.0</v>
      </c>
      <c r="R709" s="5">
        <v>23985.0</v>
      </c>
      <c r="S709" s="5">
        <v>63853.0</v>
      </c>
      <c r="T709" s="5">
        <v>24.0</v>
      </c>
      <c r="U709" s="9">
        <v>1523.783909</v>
      </c>
    </row>
    <row r="710">
      <c r="A710" s="4" t="s">
        <v>1679</v>
      </c>
      <c r="B710" s="4" t="str">
        <f>IFERROR(__xludf.DUMMYFUNCTION("SPLIT(A710,""&gt;"")"),"United States ")</f>
        <v>United States </v>
      </c>
      <c r="C710" s="4" t="str">
        <f>IFERROR(__xludf.DUMMYFUNCTION("""COMPUTED_VALUE""")," Reach ")</f>
        <v> Reach </v>
      </c>
      <c r="D710" s="4" t="str">
        <f>IFERROR(__xludf.DUMMYFUNCTION("""COMPUTED_VALUE""")," Propensity Models ")</f>
        <v> Propensity Models </v>
      </c>
      <c r="E710" s="4" t="str">
        <f>IFERROR(__xludf.DUMMYFUNCTION("""COMPUTED_VALUE""")," Hobbies and Interest ")</f>
        <v> Hobbies and Interest </v>
      </c>
      <c r="F710" s="4" t="str">
        <f>IFERROR(__xludf.DUMMYFUNCTION("""COMPUTED_VALUE""")," Food and Drinks ")</f>
        <v> Food and Drinks </v>
      </c>
      <c r="G710" s="4" t="str">
        <f>IFERROR(__xludf.DUMMYFUNCTION("""COMPUTED_VALUE""")," Coffee Connoisseurs")</f>
        <v> Coffee Connoisseurs</v>
      </c>
      <c r="H710" s="4"/>
      <c r="I710" s="4"/>
      <c r="J710" s="5" t="s">
        <v>22</v>
      </c>
      <c r="K710" s="5" t="s">
        <v>42</v>
      </c>
      <c r="L710" s="5" t="s">
        <v>55</v>
      </c>
      <c r="M710" s="6" t="s">
        <v>992</v>
      </c>
      <c r="N710" s="5" t="s">
        <v>19</v>
      </c>
      <c r="O710" s="5" t="s">
        <v>27</v>
      </c>
      <c r="P710" s="5">
        <v>263752.0</v>
      </c>
      <c r="Q710" s="5">
        <v>702.0</v>
      </c>
      <c r="R710" s="5">
        <v>127042.0</v>
      </c>
      <c r="S710" s="5">
        <v>225121.0</v>
      </c>
      <c r="T710" s="5">
        <v>4.0</v>
      </c>
      <c r="U710" s="9">
        <v>1465.51471</v>
      </c>
    </row>
    <row r="711">
      <c r="A711" s="4" t="s">
        <v>1680</v>
      </c>
      <c r="B711" s="4" t="str">
        <f>IFERROR(__xludf.DUMMYFUNCTION("SPLIT(A711,""&gt;"")"),"United States ")</f>
        <v>United States </v>
      </c>
      <c r="C711" s="4" t="str">
        <f>IFERROR(__xludf.DUMMYFUNCTION("""COMPUTED_VALUE""")," Demographic ")</f>
        <v> Demographic </v>
      </c>
      <c r="D711" s="4" t="str">
        <f>IFERROR(__xludf.DUMMYFUNCTION("""COMPUTED_VALUE""")," Family ")</f>
        <v> Family </v>
      </c>
      <c r="E711" s="4" t="str">
        <f>IFERROR(__xludf.DUMMYFUNCTION("""COMPUTED_VALUE""")," HoUnited Stateseholds with 2 Adults")</f>
        <v> HoUnited Stateseholds with 2 Adults</v>
      </c>
      <c r="F711" s="4"/>
      <c r="G711" s="4"/>
      <c r="H711" s="4"/>
      <c r="I711" s="4"/>
      <c r="J711" s="5" t="s">
        <v>22</v>
      </c>
      <c r="K711" s="5" t="s">
        <v>42</v>
      </c>
      <c r="L711" s="5" t="s">
        <v>398</v>
      </c>
      <c r="M711" s="6" t="s">
        <v>992</v>
      </c>
      <c r="N711" s="5" t="s">
        <v>46</v>
      </c>
      <c r="O711" s="5" t="s">
        <v>27</v>
      </c>
      <c r="P711" s="5">
        <v>507889.0</v>
      </c>
      <c r="Q711" s="5">
        <v>823.0</v>
      </c>
      <c r="R711" s="5">
        <v>176329.0</v>
      </c>
      <c r="S711" s="5">
        <v>450103.0</v>
      </c>
      <c r="T711" s="5">
        <v>78.0</v>
      </c>
      <c r="U711" s="9">
        <v>1440.745362</v>
      </c>
    </row>
    <row r="712">
      <c r="A712" s="4" t="s">
        <v>1681</v>
      </c>
      <c r="B712" s="4" t="str">
        <f>IFERROR(__xludf.DUMMYFUNCTION("SPLIT(A712,""&gt;"")"),"United States ")</f>
        <v>United States </v>
      </c>
      <c r="C712" s="4" t="str">
        <f>IFERROR(__xludf.DUMMYFUNCTION("""COMPUTED_VALUE""")," Interest Propensities ")</f>
        <v> Interest Propensities </v>
      </c>
      <c r="D712" s="4" t="str">
        <f>IFERROR(__xludf.DUMMYFUNCTION("""COMPUTED_VALUE""")," Brands ")</f>
        <v> Brands </v>
      </c>
      <c r="E712" s="4" t="str">
        <f>IFERROR(__xludf.DUMMYFUNCTION("""COMPUTED_VALUE""")," Big Box Retail")</f>
        <v> Big Box Retail</v>
      </c>
      <c r="F712" s="4"/>
      <c r="G712" s="4"/>
      <c r="H712" s="4"/>
      <c r="I712" s="4"/>
      <c r="J712" s="5" t="s">
        <v>22</v>
      </c>
      <c r="K712" s="5" t="s">
        <v>23</v>
      </c>
      <c r="L712" s="5" t="s">
        <v>84</v>
      </c>
      <c r="M712" s="6" t="s">
        <v>1020</v>
      </c>
      <c r="N712" s="5" t="s">
        <v>19</v>
      </c>
      <c r="O712" s="5" t="s">
        <v>27</v>
      </c>
      <c r="P712" s="5">
        <v>61474.0</v>
      </c>
      <c r="Q712" s="5">
        <v>250.0</v>
      </c>
      <c r="R712" s="5">
        <v>31245.0</v>
      </c>
      <c r="S712" s="5">
        <v>49089.0</v>
      </c>
      <c r="T712" s="5">
        <v>15.0</v>
      </c>
      <c r="U712" s="9">
        <v>2189.341349</v>
      </c>
    </row>
    <row r="713">
      <c r="A713" s="4" t="s">
        <v>1682</v>
      </c>
      <c r="B713" s="4" t="str">
        <f>IFERROR(__xludf.DUMMYFUNCTION("SPLIT(A713,""&gt;"")"),"Travel and Tourism ")</f>
        <v>Travel and Tourism </v>
      </c>
      <c r="C713" s="4" t="str">
        <f>IFERROR(__xludf.DUMMYFUNCTION("""COMPUTED_VALUE""")," Interest (Affinity)")</f>
        <v> Interest (Affinity)</v>
      </c>
      <c r="D713" s="4"/>
      <c r="E713" s="4"/>
      <c r="F713" s="4"/>
      <c r="G713" s="4"/>
      <c r="H713" s="4"/>
      <c r="I713" s="4"/>
      <c r="J713" s="5" t="s">
        <v>22</v>
      </c>
      <c r="K713" s="5" t="s">
        <v>16</v>
      </c>
      <c r="L713" s="5" t="s">
        <v>29</v>
      </c>
      <c r="M713" s="6" t="s">
        <v>1020</v>
      </c>
      <c r="N713" s="5" t="s">
        <v>19</v>
      </c>
      <c r="O713" s="5" t="s">
        <v>27</v>
      </c>
      <c r="P713" s="5">
        <v>14890.0</v>
      </c>
      <c r="Q713" s="5">
        <v>60.0</v>
      </c>
      <c r="R713" s="5">
        <v>6248.0</v>
      </c>
      <c r="S713" s="5">
        <v>11493.0</v>
      </c>
      <c r="T713" s="5">
        <v>6.0</v>
      </c>
      <c r="U713" s="9">
        <v>1982.416484</v>
      </c>
    </row>
    <row r="714">
      <c r="A714" s="4" t="s">
        <v>1683</v>
      </c>
      <c r="B714" s="4" t="str">
        <f>IFERROR(__xludf.DUMMYFUNCTION("SPLIT(A714,""&gt;"")"),"United States ")</f>
        <v>United States </v>
      </c>
      <c r="C714" s="4" t="str">
        <f>IFERROR(__xludf.DUMMYFUNCTION("""COMPUTED_VALUE""")," Brand Propensities ")</f>
        <v> Brand Propensities </v>
      </c>
      <c r="D714" s="4" t="str">
        <f>IFERROR(__xludf.DUMMYFUNCTION("""COMPUTED_VALUE""")," Media and Entertainment ")</f>
        <v> Media and Entertainment </v>
      </c>
      <c r="E714" s="4" t="str">
        <f>IFERROR(__xludf.DUMMYFUNCTION("""COMPUTED_VALUE""")," pokerstars.net Buyer Propensity")</f>
        <v> pokerstars.net Buyer Propensity</v>
      </c>
      <c r="F714" s="4"/>
      <c r="G714" s="4"/>
      <c r="H714" s="4"/>
      <c r="I714" s="4"/>
      <c r="J714" s="5" t="s">
        <v>15</v>
      </c>
      <c r="K714" s="5" t="s">
        <v>42</v>
      </c>
      <c r="L714" s="5" t="s">
        <v>35</v>
      </c>
      <c r="M714" s="6" t="s">
        <v>1020</v>
      </c>
      <c r="N714" s="5" t="s">
        <v>117</v>
      </c>
      <c r="O714" s="5" t="s">
        <v>27</v>
      </c>
      <c r="P714" s="5">
        <v>61227.0</v>
      </c>
      <c r="Q714" s="5">
        <v>174.0</v>
      </c>
      <c r="R714" s="5">
        <v>10434.0</v>
      </c>
      <c r="S714" s="5">
        <v>53104.0</v>
      </c>
      <c r="T714" s="5">
        <v>8.0</v>
      </c>
      <c r="U714" s="9">
        <v>1919.553678</v>
      </c>
    </row>
    <row r="715">
      <c r="A715" s="4" t="s">
        <v>1684</v>
      </c>
      <c r="B715" s="4" t="str">
        <f>IFERROR(__xludf.DUMMYFUNCTION("SPLIT(A715,""&gt;"")"),"Online Behavior")</f>
        <v>Online Behavior</v>
      </c>
      <c r="C715" s="4" t="str">
        <f>IFERROR(__xludf.DUMMYFUNCTION("""COMPUTED_VALUE"""),"United States")</f>
        <v>United States</v>
      </c>
      <c r="D715" s="4" t="str">
        <f>IFERROR(__xludf.DUMMYFUNCTION("""COMPUTED_VALUE"""),"Intent ")</f>
        <v>Intent </v>
      </c>
      <c r="E715" s="4" t="str">
        <f>IFERROR(__xludf.DUMMYFUNCTION("""COMPUTED_VALUE""")," Shopping")</f>
        <v> Shopping</v>
      </c>
      <c r="F715" s="4" t="str">
        <f>IFERROR(__xludf.DUMMYFUNCTION("""COMPUTED_VALUE"""),"Pet Food ")</f>
        <v>Pet Food </v>
      </c>
      <c r="G715" s="4" t="str">
        <f>IFERROR(__xludf.DUMMYFUNCTION("""COMPUTED_VALUE""")," Dog")</f>
        <v> Dog</v>
      </c>
      <c r="H715" s="4"/>
      <c r="I715" s="4"/>
      <c r="J715" s="5" t="s">
        <v>22</v>
      </c>
      <c r="K715" s="5" t="s">
        <v>16</v>
      </c>
      <c r="L715" s="5" t="s">
        <v>35</v>
      </c>
      <c r="M715" s="6" t="s">
        <v>1024</v>
      </c>
      <c r="N715" s="5" t="s">
        <v>19</v>
      </c>
      <c r="O715" s="5" t="s">
        <v>27</v>
      </c>
      <c r="P715" s="5">
        <v>18516.0</v>
      </c>
      <c r="Q715" s="5">
        <v>68.0</v>
      </c>
      <c r="R715" s="5">
        <v>8191.0</v>
      </c>
      <c r="S715" s="5">
        <v>13641.0</v>
      </c>
      <c r="T715" s="5">
        <v>13.0</v>
      </c>
      <c r="U715" s="9">
        <v>5087.561715</v>
      </c>
    </row>
    <row r="716">
      <c r="A716" s="4" t="s">
        <v>1685</v>
      </c>
      <c r="B716" s="4" t="str">
        <f>IFERROR(__xludf.DUMMYFUNCTION("SPLIT(A716,""&gt;"")"),"Online Behavior")</f>
        <v>Online Behavior</v>
      </c>
      <c r="C716" s="4" t="str">
        <f>IFERROR(__xludf.DUMMYFUNCTION("""COMPUTED_VALUE"""),"United States")</f>
        <v>United States</v>
      </c>
      <c r="D716" s="4" t="str">
        <f>IFERROR(__xludf.DUMMYFUNCTION("""COMPUTED_VALUE"""),"B2B ")</f>
        <v>B2B </v>
      </c>
      <c r="E716" s="4" t="str">
        <f>IFERROR(__xludf.DUMMYFUNCTION("""COMPUTED_VALUE""")," Occupation")</f>
        <v> Occupation</v>
      </c>
      <c r="F716" s="4" t="str">
        <f>IFERROR(__xludf.DUMMYFUNCTION("""COMPUTED_VALUE"""),"Architect")</f>
        <v>Architect</v>
      </c>
      <c r="G716" s="4"/>
      <c r="H716" s="4"/>
      <c r="I716" s="4"/>
      <c r="J716" s="5" t="s">
        <v>15</v>
      </c>
      <c r="K716" s="5" t="s">
        <v>16</v>
      </c>
      <c r="L716" s="5" t="s">
        <v>55</v>
      </c>
      <c r="M716" s="6" t="s">
        <v>1024</v>
      </c>
      <c r="N716" s="5" t="s">
        <v>19</v>
      </c>
      <c r="O716" s="5" t="s">
        <v>27</v>
      </c>
      <c r="P716" s="5">
        <v>11420.0</v>
      </c>
      <c r="Q716" s="5">
        <v>67.0</v>
      </c>
      <c r="R716" s="5">
        <v>4647.0</v>
      </c>
      <c r="S716" s="5">
        <v>9909.0</v>
      </c>
      <c r="T716" s="5">
        <v>9.0</v>
      </c>
      <c r="U716" s="9">
        <v>3804.64417</v>
      </c>
    </row>
    <row r="717">
      <c r="A717" s="4" t="s">
        <v>1686</v>
      </c>
      <c r="B717" s="4" t="str">
        <f>IFERROR(__xludf.DUMMYFUNCTION("SPLIT(A717,""&gt;"")"),"Online Behavior")</f>
        <v>Online Behavior</v>
      </c>
      <c r="C717" s="4" t="str">
        <f>IFERROR(__xludf.DUMMYFUNCTION("""COMPUTED_VALUE"""),"United States")</f>
        <v>United States</v>
      </c>
      <c r="D717" s="4" t="str">
        <f>IFERROR(__xludf.DUMMYFUNCTION("""COMPUTED_VALUE"""),"Validated Demographic ")</f>
        <v>Validated Demographic </v>
      </c>
      <c r="E717" s="4" t="str">
        <f>IFERROR(__xludf.DUMMYFUNCTION("""COMPUTED_VALUE""")," Gender")</f>
        <v> Gender</v>
      </c>
      <c r="F717" s="4" t="str">
        <f>IFERROR(__xludf.DUMMYFUNCTION("""COMPUTED_VALUE"""),"Female")</f>
        <v>Female</v>
      </c>
      <c r="G717" s="4"/>
      <c r="H717" s="4"/>
      <c r="I717" s="4"/>
      <c r="J717" s="5" t="s">
        <v>61</v>
      </c>
      <c r="K717" s="5" t="s">
        <v>16</v>
      </c>
      <c r="L717" s="5" t="s">
        <v>55</v>
      </c>
      <c r="M717" s="6" t="s">
        <v>1027</v>
      </c>
      <c r="N717" s="5" t="s">
        <v>19</v>
      </c>
      <c r="O717" s="5" t="s">
        <v>27</v>
      </c>
      <c r="P717" s="5">
        <v>10906.0</v>
      </c>
      <c r="Q717" s="5">
        <v>46.0</v>
      </c>
      <c r="R717" s="5">
        <v>4735.0</v>
      </c>
      <c r="S717" s="5">
        <v>6390.0</v>
      </c>
      <c r="T717" s="5">
        <v>3.0</v>
      </c>
      <c r="U717" s="9">
        <v>5694.27094</v>
      </c>
    </row>
    <row r="718" hidden="1">
      <c r="A718" s="4" t="s">
        <v>1687</v>
      </c>
      <c r="B718" s="4" t="str">
        <f>IFERROR(__xludf.DUMMYFUNCTION("SPLIT(A718,""&gt;"")"),"Online Behavior")</f>
        <v>Online Behavior</v>
      </c>
      <c r="C718" s="4" t="str">
        <f>IFERROR(__xludf.DUMMYFUNCTION("""COMPUTED_VALUE"""),"United States")</f>
        <v>United States</v>
      </c>
      <c r="D718" s="4" t="str">
        <f>IFERROR(__xludf.DUMMYFUNCTION("""COMPUTED_VALUE"""),"Beauty and Fitness")</f>
        <v>Beauty and Fitness</v>
      </c>
      <c r="E718" s="4" t="str">
        <f>IFERROR(__xludf.DUMMYFUNCTION("""COMPUTED_VALUE"""),"Face and Body Care ")</f>
        <v>Face and Body Care </v>
      </c>
      <c r="F718" s="4" t="str">
        <f>IFERROR(__xludf.DUMMYFUNCTION("""COMPUTED_VALUE""")," Make-Up and Cosmetics")</f>
        <v> Make-Up and Cosmetics</v>
      </c>
      <c r="G718" s="4"/>
      <c r="H718" s="4"/>
      <c r="I718" s="4"/>
      <c r="J718" s="5" t="s">
        <v>15</v>
      </c>
      <c r="K718" s="5" t="s">
        <v>42</v>
      </c>
      <c r="L718" s="5" t="s">
        <v>29</v>
      </c>
      <c r="M718" s="6" t="s">
        <v>1029</v>
      </c>
      <c r="N718" s="5" t="s">
        <v>46</v>
      </c>
      <c r="O718" s="5" t="s">
        <v>20</v>
      </c>
      <c r="P718" s="5">
        <v>7585.0</v>
      </c>
      <c r="Q718" s="5">
        <v>13.0</v>
      </c>
      <c r="R718" s="5">
        <v>5396.0</v>
      </c>
      <c r="S718" s="5">
        <v>7417.0</v>
      </c>
      <c r="T718" s="5">
        <v>24.0</v>
      </c>
      <c r="U718" s="9">
        <v>7082.653802</v>
      </c>
    </row>
    <row r="719">
      <c r="A719" s="4" t="s">
        <v>1688</v>
      </c>
      <c r="B719" s="4" t="str">
        <f>IFERROR(__xludf.DUMMYFUNCTION("SPLIT(A719,""&gt;"")"),"United States ")</f>
        <v>United States </v>
      </c>
      <c r="C719" s="4" t="str">
        <f>IFERROR(__xludf.DUMMYFUNCTION("""COMPUTED_VALUE""")," Multibuyer Behaviors ")</f>
        <v> Multibuyer Behaviors </v>
      </c>
      <c r="D719" s="4" t="str">
        <f>IFERROR(__xludf.DUMMYFUNCTION("""COMPUTED_VALUE""")," Club ")</f>
        <v> Club </v>
      </c>
      <c r="E719" s="4" t="str">
        <f>IFERROR(__xludf.DUMMYFUNCTION("""COMPUTED_VALUE""")," Continuity Buyers")</f>
        <v> Continuity Buyers</v>
      </c>
      <c r="F719" s="4"/>
      <c r="G719" s="4"/>
      <c r="H719" s="4"/>
      <c r="I719" s="4"/>
      <c r="J719" s="5" t="s">
        <v>22</v>
      </c>
      <c r="K719" s="5" t="s">
        <v>16</v>
      </c>
      <c r="L719" s="5" t="s">
        <v>55</v>
      </c>
      <c r="M719" s="6" t="s">
        <v>1029</v>
      </c>
      <c r="N719" s="5" t="s">
        <v>117</v>
      </c>
      <c r="O719" s="5" t="s">
        <v>27</v>
      </c>
      <c r="P719" s="5">
        <v>12692.0</v>
      </c>
      <c r="Q719" s="5">
        <v>105.0</v>
      </c>
      <c r="R719" s="5">
        <v>9048.0</v>
      </c>
      <c r="S719" s="5">
        <v>12326.0</v>
      </c>
      <c r="T719" s="5">
        <v>14.0</v>
      </c>
      <c r="U719" s="9">
        <v>1541.719598</v>
      </c>
    </row>
    <row r="720">
      <c r="A720" s="4" t="s">
        <v>1689</v>
      </c>
      <c r="B720" s="4" t="str">
        <f>IFERROR(__xludf.DUMMYFUNCTION("SPLIT(A720,""&gt;"")"),"Online Behavior")</f>
        <v>Online Behavior</v>
      </c>
      <c r="C720" s="4" t="str">
        <f>IFERROR(__xludf.DUMMYFUNCTION("""COMPUTED_VALUE"""),"United States")</f>
        <v>United States</v>
      </c>
      <c r="D720" s="4" t="str">
        <f>IFERROR(__xludf.DUMMYFUNCTION("""COMPUTED_VALUE"""),"Travel")</f>
        <v>Travel</v>
      </c>
      <c r="E720" s="4" t="str">
        <f>IFERROR(__xludf.DUMMYFUNCTION("""COMPUTED_VALUE"""),"Tourist Destinations ")</f>
        <v>Tourist Destinations </v>
      </c>
      <c r="F720" s="4" t="str">
        <f>IFERROR(__xludf.DUMMYFUNCTION("""COMPUTED_VALUE""")," Theme Parks")</f>
        <v> Theme Parks</v>
      </c>
      <c r="G720" s="4"/>
      <c r="H720" s="4"/>
      <c r="I720" s="4"/>
      <c r="J720" s="5" t="s">
        <v>22</v>
      </c>
      <c r="K720" s="5" t="s">
        <v>31</v>
      </c>
      <c r="L720" s="5" t="s">
        <v>17</v>
      </c>
      <c r="M720" s="6" t="s">
        <v>1032</v>
      </c>
      <c r="N720" s="5" t="s">
        <v>19</v>
      </c>
      <c r="O720" s="5" t="s">
        <v>27</v>
      </c>
      <c r="P720" s="5">
        <v>318269.0</v>
      </c>
      <c r="Q720" s="5">
        <v>914.0</v>
      </c>
      <c r="R720" s="5">
        <v>33355.0</v>
      </c>
      <c r="S720" s="5">
        <v>295405.0</v>
      </c>
      <c r="T720" s="5">
        <v>44.0</v>
      </c>
      <c r="U720" s="9">
        <v>7854.731991</v>
      </c>
    </row>
    <row r="721" hidden="1">
      <c r="A721" s="4" t="s">
        <v>1690</v>
      </c>
      <c r="B721" s="4" t="str">
        <f>IFERROR(__xludf.DUMMYFUNCTION("SPLIT(A721,""&gt;"")"),"Online Behavior")</f>
        <v>Online Behavior</v>
      </c>
      <c r="C721" s="4" t="str">
        <f>IFERROR(__xludf.DUMMYFUNCTION("""COMPUTED_VALUE"""),"United States")</f>
        <v>United States</v>
      </c>
      <c r="D721" s="4" t="str">
        <f>IFERROR(__xludf.DUMMYFUNCTION("""COMPUTED_VALUE"""),"Food and Drink")</f>
        <v>Food and Drink</v>
      </c>
      <c r="E721" s="4" t="str">
        <f>IFERROR(__xludf.DUMMYFUNCTION("""COMPUTED_VALUE"""),"Beverages ")</f>
        <v>Beverages </v>
      </c>
      <c r="F721" s="4" t="str">
        <f>IFERROR(__xludf.DUMMYFUNCTION("""COMPUTED_VALUE""")," Beer")</f>
        <v> Beer</v>
      </c>
      <c r="G721" s="4"/>
      <c r="H721" s="4"/>
      <c r="I721" s="4"/>
      <c r="J721" s="5" t="s">
        <v>15</v>
      </c>
      <c r="K721" s="5" t="s">
        <v>42</v>
      </c>
      <c r="L721" s="5" t="s">
        <v>35</v>
      </c>
      <c r="M721" s="6" t="s">
        <v>1032</v>
      </c>
      <c r="N721" s="5" t="s">
        <v>117</v>
      </c>
      <c r="O721" s="5" t="s">
        <v>20</v>
      </c>
      <c r="P721" s="5">
        <v>26212.0</v>
      </c>
      <c r="Q721" s="5">
        <v>77.0</v>
      </c>
      <c r="R721" s="5">
        <v>12726.0</v>
      </c>
      <c r="S721" s="5">
        <v>24442.0</v>
      </c>
      <c r="T721" s="5">
        <v>15.0</v>
      </c>
      <c r="U721" s="9">
        <v>6452.93501</v>
      </c>
    </row>
    <row r="722" hidden="1">
      <c r="A722" s="4" t="s">
        <v>1691</v>
      </c>
      <c r="B722" s="4" t="str">
        <f>IFERROR(__xludf.DUMMYFUNCTION("SPLIT(A722,""&gt;"")"),"Online Behavior")</f>
        <v>Online Behavior</v>
      </c>
      <c r="C722" s="4" t="str">
        <f>IFERROR(__xludf.DUMMYFUNCTION("""COMPUTED_VALUE"""),"United States")</f>
        <v>United States</v>
      </c>
      <c r="D722" s="4" t="str">
        <f>IFERROR(__xludf.DUMMYFUNCTION("""COMPUTED_VALUE"""),"Arts and Entertainment")</f>
        <v>Arts and Entertainment</v>
      </c>
      <c r="E722" s="4" t="str">
        <f>IFERROR(__xludf.DUMMYFUNCTION("""COMPUTED_VALUE"""),"Events and Listings ")</f>
        <v>Events and Listings </v>
      </c>
      <c r="F722" s="4" t="str">
        <f>IFERROR(__xludf.DUMMYFUNCTION("""COMPUTED_VALUE""")," Expos and Conventions")</f>
        <v> Expos and Conventions</v>
      </c>
      <c r="G722" s="4"/>
      <c r="H722" s="4"/>
      <c r="I722" s="4"/>
      <c r="J722" s="5" t="s">
        <v>15</v>
      </c>
      <c r="K722" s="5" t="s">
        <v>16</v>
      </c>
      <c r="L722" s="5" t="s">
        <v>17</v>
      </c>
      <c r="M722" s="6" t="s">
        <v>1032</v>
      </c>
      <c r="N722" s="5" t="s">
        <v>19</v>
      </c>
      <c r="O722" s="5" t="s">
        <v>20</v>
      </c>
      <c r="P722" s="5">
        <v>20833.0</v>
      </c>
      <c r="Q722" s="5">
        <v>87.0</v>
      </c>
      <c r="R722" s="5">
        <v>1777.0</v>
      </c>
      <c r="S722" s="5">
        <v>17211.0</v>
      </c>
      <c r="T722" s="5">
        <v>9.0</v>
      </c>
      <c r="U722" s="9">
        <v>5542.512181</v>
      </c>
    </row>
    <row r="723">
      <c r="A723" s="4" t="s">
        <v>1692</v>
      </c>
      <c r="B723" s="4" t="str">
        <f>IFERROR(__xludf.DUMMYFUNCTION("SPLIT(A723,""&gt;"")"),"United States ")</f>
        <v>United States </v>
      </c>
      <c r="C723" s="4" t="str">
        <f>IFERROR(__xludf.DUMMYFUNCTION("""COMPUTED_VALUE""")," Reach ")</f>
        <v> Reach </v>
      </c>
      <c r="D723" s="4" t="str">
        <f>IFERROR(__xludf.DUMMYFUNCTION("""COMPUTED_VALUE""")," Sociodemographic ")</f>
        <v> Sociodemographic </v>
      </c>
      <c r="E723" s="4" t="str">
        <f>IFERROR(__xludf.DUMMYFUNCTION("""COMPUTED_VALUE""")," HoUnited Statesehold Income ")</f>
        <v> HoUnited Statesehold Income </v>
      </c>
      <c r="F723" s="4" t="str">
        <f>IFERROR(__xludf.DUMMYFUNCTION("""COMPUTED_VALUE""")," $50,000-$74,999")</f>
        <v> $50,000-$74,999</v>
      </c>
      <c r="G723" s="4"/>
      <c r="H723" s="4"/>
      <c r="I723" s="4"/>
      <c r="J723" s="5" t="s">
        <v>22</v>
      </c>
      <c r="K723" s="5" t="s">
        <v>31</v>
      </c>
      <c r="L723" s="5" t="s">
        <v>150</v>
      </c>
      <c r="M723" s="6" t="s">
        <v>1032</v>
      </c>
      <c r="N723" s="5" t="s">
        <v>26</v>
      </c>
      <c r="O723" s="5" t="s">
        <v>27</v>
      </c>
      <c r="P723" s="5">
        <v>14181.0</v>
      </c>
      <c r="Q723" s="5">
        <v>65.0</v>
      </c>
      <c r="R723" s="5">
        <v>7106.0</v>
      </c>
      <c r="S723" s="5">
        <v>13189.0</v>
      </c>
      <c r="T723" s="5">
        <v>17.0</v>
      </c>
      <c r="U723" s="9">
        <v>2912.467156</v>
      </c>
    </row>
    <row r="724">
      <c r="A724" s="4" t="s">
        <v>1693</v>
      </c>
      <c r="B724" s="4" t="str">
        <f>IFERROR(__xludf.DUMMYFUNCTION("SPLIT(A724,""&gt;"")"),"United States ")</f>
        <v>United States </v>
      </c>
      <c r="C724" s="4" t="str">
        <f>IFERROR(__xludf.DUMMYFUNCTION("""COMPUTED_VALUE""")," Brand Propensities ")</f>
        <v> Brand Propensities </v>
      </c>
      <c r="D724" s="4" t="str">
        <f>IFERROR(__xludf.DUMMYFUNCTION("""COMPUTED_VALUE""")," Automotive ")</f>
        <v> Automotive </v>
      </c>
      <c r="E724" s="4" t="str">
        <f>IFERROR(__xludf.DUMMYFUNCTION("""COMPUTED_VALUE""")," Ford Credit Buyer Propensity")</f>
        <v> Ford Credit Buyer Propensity</v>
      </c>
      <c r="F724" s="4"/>
      <c r="G724" s="4"/>
      <c r="H724" s="4"/>
      <c r="I724" s="4"/>
      <c r="J724" s="5" t="s">
        <v>22</v>
      </c>
      <c r="K724" s="5" t="s">
        <v>16</v>
      </c>
      <c r="L724" s="5" t="s">
        <v>84</v>
      </c>
      <c r="M724" s="6" t="s">
        <v>1032</v>
      </c>
      <c r="N724" s="5" t="s">
        <v>19</v>
      </c>
      <c r="O724" s="5" t="s">
        <v>27</v>
      </c>
      <c r="P724" s="5">
        <v>304377.0</v>
      </c>
      <c r="Q724" s="5">
        <v>801.0</v>
      </c>
      <c r="R724" s="5">
        <v>27519.0</v>
      </c>
      <c r="S724" s="5">
        <v>270098.0</v>
      </c>
      <c r="T724" s="5">
        <v>63.0</v>
      </c>
      <c r="U724" s="9">
        <v>1595.48714</v>
      </c>
    </row>
    <row r="725">
      <c r="A725" s="4" t="s">
        <v>1694</v>
      </c>
      <c r="B725" s="4" t="str">
        <f>IFERROR(__xludf.DUMMYFUNCTION("SPLIT(A725,""&gt;"")"),"United States Technology ")</f>
        <v>United States Technology </v>
      </c>
      <c r="C725" s="4" t="str">
        <f>IFERROR(__xludf.DUMMYFUNCTION("""COMPUTED_VALUE""")," Social Media ")</f>
        <v> Social Media </v>
      </c>
      <c r="D725" s="4" t="str">
        <f>IFERROR(__xludf.DUMMYFUNCTION("""COMPUTED_VALUE""")," Likely Behavior ")</f>
        <v> Likely Behavior </v>
      </c>
      <c r="E725" s="4" t="str">
        <f>IFERROR(__xludf.DUMMYFUNCTION("""COMPUTED_VALUE""")," Heavy Facebook United Stateser")</f>
        <v> Heavy Facebook United Stateser</v>
      </c>
      <c r="F725" s="4"/>
      <c r="G725" s="4"/>
      <c r="H725" s="4"/>
      <c r="I725" s="4"/>
      <c r="J725" s="5" t="s">
        <v>15</v>
      </c>
      <c r="K725" s="5" t="s">
        <v>42</v>
      </c>
      <c r="L725" s="5" t="s">
        <v>78</v>
      </c>
      <c r="M725" s="6" t="s">
        <v>1032</v>
      </c>
      <c r="N725" s="5" t="s">
        <v>19</v>
      </c>
      <c r="O725" s="5" t="s">
        <v>27</v>
      </c>
      <c r="P725" s="5">
        <v>312206.0</v>
      </c>
      <c r="Q725" s="5">
        <v>841.0</v>
      </c>
      <c r="R725" s="5">
        <v>35661.0</v>
      </c>
      <c r="S725" s="5">
        <v>292992.0</v>
      </c>
      <c r="T725" s="5">
        <v>5.0</v>
      </c>
      <c r="U725" s="9">
        <v>1550.938318</v>
      </c>
    </row>
    <row r="726">
      <c r="A726" s="4" t="s">
        <v>1695</v>
      </c>
      <c r="B726" s="4" t="str">
        <f>IFERROR(__xludf.DUMMYFUNCTION("SPLIT(A726,""&gt;"")"),"United States ")</f>
        <v>United States </v>
      </c>
      <c r="C726" s="4" t="str">
        <f>IFERROR(__xludf.DUMMYFUNCTION("""COMPUTED_VALUE""")," B2B ")</f>
        <v> B2B </v>
      </c>
      <c r="D726" s="4" t="str">
        <f>IFERROR(__xludf.DUMMYFUNCTION("""COMPUTED_VALUE""")," B2B Decision Maker Responsibilities ")</f>
        <v> B2B Decision Maker Responsibilities </v>
      </c>
      <c r="E726" s="4" t="str">
        <f>IFERROR(__xludf.DUMMYFUNCTION("""COMPUTED_VALUE""")," Real Estate Services")</f>
        <v> Real Estate Services</v>
      </c>
      <c r="F726" s="4"/>
      <c r="G726" s="4"/>
      <c r="H726" s="4"/>
      <c r="I726" s="4"/>
      <c r="J726" s="5" t="s">
        <v>15</v>
      </c>
      <c r="K726" s="5" t="s">
        <v>42</v>
      </c>
      <c r="L726" s="5" t="s">
        <v>84</v>
      </c>
      <c r="M726" s="6" t="s">
        <v>1032</v>
      </c>
      <c r="N726" s="5" t="s">
        <v>46</v>
      </c>
      <c r="O726" s="5" t="s">
        <v>27</v>
      </c>
      <c r="P726" s="5">
        <v>9790.0</v>
      </c>
      <c r="Q726" s="5">
        <v>24.0</v>
      </c>
      <c r="R726" s="5">
        <v>1295.0</v>
      </c>
      <c r="S726" s="5">
        <v>9196.0</v>
      </c>
      <c r="T726" s="5">
        <v>2.0</v>
      </c>
      <c r="U726" s="9">
        <v>1532.148881</v>
      </c>
    </row>
    <row r="727">
      <c r="A727" s="4" t="s">
        <v>1696</v>
      </c>
      <c r="B727" s="4" t="str">
        <f>IFERROR(__xludf.DUMMYFUNCTION("SPLIT(A727,""&gt;"")"),"Transactional ")</f>
        <v>Transactional </v>
      </c>
      <c r="C727" s="4" t="str">
        <f>IFERROR(__xludf.DUMMYFUNCTION("""COMPUTED_VALUE""")," Q3 Fashion Shoppers")</f>
        <v> Q3 Fashion Shoppers</v>
      </c>
      <c r="D727" s="4"/>
      <c r="E727" s="4"/>
      <c r="F727" s="4"/>
      <c r="G727" s="4"/>
      <c r="H727" s="4"/>
      <c r="I727" s="4"/>
      <c r="J727" s="5" t="s">
        <v>61</v>
      </c>
      <c r="K727" s="5" t="s">
        <v>23</v>
      </c>
      <c r="L727" s="5" t="s">
        <v>131</v>
      </c>
      <c r="M727" s="6" t="s">
        <v>1032</v>
      </c>
      <c r="N727" s="5" t="s">
        <v>80</v>
      </c>
      <c r="O727" s="5" t="s">
        <v>27</v>
      </c>
      <c r="P727" s="5">
        <v>130602.0</v>
      </c>
      <c r="Q727" s="5">
        <v>269.0</v>
      </c>
      <c r="R727" s="5">
        <v>11736.0</v>
      </c>
      <c r="S727" s="5">
        <v>113735.0</v>
      </c>
      <c r="T727" s="5">
        <v>4.0</v>
      </c>
      <c r="U727" s="9">
        <v>1507.84712</v>
      </c>
    </row>
    <row r="728">
      <c r="A728" s="4" t="s">
        <v>1697</v>
      </c>
      <c r="B728" s="4" t="str">
        <f>IFERROR(__xludf.DUMMYFUNCTION("SPLIT(A728,""&gt;"")"),"Lotame ")</f>
        <v>Lotame </v>
      </c>
      <c r="C728" s="4" t="str">
        <f>IFERROR(__xludf.DUMMYFUNCTION("""COMPUTED_VALUE""")," Style, Fashion &amp; Clothing ")</f>
        <v> Style, Fashion &amp; Clothing </v>
      </c>
      <c r="D728" s="4" t="str">
        <f>IFERROR(__xludf.DUMMYFUNCTION("""COMPUTED_VALUE""")," Men's Clothing Shoppers")</f>
        <v> Men's Clothing Shoppers</v>
      </c>
      <c r="E728" s="4"/>
      <c r="F728" s="4"/>
      <c r="G728" s="4"/>
      <c r="H728" s="4"/>
      <c r="I728" s="4"/>
      <c r="J728" s="5" t="s">
        <v>22</v>
      </c>
      <c r="K728" s="5" t="s">
        <v>23</v>
      </c>
      <c r="L728" s="5" t="s">
        <v>35</v>
      </c>
      <c r="M728" s="6" t="s">
        <v>1041</v>
      </c>
      <c r="N728" s="5" t="s">
        <v>26</v>
      </c>
      <c r="O728" s="5" t="s">
        <v>27</v>
      </c>
      <c r="P728" s="5">
        <v>10903.0</v>
      </c>
      <c r="Q728" s="5">
        <v>35.0</v>
      </c>
      <c r="R728" s="5">
        <v>3776.0</v>
      </c>
      <c r="S728" s="5">
        <v>9581.0</v>
      </c>
      <c r="T728" s="5">
        <v>2.0</v>
      </c>
      <c r="U728" s="9">
        <v>1460.009754</v>
      </c>
    </row>
    <row r="729">
      <c r="A729" s="8"/>
      <c r="B729" s="4"/>
      <c r="C729" s="8"/>
      <c r="D729" s="8"/>
      <c r="E729" s="8"/>
      <c r="F729" s="8"/>
      <c r="G729" s="8"/>
      <c r="H729" s="8"/>
      <c r="I729" s="8"/>
    </row>
    <row r="730">
      <c r="A730" s="8"/>
      <c r="B730" s="4"/>
      <c r="C730" s="8"/>
      <c r="D730" s="8"/>
      <c r="E730" s="8"/>
      <c r="F730" s="8"/>
      <c r="G730" s="8"/>
      <c r="H730" s="8"/>
      <c r="I730" s="8"/>
    </row>
    <row r="731">
      <c r="A731" s="8"/>
      <c r="B731" s="4"/>
      <c r="C731" s="8"/>
      <c r="D731" s="8"/>
      <c r="E731" s="8"/>
      <c r="F731" s="8"/>
      <c r="G731" s="8"/>
      <c r="H731" s="8"/>
      <c r="I731" s="8"/>
    </row>
    <row r="732">
      <c r="A732" s="8"/>
      <c r="B732" s="4"/>
      <c r="C732" s="8"/>
      <c r="D732" s="8"/>
      <c r="E732" s="8"/>
      <c r="F732" s="8"/>
      <c r="G732" s="8"/>
      <c r="H732" s="8"/>
      <c r="I732" s="8"/>
    </row>
    <row r="733">
      <c r="A733" s="8"/>
      <c r="B733" s="4"/>
      <c r="C733" s="8"/>
      <c r="D733" s="8"/>
      <c r="E733" s="8"/>
      <c r="F733" s="8"/>
      <c r="G733" s="8"/>
      <c r="H733" s="8"/>
      <c r="I733" s="8"/>
    </row>
    <row r="734">
      <c r="A734" s="8"/>
      <c r="B734" s="4"/>
      <c r="C734" s="8"/>
      <c r="D734" s="8"/>
      <c r="E734" s="8"/>
      <c r="F734" s="8"/>
      <c r="G734" s="8"/>
      <c r="H734" s="8"/>
      <c r="I734" s="8"/>
    </row>
    <row r="735">
      <c r="A735" s="8"/>
      <c r="B735" s="4"/>
      <c r="C735" s="8"/>
      <c r="D735" s="8"/>
      <c r="E735" s="8"/>
      <c r="F735" s="8"/>
      <c r="G735" s="8"/>
      <c r="H735" s="8"/>
      <c r="I735" s="8"/>
    </row>
    <row r="736">
      <c r="A736" s="8"/>
      <c r="B736" s="4"/>
      <c r="C736" s="8"/>
      <c r="D736" s="8"/>
      <c r="E736" s="8"/>
      <c r="F736" s="8"/>
      <c r="G736" s="8"/>
      <c r="H736" s="8"/>
      <c r="I736" s="8"/>
    </row>
    <row r="737">
      <c r="A737" s="8"/>
      <c r="B737" s="4"/>
      <c r="C737" s="8"/>
      <c r="D737" s="8"/>
      <c r="E737" s="8"/>
      <c r="F737" s="8"/>
      <c r="G737" s="8"/>
      <c r="H737" s="8"/>
      <c r="I737" s="8"/>
    </row>
    <row r="738">
      <c r="A738" s="8"/>
      <c r="B738" s="4"/>
      <c r="C738" s="8"/>
      <c r="D738" s="8"/>
      <c r="E738" s="8"/>
      <c r="F738" s="8"/>
      <c r="G738" s="8"/>
      <c r="H738" s="8"/>
      <c r="I738" s="8"/>
    </row>
    <row r="739">
      <c r="A739" s="8"/>
      <c r="B739" s="4"/>
      <c r="C739" s="8"/>
      <c r="D739" s="8"/>
      <c r="E739" s="8"/>
      <c r="F739" s="8"/>
      <c r="G739" s="8"/>
      <c r="H739" s="8"/>
      <c r="I739" s="8"/>
    </row>
    <row r="740">
      <c r="A740" s="8"/>
      <c r="B740" s="4"/>
      <c r="C740" s="8"/>
      <c r="D740" s="8"/>
      <c r="E740" s="8"/>
      <c r="F740" s="8"/>
      <c r="G740" s="8"/>
      <c r="H740" s="8"/>
      <c r="I740" s="8"/>
    </row>
    <row r="741">
      <c r="A741" s="8"/>
      <c r="B741" s="4"/>
      <c r="C741" s="8"/>
      <c r="D741" s="8"/>
      <c r="E741" s="8"/>
      <c r="F741" s="8"/>
      <c r="G741" s="8"/>
      <c r="H741" s="8"/>
      <c r="I741" s="8"/>
    </row>
    <row r="742">
      <c r="A742" s="8"/>
      <c r="B742" s="4"/>
      <c r="C742" s="8"/>
      <c r="D742" s="8"/>
      <c r="E742" s="8"/>
      <c r="F742" s="8"/>
      <c r="G742" s="8"/>
      <c r="H742" s="8"/>
      <c r="I742" s="8"/>
    </row>
    <row r="743">
      <c r="A743" s="8"/>
      <c r="B743" s="4"/>
      <c r="C743" s="8"/>
      <c r="D743" s="8"/>
      <c r="E743" s="8"/>
      <c r="F743" s="8"/>
      <c r="G743" s="8"/>
      <c r="H743" s="8"/>
      <c r="I743" s="8"/>
    </row>
    <row r="744">
      <c r="A744" s="8"/>
      <c r="B744" s="4"/>
      <c r="C744" s="8"/>
      <c r="D744" s="8"/>
      <c r="E744" s="8"/>
      <c r="F744" s="8"/>
      <c r="G744" s="8"/>
      <c r="H744" s="8"/>
      <c r="I744" s="8"/>
    </row>
    <row r="745">
      <c r="A745" s="8"/>
      <c r="B745" s="4"/>
      <c r="C745" s="8"/>
      <c r="D745" s="8"/>
      <c r="E745" s="8"/>
      <c r="F745" s="8"/>
      <c r="G745" s="8"/>
      <c r="H745" s="8"/>
      <c r="I745" s="8"/>
    </row>
    <row r="746">
      <c r="A746" s="8"/>
      <c r="B746" s="4"/>
      <c r="C746" s="8"/>
      <c r="D746" s="8"/>
      <c r="E746" s="8"/>
      <c r="F746" s="8"/>
      <c r="G746" s="8"/>
      <c r="H746" s="8"/>
      <c r="I746" s="8"/>
    </row>
    <row r="747">
      <c r="A747" s="8"/>
      <c r="B747" s="4"/>
      <c r="C747" s="8"/>
      <c r="D747" s="8"/>
      <c r="E747" s="8"/>
      <c r="F747" s="8"/>
      <c r="G747" s="8"/>
      <c r="H747" s="8"/>
      <c r="I747" s="8"/>
    </row>
    <row r="748">
      <c r="A748" s="8"/>
      <c r="B748" s="4"/>
      <c r="C748" s="8"/>
      <c r="D748" s="8"/>
      <c r="E748" s="8"/>
      <c r="F748" s="8"/>
      <c r="G748" s="8"/>
      <c r="H748" s="8"/>
      <c r="I748" s="8"/>
    </row>
    <row r="749">
      <c r="A749" s="8"/>
      <c r="B749" s="4"/>
      <c r="C749" s="8"/>
      <c r="D749" s="8"/>
      <c r="E749" s="8"/>
      <c r="F749" s="8"/>
      <c r="G749" s="8"/>
      <c r="H749" s="8"/>
      <c r="I749" s="8"/>
    </row>
    <row r="750">
      <c r="A750" s="8"/>
      <c r="B750" s="4"/>
      <c r="C750" s="8"/>
      <c r="D750" s="8"/>
      <c r="E750" s="8"/>
      <c r="F750" s="8"/>
      <c r="G750" s="8"/>
      <c r="H750" s="8"/>
      <c r="I750" s="8"/>
    </row>
    <row r="751">
      <c r="A751" s="8"/>
      <c r="B751" s="4"/>
      <c r="C751" s="8"/>
      <c r="D751" s="8"/>
      <c r="E751" s="8"/>
      <c r="F751" s="8"/>
      <c r="G751" s="8"/>
      <c r="H751" s="8"/>
      <c r="I751" s="8"/>
    </row>
    <row r="752">
      <c r="A752" s="8"/>
      <c r="B752" s="4"/>
      <c r="C752" s="8"/>
      <c r="D752" s="8"/>
      <c r="E752" s="8"/>
      <c r="F752" s="8"/>
      <c r="G752" s="8"/>
      <c r="H752" s="8"/>
      <c r="I752" s="8"/>
    </row>
    <row r="753">
      <c r="A753" s="8"/>
      <c r="B753" s="4"/>
      <c r="C753" s="8"/>
      <c r="D753" s="8"/>
      <c r="E753" s="8"/>
      <c r="F753" s="8"/>
      <c r="G753" s="8"/>
      <c r="H753" s="8"/>
      <c r="I753" s="8"/>
    </row>
    <row r="754">
      <c r="A754" s="8"/>
      <c r="B754" s="4"/>
      <c r="C754" s="8"/>
      <c r="D754" s="8"/>
      <c r="E754" s="8"/>
      <c r="F754" s="8"/>
      <c r="G754" s="8"/>
      <c r="H754" s="8"/>
      <c r="I754" s="8"/>
    </row>
    <row r="755">
      <c r="A755" s="8"/>
      <c r="B755" s="4"/>
      <c r="C755" s="8"/>
      <c r="D755" s="8"/>
      <c r="E755" s="8"/>
      <c r="F755" s="8"/>
      <c r="G755" s="8"/>
      <c r="H755" s="8"/>
      <c r="I755" s="8"/>
    </row>
    <row r="756">
      <c r="A756" s="8"/>
      <c r="B756" s="4"/>
      <c r="C756" s="8"/>
      <c r="D756" s="8"/>
      <c r="E756" s="8"/>
      <c r="F756" s="8"/>
      <c r="G756" s="8"/>
      <c r="H756" s="8"/>
      <c r="I756" s="8"/>
    </row>
    <row r="757">
      <c r="A757" s="8"/>
      <c r="B757" s="4"/>
      <c r="C757" s="8"/>
      <c r="D757" s="8"/>
      <c r="E757" s="8"/>
      <c r="F757" s="8"/>
      <c r="G757" s="8"/>
      <c r="H757" s="8"/>
      <c r="I757" s="8"/>
    </row>
    <row r="758">
      <c r="A758" s="8"/>
      <c r="B758" s="4"/>
      <c r="C758" s="8"/>
      <c r="D758" s="8"/>
      <c r="E758" s="8"/>
      <c r="F758" s="8"/>
      <c r="G758" s="8"/>
      <c r="H758" s="8"/>
      <c r="I758" s="8"/>
    </row>
    <row r="759">
      <c r="A759" s="8"/>
      <c r="B759" s="4"/>
      <c r="C759" s="8"/>
      <c r="D759" s="8"/>
      <c r="E759" s="8"/>
      <c r="F759" s="8"/>
      <c r="G759" s="8"/>
      <c r="H759" s="8"/>
      <c r="I759" s="8"/>
    </row>
    <row r="760">
      <c r="A760" s="8"/>
      <c r="B760" s="4"/>
      <c r="C760" s="8"/>
      <c r="D760" s="8"/>
      <c r="E760" s="8"/>
      <c r="F760" s="8"/>
      <c r="G760" s="8"/>
      <c r="H760" s="8"/>
      <c r="I760" s="8"/>
    </row>
    <row r="761">
      <c r="A761" s="8"/>
      <c r="B761" s="4"/>
      <c r="C761" s="8"/>
      <c r="D761" s="8"/>
      <c r="E761" s="8"/>
      <c r="F761" s="8"/>
      <c r="G761" s="8"/>
      <c r="H761" s="8"/>
      <c r="I761" s="8"/>
    </row>
    <row r="762">
      <c r="A762" s="8"/>
      <c r="B762" s="4"/>
      <c r="C762" s="8"/>
      <c r="D762" s="8"/>
      <c r="E762" s="8"/>
      <c r="F762" s="8"/>
      <c r="G762" s="8"/>
      <c r="H762" s="8"/>
      <c r="I762" s="8"/>
    </row>
    <row r="763">
      <c r="A763" s="8"/>
      <c r="B763" s="4"/>
      <c r="C763" s="8"/>
      <c r="D763" s="8"/>
      <c r="E763" s="8"/>
      <c r="F763" s="8"/>
      <c r="G763" s="8"/>
      <c r="H763" s="8"/>
      <c r="I763" s="8"/>
    </row>
    <row r="764">
      <c r="A764" s="8"/>
      <c r="B764" s="4"/>
      <c r="C764" s="8"/>
      <c r="D764" s="8"/>
      <c r="E764" s="8"/>
      <c r="F764" s="8"/>
      <c r="G764" s="8"/>
      <c r="H764" s="8"/>
      <c r="I764" s="8"/>
    </row>
    <row r="765">
      <c r="A765" s="8"/>
      <c r="B765" s="4"/>
      <c r="C765" s="8"/>
      <c r="D765" s="8"/>
      <c r="E765" s="8"/>
      <c r="F765" s="8"/>
      <c r="G765" s="8"/>
      <c r="H765" s="8"/>
      <c r="I765" s="8"/>
    </row>
    <row r="766">
      <c r="A766" s="8"/>
      <c r="B766" s="4"/>
      <c r="C766" s="8"/>
      <c r="D766" s="8"/>
      <c r="E766" s="8"/>
      <c r="F766" s="8"/>
      <c r="G766" s="8"/>
      <c r="H766" s="8"/>
      <c r="I766" s="8"/>
    </row>
    <row r="767">
      <c r="A767" s="8"/>
      <c r="B767" s="4"/>
      <c r="C767" s="8"/>
      <c r="D767" s="8"/>
      <c r="E767" s="8"/>
      <c r="F767" s="8"/>
      <c r="G767" s="8"/>
      <c r="H767" s="8"/>
      <c r="I767" s="8"/>
    </row>
    <row r="768">
      <c r="A768" s="8"/>
      <c r="B768" s="4"/>
      <c r="C768" s="8"/>
      <c r="D768" s="8"/>
      <c r="E768" s="8"/>
      <c r="F768" s="8"/>
      <c r="G768" s="8"/>
      <c r="H768" s="8"/>
      <c r="I768" s="8"/>
    </row>
    <row r="769">
      <c r="A769" s="8"/>
      <c r="B769" s="4"/>
      <c r="C769" s="8"/>
      <c r="D769" s="8"/>
      <c r="E769" s="8"/>
      <c r="F769" s="8"/>
      <c r="G769" s="8"/>
      <c r="H769" s="8"/>
      <c r="I769" s="8"/>
    </row>
    <row r="770">
      <c r="A770" s="8"/>
      <c r="B770" s="4"/>
      <c r="C770" s="8"/>
      <c r="D770" s="8"/>
      <c r="E770" s="8"/>
      <c r="F770" s="8"/>
      <c r="G770" s="8"/>
      <c r="H770" s="8"/>
      <c r="I770" s="8"/>
    </row>
    <row r="771">
      <c r="A771" s="8"/>
      <c r="B771" s="4"/>
      <c r="C771" s="8"/>
      <c r="D771" s="8"/>
      <c r="E771" s="8"/>
      <c r="F771" s="8"/>
      <c r="G771" s="8"/>
      <c r="H771" s="8"/>
      <c r="I771" s="8"/>
    </row>
    <row r="772">
      <c r="A772" s="8"/>
      <c r="B772" s="4"/>
      <c r="C772" s="8"/>
      <c r="D772" s="8"/>
      <c r="E772" s="8"/>
      <c r="F772" s="8"/>
      <c r="G772" s="8"/>
      <c r="H772" s="8"/>
      <c r="I772" s="8"/>
    </row>
    <row r="773">
      <c r="A773" s="8"/>
      <c r="B773" s="4"/>
      <c r="C773" s="8"/>
      <c r="D773" s="8"/>
      <c r="E773" s="8"/>
      <c r="F773" s="8"/>
      <c r="G773" s="8"/>
      <c r="H773" s="8"/>
      <c r="I773" s="8"/>
    </row>
    <row r="774">
      <c r="A774" s="8"/>
      <c r="B774" s="4"/>
      <c r="C774" s="8"/>
      <c r="D774" s="8"/>
      <c r="E774" s="8"/>
      <c r="F774" s="8"/>
      <c r="G774" s="8"/>
      <c r="H774" s="8"/>
      <c r="I774" s="8"/>
    </row>
    <row r="775">
      <c r="A775" s="8"/>
      <c r="B775" s="4"/>
      <c r="C775" s="8"/>
      <c r="D775" s="8"/>
      <c r="E775" s="8"/>
      <c r="F775" s="8"/>
      <c r="G775" s="8"/>
      <c r="H775" s="8"/>
      <c r="I775" s="8"/>
    </row>
    <row r="776">
      <c r="A776" s="8"/>
      <c r="B776" s="4"/>
      <c r="C776" s="8"/>
      <c r="D776" s="8"/>
      <c r="E776" s="8"/>
      <c r="F776" s="8"/>
      <c r="G776" s="8"/>
      <c r="H776" s="8"/>
      <c r="I776" s="8"/>
    </row>
    <row r="777">
      <c r="A777" s="8"/>
      <c r="B777" s="4"/>
      <c r="C777" s="8"/>
      <c r="D777" s="8"/>
      <c r="E777" s="8"/>
      <c r="F777" s="8"/>
      <c r="G777" s="8"/>
      <c r="H777" s="8"/>
      <c r="I777" s="8"/>
    </row>
    <row r="778">
      <c r="A778" s="8"/>
      <c r="B778" s="4"/>
      <c r="C778" s="8"/>
      <c r="D778" s="8"/>
      <c r="E778" s="8"/>
      <c r="F778" s="8"/>
      <c r="G778" s="8"/>
      <c r="H778" s="8"/>
      <c r="I778" s="8"/>
    </row>
    <row r="779">
      <c r="A779" s="8"/>
      <c r="B779" s="4"/>
      <c r="C779" s="8"/>
      <c r="D779" s="8"/>
      <c r="E779" s="8"/>
      <c r="F779" s="8"/>
      <c r="G779" s="8"/>
      <c r="H779" s="8"/>
      <c r="I779" s="8"/>
    </row>
    <row r="780">
      <c r="A780" s="8"/>
      <c r="B780" s="4"/>
      <c r="C780" s="8"/>
      <c r="D780" s="8"/>
      <c r="E780" s="8"/>
      <c r="F780" s="8"/>
      <c r="G780" s="8"/>
      <c r="H780" s="8"/>
      <c r="I780" s="8"/>
    </row>
    <row r="781">
      <c r="A781" s="8"/>
      <c r="B781" s="4"/>
      <c r="C781" s="8"/>
      <c r="D781" s="8"/>
      <c r="E781" s="8"/>
      <c r="F781" s="8"/>
      <c r="G781" s="8"/>
      <c r="H781" s="8"/>
      <c r="I781" s="8"/>
    </row>
    <row r="782">
      <c r="A782" s="8"/>
      <c r="B782" s="4"/>
      <c r="C782" s="8"/>
      <c r="D782" s="8"/>
      <c r="E782" s="8"/>
      <c r="F782" s="8"/>
      <c r="G782" s="8"/>
      <c r="H782" s="8"/>
      <c r="I782" s="8"/>
    </row>
    <row r="783">
      <c r="A783" s="8"/>
      <c r="B783" s="4"/>
      <c r="C783" s="8"/>
      <c r="D783" s="8"/>
      <c r="E783" s="8"/>
      <c r="F783" s="8"/>
      <c r="G783" s="8"/>
      <c r="H783" s="8"/>
      <c r="I783" s="8"/>
    </row>
    <row r="784">
      <c r="A784" s="8"/>
      <c r="B784" s="8"/>
      <c r="C784" s="8"/>
      <c r="D784" s="8"/>
      <c r="E784" s="8"/>
      <c r="F784" s="8"/>
      <c r="G784" s="8"/>
      <c r="H784" s="8"/>
      <c r="I784" s="8"/>
    </row>
    <row r="785">
      <c r="A785" s="8"/>
      <c r="B785" s="8"/>
      <c r="C785" s="8"/>
      <c r="D785" s="8"/>
      <c r="E785" s="8"/>
      <c r="F785" s="8"/>
      <c r="G785" s="8"/>
      <c r="H785" s="8"/>
      <c r="I785" s="8"/>
    </row>
    <row r="786">
      <c r="A786" s="8"/>
      <c r="B786" s="8"/>
      <c r="C786" s="8"/>
      <c r="D786" s="8"/>
      <c r="E786" s="8"/>
      <c r="F786" s="8"/>
      <c r="G786" s="8"/>
      <c r="H786" s="8"/>
      <c r="I786" s="8"/>
    </row>
    <row r="787">
      <c r="A787" s="8"/>
      <c r="B787" s="8"/>
      <c r="C787" s="8"/>
      <c r="D787" s="8"/>
      <c r="E787" s="8"/>
      <c r="F787" s="8"/>
      <c r="G787" s="8"/>
      <c r="H787" s="8"/>
      <c r="I787" s="8"/>
    </row>
    <row r="788">
      <c r="A788" s="8"/>
      <c r="B788" s="8"/>
      <c r="C788" s="8"/>
      <c r="D788" s="8"/>
      <c r="E788" s="8"/>
      <c r="F788" s="8"/>
      <c r="G788" s="8"/>
      <c r="H788" s="8"/>
      <c r="I788" s="8"/>
    </row>
    <row r="789">
      <c r="A789" s="8"/>
      <c r="B789" s="8"/>
      <c r="C789" s="8"/>
      <c r="D789" s="8"/>
      <c r="E789" s="8"/>
      <c r="F789" s="8"/>
      <c r="G789" s="8"/>
      <c r="H789" s="8"/>
      <c r="I789" s="8"/>
    </row>
    <row r="790">
      <c r="A790" s="8"/>
      <c r="B790" s="8"/>
      <c r="C790" s="8"/>
      <c r="D790" s="8"/>
      <c r="E790" s="8"/>
      <c r="F790" s="8"/>
      <c r="G790" s="8"/>
      <c r="H790" s="8"/>
      <c r="I790" s="8"/>
    </row>
    <row r="791">
      <c r="A791" s="8"/>
      <c r="B791" s="8"/>
      <c r="C791" s="8"/>
      <c r="D791" s="8"/>
      <c r="E791" s="8"/>
      <c r="F791" s="8"/>
      <c r="G791" s="8"/>
      <c r="H791" s="8"/>
      <c r="I791" s="8"/>
    </row>
    <row r="792">
      <c r="A792" s="8"/>
      <c r="B792" s="8"/>
      <c r="C792" s="8"/>
      <c r="D792" s="8"/>
      <c r="E792" s="8"/>
      <c r="F792" s="8"/>
      <c r="G792" s="8"/>
      <c r="H792" s="8"/>
      <c r="I792" s="8"/>
    </row>
    <row r="793">
      <c r="A793" s="8"/>
      <c r="B793" s="8"/>
      <c r="C793" s="8"/>
      <c r="D793" s="8"/>
      <c r="E793" s="8"/>
      <c r="F793" s="8"/>
      <c r="G793" s="8"/>
      <c r="H793" s="8"/>
      <c r="I793" s="8"/>
    </row>
    <row r="794">
      <c r="A794" s="8"/>
      <c r="B794" s="8"/>
      <c r="C794" s="8"/>
      <c r="D794" s="8"/>
      <c r="E794" s="8"/>
      <c r="F794" s="8"/>
      <c r="G794" s="8"/>
      <c r="H794" s="8"/>
      <c r="I794" s="8"/>
    </row>
    <row r="795">
      <c r="A795" s="8"/>
      <c r="B795" s="8"/>
      <c r="C795" s="8"/>
      <c r="D795" s="8"/>
      <c r="E795" s="8"/>
      <c r="F795" s="8"/>
      <c r="G795" s="8"/>
      <c r="H795" s="8"/>
      <c r="I795" s="8"/>
    </row>
    <row r="796">
      <c r="A796" s="8"/>
      <c r="B796" s="8"/>
      <c r="C796" s="8"/>
      <c r="D796" s="8"/>
      <c r="E796" s="8"/>
      <c r="F796" s="8"/>
      <c r="G796" s="8"/>
      <c r="H796" s="8"/>
      <c r="I796" s="8"/>
    </row>
    <row r="797">
      <c r="A797" s="8"/>
      <c r="B797" s="8"/>
      <c r="C797" s="8"/>
      <c r="D797" s="8"/>
      <c r="E797" s="8"/>
      <c r="F797" s="8"/>
      <c r="G797" s="8"/>
      <c r="H797" s="8"/>
      <c r="I797" s="8"/>
    </row>
    <row r="798">
      <c r="A798" s="8"/>
      <c r="B798" s="8"/>
      <c r="C798" s="8"/>
      <c r="D798" s="8"/>
      <c r="E798" s="8"/>
      <c r="F798" s="8"/>
      <c r="G798" s="8"/>
      <c r="H798" s="8"/>
      <c r="I798" s="8"/>
    </row>
    <row r="799">
      <c r="A799" s="8"/>
      <c r="B799" s="8"/>
      <c r="C799" s="8"/>
      <c r="D799" s="8"/>
      <c r="E799" s="8"/>
      <c r="F799" s="8"/>
      <c r="G799" s="8"/>
      <c r="H799" s="8"/>
      <c r="I799" s="8"/>
    </row>
    <row r="800">
      <c r="A800" s="8"/>
      <c r="B800" s="8"/>
      <c r="C800" s="8"/>
      <c r="D800" s="8"/>
      <c r="E800" s="8"/>
      <c r="F800" s="8"/>
      <c r="G800" s="8"/>
      <c r="H800" s="8"/>
      <c r="I800" s="8"/>
    </row>
    <row r="801">
      <c r="A801" s="8"/>
      <c r="B801" s="8"/>
      <c r="C801" s="8"/>
      <c r="D801" s="8"/>
      <c r="E801" s="8"/>
      <c r="F801" s="8"/>
      <c r="G801" s="8"/>
      <c r="H801" s="8"/>
      <c r="I801" s="8"/>
    </row>
    <row r="802">
      <c r="A802" s="8"/>
      <c r="B802" s="8"/>
      <c r="C802" s="8"/>
      <c r="D802" s="8"/>
      <c r="E802" s="8"/>
      <c r="F802" s="8"/>
      <c r="G802" s="8"/>
      <c r="H802" s="8"/>
      <c r="I802" s="8"/>
    </row>
    <row r="803">
      <c r="A803" s="8"/>
      <c r="B803" s="8"/>
      <c r="C803" s="8"/>
      <c r="D803" s="8"/>
      <c r="E803" s="8"/>
      <c r="F803" s="8"/>
      <c r="G803" s="8"/>
      <c r="H803" s="8"/>
      <c r="I803" s="8"/>
    </row>
    <row r="804">
      <c r="A804" s="8"/>
      <c r="B804" s="8"/>
      <c r="C804" s="8"/>
      <c r="D804" s="8"/>
      <c r="E804" s="8"/>
      <c r="F804" s="8"/>
      <c r="G804" s="8"/>
      <c r="H804" s="8"/>
      <c r="I804" s="8"/>
    </row>
    <row r="805">
      <c r="A805" s="8"/>
      <c r="B805" s="8"/>
      <c r="C805" s="8"/>
      <c r="D805" s="8"/>
      <c r="E805" s="8"/>
      <c r="F805" s="8"/>
      <c r="G805" s="8"/>
      <c r="H805" s="8"/>
      <c r="I805" s="8"/>
    </row>
    <row r="806">
      <c r="A806" s="8"/>
      <c r="B806" s="8"/>
      <c r="C806" s="8"/>
      <c r="D806" s="8"/>
      <c r="E806" s="8"/>
      <c r="F806" s="8"/>
      <c r="G806" s="8"/>
      <c r="H806" s="8"/>
      <c r="I806" s="8"/>
    </row>
    <row r="807">
      <c r="A807" s="8"/>
      <c r="B807" s="8"/>
      <c r="C807" s="8"/>
      <c r="D807" s="8"/>
      <c r="E807" s="8"/>
      <c r="F807" s="8"/>
      <c r="G807" s="8"/>
      <c r="H807" s="8"/>
      <c r="I807" s="8"/>
    </row>
    <row r="808">
      <c r="A808" s="8"/>
      <c r="B808" s="8"/>
      <c r="C808" s="8"/>
      <c r="D808" s="8"/>
      <c r="E808" s="8"/>
      <c r="F808" s="8"/>
      <c r="G808" s="8"/>
      <c r="H808" s="8"/>
      <c r="I808" s="8"/>
    </row>
    <row r="809">
      <c r="A809" s="8"/>
      <c r="B809" s="8"/>
      <c r="C809" s="8"/>
      <c r="D809" s="8"/>
      <c r="E809" s="8"/>
      <c r="F809" s="8"/>
      <c r="G809" s="8"/>
      <c r="H809" s="8"/>
      <c r="I809" s="8"/>
    </row>
    <row r="810">
      <c r="A810" s="8"/>
      <c r="B810" s="8"/>
      <c r="C810" s="8"/>
      <c r="D810" s="8"/>
      <c r="E810" s="8"/>
      <c r="F810" s="8"/>
      <c r="G810" s="8"/>
      <c r="H810" s="8"/>
      <c r="I810" s="8"/>
    </row>
    <row r="811">
      <c r="A811" s="8"/>
      <c r="B811" s="8"/>
      <c r="C811" s="8"/>
      <c r="D811" s="8"/>
      <c r="E811" s="8"/>
      <c r="F811" s="8"/>
      <c r="G811" s="8"/>
      <c r="H811" s="8"/>
      <c r="I811" s="8"/>
    </row>
    <row r="812">
      <c r="A812" s="8"/>
      <c r="B812" s="8"/>
      <c r="C812" s="8"/>
      <c r="D812" s="8"/>
      <c r="E812" s="8"/>
      <c r="F812" s="8"/>
      <c r="G812" s="8"/>
      <c r="H812" s="8"/>
      <c r="I812" s="8"/>
    </row>
    <row r="813">
      <c r="A813" s="8"/>
      <c r="B813" s="8"/>
      <c r="C813" s="8"/>
      <c r="D813" s="8"/>
      <c r="E813" s="8"/>
      <c r="F813" s="8"/>
      <c r="G813" s="8"/>
      <c r="H813" s="8"/>
      <c r="I813" s="8"/>
    </row>
    <row r="814">
      <c r="A814" s="8"/>
      <c r="B814" s="8"/>
      <c r="C814" s="8"/>
      <c r="D814" s="8"/>
      <c r="E814" s="8"/>
      <c r="F814" s="8"/>
      <c r="G814" s="8"/>
      <c r="H814" s="8"/>
      <c r="I814" s="8"/>
    </row>
    <row r="815">
      <c r="A815" s="8"/>
      <c r="B815" s="8"/>
      <c r="C815" s="8"/>
      <c r="D815" s="8"/>
      <c r="E815" s="8"/>
      <c r="F815" s="8"/>
      <c r="G815" s="8"/>
      <c r="H815" s="8"/>
      <c r="I815" s="8"/>
    </row>
    <row r="816">
      <c r="A816" s="8"/>
      <c r="B816" s="8"/>
      <c r="C816" s="8"/>
      <c r="D816" s="8"/>
      <c r="E816" s="8"/>
      <c r="F816" s="8"/>
      <c r="G816" s="8"/>
      <c r="H816" s="8"/>
      <c r="I816" s="8"/>
    </row>
    <row r="817">
      <c r="A817" s="8"/>
      <c r="B817" s="8"/>
      <c r="C817" s="8"/>
      <c r="D817" s="8"/>
      <c r="E817" s="8"/>
      <c r="F817" s="8"/>
      <c r="G817" s="8"/>
      <c r="H817" s="8"/>
      <c r="I817" s="8"/>
    </row>
    <row r="818">
      <c r="A818" s="8"/>
      <c r="B818" s="8"/>
      <c r="C818" s="8"/>
      <c r="D818" s="8"/>
      <c r="E818" s="8"/>
      <c r="F818" s="8"/>
      <c r="G818" s="8"/>
      <c r="H818" s="8"/>
      <c r="I818" s="8"/>
    </row>
    <row r="819">
      <c r="A819" s="8"/>
      <c r="B819" s="8"/>
      <c r="C819" s="8"/>
      <c r="D819" s="8"/>
      <c r="E819" s="8"/>
      <c r="F819" s="8"/>
      <c r="G819" s="8"/>
      <c r="H819" s="8"/>
      <c r="I819" s="8"/>
    </row>
    <row r="820">
      <c r="A820" s="8"/>
      <c r="B820" s="8"/>
      <c r="C820" s="8"/>
      <c r="D820" s="8"/>
      <c r="E820" s="8"/>
      <c r="F820" s="8"/>
      <c r="G820" s="8"/>
      <c r="H820" s="8"/>
      <c r="I820" s="8"/>
    </row>
    <row r="821">
      <c r="A821" s="8"/>
      <c r="B821" s="8"/>
      <c r="C821" s="8"/>
      <c r="D821" s="8"/>
      <c r="E821" s="8"/>
      <c r="F821" s="8"/>
      <c r="G821" s="8"/>
      <c r="H821" s="8"/>
      <c r="I821" s="8"/>
    </row>
    <row r="822">
      <c r="A822" s="8"/>
      <c r="B822" s="8"/>
      <c r="C822" s="8"/>
      <c r="D822" s="8"/>
      <c r="E822" s="8"/>
      <c r="F822" s="8"/>
      <c r="G822" s="8"/>
      <c r="H822" s="8"/>
      <c r="I822" s="8"/>
    </row>
    <row r="823">
      <c r="A823" s="8"/>
      <c r="B823" s="8"/>
      <c r="C823" s="8"/>
      <c r="D823" s="8"/>
      <c r="E823" s="8"/>
      <c r="F823" s="8"/>
      <c r="G823" s="8"/>
      <c r="H823" s="8"/>
      <c r="I823" s="8"/>
    </row>
    <row r="824">
      <c r="A824" s="8"/>
      <c r="B824" s="8"/>
      <c r="C824" s="8"/>
      <c r="D824" s="8"/>
      <c r="E824" s="8"/>
      <c r="F824" s="8"/>
      <c r="G824" s="8"/>
      <c r="H824" s="8"/>
      <c r="I824" s="8"/>
    </row>
    <row r="825">
      <c r="A825" s="8"/>
      <c r="B825" s="8"/>
      <c r="C825" s="8"/>
      <c r="D825" s="8"/>
      <c r="E825" s="8"/>
      <c r="F825" s="8"/>
      <c r="G825" s="8"/>
      <c r="H825" s="8"/>
      <c r="I825" s="8"/>
    </row>
    <row r="826">
      <c r="A826" s="8"/>
      <c r="B826" s="8"/>
      <c r="C826" s="8"/>
      <c r="D826" s="8"/>
      <c r="E826" s="8"/>
      <c r="F826" s="8"/>
      <c r="G826" s="8"/>
      <c r="H826" s="8"/>
      <c r="I826" s="8"/>
    </row>
    <row r="827">
      <c r="A827" s="8"/>
      <c r="B827" s="8"/>
      <c r="C827" s="8"/>
      <c r="D827" s="8"/>
      <c r="E827" s="8"/>
      <c r="F827" s="8"/>
      <c r="G827" s="8"/>
      <c r="H827" s="8"/>
      <c r="I827" s="8"/>
    </row>
    <row r="828">
      <c r="A828" s="8"/>
      <c r="B828" s="8"/>
      <c r="C828" s="8"/>
      <c r="D828" s="8"/>
      <c r="E828" s="8"/>
      <c r="F828" s="8"/>
      <c r="G828" s="8"/>
      <c r="H828" s="8"/>
      <c r="I828" s="8"/>
    </row>
    <row r="829">
      <c r="A829" s="8"/>
      <c r="B829" s="8"/>
      <c r="C829" s="8"/>
      <c r="D829" s="8"/>
      <c r="E829" s="8"/>
      <c r="F829" s="8"/>
      <c r="G829" s="8"/>
      <c r="H829" s="8"/>
      <c r="I829" s="8"/>
    </row>
    <row r="830">
      <c r="A830" s="8"/>
      <c r="B830" s="8"/>
      <c r="C830" s="8"/>
      <c r="D830" s="8"/>
      <c r="E830" s="8"/>
      <c r="F830" s="8"/>
      <c r="G830" s="8"/>
      <c r="H830" s="8"/>
      <c r="I830" s="8"/>
    </row>
    <row r="831">
      <c r="A831" s="8"/>
      <c r="B831" s="8"/>
      <c r="C831" s="8"/>
      <c r="D831" s="8"/>
      <c r="E831" s="8"/>
      <c r="F831" s="8"/>
      <c r="G831" s="8"/>
      <c r="H831" s="8"/>
      <c r="I831" s="8"/>
    </row>
    <row r="832">
      <c r="A832" s="8"/>
      <c r="B832" s="8"/>
      <c r="C832" s="8"/>
      <c r="D832" s="8"/>
      <c r="E832" s="8"/>
      <c r="F832" s="8"/>
      <c r="G832" s="8"/>
      <c r="H832" s="8"/>
      <c r="I832" s="8"/>
    </row>
    <row r="833">
      <c r="A833" s="8"/>
      <c r="B833" s="8"/>
      <c r="C833" s="8"/>
      <c r="D833" s="8"/>
      <c r="E833" s="8"/>
      <c r="F833" s="8"/>
      <c r="G833" s="8"/>
      <c r="H833" s="8"/>
      <c r="I833" s="8"/>
    </row>
    <row r="834">
      <c r="A834" s="8"/>
      <c r="B834" s="8"/>
      <c r="C834" s="8"/>
      <c r="D834" s="8"/>
      <c r="E834" s="8"/>
      <c r="F834" s="8"/>
      <c r="G834" s="8"/>
      <c r="H834" s="8"/>
      <c r="I834" s="8"/>
    </row>
    <row r="835">
      <c r="A835" s="8"/>
      <c r="B835" s="8"/>
      <c r="C835" s="8"/>
      <c r="D835" s="8"/>
      <c r="E835" s="8"/>
      <c r="F835" s="8"/>
      <c r="G835" s="8"/>
      <c r="H835" s="8"/>
      <c r="I835" s="8"/>
    </row>
    <row r="836">
      <c r="A836" s="8"/>
      <c r="B836" s="8"/>
      <c r="C836" s="8"/>
      <c r="D836" s="8"/>
      <c r="E836" s="8"/>
      <c r="F836" s="8"/>
      <c r="G836" s="8"/>
      <c r="H836" s="8"/>
      <c r="I836" s="8"/>
    </row>
    <row r="837">
      <c r="A837" s="8"/>
      <c r="B837" s="8"/>
      <c r="C837" s="8"/>
      <c r="D837" s="8"/>
      <c r="E837" s="8"/>
      <c r="F837" s="8"/>
      <c r="G837" s="8"/>
      <c r="H837" s="8"/>
      <c r="I837" s="8"/>
    </row>
    <row r="838">
      <c r="A838" s="8"/>
      <c r="B838" s="8"/>
      <c r="C838" s="8"/>
      <c r="D838" s="8"/>
      <c r="E838" s="8"/>
      <c r="F838" s="8"/>
      <c r="G838" s="8"/>
      <c r="H838" s="8"/>
      <c r="I838" s="8"/>
    </row>
    <row r="839">
      <c r="A839" s="8"/>
      <c r="B839" s="8"/>
      <c r="C839" s="8"/>
      <c r="D839" s="8"/>
      <c r="E839" s="8"/>
      <c r="F839" s="8"/>
      <c r="G839" s="8"/>
      <c r="H839" s="8"/>
      <c r="I839" s="8"/>
    </row>
    <row r="840">
      <c r="A840" s="8"/>
      <c r="B840" s="8"/>
      <c r="C840" s="8"/>
      <c r="D840" s="8"/>
      <c r="E840" s="8"/>
      <c r="F840" s="8"/>
      <c r="G840" s="8"/>
      <c r="H840" s="8"/>
      <c r="I840" s="8"/>
    </row>
    <row r="841">
      <c r="A841" s="8"/>
      <c r="B841" s="8"/>
      <c r="C841" s="8"/>
      <c r="D841" s="8"/>
      <c r="E841" s="8"/>
      <c r="F841" s="8"/>
      <c r="G841" s="8"/>
      <c r="H841" s="8"/>
      <c r="I841" s="8"/>
    </row>
    <row r="842">
      <c r="A842" s="8"/>
      <c r="B842" s="8"/>
      <c r="C842" s="8"/>
      <c r="D842" s="8"/>
      <c r="E842" s="8"/>
      <c r="F842" s="8"/>
      <c r="G842" s="8"/>
      <c r="H842" s="8"/>
      <c r="I842" s="8"/>
    </row>
    <row r="843">
      <c r="A843" s="8"/>
      <c r="B843" s="8"/>
      <c r="C843" s="8"/>
      <c r="D843" s="8"/>
      <c r="E843" s="8"/>
      <c r="F843" s="8"/>
      <c r="G843" s="8"/>
      <c r="H843" s="8"/>
      <c r="I843" s="8"/>
    </row>
    <row r="844">
      <c r="A844" s="8"/>
      <c r="B844" s="8"/>
      <c r="C844" s="8"/>
      <c r="D844" s="8"/>
      <c r="E844" s="8"/>
      <c r="F844" s="8"/>
      <c r="G844" s="8"/>
      <c r="H844" s="8"/>
      <c r="I844" s="8"/>
    </row>
    <row r="845">
      <c r="A845" s="8"/>
      <c r="B845" s="8"/>
      <c r="C845" s="8"/>
      <c r="D845" s="8"/>
      <c r="E845" s="8"/>
      <c r="F845" s="8"/>
      <c r="G845" s="8"/>
      <c r="H845" s="8"/>
      <c r="I845" s="8"/>
    </row>
    <row r="846">
      <c r="A846" s="8"/>
      <c r="B846" s="8"/>
      <c r="C846" s="8"/>
      <c r="D846" s="8"/>
      <c r="E846" s="8"/>
      <c r="F846" s="8"/>
      <c r="G846" s="8"/>
      <c r="H846" s="8"/>
      <c r="I846" s="8"/>
    </row>
    <row r="847">
      <c r="A847" s="8"/>
      <c r="B847" s="8"/>
      <c r="C847" s="8"/>
      <c r="D847" s="8"/>
      <c r="E847" s="8"/>
      <c r="F847" s="8"/>
      <c r="G847" s="8"/>
      <c r="H847" s="8"/>
      <c r="I847" s="8"/>
    </row>
    <row r="848">
      <c r="A848" s="8"/>
      <c r="B848" s="8"/>
      <c r="C848" s="8"/>
      <c r="D848" s="8"/>
      <c r="E848" s="8"/>
      <c r="F848" s="8"/>
      <c r="G848" s="8"/>
      <c r="H848" s="8"/>
      <c r="I848" s="8"/>
    </row>
    <row r="849">
      <c r="A849" s="8"/>
      <c r="B849" s="8"/>
      <c r="C849" s="8"/>
      <c r="D849" s="8"/>
      <c r="E849" s="8"/>
      <c r="F849" s="8"/>
      <c r="G849" s="8"/>
      <c r="H849" s="8"/>
      <c r="I849" s="8"/>
    </row>
    <row r="850">
      <c r="A850" s="8"/>
      <c r="B850" s="8"/>
      <c r="C850" s="8"/>
      <c r="D850" s="8"/>
      <c r="E850" s="8"/>
      <c r="F850" s="8"/>
      <c r="G850" s="8"/>
      <c r="H850" s="8"/>
      <c r="I850" s="8"/>
    </row>
    <row r="851">
      <c r="A851" s="8"/>
      <c r="B851" s="8"/>
      <c r="C851" s="8"/>
      <c r="D851" s="8"/>
      <c r="E851" s="8"/>
      <c r="F851" s="8"/>
      <c r="G851" s="8"/>
      <c r="H851" s="8"/>
      <c r="I851" s="8"/>
    </row>
    <row r="852">
      <c r="A852" s="8"/>
      <c r="B852" s="8"/>
      <c r="C852" s="8"/>
      <c r="D852" s="8"/>
      <c r="E852" s="8"/>
      <c r="F852" s="8"/>
      <c r="G852" s="8"/>
      <c r="H852" s="8"/>
      <c r="I852" s="8"/>
    </row>
    <row r="853">
      <c r="A853" s="8"/>
      <c r="B853" s="8"/>
      <c r="C853" s="8"/>
      <c r="D853" s="8"/>
      <c r="E853" s="8"/>
      <c r="F853" s="8"/>
      <c r="G853" s="8"/>
      <c r="H853" s="8"/>
      <c r="I853" s="8"/>
    </row>
    <row r="854">
      <c r="A854" s="8"/>
      <c r="B854" s="8"/>
      <c r="C854" s="8"/>
      <c r="D854" s="8"/>
      <c r="E854" s="8"/>
      <c r="F854" s="8"/>
      <c r="G854" s="8"/>
      <c r="H854" s="8"/>
      <c r="I854" s="8"/>
    </row>
    <row r="855">
      <c r="A855" s="8"/>
      <c r="B855" s="8"/>
      <c r="C855" s="8"/>
      <c r="D855" s="8"/>
      <c r="E855" s="8"/>
      <c r="F855" s="8"/>
      <c r="G855" s="8"/>
      <c r="H855" s="8"/>
      <c r="I855" s="8"/>
    </row>
    <row r="856">
      <c r="A856" s="8"/>
      <c r="B856" s="8"/>
      <c r="C856" s="8"/>
      <c r="D856" s="8"/>
      <c r="E856" s="8"/>
      <c r="F856" s="8"/>
      <c r="G856" s="8"/>
      <c r="H856" s="8"/>
      <c r="I856" s="8"/>
    </row>
    <row r="857">
      <c r="A857" s="8"/>
      <c r="B857" s="8"/>
      <c r="C857" s="8"/>
      <c r="D857" s="8"/>
      <c r="E857" s="8"/>
      <c r="F857" s="8"/>
      <c r="G857" s="8"/>
      <c r="H857" s="8"/>
      <c r="I857" s="8"/>
    </row>
    <row r="858">
      <c r="A858" s="8"/>
      <c r="B858" s="8"/>
      <c r="C858" s="8"/>
      <c r="D858" s="8"/>
      <c r="E858" s="8"/>
      <c r="F858" s="8"/>
      <c r="G858" s="8"/>
      <c r="H858" s="8"/>
      <c r="I858" s="8"/>
    </row>
    <row r="859">
      <c r="A859" s="8"/>
      <c r="B859" s="8"/>
      <c r="C859" s="8"/>
      <c r="D859" s="8"/>
      <c r="E859" s="8"/>
      <c r="F859" s="8"/>
      <c r="G859" s="8"/>
      <c r="H859" s="8"/>
      <c r="I859" s="8"/>
    </row>
    <row r="860">
      <c r="A860" s="8"/>
      <c r="B860" s="8"/>
      <c r="C860" s="8"/>
      <c r="D860" s="8"/>
      <c r="E860" s="8"/>
      <c r="F860" s="8"/>
      <c r="G860" s="8"/>
      <c r="H860" s="8"/>
      <c r="I860" s="8"/>
    </row>
    <row r="861">
      <c r="A861" s="8"/>
      <c r="B861" s="8"/>
      <c r="C861" s="8"/>
      <c r="D861" s="8"/>
      <c r="E861" s="8"/>
      <c r="F861" s="8"/>
      <c r="G861" s="8"/>
      <c r="H861" s="8"/>
      <c r="I861" s="8"/>
    </row>
    <row r="862">
      <c r="A862" s="8"/>
      <c r="B862" s="8"/>
      <c r="C862" s="8"/>
      <c r="D862" s="8"/>
      <c r="E862" s="8"/>
      <c r="F862" s="8"/>
      <c r="G862" s="8"/>
      <c r="H862" s="8"/>
      <c r="I862" s="8"/>
    </row>
    <row r="863">
      <c r="A863" s="8"/>
      <c r="B863" s="8"/>
      <c r="C863" s="8"/>
      <c r="D863" s="8"/>
      <c r="E863" s="8"/>
      <c r="F863" s="8"/>
      <c r="G863" s="8"/>
      <c r="H863" s="8"/>
      <c r="I863" s="8"/>
    </row>
    <row r="864">
      <c r="A864" s="8"/>
      <c r="B864" s="8"/>
      <c r="C864" s="8"/>
      <c r="D864" s="8"/>
      <c r="E864" s="8"/>
      <c r="F864" s="8"/>
      <c r="G864" s="8"/>
      <c r="H864" s="8"/>
      <c r="I864" s="8"/>
    </row>
    <row r="865">
      <c r="A865" s="8"/>
      <c r="B865" s="8"/>
      <c r="C865" s="8"/>
      <c r="D865" s="8"/>
      <c r="E865" s="8"/>
      <c r="F865" s="8"/>
      <c r="G865" s="8"/>
      <c r="H865" s="8"/>
      <c r="I865" s="8"/>
    </row>
    <row r="866">
      <c r="A866" s="8"/>
      <c r="B866" s="8"/>
      <c r="C866" s="8"/>
      <c r="D866" s="8"/>
      <c r="E866" s="8"/>
      <c r="F866" s="8"/>
      <c r="G866" s="8"/>
      <c r="H866" s="8"/>
      <c r="I866" s="8"/>
    </row>
    <row r="867">
      <c r="A867" s="8"/>
      <c r="B867" s="8"/>
      <c r="C867" s="8"/>
      <c r="D867" s="8"/>
      <c r="E867" s="8"/>
      <c r="F867" s="8"/>
      <c r="G867" s="8"/>
      <c r="H867" s="8"/>
      <c r="I867" s="8"/>
    </row>
    <row r="868">
      <c r="A868" s="8"/>
      <c r="B868" s="8"/>
      <c r="C868" s="8"/>
      <c r="D868" s="8"/>
      <c r="E868" s="8"/>
      <c r="F868" s="8"/>
      <c r="G868" s="8"/>
      <c r="H868" s="8"/>
      <c r="I868" s="8"/>
    </row>
    <row r="869">
      <c r="A869" s="8"/>
      <c r="B869" s="8"/>
      <c r="C869" s="8"/>
      <c r="D869" s="8"/>
      <c r="E869" s="8"/>
      <c r="F869" s="8"/>
      <c r="G869" s="8"/>
      <c r="H869" s="8"/>
      <c r="I869" s="8"/>
    </row>
    <row r="870">
      <c r="A870" s="8"/>
      <c r="B870" s="8"/>
      <c r="C870" s="8"/>
      <c r="D870" s="8"/>
      <c r="E870" s="8"/>
      <c r="F870" s="8"/>
      <c r="G870" s="8"/>
      <c r="H870" s="8"/>
      <c r="I870" s="8"/>
    </row>
    <row r="871">
      <c r="A871" s="8"/>
      <c r="B871" s="8"/>
      <c r="C871" s="8"/>
      <c r="D871" s="8"/>
      <c r="E871" s="8"/>
      <c r="F871" s="8"/>
      <c r="G871" s="8"/>
      <c r="H871" s="8"/>
      <c r="I871" s="8"/>
    </row>
    <row r="872">
      <c r="A872" s="8"/>
      <c r="B872" s="8"/>
      <c r="C872" s="8"/>
      <c r="D872" s="8"/>
      <c r="E872" s="8"/>
      <c r="F872" s="8"/>
      <c r="G872" s="8"/>
      <c r="H872" s="8"/>
      <c r="I872" s="8"/>
    </row>
    <row r="873">
      <c r="A873" s="8"/>
      <c r="B873" s="8"/>
      <c r="C873" s="8"/>
      <c r="D873" s="8"/>
      <c r="E873" s="8"/>
      <c r="F873" s="8"/>
      <c r="G873" s="8"/>
      <c r="H873" s="8"/>
      <c r="I873" s="8"/>
    </row>
    <row r="874">
      <c r="A874" s="8"/>
      <c r="B874" s="8"/>
      <c r="C874" s="8"/>
      <c r="D874" s="8"/>
      <c r="E874" s="8"/>
      <c r="F874" s="8"/>
      <c r="G874" s="8"/>
      <c r="H874" s="8"/>
      <c r="I874" s="8"/>
    </row>
    <row r="875">
      <c r="A875" s="8"/>
      <c r="B875" s="8"/>
      <c r="C875" s="8"/>
      <c r="D875" s="8"/>
      <c r="E875" s="8"/>
      <c r="F875" s="8"/>
      <c r="G875" s="8"/>
      <c r="H875" s="8"/>
      <c r="I875" s="8"/>
    </row>
    <row r="876">
      <c r="A876" s="8"/>
      <c r="B876" s="8"/>
      <c r="C876" s="8"/>
      <c r="D876" s="8"/>
      <c r="E876" s="8"/>
      <c r="F876" s="8"/>
      <c r="G876" s="8"/>
      <c r="H876" s="8"/>
      <c r="I876" s="8"/>
    </row>
    <row r="877">
      <c r="A877" s="8"/>
      <c r="B877" s="8"/>
      <c r="C877" s="8"/>
      <c r="D877" s="8"/>
      <c r="E877" s="8"/>
      <c r="F877" s="8"/>
      <c r="G877" s="8"/>
      <c r="H877" s="8"/>
      <c r="I877" s="8"/>
    </row>
    <row r="878">
      <c r="A878" s="8"/>
      <c r="B878" s="8"/>
      <c r="C878" s="8"/>
      <c r="D878" s="8"/>
      <c r="E878" s="8"/>
      <c r="F878" s="8"/>
      <c r="G878" s="8"/>
      <c r="H878" s="8"/>
      <c r="I878" s="8"/>
    </row>
    <row r="879">
      <c r="A879" s="8"/>
      <c r="B879" s="8"/>
      <c r="C879" s="8"/>
      <c r="D879" s="8"/>
      <c r="E879" s="8"/>
      <c r="F879" s="8"/>
      <c r="G879" s="8"/>
      <c r="H879" s="8"/>
      <c r="I879" s="8"/>
    </row>
    <row r="880">
      <c r="A880" s="8"/>
      <c r="B880" s="8"/>
      <c r="C880" s="8"/>
      <c r="D880" s="8"/>
      <c r="E880" s="8"/>
      <c r="F880" s="8"/>
      <c r="G880" s="8"/>
      <c r="H880" s="8"/>
      <c r="I880" s="8"/>
    </row>
    <row r="881">
      <c r="A881" s="8"/>
      <c r="B881" s="8"/>
      <c r="C881" s="8"/>
      <c r="D881" s="8"/>
      <c r="E881" s="8"/>
      <c r="F881" s="8"/>
      <c r="G881" s="8"/>
      <c r="H881" s="8"/>
      <c r="I881" s="8"/>
    </row>
    <row r="882">
      <c r="A882" s="8"/>
      <c r="B882" s="8"/>
      <c r="C882" s="8"/>
      <c r="D882" s="8"/>
      <c r="E882" s="8"/>
      <c r="F882" s="8"/>
      <c r="G882" s="8"/>
      <c r="H882" s="8"/>
      <c r="I882" s="8"/>
    </row>
    <row r="883">
      <c r="A883" s="8"/>
      <c r="B883" s="8"/>
      <c r="C883" s="8"/>
      <c r="D883" s="8"/>
      <c r="E883" s="8"/>
      <c r="F883" s="8"/>
      <c r="G883" s="8"/>
      <c r="H883" s="8"/>
      <c r="I883" s="8"/>
    </row>
    <row r="884">
      <c r="A884" s="8"/>
      <c r="B884" s="8"/>
      <c r="C884" s="8"/>
      <c r="D884" s="8"/>
      <c r="E884" s="8"/>
      <c r="F884" s="8"/>
      <c r="G884" s="8"/>
      <c r="H884" s="8"/>
      <c r="I884" s="8"/>
    </row>
    <row r="885">
      <c r="A885" s="8"/>
      <c r="B885" s="8"/>
      <c r="C885" s="8"/>
      <c r="D885" s="8"/>
      <c r="E885" s="8"/>
      <c r="F885" s="8"/>
      <c r="G885" s="8"/>
      <c r="H885" s="8"/>
      <c r="I885" s="8"/>
    </row>
    <row r="886">
      <c r="A886" s="8"/>
      <c r="B886" s="8"/>
      <c r="C886" s="8"/>
      <c r="D886" s="8"/>
      <c r="E886" s="8"/>
      <c r="F886" s="8"/>
      <c r="G886" s="8"/>
      <c r="H886" s="8"/>
      <c r="I886" s="8"/>
    </row>
    <row r="887">
      <c r="A887" s="8"/>
      <c r="B887" s="8"/>
      <c r="C887" s="8"/>
      <c r="D887" s="8"/>
      <c r="E887" s="8"/>
      <c r="F887" s="8"/>
      <c r="G887" s="8"/>
      <c r="H887" s="8"/>
      <c r="I887" s="8"/>
    </row>
    <row r="888">
      <c r="A888" s="8"/>
      <c r="B888" s="8"/>
      <c r="C888" s="8"/>
      <c r="D888" s="8"/>
      <c r="E888" s="8"/>
      <c r="F888" s="8"/>
      <c r="G888" s="8"/>
      <c r="H888" s="8"/>
      <c r="I888" s="8"/>
    </row>
    <row r="889">
      <c r="A889" s="8"/>
      <c r="B889" s="8"/>
      <c r="C889" s="8"/>
      <c r="D889" s="8"/>
      <c r="E889" s="8"/>
      <c r="F889" s="8"/>
      <c r="G889" s="8"/>
      <c r="H889" s="8"/>
      <c r="I889" s="8"/>
    </row>
    <row r="890">
      <c r="A890" s="8"/>
      <c r="B890" s="8"/>
      <c r="C890" s="8"/>
      <c r="D890" s="8"/>
      <c r="E890" s="8"/>
      <c r="F890" s="8"/>
      <c r="G890" s="8"/>
      <c r="H890" s="8"/>
      <c r="I890" s="8"/>
    </row>
    <row r="891">
      <c r="A891" s="8"/>
      <c r="B891" s="8"/>
      <c r="C891" s="8"/>
      <c r="D891" s="8"/>
      <c r="E891" s="8"/>
      <c r="F891" s="8"/>
      <c r="G891" s="8"/>
      <c r="H891" s="8"/>
      <c r="I891" s="8"/>
    </row>
    <row r="892">
      <c r="A892" s="8"/>
      <c r="B892" s="8"/>
      <c r="C892" s="8"/>
      <c r="D892" s="8"/>
      <c r="E892" s="8"/>
      <c r="F892" s="8"/>
      <c r="G892" s="8"/>
      <c r="H892" s="8"/>
      <c r="I892" s="8"/>
    </row>
    <row r="893">
      <c r="A893" s="8"/>
      <c r="B893" s="8"/>
      <c r="C893" s="8"/>
      <c r="D893" s="8"/>
      <c r="E893" s="8"/>
      <c r="F893" s="8"/>
      <c r="G893" s="8"/>
      <c r="H893" s="8"/>
      <c r="I893" s="8"/>
    </row>
    <row r="894">
      <c r="A894" s="8"/>
      <c r="B894" s="8"/>
      <c r="C894" s="8"/>
      <c r="D894" s="8"/>
      <c r="E894" s="8"/>
      <c r="F894" s="8"/>
      <c r="G894" s="8"/>
      <c r="H894" s="8"/>
      <c r="I894" s="8"/>
    </row>
    <row r="895">
      <c r="A895" s="8"/>
      <c r="B895" s="8"/>
      <c r="C895" s="8"/>
      <c r="D895" s="8"/>
      <c r="E895" s="8"/>
      <c r="F895" s="8"/>
      <c r="G895" s="8"/>
      <c r="H895" s="8"/>
      <c r="I895" s="8"/>
    </row>
    <row r="896">
      <c r="A896" s="8"/>
      <c r="B896" s="8"/>
      <c r="C896" s="8"/>
      <c r="D896" s="8"/>
      <c r="E896" s="8"/>
      <c r="F896" s="8"/>
      <c r="G896" s="8"/>
      <c r="H896" s="8"/>
      <c r="I896" s="8"/>
    </row>
    <row r="897">
      <c r="A897" s="8"/>
      <c r="B897" s="8"/>
      <c r="C897" s="8"/>
      <c r="D897" s="8"/>
      <c r="E897" s="8"/>
      <c r="F897" s="8"/>
      <c r="G897" s="8"/>
      <c r="H897" s="8"/>
      <c r="I897" s="8"/>
    </row>
    <row r="898">
      <c r="A898" s="8"/>
      <c r="B898" s="8"/>
      <c r="C898" s="8"/>
      <c r="D898" s="8"/>
      <c r="E898" s="8"/>
      <c r="F898" s="8"/>
      <c r="G898" s="8"/>
      <c r="H898" s="8"/>
      <c r="I898" s="8"/>
    </row>
    <row r="899">
      <c r="A899" s="8"/>
      <c r="B899" s="8"/>
      <c r="C899" s="8"/>
      <c r="D899" s="8"/>
      <c r="E899" s="8"/>
      <c r="F899" s="8"/>
      <c r="G899" s="8"/>
      <c r="H899" s="8"/>
      <c r="I899" s="8"/>
    </row>
    <row r="900">
      <c r="A900" s="8"/>
      <c r="B900" s="8"/>
      <c r="C900" s="8"/>
      <c r="D900" s="8"/>
      <c r="E900" s="8"/>
      <c r="F900" s="8"/>
      <c r="G900" s="8"/>
      <c r="H900" s="8"/>
      <c r="I900" s="8"/>
    </row>
    <row r="901">
      <c r="A901" s="8"/>
      <c r="B901" s="8"/>
      <c r="C901" s="8"/>
      <c r="D901" s="8"/>
      <c r="E901" s="8"/>
      <c r="F901" s="8"/>
      <c r="G901" s="8"/>
      <c r="H901" s="8"/>
      <c r="I901" s="8"/>
    </row>
    <row r="902">
      <c r="A902" s="8"/>
      <c r="B902" s="8"/>
      <c r="C902" s="8"/>
      <c r="D902" s="8"/>
      <c r="E902" s="8"/>
      <c r="F902" s="8"/>
      <c r="G902" s="8"/>
      <c r="H902" s="8"/>
      <c r="I902" s="8"/>
    </row>
    <row r="903">
      <c r="A903" s="8"/>
      <c r="B903" s="8"/>
      <c r="C903" s="8"/>
      <c r="D903" s="8"/>
      <c r="E903" s="8"/>
      <c r="F903" s="8"/>
      <c r="G903" s="8"/>
      <c r="H903" s="8"/>
      <c r="I903" s="8"/>
    </row>
    <row r="904">
      <c r="A904" s="8"/>
      <c r="B904" s="8"/>
      <c r="C904" s="8"/>
      <c r="D904" s="8"/>
      <c r="E904" s="8"/>
      <c r="F904" s="8"/>
      <c r="G904" s="8"/>
      <c r="H904" s="8"/>
      <c r="I904" s="8"/>
    </row>
    <row r="905">
      <c r="A905" s="8"/>
      <c r="B905" s="8"/>
      <c r="C905" s="8"/>
      <c r="D905" s="8"/>
      <c r="E905" s="8"/>
      <c r="F905" s="8"/>
      <c r="G905" s="8"/>
      <c r="H905" s="8"/>
      <c r="I905" s="8"/>
    </row>
    <row r="906">
      <c r="A906" s="8"/>
      <c r="B906" s="8"/>
      <c r="C906" s="8"/>
      <c r="D906" s="8"/>
      <c r="E906" s="8"/>
      <c r="F906" s="8"/>
      <c r="G906" s="8"/>
      <c r="H906" s="8"/>
      <c r="I906" s="8"/>
    </row>
    <row r="907">
      <c r="A907" s="8"/>
      <c r="B907" s="8"/>
      <c r="C907" s="8"/>
      <c r="D907" s="8"/>
      <c r="E907" s="8"/>
      <c r="F907" s="8"/>
      <c r="G907" s="8"/>
      <c r="H907" s="8"/>
      <c r="I907" s="8"/>
    </row>
    <row r="908">
      <c r="A908" s="8"/>
      <c r="B908" s="8"/>
      <c r="C908" s="8"/>
      <c r="D908" s="8"/>
      <c r="E908" s="8"/>
      <c r="F908" s="8"/>
      <c r="G908" s="8"/>
      <c r="H908" s="8"/>
      <c r="I908" s="8"/>
    </row>
    <row r="909">
      <c r="A909" s="8"/>
      <c r="B909" s="8"/>
      <c r="C909" s="8"/>
      <c r="D909" s="8"/>
      <c r="E909" s="8"/>
      <c r="F909" s="8"/>
      <c r="G909" s="8"/>
      <c r="H909" s="8"/>
      <c r="I909" s="8"/>
    </row>
    <row r="910">
      <c r="A910" s="8"/>
      <c r="B910" s="8"/>
      <c r="C910" s="8"/>
      <c r="D910" s="8"/>
      <c r="E910" s="8"/>
      <c r="F910" s="8"/>
      <c r="G910" s="8"/>
      <c r="H910" s="8"/>
      <c r="I910" s="8"/>
    </row>
    <row r="911">
      <c r="A911" s="8"/>
      <c r="B911" s="8"/>
      <c r="C911" s="8"/>
      <c r="D911" s="8"/>
      <c r="E911" s="8"/>
      <c r="F911" s="8"/>
      <c r="G911" s="8"/>
      <c r="H911" s="8"/>
      <c r="I911" s="8"/>
    </row>
    <row r="912">
      <c r="A912" s="8"/>
      <c r="B912" s="8"/>
      <c r="C912" s="8"/>
      <c r="D912" s="8"/>
      <c r="E912" s="8"/>
      <c r="F912" s="8"/>
      <c r="G912" s="8"/>
      <c r="H912" s="8"/>
      <c r="I912" s="8"/>
    </row>
    <row r="913">
      <c r="A913" s="8"/>
      <c r="B913" s="8"/>
      <c r="C913" s="8"/>
      <c r="D913" s="8"/>
      <c r="E913" s="8"/>
      <c r="F913" s="8"/>
      <c r="G913" s="8"/>
      <c r="H913" s="8"/>
      <c r="I913" s="8"/>
    </row>
    <row r="914">
      <c r="A914" s="8"/>
      <c r="B914" s="8"/>
      <c r="C914" s="8"/>
      <c r="D914" s="8"/>
      <c r="E914" s="8"/>
      <c r="F914" s="8"/>
      <c r="G914" s="8"/>
      <c r="H914" s="8"/>
      <c r="I914" s="8"/>
    </row>
    <row r="915">
      <c r="A915" s="8"/>
      <c r="B915" s="8"/>
      <c r="C915" s="8"/>
      <c r="D915" s="8"/>
      <c r="E915" s="8"/>
      <c r="F915" s="8"/>
      <c r="G915" s="8"/>
      <c r="H915" s="8"/>
      <c r="I915" s="8"/>
    </row>
    <row r="916">
      <c r="A916" s="8"/>
      <c r="B916" s="8"/>
      <c r="C916" s="8"/>
      <c r="D916" s="8"/>
      <c r="E916" s="8"/>
      <c r="F916" s="8"/>
      <c r="G916" s="8"/>
      <c r="H916" s="8"/>
      <c r="I916" s="8"/>
    </row>
    <row r="917">
      <c r="A917" s="8"/>
      <c r="B917" s="8"/>
      <c r="C917" s="8"/>
      <c r="D917" s="8"/>
      <c r="E917" s="8"/>
      <c r="F917" s="8"/>
      <c r="G917" s="8"/>
      <c r="H917" s="8"/>
      <c r="I917" s="8"/>
    </row>
    <row r="918">
      <c r="A918" s="8"/>
      <c r="B918" s="8"/>
      <c r="C918" s="8"/>
      <c r="D918" s="8"/>
      <c r="E918" s="8"/>
      <c r="F918" s="8"/>
      <c r="G918" s="8"/>
      <c r="H918" s="8"/>
      <c r="I918" s="8"/>
    </row>
    <row r="919">
      <c r="A919" s="8"/>
      <c r="B919" s="8"/>
      <c r="C919" s="8"/>
      <c r="D919" s="8"/>
      <c r="E919" s="8"/>
      <c r="F919" s="8"/>
      <c r="G919" s="8"/>
      <c r="H919" s="8"/>
      <c r="I919" s="8"/>
    </row>
    <row r="920">
      <c r="A920" s="8"/>
      <c r="B920" s="8"/>
      <c r="C920" s="8"/>
      <c r="D920" s="8"/>
      <c r="E920" s="8"/>
      <c r="F920" s="8"/>
      <c r="G920" s="8"/>
      <c r="H920" s="8"/>
      <c r="I920" s="8"/>
    </row>
    <row r="921">
      <c r="A921" s="8"/>
      <c r="B921" s="8"/>
      <c r="C921" s="8"/>
      <c r="D921" s="8"/>
      <c r="E921" s="8"/>
      <c r="F921" s="8"/>
      <c r="G921" s="8"/>
      <c r="H921" s="8"/>
      <c r="I921" s="8"/>
    </row>
    <row r="922">
      <c r="A922" s="8"/>
      <c r="B922" s="8"/>
      <c r="C922" s="8"/>
      <c r="D922" s="8"/>
      <c r="E922" s="8"/>
      <c r="F922" s="8"/>
      <c r="G922" s="8"/>
      <c r="H922" s="8"/>
      <c r="I922" s="8"/>
    </row>
    <row r="923">
      <c r="A923" s="8"/>
      <c r="B923" s="8"/>
      <c r="C923" s="8"/>
      <c r="D923" s="8"/>
      <c r="E923" s="8"/>
      <c r="F923" s="8"/>
      <c r="G923" s="8"/>
      <c r="H923" s="8"/>
      <c r="I923" s="8"/>
    </row>
    <row r="924">
      <c r="A924" s="8"/>
      <c r="B924" s="8"/>
      <c r="C924" s="8"/>
      <c r="D924" s="8"/>
      <c r="E924" s="8"/>
      <c r="F924" s="8"/>
      <c r="G924" s="8"/>
      <c r="H924" s="8"/>
      <c r="I924" s="8"/>
    </row>
    <row r="925">
      <c r="A925" s="8"/>
      <c r="B925" s="8"/>
      <c r="C925" s="8"/>
      <c r="D925" s="8"/>
      <c r="E925" s="8"/>
      <c r="F925" s="8"/>
      <c r="G925" s="8"/>
      <c r="H925" s="8"/>
      <c r="I925" s="8"/>
    </row>
    <row r="926">
      <c r="A926" s="8"/>
      <c r="B926" s="8"/>
      <c r="C926" s="8"/>
      <c r="D926" s="8"/>
      <c r="E926" s="8"/>
      <c r="F926" s="8"/>
      <c r="G926" s="8"/>
      <c r="H926" s="8"/>
      <c r="I926" s="8"/>
    </row>
    <row r="927">
      <c r="A927" s="8"/>
      <c r="B927" s="8"/>
      <c r="C927" s="8"/>
      <c r="D927" s="8"/>
      <c r="E927" s="8"/>
      <c r="F927" s="8"/>
      <c r="G927" s="8"/>
      <c r="H927" s="8"/>
      <c r="I927" s="8"/>
    </row>
    <row r="928">
      <c r="A928" s="8"/>
      <c r="B928" s="8"/>
      <c r="C928" s="8"/>
      <c r="D928" s="8"/>
      <c r="E928" s="8"/>
      <c r="F928" s="8"/>
      <c r="G928" s="8"/>
      <c r="H928" s="8"/>
      <c r="I928" s="8"/>
    </row>
    <row r="929">
      <c r="A929" s="8"/>
      <c r="B929" s="8"/>
      <c r="C929" s="8"/>
      <c r="D929" s="8"/>
      <c r="E929" s="8"/>
      <c r="F929" s="8"/>
      <c r="G929" s="8"/>
      <c r="H929" s="8"/>
      <c r="I929" s="8"/>
    </row>
    <row r="930">
      <c r="A930" s="8"/>
      <c r="B930" s="8"/>
      <c r="C930" s="8"/>
      <c r="D930" s="8"/>
      <c r="E930" s="8"/>
      <c r="F930" s="8"/>
      <c r="G930" s="8"/>
      <c r="H930" s="8"/>
      <c r="I930" s="8"/>
    </row>
    <row r="931">
      <c r="A931" s="8"/>
      <c r="B931" s="8"/>
      <c r="C931" s="8"/>
      <c r="D931" s="8"/>
      <c r="E931" s="8"/>
      <c r="F931" s="8"/>
      <c r="G931" s="8"/>
      <c r="H931" s="8"/>
      <c r="I931" s="8"/>
    </row>
    <row r="932">
      <c r="A932" s="8"/>
      <c r="B932" s="8"/>
      <c r="C932" s="8"/>
      <c r="D932" s="8"/>
      <c r="E932" s="8"/>
      <c r="F932" s="8"/>
      <c r="G932" s="8"/>
      <c r="H932" s="8"/>
      <c r="I932" s="8"/>
    </row>
    <row r="933">
      <c r="A933" s="8"/>
      <c r="B933" s="8"/>
      <c r="C933" s="8"/>
      <c r="D933" s="8"/>
      <c r="E933" s="8"/>
      <c r="F933" s="8"/>
      <c r="G933" s="8"/>
      <c r="H933" s="8"/>
      <c r="I933" s="8"/>
    </row>
    <row r="934">
      <c r="A934" s="8"/>
      <c r="B934" s="8"/>
      <c r="C934" s="8"/>
      <c r="D934" s="8"/>
      <c r="E934" s="8"/>
      <c r="F934" s="8"/>
      <c r="G934" s="8"/>
      <c r="H934" s="8"/>
      <c r="I934" s="8"/>
    </row>
    <row r="935">
      <c r="A935" s="8"/>
      <c r="B935" s="8"/>
      <c r="C935" s="8"/>
      <c r="D935" s="8"/>
      <c r="E935" s="8"/>
      <c r="F935" s="8"/>
      <c r="G935" s="8"/>
      <c r="H935" s="8"/>
      <c r="I935" s="8"/>
    </row>
    <row r="936">
      <c r="A936" s="8"/>
      <c r="B936" s="8"/>
      <c r="C936" s="8"/>
      <c r="D936" s="8"/>
      <c r="E936" s="8"/>
      <c r="F936" s="8"/>
      <c r="G936" s="8"/>
      <c r="H936" s="8"/>
      <c r="I936" s="8"/>
    </row>
    <row r="937">
      <c r="A937" s="8"/>
      <c r="B937" s="8"/>
      <c r="C937" s="8"/>
      <c r="D937" s="8"/>
      <c r="E937" s="8"/>
      <c r="F937" s="8"/>
      <c r="G937" s="8"/>
      <c r="H937" s="8"/>
      <c r="I937" s="8"/>
    </row>
    <row r="938">
      <c r="A938" s="8"/>
      <c r="B938" s="8"/>
      <c r="C938" s="8"/>
      <c r="D938" s="8"/>
      <c r="E938" s="8"/>
      <c r="F938" s="8"/>
      <c r="G938" s="8"/>
      <c r="H938" s="8"/>
      <c r="I938" s="8"/>
    </row>
    <row r="939">
      <c r="A939" s="8"/>
      <c r="B939" s="8"/>
      <c r="C939" s="8"/>
      <c r="D939" s="8"/>
      <c r="E939" s="8"/>
      <c r="F939" s="8"/>
      <c r="G939" s="8"/>
      <c r="H939" s="8"/>
      <c r="I939" s="8"/>
    </row>
    <row r="940">
      <c r="A940" s="8"/>
      <c r="B940" s="8"/>
      <c r="C940" s="8"/>
      <c r="D940" s="8"/>
      <c r="E940" s="8"/>
      <c r="F940" s="8"/>
      <c r="G940" s="8"/>
      <c r="H940" s="8"/>
      <c r="I940" s="8"/>
    </row>
    <row r="941">
      <c r="A941" s="8"/>
      <c r="B941" s="8"/>
      <c r="C941" s="8"/>
      <c r="D941" s="8"/>
      <c r="E941" s="8"/>
      <c r="F941" s="8"/>
      <c r="G941" s="8"/>
      <c r="H941" s="8"/>
      <c r="I941" s="8"/>
    </row>
    <row r="942">
      <c r="A942" s="8"/>
      <c r="B942" s="8"/>
      <c r="C942" s="8"/>
      <c r="D942" s="8"/>
      <c r="E942" s="8"/>
      <c r="F942" s="8"/>
      <c r="G942" s="8"/>
      <c r="H942" s="8"/>
      <c r="I942" s="8"/>
    </row>
    <row r="943">
      <c r="A943" s="8"/>
      <c r="B943" s="8"/>
      <c r="C943" s="8"/>
      <c r="D943" s="8"/>
      <c r="E943" s="8"/>
      <c r="F943" s="8"/>
      <c r="G943" s="8"/>
      <c r="H943" s="8"/>
      <c r="I943" s="8"/>
    </row>
    <row r="944">
      <c r="A944" s="8"/>
      <c r="B944" s="8"/>
      <c r="C944" s="8"/>
      <c r="D944" s="8"/>
      <c r="E944" s="8"/>
      <c r="F944" s="8"/>
      <c r="G944" s="8"/>
      <c r="H944" s="8"/>
      <c r="I944" s="8"/>
    </row>
    <row r="945">
      <c r="A945" s="8"/>
      <c r="B945" s="8"/>
      <c r="C945" s="8"/>
      <c r="D945" s="8"/>
      <c r="E945" s="8"/>
      <c r="F945" s="8"/>
      <c r="G945" s="8"/>
      <c r="H945" s="8"/>
      <c r="I945" s="8"/>
    </row>
    <row r="946">
      <c r="A946" s="8"/>
      <c r="B946" s="8"/>
      <c r="C946" s="8"/>
      <c r="D946" s="8"/>
      <c r="E946" s="8"/>
      <c r="F946" s="8"/>
      <c r="G946" s="8"/>
      <c r="H946" s="8"/>
      <c r="I946" s="8"/>
    </row>
    <row r="947">
      <c r="A947" s="8"/>
      <c r="B947" s="8"/>
      <c r="C947" s="8"/>
      <c r="D947" s="8"/>
      <c r="E947" s="8"/>
      <c r="F947" s="8"/>
      <c r="G947" s="8"/>
      <c r="H947" s="8"/>
      <c r="I947" s="8"/>
    </row>
    <row r="948">
      <c r="A948" s="8"/>
      <c r="B948" s="8"/>
      <c r="C948" s="8"/>
      <c r="D948" s="8"/>
      <c r="E948" s="8"/>
      <c r="F948" s="8"/>
      <c r="G948" s="8"/>
      <c r="H948" s="8"/>
      <c r="I948" s="8"/>
    </row>
    <row r="949">
      <c r="A949" s="8"/>
      <c r="B949" s="8"/>
      <c r="C949" s="8"/>
      <c r="D949" s="8"/>
      <c r="E949" s="8"/>
      <c r="F949" s="8"/>
      <c r="G949" s="8"/>
      <c r="H949" s="8"/>
      <c r="I949" s="8"/>
    </row>
    <row r="950">
      <c r="A950" s="8"/>
      <c r="B950" s="8"/>
      <c r="C950" s="8"/>
      <c r="D950" s="8"/>
      <c r="E950" s="8"/>
      <c r="F950" s="8"/>
      <c r="G950" s="8"/>
      <c r="H950" s="8"/>
      <c r="I950" s="8"/>
    </row>
    <row r="951">
      <c r="A951" s="8"/>
      <c r="B951" s="8"/>
      <c r="C951" s="8"/>
      <c r="D951" s="8"/>
      <c r="E951" s="8"/>
      <c r="F951" s="8"/>
      <c r="G951" s="8"/>
      <c r="H951" s="8"/>
      <c r="I951" s="8"/>
    </row>
    <row r="952">
      <c r="A952" s="8"/>
      <c r="B952" s="8"/>
      <c r="C952" s="8"/>
      <c r="D952" s="8"/>
      <c r="E952" s="8"/>
      <c r="F952" s="8"/>
      <c r="G952" s="8"/>
      <c r="H952" s="8"/>
      <c r="I952" s="8"/>
    </row>
    <row r="953">
      <c r="A953" s="8"/>
      <c r="B953" s="8"/>
      <c r="C953" s="8"/>
      <c r="D953" s="8"/>
      <c r="E953" s="8"/>
      <c r="F953" s="8"/>
      <c r="G953" s="8"/>
      <c r="H953" s="8"/>
      <c r="I953" s="8"/>
    </row>
    <row r="954">
      <c r="A954" s="8"/>
      <c r="B954" s="8"/>
      <c r="C954" s="8"/>
      <c r="D954" s="8"/>
      <c r="E954" s="8"/>
      <c r="F954" s="8"/>
      <c r="G954" s="8"/>
      <c r="H954" s="8"/>
      <c r="I954" s="8"/>
    </row>
    <row r="955">
      <c r="A955" s="8"/>
      <c r="B955" s="8"/>
      <c r="C955" s="8"/>
      <c r="D955" s="8"/>
      <c r="E955" s="8"/>
      <c r="F955" s="8"/>
      <c r="G955" s="8"/>
      <c r="H955" s="8"/>
      <c r="I955" s="8"/>
    </row>
    <row r="956">
      <c r="A956" s="8"/>
      <c r="B956" s="8"/>
      <c r="C956" s="8"/>
      <c r="D956" s="8"/>
      <c r="E956" s="8"/>
      <c r="F956" s="8"/>
      <c r="G956" s="8"/>
      <c r="H956" s="8"/>
      <c r="I956" s="8"/>
    </row>
    <row r="957">
      <c r="A957" s="8"/>
      <c r="B957" s="8"/>
      <c r="C957" s="8"/>
      <c r="D957" s="8"/>
      <c r="E957" s="8"/>
      <c r="F957" s="8"/>
      <c r="G957" s="8"/>
      <c r="H957" s="8"/>
      <c r="I957" s="8"/>
    </row>
    <row r="958">
      <c r="A958" s="8"/>
      <c r="B958" s="8"/>
      <c r="C958" s="8"/>
      <c r="D958" s="8"/>
      <c r="E958" s="8"/>
      <c r="F958" s="8"/>
      <c r="G958" s="8"/>
      <c r="H958" s="8"/>
      <c r="I958" s="8"/>
    </row>
    <row r="959">
      <c r="A959" s="8"/>
      <c r="B959" s="8"/>
      <c r="C959" s="8"/>
      <c r="D959" s="8"/>
      <c r="E959" s="8"/>
      <c r="F959" s="8"/>
      <c r="G959" s="8"/>
      <c r="H959" s="8"/>
      <c r="I959" s="8"/>
    </row>
    <row r="960">
      <c r="A960" s="8"/>
      <c r="B960" s="8"/>
      <c r="C960" s="8"/>
      <c r="D960" s="8"/>
      <c r="E960" s="8"/>
      <c r="F960" s="8"/>
      <c r="G960" s="8"/>
      <c r="H960" s="8"/>
      <c r="I960" s="8"/>
    </row>
    <row r="961">
      <c r="A961" s="8"/>
      <c r="B961" s="8"/>
      <c r="C961" s="8"/>
      <c r="D961" s="8"/>
      <c r="E961" s="8"/>
      <c r="F961" s="8"/>
      <c r="G961" s="8"/>
      <c r="H961" s="8"/>
      <c r="I961" s="8"/>
    </row>
    <row r="962">
      <c r="A962" s="8"/>
      <c r="B962" s="8"/>
      <c r="C962" s="8"/>
      <c r="D962" s="8"/>
      <c r="E962" s="8"/>
      <c r="F962" s="8"/>
      <c r="G962" s="8"/>
      <c r="H962" s="8"/>
      <c r="I962" s="8"/>
    </row>
    <row r="963">
      <c r="A963" s="8"/>
      <c r="B963" s="8"/>
      <c r="C963" s="8"/>
      <c r="D963" s="8"/>
      <c r="E963" s="8"/>
      <c r="F963" s="8"/>
      <c r="G963" s="8"/>
      <c r="H963" s="8"/>
      <c r="I963" s="8"/>
    </row>
    <row r="964">
      <c r="A964" s="8"/>
      <c r="B964" s="8"/>
      <c r="C964" s="8"/>
      <c r="D964" s="8"/>
      <c r="E964" s="8"/>
      <c r="F964" s="8"/>
      <c r="G964" s="8"/>
      <c r="H964" s="8"/>
      <c r="I964" s="8"/>
    </row>
    <row r="965">
      <c r="A965" s="8"/>
      <c r="B965" s="8"/>
      <c r="C965" s="8"/>
      <c r="D965" s="8"/>
      <c r="E965" s="8"/>
      <c r="F965" s="8"/>
      <c r="G965" s="8"/>
      <c r="H965" s="8"/>
      <c r="I965" s="8"/>
    </row>
    <row r="966">
      <c r="A966" s="8"/>
      <c r="B966" s="8"/>
      <c r="C966" s="8"/>
      <c r="D966" s="8"/>
      <c r="E966" s="8"/>
      <c r="F966" s="8"/>
      <c r="G966" s="8"/>
      <c r="H966" s="8"/>
      <c r="I966" s="8"/>
    </row>
    <row r="967">
      <c r="A967" s="8"/>
      <c r="B967" s="8"/>
      <c r="C967" s="8"/>
      <c r="D967" s="8"/>
      <c r="E967" s="8"/>
      <c r="F967" s="8"/>
      <c r="G967" s="8"/>
      <c r="H967" s="8"/>
      <c r="I967" s="8"/>
    </row>
    <row r="968">
      <c r="A968" s="8"/>
      <c r="B968" s="8"/>
      <c r="C968" s="8"/>
      <c r="D968" s="8"/>
      <c r="E968" s="8"/>
      <c r="F968" s="8"/>
      <c r="G968" s="8"/>
      <c r="H968" s="8"/>
      <c r="I968" s="8"/>
    </row>
    <row r="969">
      <c r="A969" s="8"/>
      <c r="B969" s="8"/>
      <c r="C969" s="8"/>
      <c r="D969" s="8"/>
      <c r="E969" s="8"/>
      <c r="F969" s="8"/>
      <c r="G969" s="8"/>
      <c r="H969" s="8"/>
      <c r="I969" s="8"/>
    </row>
    <row r="970">
      <c r="A970" s="8"/>
      <c r="B970" s="8"/>
      <c r="C970" s="8"/>
      <c r="D970" s="8"/>
      <c r="E970" s="8"/>
      <c r="F970" s="8"/>
      <c r="G970" s="8"/>
      <c r="H970" s="8"/>
      <c r="I970" s="8"/>
    </row>
    <row r="971">
      <c r="A971" s="8"/>
      <c r="B971" s="8"/>
      <c r="C971" s="8"/>
      <c r="D971" s="8"/>
      <c r="E971" s="8"/>
      <c r="F971" s="8"/>
      <c r="G971" s="8"/>
      <c r="H971" s="8"/>
      <c r="I971" s="8"/>
    </row>
    <row r="972">
      <c r="A972" s="8"/>
      <c r="B972" s="8"/>
      <c r="C972" s="8"/>
      <c r="D972" s="8"/>
      <c r="E972" s="8"/>
      <c r="F972" s="8"/>
      <c r="G972" s="8"/>
      <c r="H972" s="8"/>
      <c r="I972" s="8"/>
    </row>
    <row r="973">
      <c r="A973" s="8"/>
      <c r="B973" s="8"/>
      <c r="C973" s="8"/>
      <c r="D973" s="8"/>
      <c r="E973" s="8"/>
      <c r="F973" s="8"/>
      <c r="G973" s="8"/>
      <c r="H973" s="8"/>
      <c r="I973" s="8"/>
    </row>
    <row r="974">
      <c r="A974" s="8"/>
      <c r="B974" s="8"/>
      <c r="C974" s="8"/>
      <c r="D974" s="8"/>
      <c r="E974" s="8"/>
      <c r="F974" s="8"/>
      <c r="G974" s="8"/>
      <c r="H974" s="8"/>
      <c r="I974" s="8"/>
    </row>
    <row r="975">
      <c r="A975" s="8"/>
      <c r="B975" s="8"/>
      <c r="C975" s="8"/>
      <c r="D975" s="8"/>
      <c r="E975" s="8"/>
      <c r="F975" s="8"/>
      <c r="G975" s="8"/>
      <c r="H975" s="8"/>
      <c r="I975" s="8"/>
    </row>
    <row r="976">
      <c r="A976" s="8"/>
      <c r="B976" s="8"/>
      <c r="C976" s="8"/>
      <c r="D976" s="8"/>
      <c r="E976" s="8"/>
      <c r="F976" s="8"/>
      <c r="G976" s="8"/>
      <c r="H976" s="8"/>
      <c r="I976" s="8"/>
    </row>
    <row r="977">
      <c r="A977" s="8"/>
      <c r="B977" s="8"/>
      <c r="C977" s="8"/>
      <c r="D977" s="8"/>
      <c r="E977" s="8"/>
      <c r="F977" s="8"/>
      <c r="G977" s="8"/>
      <c r="H977" s="8"/>
      <c r="I977" s="8"/>
    </row>
    <row r="978">
      <c r="A978" s="8"/>
      <c r="B978" s="8"/>
      <c r="C978" s="8"/>
      <c r="D978" s="8"/>
      <c r="E978" s="8"/>
      <c r="F978" s="8"/>
      <c r="G978" s="8"/>
      <c r="H978" s="8"/>
      <c r="I978" s="8"/>
    </row>
    <row r="979">
      <c r="A979" s="8"/>
      <c r="B979" s="8"/>
      <c r="C979" s="8"/>
      <c r="D979" s="8"/>
      <c r="E979" s="8"/>
      <c r="F979" s="8"/>
      <c r="G979" s="8"/>
      <c r="H979" s="8"/>
      <c r="I979" s="8"/>
    </row>
    <row r="980">
      <c r="A980" s="8"/>
      <c r="B980" s="8"/>
      <c r="C980" s="8"/>
      <c r="D980" s="8"/>
      <c r="E980" s="8"/>
      <c r="F980" s="8"/>
      <c r="G980" s="8"/>
      <c r="H980" s="8"/>
      <c r="I980" s="8"/>
    </row>
    <row r="981">
      <c r="A981" s="8"/>
      <c r="B981" s="8"/>
      <c r="C981" s="8"/>
      <c r="D981" s="8"/>
      <c r="E981" s="8"/>
      <c r="F981" s="8"/>
      <c r="G981" s="8"/>
      <c r="H981" s="8"/>
      <c r="I981" s="8"/>
    </row>
    <row r="982">
      <c r="A982" s="8"/>
      <c r="B982" s="8"/>
      <c r="C982" s="8"/>
      <c r="D982" s="8"/>
      <c r="E982" s="8"/>
      <c r="F982" s="8"/>
      <c r="G982" s="8"/>
      <c r="H982" s="8"/>
      <c r="I982" s="8"/>
    </row>
    <row r="983">
      <c r="A983" s="8"/>
      <c r="B983" s="8"/>
      <c r="C983" s="8"/>
      <c r="D983" s="8"/>
      <c r="E983" s="8"/>
      <c r="F983" s="8"/>
      <c r="G983" s="8"/>
      <c r="H983" s="8"/>
      <c r="I983" s="8"/>
    </row>
    <row r="984">
      <c r="A984" s="8"/>
      <c r="B984" s="8"/>
      <c r="C984" s="8"/>
      <c r="D984" s="8"/>
      <c r="E984" s="8"/>
      <c r="F984" s="8"/>
      <c r="G984" s="8"/>
      <c r="H984" s="8"/>
      <c r="I984" s="8"/>
    </row>
    <row r="985">
      <c r="A985" s="8"/>
      <c r="B985" s="8"/>
      <c r="C985" s="8"/>
      <c r="D985" s="8"/>
      <c r="E985" s="8"/>
      <c r="F985" s="8"/>
      <c r="G985" s="8"/>
      <c r="H985" s="8"/>
      <c r="I985" s="8"/>
    </row>
    <row r="986">
      <c r="A986" s="8"/>
      <c r="B986" s="8"/>
      <c r="C986" s="8"/>
      <c r="D986" s="8"/>
      <c r="E986" s="8"/>
      <c r="F986" s="8"/>
      <c r="G986" s="8"/>
      <c r="H986" s="8"/>
      <c r="I986" s="8"/>
    </row>
    <row r="987">
      <c r="A987" s="8"/>
      <c r="B987" s="8"/>
      <c r="C987" s="8"/>
      <c r="D987" s="8"/>
      <c r="E987" s="8"/>
      <c r="F987" s="8"/>
      <c r="G987" s="8"/>
      <c r="H987" s="8"/>
      <c r="I987" s="8"/>
    </row>
    <row r="988">
      <c r="A988" s="8"/>
      <c r="B988" s="8"/>
      <c r="C988" s="8"/>
      <c r="D988" s="8"/>
      <c r="E988" s="8"/>
      <c r="F988" s="8"/>
      <c r="G988" s="8"/>
      <c r="H988" s="8"/>
      <c r="I988" s="8"/>
    </row>
    <row r="989">
      <c r="A989" s="8"/>
      <c r="B989" s="8"/>
      <c r="C989" s="8"/>
      <c r="D989" s="8"/>
      <c r="E989" s="8"/>
      <c r="F989" s="8"/>
      <c r="G989" s="8"/>
      <c r="H989" s="8"/>
      <c r="I989" s="8"/>
    </row>
    <row r="990">
      <c r="A990" s="8"/>
      <c r="B990" s="8"/>
      <c r="C990" s="8"/>
      <c r="D990" s="8"/>
      <c r="E990" s="8"/>
      <c r="F990" s="8"/>
      <c r="G990" s="8"/>
      <c r="H990" s="8"/>
      <c r="I990" s="8"/>
    </row>
    <row r="991">
      <c r="A991" s="8"/>
      <c r="B991" s="8"/>
      <c r="C991" s="8"/>
      <c r="D991" s="8"/>
      <c r="E991" s="8"/>
      <c r="F991" s="8"/>
      <c r="G991" s="8"/>
      <c r="H991" s="8"/>
      <c r="I991" s="8"/>
    </row>
    <row r="992">
      <c r="A992" s="8"/>
      <c r="B992" s="8"/>
      <c r="C992" s="8"/>
      <c r="D992" s="8"/>
      <c r="E992" s="8"/>
      <c r="F992" s="8"/>
      <c r="G992" s="8"/>
      <c r="H992" s="8"/>
      <c r="I992" s="8"/>
    </row>
    <row r="993">
      <c r="A993" s="8"/>
      <c r="B993" s="8"/>
      <c r="C993" s="8"/>
      <c r="D993" s="8"/>
      <c r="E993" s="8"/>
      <c r="F993" s="8"/>
      <c r="G993" s="8"/>
      <c r="H993" s="8"/>
      <c r="I993" s="8"/>
    </row>
    <row r="994">
      <c r="A994" s="8"/>
      <c r="B994" s="8"/>
      <c r="C994" s="8"/>
      <c r="D994" s="8"/>
      <c r="E994" s="8"/>
      <c r="F994" s="8"/>
      <c r="G994" s="8"/>
      <c r="H994" s="8"/>
      <c r="I994" s="8"/>
    </row>
    <row r="995">
      <c r="A995" s="8"/>
      <c r="B995" s="8"/>
      <c r="C995" s="8"/>
      <c r="D995" s="8"/>
      <c r="E995" s="8"/>
      <c r="F995" s="8"/>
      <c r="G995" s="8"/>
      <c r="H995" s="8"/>
      <c r="I995" s="8"/>
    </row>
    <row r="996">
      <c r="A996" s="8"/>
      <c r="B996" s="8"/>
      <c r="C996" s="8"/>
      <c r="D996" s="8"/>
      <c r="E996" s="8"/>
      <c r="F996" s="8"/>
      <c r="G996" s="8"/>
      <c r="H996" s="8"/>
      <c r="I996" s="8"/>
    </row>
    <row r="997">
      <c r="A997" s="8"/>
      <c r="B997" s="8"/>
      <c r="C997" s="8"/>
      <c r="D997" s="8"/>
      <c r="E997" s="8"/>
      <c r="F997" s="8"/>
      <c r="G997" s="8"/>
      <c r="H997" s="8"/>
      <c r="I997" s="8"/>
    </row>
    <row r="998">
      <c r="A998" s="8"/>
      <c r="B998" s="8"/>
      <c r="C998" s="8"/>
      <c r="D998" s="8"/>
      <c r="E998" s="8"/>
      <c r="F998" s="8"/>
      <c r="G998" s="8"/>
      <c r="H998" s="8"/>
      <c r="I998" s="8"/>
    </row>
    <row r="999">
      <c r="A999" s="8"/>
      <c r="B999" s="8"/>
      <c r="C999" s="8"/>
      <c r="D999" s="8"/>
      <c r="E999" s="8"/>
      <c r="F999" s="8"/>
      <c r="G999" s="8"/>
      <c r="H999" s="8"/>
      <c r="I999" s="8"/>
    </row>
    <row r="1000">
      <c r="A1000" s="8"/>
      <c r="B1000" s="8"/>
      <c r="C1000" s="8"/>
      <c r="D1000" s="8"/>
      <c r="E1000" s="8"/>
      <c r="F1000" s="8"/>
      <c r="G1000" s="8"/>
      <c r="H1000" s="8"/>
      <c r="I1000" s="8"/>
    </row>
  </sheetData>
  <autoFilter ref="$A$1:$U$728">
    <filterColumn colId="14">
      <filters>
        <filter val="Smartphone"/>
      </filters>
    </filterColumn>
  </autoFilter>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A27"/>
    <hyperlink r:id="rId27" ref="M27"/>
    <hyperlink r:id="rId28" ref="M28"/>
    <hyperlink r:id="rId29" ref="M29"/>
    <hyperlink r:id="rId30" ref="M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M47"/>
    <hyperlink r:id="rId48" ref="M48"/>
    <hyperlink r:id="rId49" ref="M49"/>
    <hyperlink r:id="rId50" ref="M50"/>
    <hyperlink r:id="rId51" ref="M51"/>
    <hyperlink r:id="rId52" ref="M52"/>
    <hyperlink r:id="rId53" ref="M53"/>
    <hyperlink r:id="rId54" ref="M54"/>
    <hyperlink r:id="rId55" ref="M55"/>
    <hyperlink r:id="rId56" ref="M56"/>
    <hyperlink r:id="rId57" ref="M57"/>
    <hyperlink r:id="rId58" ref="M58"/>
    <hyperlink r:id="rId59" ref="M59"/>
    <hyperlink r:id="rId60" ref="M60"/>
    <hyperlink r:id="rId61" ref="M61"/>
    <hyperlink r:id="rId62" ref="M62"/>
    <hyperlink r:id="rId63" ref="M63"/>
    <hyperlink r:id="rId64" ref="M64"/>
    <hyperlink r:id="rId65" ref="M65"/>
    <hyperlink r:id="rId66" ref="M66"/>
    <hyperlink r:id="rId67" ref="M67"/>
    <hyperlink r:id="rId68" ref="M68"/>
    <hyperlink r:id="rId69" ref="M69"/>
    <hyperlink r:id="rId70" ref="M70"/>
    <hyperlink r:id="rId71" ref="M71"/>
    <hyperlink r:id="rId72" ref="M72"/>
    <hyperlink r:id="rId73" ref="M73"/>
    <hyperlink r:id="rId74" ref="M74"/>
    <hyperlink r:id="rId75" ref="M75"/>
    <hyperlink r:id="rId76" ref="M76"/>
    <hyperlink r:id="rId77" ref="M77"/>
    <hyperlink r:id="rId78" ref="M78"/>
    <hyperlink r:id="rId79" ref="M79"/>
    <hyperlink r:id="rId80" ref="M80"/>
    <hyperlink r:id="rId81" ref="M81"/>
    <hyperlink r:id="rId82" ref="M82"/>
    <hyperlink r:id="rId83" ref="M83"/>
    <hyperlink r:id="rId84" ref="M84"/>
    <hyperlink r:id="rId85" ref="M85"/>
    <hyperlink r:id="rId86" ref="M86"/>
    <hyperlink r:id="rId87" ref="M87"/>
    <hyperlink r:id="rId88" ref="M88"/>
    <hyperlink r:id="rId89" ref="M89"/>
    <hyperlink r:id="rId90" ref="M90"/>
    <hyperlink r:id="rId91" ref="M91"/>
    <hyperlink r:id="rId92" ref="M92"/>
    <hyperlink r:id="rId93" ref="M93"/>
    <hyperlink r:id="rId94" ref="M94"/>
    <hyperlink r:id="rId95" ref="M95"/>
    <hyperlink r:id="rId96" ref="M96"/>
    <hyperlink r:id="rId97" ref="M97"/>
    <hyperlink r:id="rId98" ref="M98"/>
    <hyperlink r:id="rId99" ref="M99"/>
    <hyperlink r:id="rId100" ref="M100"/>
    <hyperlink r:id="rId101" ref="M101"/>
    <hyperlink r:id="rId102" ref="M102"/>
    <hyperlink r:id="rId103" ref="M103"/>
    <hyperlink r:id="rId104" ref="M104"/>
    <hyperlink r:id="rId105" ref="M105"/>
    <hyperlink r:id="rId106" ref="M106"/>
    <hyperlink r:id="rId107" ref="M107"/>
    <hyperlink r:id="rId108" ref="M108"/>
    <hyperlink r:id="rId109" ref="M109"/>
    <hyperlink r:id="rId110" ref="M110"/>
    <hyperlink r:id="rId111" ref="M111"/>
    <hyperlink r:id="rId112" ref="M112"/>
    <hyperlink r:id="rId113" ref="M113"/>
    <hyperlink r:id="rId114" ref="M114"/>
    <hyperlink r:id="rId115" ref="M115"/>
    <hyperlink r:id="rId116" ref="M116"/>
    <hyperlink r:id="rId117" ref="M117"/>
    <hyperlink r:id="rId118" ref="M118"/>
    <hyperlink r:id="rId119" ref="M119"/>
    <hyperlink r:id="rId120" ref="M120"/>
    <hyperlink r:id="rId121" ref="M121"/>
    <hyperlink r:id="rId122" ref="M122"/>
    <hyperlink r:id="rId123" ref="M123"/>
    <hyperlink r:id="rId124" ref="M124"/>
    <hyperlink r:id="rId125" ref="M125"/>
    <hyperlink r:id="rId126" ref="M126"/>
    <hyperlink r:id="rId127" ref="M127"/>
    <hyperlink r:id="rId128" ref="M128"/>
    <hyperlink r:id="rId129" ref="M129"/>
    <hyperlink r:id="rId130" ref="M130"/>
    <hyperlink r:id="rId131" ref="M131"/>
    <hyperlink r:id="rId132" ref="M132"/>
    <hyperlink r:id="rId133" ref="M133"/>
    <hyperlink r:id="rId134" ref="M134"/>
    <hyperlink r:id="rId135" ref="M135"/>
    <hyperlink r:id="rId136" ref="M136"/>
    <hyperlink r:id="rId137" ref="M137"/>
    <hyperlink r:id="rId138" ref="M138"/>
    <hyperlink r:id="rId139" ref="M139"/>
    <hyperlink r:id="rId140" ref="M140"/>
    <hyperlink r:id="rId141" ref="M141"/>
    <hyperlink r:id="rId142" ref="M142"/>
    <hyperlink r:id="rId143" ref="M143"/>
    <hyperlink r:id="rId144" ref="M144"/>
    <hyperlink r:id="rId145" ref="M145"/>
    <hyperlink r:id="rId146" ref="M146"/>
    <hyperlink r:id="rId147" ref="M147"/>
    <hyperlink r:id="rId148" ref="M148"/>
    <hyperlink r:id="rId149" ref="M149"/>
    <hyperlink r:id="rId150" ref="M150"/>
    <hyperlink r:id="rId151" ref="M151"/>
    <hyperlink r:id="rId152" ref="M152"/>
    <hyperlink r:id="rId153" ref="M153"/>
    <hyperlink r:id="rId154" ref="M154"/>
    <hyperlink r:id="rId155" ref="M155"/>
    <hyperlink r:id="rId156" ref="M156"/>
    <hyperlink r:id="rId157" ref="M157"/>
    <hyperlink r:id="rId158" ref="M158"/>
    <hyperlink r:id="rId159" ref="M159"/>
    <hyperlink r:id="rId160" ref="M160"/>
    <hyperlink r:id="rId161" ref="M161"/>
    <hyperlink r:id="rId162" ref="M162"/>
    <hyperlink r:id="rId163" ref="M163"/>
    <hyperlink r:id="rId164" ref="M164"/>
    <hyperlink r:id="rId165" ref="M165"/>
    <hyperlink r:id="rId166" ref="M166"/>
    <hyperlink r:id="rId167" ref="M167"/>
    <hyperlink r:id="rId168" ref="M168"/>
    <hyperlink r:id="rId169" ref="M169"/>
    <hyperlink r:id="rId170" ref="M170"/>
    <hyperlink r:id="rId171" ref="M171"/>
    <hyperlink r:id="rId172" ref="M172"/>
    <hyperlink r:id="rId173" ref="M173"/>
    <hyperlink r:id="rId174" ref="M174"/>
    <hyperlink r:id="rId175" ref="M175"/>
    <hyperlink r:id="rId176" ref="M176"/>
    <hyperlink r:id="rId177" ref="M177"/>
    <hyperlink r:id="rId178" ref="M178"/>
    <hyperlink r:id="rId179" ref="M179"/>
    <hyperlink r:id="rId180" ref="M180"/>
    <hyperlink r:id="rId181" ref="M181"/>
    <hyperlink r:id="rId182" ref="M182"/>
    <hyperlink r:id="rId183" ref="M183"/>
    <hyperlink r:id="rId184" ref="M184"/>
    <hyperlink r:id="rId185" ref="M185"/>
    <hyperlink r:id="rId186" ref="M186"/>
    <hyperlink r:id="rId187" ref="M187"/>
    <hyperlink r:id="rId188" ref="M188"/>
    <hyperlink r:id="rId189" ref="M189"/>
    <hyperlink r:id="rId190" ref="M190"/>
    <hyperlink r:id="rId191" ref="M191"/>
    <hyperlink r:id="rId192" ref="M192"/>
    <hyperlink r:id="rId193" ref="M193"/>
    <hyperlink r:id="rId194" ref="M194"/>
    <hyperlink r:id="rId195" ref="M195"/>
    <hyperlink r:id="rId196" ref="M196"/>
    <hyperlink r:id="rId197" ref="M197"/>
    <hyperlink r:id="rId198" ref="M198"/>
    <hyperlink r:id="rId199" ref="M199"/>
    <hyperlink r:id="rId200" ref="M200"/>
    <hyperlink r:id="rId201" ref="M201"/>
    <hyperlink r:id="rId202" ref="M202"/>
    <hyperlink r:id="rId203" ref="M203"/>
    <hyperlink r:id="rId204" ref="M204"/>
    <hyperlink r:id="rId205" ref="M205"/>
    <hyperlink r:id="rId206" ref="M206"/>
    <hyperlink r:id="rId207" ref="M207"/>
    <hyperlink r:id="rId208" ref="M208"/>
    <hyperlink r:id="rId209" ref="M209"/>
    <hyperlink r:id="rId210" ref="M210"/>
    <hyperlink r:id="rId211" ref="M211"/>
    <hyperlink r:id="rId212" ref="M212"/>
    <hyperlink r:id="rId213" ref="M213"/>
    <hyperlink r:id="rId214" ref="M214"/>
    <hyperlink r:id="rId215" ref="M215"/>
    <hyperlink r:id="rId216" ref="M216"/>
    <hyperlink r:id="rId217" ref="M217"/>
    <hyperlink r:id="rId218" ref="M218"/>
    <hyperlink r:id="rId219" ref="M219"/>
    <hyperlink r:id="rId220" ref="M220"/>
    <hyperlink r:id="rId221" ref="M221"/>
    <hyperlink r:id="rId222" ref="M222"/>
    <hyperlink r:id="rId223" ref="M223"/>
    <hyperlink r:id="rId224" ref="M224"/>
    <hyperlink r:id="rId225" ref="M225"/>
    <hyperlink r:id="rId226" ref="M226"/>
    <hyperlink r:id="rId227" ref="M227"/>
    <hyperlink r:id="rId228" ref="M228"/>
    <hyperlink r:id="rId229" ref="M229"/>
    <hyperlink r:id="rId230" ref="M230"/>
    <hyperlink r:id="rId231" ref="M231"/>
    <hyperlink r:id="rId232" ref="M232"/>
    <hyperlink r:id="rId233" ref="M233"/>
    <hyperlink r:id="rId234" ref="M234"/>
    <hyperlink r:id="rId235" ref="M235"/>
    <hyperlink r:id="rId236" ref="M236"/>
    <hyperlink r:id="rId237" ref="M237"/>
    <hyperlink r:id="rId238" ref="M238"/>
    <hyperlink r:id="rId239" ref="M239"/>
    <hyperlink r:id="rId240" ref="M240"/>
    <hyperlink r:id="rId241" ref="M241"/>
    <hyperlink r:id="rId242" ref="M242"/>
    <hyperlink r:id="rId243" ref="M243"/>
    <hyperlink r:id="rId244" ref="M244"/>
    <hyperlink r:id="rId245" ref="M245"/>
    <hyperlink r:id="rId246" ref="M246"/>
    <hyperlink r:id="rId247" ref="M247"/>
    <hyperlink r:id="rId248" ref="M248"/>
    <hyperlink r:id="rId249" ref="M249"/>
    <hyperlink r:id="rId250" ref="M250"/>
    <hyperlink r:id="rId251" ref="M251"/>
    <hyperlink r:id="rId252" ref="M252"/>
    <hyperlink r:id="rId253" ref="M253"/>
    <hyperlink r:id="rId254" ref="M254"/>
    <hyperlink r:id="rId255" ref="M255"/>
    <hyperlink r:id="rId256" ref="M256"/>
    <hyperlink r:id="rId257" ref="M257"/>
    <hyperlink r:id="rId258" ref="M258"/>
    <hyperlink r:id="rId259" ref="M259"/>
    <hyperlink r:id="rId260" ref="M260"/>
    <hyperlink r:id="rId261" ref="M261"/>
    <hyperlink r:id="rId262" ref="M262"/>
    <hyperlink r:id="rId263" ref="M263"/>
    <hyperlink r:id="rId264" ref="M264"/>
    <hyperlink r:id="rId265" ref="M265"/>
    <hyperlink r:id="rId266" ref="M266"/>
    <hyperlink r:id="rId267" ref="M267"/>
    <hyperlink r:id="rId268" ref="M268"/>
    <hyperlink r:id="rId269" ref="M269"/>
    <hyperlink r:id="rId270" ref="M270"/>
    <hyperlink r:id="rId271" ref="M271"/>
    <hyperlink r:id="rId272" ref="M272"/>
    <hyperlink r:id="rId273" ref="M273"/>
    <hyperlink r:id="rId274" ref="M274"/>
    <hyperlink r:id="rId275" ref="M275"/>
    <hyperlink r:id="rId276" ref="M276"/>
    <hyperlink r:id="rId277" ref="M277"/>
    <hyperlink r:id="rId278" ref="M278"/>
    <hyperlink r:id="rId279" ref="M279"/>
    <hyperlink r:id="rId280" ref="M280"/>
    <hyperlink r:id="rId281" ref="M281"/>
    <hyperlink r:id="rId282" ref="M282"/>
    <hyperlink r:id="rId283" ref="M283"/>
    <hyperlink r:id="rId284" ref="M284"/>
    <hyperlink r:id="rId285" ref="M285"/>
    <hyperlink r:id="rId286" ref="M286"/>
    <hyperlink r:id="rId287" ref="M287"/>
    <hyperlink r:id="rId288" ref="M288"/>
    <hyperlink r:id="rId289" ref="M289"/>
    <hyperlink r:id="rId290" ref="M290"/>
    <hyperlink r:id="rId291" ref="M291"/>
    <hyperlink r:id="rId292" ref="M292"/>
    <hyperlink r:id="rId293" ref="M293"/>
    <hyperlink r:id="rId294" ref="M294"/>
    <hyperlink r:id="rId295" ref="M295"/>
    <hyperlink r:id="rId296" ref="M296"/>
    <hyperlink r:id="rId297" ref="M297"/>
    <hyperlink r:id="rId298" ref="M298"/>
    <hyperlink r:id="rId299" ref="M299"/>
    <hyperlink r:id="rId300" ref="M300"/>
    <hyperlink r:id="rId301" ref="M301"/>
    <hyperlink r:id="rId302" ref="M302"/>
    <hyperlink r:id="rId303" ref="M303"/>
    <hyperlink r:id="rId304" ref="M304"/>
    <hyperlink r:id="rId305" ref="M305"/>
    <hyperlink r:id="rId306" ref="M306"/>
    <hyperlink r:id="rId307" ref="M307"/>
    <hyperlink r:id="rId308" ref="M308"/>
    <hyperlink r:id="rId309" ref="M309"/>
    <hyperlink r:id="rId310" ref="M310"/>
    <hyperlink r:id="rId311" ref="M311"/>
    <hyperlink r:id="rId312" ref="M312"/>
    <hyperlink r:id="rId313" ref="M313"/>
    <hyperlink r:id="rId314" ref="M314"/>
    <hyperlink r:id="rId315" ref="M315"/>
    <hyperlink r:id="rId316" ref="M316"/>
    <hyperlink r:id="rId317" ref="M317"/>
    <hyperlink r:id="rId318" ref="M318"/>
    <hyperlink r:id="rId319" ref="M319"/>
    <hyperlink r:id="rId320" ref="M320"/>
    <hyperlink r:id="rId321" ref="M321"/>
    <hyperlink r:id="rId322" ref="M322"/>
    <hyperlink r:id="rId323" ref="M323"/>
    <hyperlink r:id="rId324" ref="M324"/>
    <hyperlink r:id="rId325" ref="M325"/>
    <hyperlink r:id="rId326" ref="M326"/>
    <hyperlink r:id="rId327" ref="M327"/>
    <hyperlink r:id="rId328" ref="M328"/>
    <hyperlink r:id="rId329" ref="M329"/>
    <hyperlink r:id="rId330" ref="M330"/>
    <hyperlink r:id="rId331" ref="M331"/>
    <hyperlink r:id="rId332" ref="M332"/>
    <hyperlink r:id="rId333" ref="M333"/>
    <hyperlink r:id="rId334" ref="M334"/>
    <hyperlink r:id="rId335" ref="M335"/>
    <hyperlink r:id="rId336" ref="M336"/>
    <hyperlink r:id="rId337" ref="M337"/>
    <hyperlink r:id="rId338" ref="M338"/>
    <hyperlink r:id="rId339" ref="M339"/>
    <hyperlink r:id="rId340" ref="M340"/>
    <hyperlink r:id="rId341" ref="M341"/>
    <hyperlink r:id="rId342" ref="M342"/>
    <hyperlink r:id="rId343" ref="M343"/>
    <hyperlink r:id="rId344" ref="M344"/>
    <hyperlink r:id="rId345" ref="M345"/>
    <hyperlink r:id="rId346" ref="M346"/>
    <hyperlink r:id="rId347" ref="M347"/>
    <hyperlink r:id="rId348" ref="M348"/>
    <hyperlink r:id="rId349" ref="M349"/>
    <hyperlink r:id="rId350" ref="M350"/>
    <hyperlink r:id="rId351" ref="M351"/>
    <hyperlink r:id="rId352" ref="M352"/>
    <hyperlink r:id="rId353" ref="M353"/>
    <hyperlink r:id="rId354" ref="M354"/>
    <hyperlink r:id="rId355" ref="M355"/>
    <hyperlink r:id="rId356" ref="M356"/>
    <hyperlink r:id="rId357" ref="M357"/>
    <hyperlink r:id="rId358" ref="M358"/>
    <hyperlink r:id="rId359" ref="M359"/>
    <hyperlink r:id="rId360" ref="M360"/>
    <hyperlink r:id="rId361" ref="M361"/>
    <hyperlink r:id="rId362" ref="M362"/>
    <hyperlink r:id="rId363" ref="M363"/>
    <hyperlink r:id="rId364" ref="M364"/>
    <hyperlink r:id="rId365" ref="M365"/>
    <hyperlink r:id="rId366" ref="M366"/>
    <hyperlink r:id="rId367" ref="M367"/>
    <hyperlink r:id="rId368" ref="M368"/>
    <hyperlink r:id="rId369" ref="M369"/>
    <hyperlink r:id="rId370" ref="M370"/>
    <hyperlink r:id="rId371" ref="M371"/>
    <hyperlink r:id="rId372" ref="M372"/>
    <hyperlink r:id="rId373" ref="M373"/>
    <hyperlink r:id="rId374" ref="M374"/>
    <hyperlink r:id="rId375" ref="M375"/>
    <hyperlink r:id="rId376" ref="M376"/>
    <hyperlink r:id="rId377" ref="M377"/>
    <hyperlink r:id="rId378" ref="M378"/>
    <hyperlink r:id="rId379" ref="M379"/>
    <hyperlink r:id="rId380" ref="M380"/>
    <hyperlink r:id="rId381" ref="M381"/>
    <hyperlink r:id="rId382" ref="M382"/>
    <hyperlink r:id="rId383" ref="M383"/>
    <hyperlink r:id="rId384" ref="M384"/>
    <hyperlink r:id="rId385" ref="M385"/>
    <hyperlink r:id="rId386" ref="M386"/>
    <hyperlink r:id="rId387" ref="M387"/>
    <hyperlink r:id="rId388" ref="M388"/>
    <hyperlink r:id="rId389" ref="M389"/>
    <hyperlink r:id="rId390" ref="M390"/>
    <hyperlink r:id="rId391" ref="M391"/>
    <hyperlink r:id="rId392" ref="M392"/>
    <hyperlink r:id="rId393" ref="M393"/>
    <hyperlink r:id="rId394" ref="M394"/>
    <hyperlink r:id="rId395" ref="M395"/>
    <hyperlink r:id="rId396" ref="M396"/>
    <hyperlink r:id="rId397" ref="M397"/>
    <hyperlink r:id="rId398" ref="M398"/>
    <hyperlink r:id="rId399" ref="M399"/>
    <hyperlink r:id="rId400" ref="M400"/>
    <hyperlink r:id="rId401" ref="M401"/>
    <hyperlink r:id="rId402" ref="M402"/>
    <hyperlink r:id="rId403" ref="M403"/>
    <hyperlink r:id="rId404" ref="M404"/>
    <hyperlink r:id="rId405" ref="M405"/>
    <hyperlink r:id="rId406" ref="M406"/>
    <hyperlink r:id="rId407" ref="M407"/>
    <hyperlink r:id="rId408" ref="M408"/>
    <hyperlink r:id="rId409" ref="M409"/>
    <hyperlink r:id="rId410" ref="M410"/>
    <hyperlink r:id="rId411" ref="M411"/>
    <hyperlink r:id="rId412" ref="M412"/>
    <hyperlink r:id="rId413" ref="M413"/>
    <hyperlink r:id="rId414" ref="M414"/>
    <hyperlink r:id="rId415" ref="M415"/>
    <hyperlink r:id="rId416" ref="M416"/>
    <hyperlink r:id="rId417" ref="M417"/>
    <hyperlink r:id="rId418" ref="M418"/>
    <hyperlink r:id="rId419" ref="M419"/>
    <hyperlink r:id="rId420" ref="M420"/>
    <hyperlink r:id="rId421" ref="M421"/>
    <hyperlink r:id="rId422" ref="M422"/>
    <hyperlink r:id="rId423" ref="M423"/>
    <hyperlink r:id="rId424" ref="M424"/>
    <hyperlink r:id="rId425" ref="M425"/>
    <hyperlink r:id="rId426" ref="M426"/>
    <hyperlink r:id="rId427" ref="M427"/>
    <hyperlink r:id="rId428" ref="M428"/>
    <hyperlink r:id="rId429" ref="M429"/>
    <hyperlink r:id="rId430" ref="M430"/>
    <hyperlink r:id="rId431" ref="M431"/>
    <hyperlink r:id="rId432" ref="M432"/>
    <hyperlink r:id="rId433" ref="M433"/>
    <hyperlink r:id="rId434" ref="M434"/>
    <hyperlink r:id="rId435" ref="M435"/>
    <hyperlink r:id="rId436" ref="M436"/>
    <hyperlink r:id="rId437" ref="M437"/>
    <hyperlink r:id="rId438" ref="M438"/>
    <hyperlink r:id="rId439" ref="M439"/>
    <hyperlink r:id="rId440" ref="M440"/>
    <hyperlink r:id="rId441" ref="M441"/>
    <hyperlink r:id="rId442" ref="M442"/>
    <hyperlink r:id="rId443" ref="M443"/>
    <hyperlink r:id="rId444" ref="M444"/>
    <hyperlink r:id="rId445" ref="M445"/>
    <hyperlink r:id="rId446" ref="M446"/>
    <hyperlink r:id="rId447" ref="M447"/>
    <hyperlink r:id="rId448" ref="M448"/>
    <hyperlink r:id="rId449" ref="M449"/>
    <hyperlink r:id="rId450" ref="M450"/>
    <hyperlink r:id="rId451" ref="M451"/>
    <hyperlink r:id="rId452" ref="M452"/>
    <hyperlink r:id="rId453" ref="M453"/>
    <hyperlink r:id="rId454" ref="M454"/>
    <hyperlink r:id="rId455" ref="M455"/>
    <hyperlink r:id="rId456" ref="M456"/>
    <hyperlink r:id="rId457" ref="M457"/>
    <hyperlink r:id="rId458" ref="M458"/>
    <hyperlink r:id="rId459" ref="M459"/>
    <hyperlink r:id="rId460" ref="M460"/>
    <hyperlink r:id="rId461" ref="M461"/>
    <hyperlink r:id="rId462" ref="M462"/>
    <hyperlink r:id="rId463" ref="M463"/>
    <hyperlink r:id="rId464" ref="M464"/>
    <hyperlink r:id="rId465" ref="M465"/>
    <hyperlink r:id="rId466" ref="M466"/>
    <hyperlink r:id="rId467" ref="M467"/>
    <hyperlink r:id="rId468" ref="M468"/>
    <hyperlink r:id="rId469" ref="M469"/>
    <hyperlink r:id="rId470" ref="M470"/>
    <hyperlink r:id="rId471" ref="M471"/>
    <hyperlink r:id="rId472" ref="M472"/>
    <hyperlink r:id="rId473" ref="M473"/>
    <hyperlink r:id="rId474" ref="M474"/>
    <hyperlink r:id="rId475" ref="M475"/>
    <hyperlink r:id="rId476" ref="M476"/>
    <hyperlink r:id="rId477" ref="M477"/>
    <hyperlink r:id="rId478" ref="M478"/>
    <hyperlink r:id="rId479" ref="M479"/>
    <hyperlink r:id="rId480" ref="M480"/>
    <hyperlink r:id="rId481" ref="M481"/>
    <hyperlink r:id="rId482" ref="M482"/>
    <hyperlink r:id="rId483" ref="M483"/>
    <hyperlink r:id="rId484" ref="M484"/>
    <hyperlink r:id="rId485" ref="M485"/>
    <hyperlink r:id="rId486" ref="M486"/>
    <hyperlink r:id="rId487" ref="M487"/>
    <hyperlink r:id="rId488" ref="M488"/>
    <hyperlink r:id="rId489" ref="M489"/>
    <hyperlink r:id="rId490" ref="M490"/>
    <hyperlink r:id="rId491" ref="M491"/>
    <hyperlink r:id="rId492" ref="M492"/>
    <hyperlink r:id="rId493" ref="M493"/>
    <hyperlink r:id="rId494" ref="M494"/>
    <hyperlink r:id="rId495" ref="M495"/>
    <hyperlink r:id="rId496" ref="M496"/>
    <hyperlink r:id="rId497" ref="M497"/>
    <hyperlink r:id="rId498" ref="M498"/>
    <hyperlink r:id="rId499" ref="M499"/>
    <hyperlink r:id="rId500" ref="M500"/>
    <hyperlink r:id="rId501" ref="M501"/>
    <hyperlink r:id="rId502" ref="M502"/>
    <hyperlink r:id="rId503" ref="M503"/>
    <hyperlink r:id="rId504" ref="M504"/>
    <hyperlink r:id="rId505" ref="M505"/>
    <hyperlink r:id="rId506" ref="M506"/>
    <hyperlink r:id="rId507" ref="M507"/>
    <hyperlink r:id="rId508" ref="M508"/>
    <hyperlink r:id="rId509" ref="M509"/>
    <hyperlink r:id="rId510" ref="M510"/>
    <hyperlink r:id="rId511" ref="M511"/>
    <hyperlink r:id="rId512" ref="M512"/>
    <hyperlink r:id="rId513" ref="M513"/>
    <hyperlink r:id="rId514" ref="M514"/>
    <hyperlink r:id="rId515" ref="M515"/>
    <hyperlink r:id="rId516" ref="M516"/>
    <hyperlink r:id="rId517" ref="M517"/>
    <hyperlink r:id="rId518" ref="M518"/>
    <hyperlink r:id="rId519" ref="M519"/>
    <hyperlink r:id="rId520" ref="M520"/>
    <hyperlink r:id="rId521" ref="M521"/>
    <hyperlink r:id="rId522" ref="M522"/>
    <hyperlink r:id="rId523" ref="M523"/>
    <hyperlink r:id="rId524" ref="M524"/>
    <hyperlink r:id="rId525" ref="M525"/>
    <hyperlink r:id="rId526" ref="M526"/>
    <hyperlink r:id="rId527" ref="M527"/>
    <hyperlink r:id="rId528" ref="M528"/>
    <hyperlink r:id="rId529" ref="M529"/>
    <hyperlink r:id="rId530" ref="M530"/>
    <hyperlink r:id="rId531" ref="M531"/>
    <hyperlink r:id="rId532" ref="M532"/>
    <hyperlink r:id="rId533" ref="M533"/>
    <hyperlink r:id="rId534" ref="M534"/>
    <hyperlink r:id="rId535" ref="M535"/>
    <hyperlink r:id="rId536" ref="M536"/>
    <hyperlink r:id="rId537" ref="M537"/>
    <hyperlink r:id="rId538" ref="M538"/>
    <hyperlink r:id="rId539" ref="M539"/>
    <hyperlink r:id="rId540" ref="M540"/>
    <hyperlink r:id="rId541" ref="M541"/>
    <hyperlink r:id="rId542" ref="M542"/>
    <hyperlink r:id="rId543" ref="M543"/>
    <hyperlink r:id="rId544" ref="M544"/>
    <hyperlink r:id="rId545" ref="M545"/>
    <hyperlink r:id="rId546" ref="M546"/>
    <hyperlink r:id="rId547" ref="M547"/>
    <hyperlink r:id="rId548" ref="M548"/>
    <hyperlink r:id="rId549" ref="M549"/>
    <hyperlink r:id="rId550" ref="M550"/>
    <hyperlink r:id="rId551" ref="M551"/>
    <hyperlink r:id="rId552" ref="M552"/>
    <hyperlink r:id="rId553" ref="M553"/>
    <hyperlink r:id="rId554" ref="M554"/>
    <hyperlink r:id="rId555" ref="M555"/>
    <hyperlink r:id="rId556" ref="M556"/>
    <hyperlink r:id="rId557" ref="M557"/>
    <hyperlink r:id="rId558" ref="M558"/>
    <hyperlink r:id="rId559" ref="M559"/>
    <hyperlink r:id="rId560" ref="M560"/>
    <hyperlink r:id="rId561" ref="M561"/>
    <hyperlink r:id="rId562" ref="M562"/>
    <hyperlink r:id="rId563" ref="M563"/>
    <hyperlink r:id="rId564" ref="M564"/>
    <hyperlink r:id="rId565" ref="M565"/>
    <hyperlink r:id="rId566" ref="M566"/>
    <hyperlink r:id="rId567" ref="M567"/>
    <hyperlink r:id="rId568" ref="M568"/>
    <hyperlink r:id="rId569" ref="M569"/>
    <hyperlink r:id="rId570" ref="M570"/>
    <hyperlink r:id="rId571" ref="M571"/>
    <hyperlink r:id="rId572" ref="M572"/>
    <hyperlink r:id="rId573" ref="M573"/>
    <hyperlink r:id="rId574" ref="M574"/>
    <hyperlink r:id="rId575" ref="M575"/>
    <hyperlink r:id="rId576" ref="M576"/>
    <hyperlink r:id="rId577" ref="M577"/>
    <hyperlink r:id="rId578" ref="M578"/>
    <hyperlink r:id="rId579" ref="M579"/>
    <hyperlink r:id="rId580" ref="M580"/>
    <hyperlink r:id="rId581" ref="M581"/>
    <hyperlink r:id="rId582" ref="M582"/>
    <hyperlink r:id="rId583" ref="M583"/>
    <hyperlink r:id="rId584" ref="M584"/>
    <hyperlink r:id="rId585" ref="M585"/>
    <hyperlink r:id="rId586" ref="M586"/>
    <hyperlink r:id="rId587" ref="M587"/>
    <hyperlink r:id="rId588" ref="M588"/>
    <hyperlink r:id="rId589" ref="M589"/>
    <hyperlink r:id="rId590" ref="M590"/>
    <hyperlink r:id="rId591" ref="M591"/>
    <hyperlink r:id="rId592" ref="M592"/>
    <hyperlink r:id="rId593" ref="M593"/>
    <hyperlink r:id="rId594" ref="M594"/>
    <hyperlink r:id="rId595" ref="M595"/>
    <hyperlink r:id="rId596" ref="M596"/>
    <hyperlink r:id="rId597" ref="M597"/>
    <hyperlink r:id="rId598" ref="M598"/>
    <hyperlink r:id="rId599" ref="M599"/>
    <hyperlink r:id="rId600" ref="M600"/>
    <hyperlink r:id="rId601" ref="M601"/>
    <hyperlink r:id="rId602" ref="M602"/>
    <hyperlink r:id="rId603" ref="M603"/>
    <hyperlink r:id="rId604" ref="M604"/>
    <hyperlink r:id="rId605" ref="M605"/>
    <hyperlink r:id="rId606" ref="M606"/>
    <hyperlink r:id="rId607" ref="M607"/>
    <hyperlink r:id="rId608" ref="M608"/>
    <hyperlink r:id="rId609" ref="M609"/>
    <hyperlink r:id="rId610" ref="M610"/>
    <hyperlink r:id="rId611" ref="M611"/>
    <hyperlink r:id="rId612" ref="M612"/>
    <hyperlink r:id="rId613" ref="M613"/>
    <hyperlink r:id="rId614" ref="M614"/>
    <hyperlink r:id="rId615" ref="M615"/>
    <hyperlink r:id="rId616" ref="M616"/>
    <hyperlink r:id="rId617" ref="M617"/>
    <hyperlink r:id="rId618" ref="M618"/>
    <hyperlink r:id="rId619" ref="M619"/>
    <hyperlink r:id="rId620" ref="M620"/>
    <hyperlink r:id="rId621" ref="M621"/>
    <hyperlink r:id="rId622" ref="M622"/>
    <hyperlink r:id="rId623" ref="M623"/>
    <hyperlink r:id="rId624" ref="M624"/>
    <hyperlink r:id="rId625" ref="M625"/>
    <hyperlink r:id="rId626" ref="M626"/>
    <hyperlink r:id="rId627" ref="M627"/>
    <hyperlink r:id="rId628" ref="M628"/>
    <hyperlink r:id="rId629" ref="M629"/>
    <hyperlink r:id="rId630" ref="M630"/>
    <hyperlink r:id="rId631" ref="M631"/>
    <hyperlink r:id="rId632" ref="M632"/>
    <hyperlink r:id="rId633" ref="M633"/>
    <hyperlink r:id="rId634" ref="M634"/>
    <hyperlink r:id="rId635" ref="M635"/>
    <hyperlink r:id="rId636" ref="M636"/>
    <hyperlink r:id="rId637" ref="M637"/>
    <hyperlink r:id="rId638" ref="M638"/>
    <hyperlink r:id="rId639" ref="M639"/>
    <hyperlink r:id="rId640" ref="M640"/>
    <hyperlink r:id="rId641" ref="M641"/>
    <hyperlink r:id="rId642" ref="M642"/>
    <hyperlink r:id="rId643" ref="M643"/>
    <hyperlink r:id="rId644" ref="M644"/>
    <hyperlink r:id="rId645" ref="M645"/>
    <hyperlink r:id="rId646" ref="M646"/>
    <hyperlink r:id="rId647" ref="M647"/>
    <hyperlink r:id="rId648" ref="M648"/>
    <hyperlink r:id="rId649" ref="M649"/>
    <hyperlink r:id="rId650" ref="M650"/>
    <hyperlink r:id="rId651" ref="M651"/>
    <hyperlink r:id="rId652" ref="M652"/>
    <hyperlink r:id="rId653" ref="M653"/>
    <hyperlink r:id="rId654" ref="M654"/>
    <hyperlink r:id="rId655" ref="M655"/>
    <hyperlink r:id="rId656" ref="M656"/>
    <hyperlink r:id="rId657" ref="M657"/>
    <hyperlink r:id="rId658" ref="M658"/>
    <hyperlink r:id="rId659" ref="M659"/>
    <hyperlink r:id="rId660" ref="M660"/>
    <hyperlink r:id="rId661" ref="M661"/>
    <hyperlink r:id="rId662" ref="M662"/>
    <hyperlink r:id="rId663" ref="M663"/>
    <hyperlink r:id="rId664" ref="M664"/>
    <hyperlink r:id="rId665" ref="M665"/>
    <hyperlink r:id="rId666" ref="M666"/>
    <hyperlink r:id="rId667" ref="M667"/>
    <hyperlink r:id="rId668" ref="M668"/>
    <hyperlink r:id="rId669" ref="M669"/>
    <hyperlink r:id="rId670" ref="M670"/>
    <hyperlink r:id="rId671" ref="M671"/>
    <hyperlink r:id="rId672" ref="M672"/>
    <hyperlink r:id="rId673" ref="M673"/>
    <hyperlink r:id="rId674" ref="M674"/>
    <hyperlink r:id="rId675" ref="M675"/>
    <hyperlink r:id="rId676" ref="M676"/>
    <hyperlink r:id="rId677" ref="M677"/>
    <hyperlink r:id="rId678" ref="M678"/>
    <hyperlink r:id="rId679" ref="M679"/>
    <hyperlink r:id="rId680" ref="M680"/>
    <hyperlink r:id="rId681" ref="M681"/>
    <hyperlink r:id="rId682" ref="M682"/>
    <hyperlink r:id="rId683" ref="M683"/>
    <hyperlink r:id="rId684" ref="M684"/>
    <hyperlink r:id="rId685" ref="M685"/>
    <hyperlink r:id="rId686" ref="M686"/>
    <hyperlink r:id="rId687" ref="M687"/>
    <hyperlink r:id="rId688" ref="M688"/>
    <hyperlink r:id="rId689" ref="M689"/>
    <hyperlink r:id="rId690" ref="M690"/>
    <hyperlink r:id="rId691" ref="M691"/>
    <hyperlink r:id="rId692" ref="M692"/>
    <hyperlink r:id="rId693" ref="M693"/>
    <hyperlink r:id="rId694" ref="M694"/>
    <hyperlink r:id="rId695" ref="M695"/>
    <hyperlink r:id="rId696" ref="M696"/>
    <hyperlink r:id="rId697" ref="M697"/>
    <hyperlink r:id="rId698" ref="M698"/>
    <hyperlink r:id="rId699" ref="M699"/>
    <hyperlink r:id="rId700" ref="M700"/>
    <hyperlink r:id="rId701" ref="M701"/>
    <hyperlink r:id="rId702" ref="M702"/>
    <hyperlink r:id="rId703" ref="M703"/>
    <hyperlink r:id="rId704" ref="M704"/>
    <hyperlink r:id="rId705" ref="M705"/>
    <hyperlink r:id="rId706" ref="M706"/>
    <hyperlink r:id="rId707" ref="M707"/>
    <hyperlink r:id="rId708" ref="M708"/>
    <hyperlink r:id="rId709" ref="M709"/>
    <hyperlink r:id="rId710" ref="M710"/>
    <hyperlink r:id="rId711" ref="M711"/>
    <hyperlink r:id="rId712" ref="M712"/>
    <hyperlink r:id="rId713" ref="M713"/>
    <hyperlink r:id="rId714" ref="M714"/>
    <hyperlink r:id="rId715" ref="M715"/>
    <hyperlink r:id="rId716" ref="M716"/>
    <hyperlink r:id="rId717" ref="M717"/>
    <hyperlink r:id="rId718" ref="M718"/>
    <hyperlink r:id="rId719" ref="M719"/>
    <hyperlink r:id="rId720" ref="M720"/>
    <hyperlink r:id="rId721" ref="M721"/>
    <hyperlink r:id="rId722" ref="M722"/>
    <hyperlink r:id="rId723" ref="M723"/>
    <hyperlink r:id="rId724" ref="M724"/>
    <hyperlink r:id="rId725" ref="M725"/>
    <hyperlink r:id="rId726" ref="M726"/>
    <hyperlink r:id="rId727" ref="M727"/>
    <hyperlink r:id="rId728" ref="M728"/>
  </hyperlinks>
  <drawing r:id="rId7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34.25"/>
    <col customWidth="1" min="3" max="4" width="49.25"/>
    <col customWidth="1" min="5" max="5" width="35.5"/>
    <col customWidth="1" min="6" max="6" width="19.63"/>
    <col customWidth="1" min="7" max="7" width="23.0"/>
    <col customWidth="1" min="8" max="8" width="15.63"/>
    <col customWidth="1" min="9" max="9" width="18.38"/>
    <col customWidth="1" min="10" max="10" width="29.13"/>
    <col customWidth="1" min="11" max="11" width="28.5"/>
    <col customWidth="1" min="12" max="12" width="22.0"/>
    <col customWidth="1" min="13" max="25" width="49.25"/>
  </cols>
  <sheetData>
    <row r="1" ht="54.0" customHeight="1">
      <c r="A1" s="2" t="s">
        <v>1</v>
      </c>
      <c r="B1" s="2" t="s">
        <v>2</v>
      </c>
      <c r="C1" s="2" t="s">
        <v>3</v>
      </c>
      <c r="D1" s="2" t="s">
        <v>4</v>
      </c>
      <c r="E1" s="2" t="s">
        <v>5</v>
      </c>
      <c r="F1" s="2" t="s">
        <v>6</v>
      </c>
      <c r="G1" s="2" t="s">
        <v>7</v>
      </c>
      <c r="H1" s="2" t="s">
        <v>8</v>
      </c>
      <c r="I1" s="2" t="s">
        <v>9</v>
      </c>
      <c r="J1" s="2" t="s">
        <v>10</v>
      </c>
      <c r="K1" s="2" t="s">
        <v>11</v>
      </c>
      <c r="L1" s="2" t="s">
        <v>12</v>
      </c>
      <c r="M1" s="2" t="s">
        <v>1698</v>
      </c>
      <c r="N1" s="2" t="s">
        <v>1699</v>
      </c>
      <c r="O1" s="3"/>
      <c r="P1" s="3"/>
      <c r="Q1" s="3"/>
      <c r="R1" s="3"/>
      <c r="S1" s="3"/>
      <c r="T1" s="3"/>
      <c r="U1" s="3"/>
      <c r="V1" s="3"/>
      <c r="W1" s="3"/>
      <c r="X1" s="3"/>
      <c r="Y1" s="3"/>
    </row>
    <row r="2">
      <c r="A2" s="5" t="s">
        <v>22</v>
      </c>
      <c r="B2" s="5" t="s">
        <v>23</v>
      </c>
      <c r="C2" s="5" t="s">
        <v>24</v>
      </c>
      <c r="D2" s="6" t="s">
        <v>25</v>
      </c>
      <c r="E2" s="5" t="s">
        <v>26</v>
      </c>
      <c r="F2" s="5" t="s">
        <v>27</v>
      </c>
      <c r="G2" s="5">
        <v>18324.0</v>
      </c>
      <c r="H2" s="5">
        <v>60.0</v>
      </c>
      <c r="I2" s="5">
        <v>3145.0</v>
      </c>
      <c r="J2" s="5">
        <v>13703.0</v>
      </c>
      <c r="K2" s="5">
        <v>8.0</v>
      </c>
      <c r="L2" s="9">
        <v>6996.231838</v>
      </c>
      <c r="M2" s="15">
        <f t="shared" ref="M2:M583" si="1">L2/K2</f>
        <v>874.5289798</v>
      </c>
      <c r="N2" s="16">
        <f t="shared" ref="N2:N583" si="2">H2/G2</f>
        <v>0.003274394237</v>
      </c>
    </row>
    <row r="3">
      <c r="A3" s="5" t="s">
        <v>15</v>
      </c>
      <c r="B3" s="5" t="s">
        <v>16</v>
      </c>
      <c r="C3" s="5" t="s">
        <v>29</v>
      </c>
      <c r="D3" s="6" t="s">
        <v>25</v>
      </c>
      <c r="E3" s="5" t="s">
        <v>19</v>
      </c>
      <c r="F3" s="5" t="s">
        <v>27</v>
      </c>
      <c r="G3" s="5">
        <v>7862.0</v>
      </c>
      <c r="H3" s="5">
        <v>20.0</v>
      </c>
      <c r="I3" s="5">
        <v>2152.0</v>
      </c>
      <c r="J3" s="5">
        <v>6039.0</v>
      </c>
      <c r="K3" s="5">
        <v>2.0</v>
      </c>
      <c r="L3" s="9">
        <v>6506.433687</v>
      </c>
      <c r="M3" s="15">
        <f t="shared" si="1"/>
        <v>3253.216844</v>
      </c>
      <c r="N3" s="16">
        <f t="shared" si="2"/>
        <v>0.002543881964</v>
      </c>
      <c r="P3" s="17" t="s">
        <v>1700</v>
      </c>
      <c r="Q3" s="18">
        <f>AVERAGE(M2:M146)</f>
        <v>771.5396313</v>
      </c>
    </row>
    <row r="4">
      <c r="A4" s="5" t="s">
        <v>15</v>
      </c>
      <c r="B4" s="5" t="s">
        <v>31</v>
      </c>
      <c r="C4" s="5" t="s">
        <v>32</v>
      </c>
      <c r="D4" s="6" t="s">
        <v>25</v>
      </c>
      <c r="E4" s="5" t="s">
        <v>1046</v>
      </c>
      <c r="F4" s="5" t="s">
        <v>27</v>
      </c>
      <c r="G4" s="5">
        <v>10501.0</v>
      </c>
      <c r="H4" s="5">
        <v>90.0</v>
      </c>
      <c r="I4" s="5">
        <v>4126.0</v>
      </c>
      <c r="J4" s="5">
        <v>7654.0</v>
      </c>
      <c r="K4" s="5">
        <v>8.0</v>
      </c>
      <c r="L4" s="9">
        <v>6244.517921</v>
      </c>
      <c r="M4" s="15">
        <f t="shared" si="1"/>
        <v>780.5647401</v>
      </c>
      <c r="N4" s="16">
        <f t="shared" si="2"/>
        <v>0.008570612323</v>
      </c>
      <c r="P4" s="17" t="s">
        <v>1701</v>
      </c>
      <c r="Q4" s="19">
        <f>AVERAGE(N2:N146)</f>
        <v>0.003612828473</v>
      </c>
    </row>
    <row r="5">
      <c r="A5" s="5" t="s">
        <v>22</v>
      </c>
      <c r="B5" s="5" t="s">
        <v>31</v>
      </c>
      <c r="C5" s="5" t="s">
        <v>17</v>
      </c>
      <c r="D5" s="6" t="s">
        <v>25</v>
      </c>
      <c r="E5" s="5" t="s">
        <v>19</v>
      </c>
      <c r="F5" s="5" t="s">
        <v>27</v>
      </c>
      <c r="G5" s="5">
        <v>23711.0</v>
      </c>
      <c r="H5" s="5">
        <v>69.0</v>
      </c>
      <c r="I5" s="5">
        <v>4337.0</v>
      </c>
      <c r="J5" s="5">
        <v>17211.0</v>
      </c>
      <c r="K5" s="5">
        <v>8.0</v>
      </c>
      <c r="L5" s="9">
        <v>5740.952219</v>
      </c>
      <c r="M5" s="15">
        <f t="shared" si="1"/>
        <v>717.6190274</v>
      </c>
      <c r="N5" s="16">
        <f t="shared" si="2"/>
        <v>0.002910041753</v>
      </c>
    </row>
    <row r="6">
      <c r="A6" s="5" t="s">
        <v>22</v>
      </c>
      <c r="B6" s="5" t="s">
        <v>16</v>
      </c>
      <c r="C6" s="5" t="s">
        <v>39</v>
      </c>
      <c r="D6" s="6" t="s">
        <v>25</v>
      </c>
      <c r="E6" s="5" t="s">
        <v>26</v>
      </c>
      <c r="F6" s="5" t="s">
        <v>27</v>
      </c>
      <c r="G6" s="5">
        <v>23965.0</v>
      </c>
      <c r="H6" s="5">
        <v>270.0</v>
      </c>
      <c r="I6" s="5">
        <v>13608.0</v>
      </c>
      <c r="J6" s="5">
        <v>21704.0</v>
      </c>
      <c r="K6" s="5">
        <v>12.0</v>
      </c>
      <c r="L6" s="9">
        <v>5706.864417</v>
      </c>
      <c r="M6" s="15">
        <f t="shared" si="1"/>
        <v>475.5720348</v>
      </c>
      <c r="N6" s="16">
        <f t="shared" si="2"/>
        <v>0.01126643021</v>
      </c>
    </row>
    <row r="7">
      <c r="A7" s="5" t="s">
        <v>15</v>
      </c>
      <c r="B7" s="5" t="s">
        <v>31</v>
      </c>
      <c r="C7" s="5" t="s">
        <v>39</v>
      </c>
      <c r="D7" s="6" t="s">
        <v>25</v>
      </c>
      <c r="E7" s="5" t="s">
        <v>19</v>
      </c>
      <c r="F7" s="5" t="s">
        <v>27</v>
      </c>
      <c r="G7" s="5">
        <v>14730.0</v>
      </c>
      <c r="H7" s="5">
        <v>88.0</v>
      </c>
      <c r="I7" s="5">
        <v>1272.0</v>
      </c>
      <c r="J7" s="5">
        <v>12427.0</v>
      </c>
      <c r="K7" s="5">
        <v>3.0</v>
      </c>
      <c r="L7" s="9">
        <v>5190.535998</v>
      </c>
      <c r="M7" s="15">
        <f t="shared" si="1"/>
        <v>1730.178666</v>
      </c>
      <c r="N7" s="16">
        <f t="shared" si="2"/>
        <v>0.005974202308</v>
      </c>
    </row>
    <row r="8">
      <c r="A8" s="5" t="s">
        <v>15</v>
      </c>
      <c r="B8" s="5" t="s">
        <v>42</v>
      </c>
      <c r="C8" s="5" t="s">
        <v>43</v>
      </c>
      <c r="D8" s="6" t="s">
        <v>25</v>
      </c>
      <c r="E8" s="5" t="s">
        <v>36</v>
      </c>
      <c r="F8" s="5" t="s">
        <v>27</v>
      </c>
      <c r="G8" s="5">
        <v>36863.0</v>
      </c>
      <c r="H8" s="5">
        <v>116.0</v>
      </c>
      <c r="I8" s="5">
        <v>3570.0</v>
      </c>
      <c r="J8" s="5">
        <v>29458.0</v>
      </c>
      <c r="K8" s="5">
        <v>15.0</v>
      </c>
      <c r="L8" s="9">
        <v>4752.816685</v>
      </c>
      <c r="M8" s="15">
        <f t="shared" si="1"/>
        <v>316.8544457</v>
      </c>
      <c r="N8" s="16">
        <f t="shared" si="2"/>
        <v>0.003146786751</v>
      </c>
    </row>
    <row r="9">
      <c r="A9" s="5" t="s">
        <v>22</v>
      </c>
      <c r="B9" s="5" t="s">
        <v>31</v>
      </c>
      <c r="C9" s="5" t="s">
        <v>45</v>
      </c>
      <c r="D9" s="6" t="s">
        <v>25</v>
      </c>
      <c r="E9" s="5" t="s">
        <v>46</v>
      </c>
      <c r="F9" s="5" t="s">
        <v>27</v>
      </c>
      <c r="G9" s="5">
        <v>213699.0</v>
      </c>
      <c r="H9" s="5">
        <v>270.0</v>
      </c>
      <c r="I9" s="5">
        <v>18395.0</v>
      </c>
      <c r="J9" s="5">
        <v>164487.0</v>
      </c>
      <c r="K9" s="5">
        <v>4.0</v>
      </c>
      <c r="L9" s="9">
        <v>2194.987125</v>
      </c>
      <c r="M9" s="15">
        <f t="shared" si="1"/>
        <v>548.7467813</v>
      </c>
      <c r="N9" s="16">
        <f t="shared" si="2"/>
        <v>0.001263459352</v>
      </c>
    </row>
    <row r="10">
      <c r="A10" s="5" t="s">
        <v>22</v>
      </c>
      <c r="B10" s="5" t="s">
        <v>23</v>
      </c>
      <c r="C10" s="5" t="s">
        <v>32</v>
      </c>
      <c r="D10" s="6" t="s">
        <v>25</v>
      </c>
      <c r="E10" s="5" t="s">
        <v>48</v>
      </c>
      <c r="F10" s="5" t="s">
        <v>27</v>
      </c>
      <c r="G10" s="5">
        <v>49936.0</v>
      </c>
      <c r="H10" s="5">
        <v>126.0</v>
      </c>
      <c r="I10" s="5">
        <v>25461.0</v>
      </c>
      <c r="J10" s="5">
        <v>44751.0</v>
      </c>
      <c r="K10" s="5">
        <v>13.0</v>
      </c>
      <c r="L10" s="9">
        <v>2025.784019</v>
      </c>
      <c r="M10" s="15">
        <f t="shared" si="1"/>
        <v>155.8295399</v>
      </c>
      <c r="N10" s="16">
        <f t="shared" si="2"/>
        <v>0.002523229734</v>
      </c>
    </row>
    <row r="11">
      <c r="A11" s="5" t="s">
        <v>15</v>
      </c>
      <c r="B11" s="5" t="s">
        <v>23</v>
      </c>
      <c r="C11" s="5" t="s">
        <v>17</v>
      </c>
      <c r="D11" s="6" t="s">
        <v>25</v>
      </c>
      <c r="E11" s="5" t="s">
        <v>50</v>
      </c>
      <c r="F11" s="5" t="s">
        <v>27</v>
      </c>
      <c r="G11" s="5">
        <v>15200.0</v>
      </c>
      <c r="H11" s="5">
        <v>60.0</v>
      </c>
      <c r="I11" s="5">
        <v>5375.0</v>
      </c>
      <c r="J11" s="5">
        <v>12040.0</v>
      </c>
      <c r="K11" s="5">
        <v>4.0</v>
      </c>
      <c r="L11" s="9">
        <v>1970.357345</v>
      </c>
      <c r="M11" s="15">
        <f t="shared" si="1"/>
        <v>492.5893363</v>
      </c>
      <c r="N11" s="16">
        <f t="shared" si="2"/>
        <v>0.003947368421</v>
      </c>
    </row>
    <row r="12">
      <c r="A12" s="5" t="s">
        <v>15</v>
      </c>
      <c r="B12" s="5" t="s">
        <v>16</v>
      </c>
      <c r="C12" s="5" t="s">
        <v>29</v>
      </c>
      <c r="D12" s="6" t="s">
        <v>25</v>
      </c>
      <c r="E12" s="5" t="s">
        <v>46</v>
      </c>
      <c r="F12" s="5" t="s">
        <v>27</v>
      </c>
      <c r="G12" s="5">
        <v>10811.0</v>
      </c>
      <c r="H12" s="5">
        <v>25.0</v>
      </c>
      <c r="I12" s="5">
        <v>988.0</v>
      </c>
      <c r="J12" s="5">
        <v>2975.0</v>
      </c>
      <c r="K12" s="5">
        <v>3.0</v>
      </c>
      <c r="L12" s="9">
        <v>1679.833815</v>
      </c>
      <c r="M12" s="15">
        <f t="shared" si="1"/>
        <v>559.944605</v>
      </c>
      <c r="N12" s="16">
        <f t="shared" si="2"/>
        <v>0.002312459532</v>
      </c>
    </row>
    <row r="13">
      <c r="A13" s="5" t="s">
        <v>15</v>
      </c>
      <c r="B13" s="5" t="s">
        <v>23</v>
      </c>
      <c r="C13" s="5" t="s">
        <v>55</v>
      </c>
      <c r="D13" s="6" t="s">
        <v>25</v>
      </c>
      <c r="E13" s="5" t="s">
        <v>46</v>
      </c>
      <c r="F13" s="5" t="s">
        <v>27</v>
      </c>
      <c r="G13" s="5">
        <v>23829.0</v>
      </c>
      <c r="H13" s="5">
        <v>75.0</v>
      </c>
      <c r="I13" s="5">
        <v>8326.0</v>
      </c>
      <c r="J13" s="5">
        <v>18812.0</v>
      </c>
      <c r="K13" s="5">
        <v>5.0</v>
      </c>
      <c r="L13" s="9">
        <v>1534.698</v>
      </c>
      <c r="M13" s="15">
        <f t="shared" si="1"/>
        <v>306.9396</v>
      </c>
      <c r="N13" s="16">
        <f t="shared" si="2"/>
        <v>0.003147425406</v>
      </c>
    </row>
    <row r="14">
      <c r="A14" s="5" t="s">
        <v>22</v>
      </c>
      <c r="B14" s="5" t="s">
        <v>42</v>
      </c>
      <c r="C14" s="5" t="s">
        <v>17</v>
      </c>
      <c r="D14" s="6" t="s">
        <v>25</v>
      </c>
      <c r="E14" s="5" t="s">
        <v>48</v>
      </c>
      <c r="F14" s="5" t="s">
        <v>27</v>
      </c>
      <c r="G14" s="5">
        <v>19826.0</v>
      </c>
      <c r="H14" s="5">
        <v>39.0</v>
      </c>
      <c r="I14" s="5">
        <v>6511.0</v>
      </c>
      <c r="J14" s="5">
        <v>15752.0</v>
      </c>
      <c r="K14" s="5">
        <v>10.0</v>
      </c>
      <c r="L14" s="9">
        <v>1447.873298</v>
      </c>
      <c r="M14" s="15">
        <f t="shared" si="1"/>
        <v>144.7873298</v>
      </c>
      <c r="N14" s="16">
        <f t="shared" si="2"/>
        <v>0.001967113891</v>
      </c>
    </row>
    <row r="15">
      <c r="A15" s="5" t="s">
        <v>22</v>
      </c>
      <c r="B15" s="5" t="s">
        <v>23</v>
      </c>
      <c r="C15" s="5" t="s">
        <v>32</v>
      </c>
      <c r="D15" s="6" t="s">
        <v>58</v>
      </c>
      <c r="E15" s="5" t="s">
        <v>36</v>
      </c>
      <c r="F15" s="5" t="s">
        <v>27</v>
      </c>
      <c r="G15" s="5">
        <v>16151.0</v>
      </c>
      <c r="H15" s="5">
        <v>54.0</v>
      </c>
      <c r="I15" s="5">
        <v>4360.0</v>
      </c>
      <c r="J15" s="5">
        <v>11358.0</v>
      </c>
      <c r="K15" s="5">
        <v>3.0</v>
      </c>
      <c r="L15" s="9">
        <v>1706.224318</v>
      </c>
      <c r="M15" s="15">
        <f t="shared" si="1"/>
        <v>568.7414393</v>
      </c>
      <c r="N15" s="16">
        <f t="shared" si="2"/>
        <v>0.003343446226</v>
      </c>
    </row>
    <row r="16">
      <c r="A16" s="5" t="s">
        <v>61</v>
      </c>
      <c r="B16" s="5" t="s">
        <v>31</v>
      </c>
      <c r="C16" s="5" t="s">
        <v>29</v>
      </c>
      <c r="D16" s="6" t="s">
        <v>58</v>
      </c>
      <c r="E16" s="5" t="s">
        <v>46</v>
      </c>
      <c r="F16" s="5" t="s">
        <v>27</v>
      </c>
      <c r="G16" s="5">
        <v>68704.0</v>
      </c>
      <c r="H16" s="5">
        <v>185.0</v>
      </c>
      <c r="I16" s="5">
        <v>31283.0</v>
      </c>
      <c r="J16" s="5">
        <v>59462.0</v>
      </c>
      <c r="K16" s="5">
        <v>16.0</v>
      </c>
      <c r="L16" s="9">
        <v>1605.566031</v>
      </c>
      <c r="M16" s="15">
        <f t="shared" si="1"/>
        <v>100.3478769</v>
      </c>
      <c r="N16" s="16">
        <f t="shared" si="2"/>
        <v>0.002692710759</v>
      </c>
    </row>
    <row r="17">
      <c r="A17" s="5" t="s">
        <v>22</v>
      </c>
      <c r="B17" s="5" t="s">
        <v>16</v>
      </c>
      <c r="C17" s="5" t="s">
        <v>45</v>
      </c>
      <c r="D17" s="6" t="s">
        <v>64</v>
      </c>
      <c r="E17" s="5" t="s">
        <v>26</v>
      </c>
      <c r="F17" s="5" t="s">
        <v>27</v>
      </c>
      <c r="G17" s="5">
        <v>12592.0</v>
      </c>
      <c r="H17" s="5">
        <v>63.0</v>
      </c>
      <c r="I17" s="5">
        <v>7472.0</v>
      </c>
      <c r="J17" s="5">
        <v>11687.0</v>
      </c>
      <c r="K17" s="5">
        <v>4.0</v>
      </c>
      <c r="L17" s="9">
        <v>1521.185189</v>
      </c>
      <c r="M17" s="15">
        <f t="shared" si="1"/>
        <v>380.2962973</v>
      </c>
      <c r="N17" s="16">
        <f t="shared" si="2"/>
        <v>0.00500317662</v>
      </c>
    </row>
    <row r="18">
      <c r="A18" s="5" t="s">
        <v>15</v>
      </c>
      <c r="B18" s="5" t="s">
        <v>23</v>
      </c>
      <c r="C18" s="5" t="s">
        <v>32</v>
      </c>
      <c r="D18" s="6" t="s">
        <v>64</v>
      </c>
      <c r="E18" s="5" t="s">
        <v>36</v>
      </c>
      <c r="F18" s="5" t="s">
        <v>27</v>
      </c>
      <c r="G18" s="5">
        <v>14136.0</v>
      </c>
      <c r="H18" s="5">
        <v>88.0</v>
      </c>
      <c r="I18" s="5">
        <v>4683.0</v>
      </c>
      <c r="J18" s="5">
        <v>13273.0</v>
      </c>
      <c r="K18" s="5">
        <v>3.0</v>
      </c>
      <c r="L18" s="9">
        <v>1476.536841</v>
      </c>
      <c r="M18" s="15">
        <f t="shared" si="1"/>
        <v>492.178947</v>
      </c>
      <c r="N18" s="16">
        <f t="shared" si="2"/>
        <v>0.006225240521</v>
      </c>
    </row>
    <row r="19">
      <c r="A19" s="5" t="s">
        <v>22</v>
      </c>
      <c r="B19" s="5" t="s">
        <v>31</v>
      </c>
      <c r="C19" s="5" t="s">
        <v>17</v>
      </c>
      <c r="D19" s="6" t="s">
        <v>70</v>
      </c>
      <c r="E19" s="5" t="s">
        <v>26</v>
      </c>
      <c r="F19" s="5" t="s">
        <v>27</v>
      </c>
      <c r="G19" s="5">
        <v>14489.0</v>
      </c>
      <c r="H19" s="5">
        <v>37.0</v>
      </c>
      <c r="I19" s="5">
        <v>12453.0</v>
      </c>
      <c r="J19" s="5">
        <v>13873.0</v>
      </c>
      <c r="K19" s="5">
        <v>10.0</v>
      </c>
      <c r="L19" s="9">
        <v>6195.840734</v>
      </c>
      <c r="M19" s="15">
        <f t="shared" si="1"/>
        <v>619.5840734</v>
      </c>
      <c r="N19" s="16">
        <f t="shared" si="2"/>
        <v>0.002553661398</v>
      </c>
    </row>
    <row r="20">
      <c r="A20" s="5" t="s">
        <v>22</v>
      </c>
      <c r="B20" s="5" t="s">
        <v>31</v>
      </c>
      <c r="C20" s="5" t="s">
        <v>17</v>
      </c>
      <c r="D20" s="6" t="s">
        <v>74</v>
      </c>
      <c r="E20" s="5" t="s">
        <v>48</v>
      </c>
      <c r="F20" s="5" t="s">
        <v>27</v>
      </c>
      <c r="G20" s="5">
        <v>40447.0</v>
      </c>
      <c r="H20" s="5">
        <v>177.0</v>
      </c>
      <c r="I20" s="5">
        <v>16663.0</v>
      </c>
      <c r="J20" s="5">
        <v>29774.0</v>
      </c>
      <c r="K20" s="5">
        <v>12.0</v>
      </c>
      <c r="L20" s="9">
        <v>5083.886273</v>
      </c>
      <c r="M20" s="15">
        <f t="shared" si="1"/>
        <v>423.6571894</v>
      </c>
      <c r="N20" s="16">
        <f t="shared" si="2"/>
        <v>0.004376097115</v>
      </c>
    </row>
    <row r="21">
      <c r="A21" s="5" t="s">
        <v>15</v>
      </c>
      <c r="B21" s="5" t="s">
        <v>23</v>
      </c>
      <c r="C21" s="5" t="s">
        <v>35</v>
      </c>
      <c r="D21" s="6" t="s">
        <v>76</v>
      </c>
      <c r="E21" s="5" t="s">
        <v>26</v>
      </c>
      <c r="F21" s="5" t="s">
        <v>27</v>
      </c>
      <c r="G21" s="5">
        <v>14451.0</v>
      </c>
      <c r="H21" s="5">
        <v>50.0</v>
      </c>
      <c r="I21" s="5">
        <v>5606.0</v>
      </c>
      <c r="J21" s="5">
        <v>13461.0</v>
      </c>
      <c r="K21" s="5">
        <v>8.0</v>
      </c>
      <c r="L21" s="9">
        <v>6397.602518</v>
      </c>
      <c r="M21" s="15">
        <f t="shared" si="1"/>
        <v>799.7003148</v>
      </c>
      <c r="N21" s="16">
        <f t="shared" si="2"/>
        <v>0.003459968168</v>
      </c>
    </row>
    <row r="22">
      <c r="A22" s="5" t="s">
        <v>15</v>
      </c>
      <c r="B22" s="5" t="s">
        <v>42</v>
      </c>
      <c r="C22" s="5" t="s">
        <v>84</v>
      </c>
      <c r="D22" s="6" t="s">
        <v>82</v>
      </c>
      <c r="E22" s="5" t="s">
        <v>19</v>
      </c>
      <c r="F22" s="5" t="s">
        <v>27</v>
      </c>
      <c r="G22" s="5">
        <v>8716.0</v>
      </c>
      <c r="H22" s="5">
        <v>40.0</v>
      </c>
      <c r="I22" s="5">
        <v>6490.0</v>
      </c>
      <c r="J22" s="5">
        <v>7862.0</v>
      </c>
      <c r="K22" s="5">
        <v>2.0</v>
      </c>
      <c r="L22" s="9">
        <v>2100.820137</v>
      </c>
      <c r="M22" s="15">
        <f t="shared" si="1"/>
        <v>1050.410069</v>
      </c>
      <c r="N22" s="16">
        <f t="shared" si="2"/>
        <v>0.004589261129</v>
      </c>
    </row>
    <row r="23">
      <c r="A23" s="5" t="s">
        <v>15</v>
      </c>
      <c r="B23" s="5" t="s">
        <v>16</v>
      </c>
      <c r="C23" s="5" t="s">
        <v>43</v>
      </c>
      <c r="D23" s="6" t="s">
        <v>82</v>
      </c>
      <c r="E23" s="5" t="s">
        <v>48</v>
      </c>
      <c r="F23" s="5" t="s">
        <v>27</v>
      </c>
      <c r="G23" s="5">
        <v>11062.0</v>
      </c>
      <c r="H23" s="5">
        <v>78.0</v>
      </c>
      <c r="I23" s="5">
        <v>6539.0</v>
      </c>
      <c r="J23" s="5">
        <v>9391.0</v>
      </c>
      <c r="K23" s="5">
        <v>2.0</v>
      </c>
      <c r="L23" s="9">
        <v>1500.09932</v>
      </c>
      <c r="M23" s="15">
        <f t="shared" si="1"/>
        <v>750.04966</v>
      </c>
      <c r="N23" s="16">
        <f t="shared" si="2"/>
        <v>0.007051166154</v>
      </c>
    </row>
    <row r="24">
      <c r="A24" s="5" t="s">
        <v>61</v>
      </c>
      <c r="B24" s="5" t="s">
        <v>42</v>
      </c>
      <c r="C24" s="5" t="s">
        <v>17</v>
      </c>
      <c r="D24" s="6" t="s">
        <v>87</v>
      </c>
      <c r="E24" s="5" t="s">
        <v>46</v>
      </c>
      <c r="F24" s="5" t="s">
        <v>27</v>
      </c>
      <c r="G24" s="5">
        <v>100800.0</v>
      </c>
      <c r="H24" s="5">
        <v>185.0</v>
      </c>
      <c r="I24" s="5">
        <v>14473.0</v>
      </c>
      <c r="J24" s="5">
        <v>85424.0</v>
      </c>
      <c r="K24" s="5">
        <v>10.0</v>
      </c>
      <c r="L24" s="9">
        <v>7004.730483</v>
      </c>
      <c r="M24" s="15">
        <f t="shared" si="1"/>
        <v>700.4730483</v>
      </c>
      <c r="N24" s="16">
        <f t="shared" si="2"/>
        <v>0.00183531746</v>
      </c>
    </row>
    <row r="25">
      <c r="A25" s="5" t="s">
        <v>15</v>
      </c>
      <c r="B25" s="5" t="s">
        <v>42</v>
      </c>
      <c r="C25" s="5" t="s">
        <v>17</v>
      </c>
      <c r="D25" s="6" t="s">
        <v>87</v>
      </c>
      <c r="E25" s="5" t="s">
        <v>19</v>
      </c>
      <c r="F25" s="5" t="s">
        <v>27</v>
      </c>
      <c r="G25" s="5">
        <v>12864.0</v>
      </c>
      <c r="H25" s="5">
        <v>84.0</v>
      </c>
      <c r="I25" s="5">
        <v>5549.0</v>
      </c>
      <c r="J25" s="5">
        <v>11852.0</v>
      </c>
      <c r="K25" s="5">
        <v>5.0</v>
      </c>
      <c r="L25" s="9">
        <v>1905.889693</v>
      </c>
      <c r="M25" s="15">
        <f t="shared" si="1"/>
        <v>381.1779386</v>
      </c>
      <c r="N25" s="16">
        <f t="shared" si="2"/>
        <v>0.006529850746</v>
      </c>
    </row>
    <row r="26">
      <c r="A26" s="5" t="s">
        <v>22</v>
      </c>
      <c r="B26" s="5" t="s">
        <v>23</v>
      </c>
      <c r="C26" s="5" t="s">
        <v>66</v>
      </c>
      <c r="D26" s="6" t="s">
        <v>90</v>
      </c>
      <c r="E26" s="5" t="s">
        <v>46</v>
      </c>
      <c r="F26" s="5" t="s">
        <v>27</v>
      </c>
      <c r="G26" s="5">
        <v>10992.0</v>
      </c>
      <c r="H26" s="5">
        <v>97.0</v>
      </c>
      <c r="I26" s="5">
        <v>6677.0</v>
      </c>
      <c r="J26" s="5">
        <v>10132.0</v>
      </c>
      <c r="K26" s="5">
        <v>3.0</v>
      </c>
      <c r="L26" s="9">
        <v>1675.987427</v>
      </c>
      <c r="M26" s="15">
        <f t="shared" si="1"/>
        <v>558.6624757</v>
      </c>
      <c r="N26" s="16">
        <f t="shared" si="2"/>
        <v>0.008824599709</v>
      </c>
    </row>
    <row r="27">
      <c r="A27" s="5" t="s">
        <v>15</v>
      </c>
      <c r="B27" s="5" t="s">
        <v>16</v>
      </c>
      <c r="C27" s="5" t="s">
        <v>39</v>
      </c>
      <c r="D27" s="6" t="s">
        <v>90</v>
      </c>
      <c r="E27" s="5" t="s">
        <v>19</v>
      </c>
      <c r="F27" s="5" t="s">
        <v>27</v>
      </c>
      <c r="G27" s="5">
        <v>14984.0</v>
      </c>
      <c r="H27" s="5">
        <v>63.0</v>
      </c>
      <c r="I27" s="5">
        <v>9614.0</v>
      </c>
      <c r="J27" s="5">
        <v>14086.0</v>
      </c>
      <c r="K27" s="5">
        <v>3.0</v>
      </c>
      <c r="L27" s="9">
        <v>1505.009635</v>
      </c>
      <c r="M27" s="15">
        <f t="shared" si="1"/>
        <v>501.6698783</v>
      </c>
      <c r="N27" s="16">
        <f t="shared" si="2"/>
        <v>0.004204484784</v>
      </c>
    </row>
    <row r="28">
      <c r="A28" s="5" t="s">
        <v>22</v>
      </c>
      <c r="B28" s="5" t="s">
        <v>42</v>
      </c>
      <c r="C28" s="5" t="s">
        <v>78</v>
      </c>
      <c r="D28" s="6" t="s">
        <v>93</v>
      </c>
      <c r="E28" s="5" t="s">
        <v>19</v>
      </c>
      <c r="F28" s="5" t="s">
        <v>27</v>
      </c>
      <c r="G28" s="5">
        <v>19093.0</v>
      </c>
      <c r="H28" s="5">
        <v>50.0</v>
      </c>
      <c r="I28" s="5">
        <v>9626.0</v>
      </c>
      <c r="J28" s="5">
        <v>17815.0</v>
      </c>
      <c r="K28" s="5">
        <v>10.0</v>
      </c>
      <c r="L28" s="9">
        <v>6612.14569</v>
      </c>
      <c r="M28" s="15">
        <f t="shared" si="1"/>
        <v>661.214569</v>
      </c>
      <c r="N28" s="16">
        <f t="shared" si="2"/>
        <v>0.002618760802</v>
      </c>
    </row>
    <row r="29">
      <c r="A29" s="5" t="s">
        <v>15</v>
      </c>
      <c r="B29" s="5" t="s">
        <v>42</v>
      </c>
      <c r="C29" s="5" t="s">
        <v>95</v>
      </c>
      <c r="D29" s="6" t="s">
        <v>93</v>
      </c>
      <c r="E29" s="5" t="s">
        <v>46</v>
      </c>
      <c r="F29" s="5" t="s">
        <v>27</v>
      </c>
      <c r="G29" s="5">
        <v>43057.0</v>
      </c>
      <c r="H29" s="5">
        <v>122.0</v>
      </c>
      <c r="I29" s="5">
        <v>23767.0</v>
      </c>
      <c r="J29" s="5">
        <v>41484.0</v>
      </c>
      <c r="K29" s="5">
        <v>7.0</v>
      </c>
      <c r="L29" s="9">
        <v>5884.931394</v>
      </c>
      <c r="M29" s="15">
        <f t="shared" si="1"/>
        <v>840.7044849</v>
      </c>
      <c r="N29" s="16">
        <f t="shared" si="2"/>
        <v>0.002833453329</v>
      </c>
    </row>
    <row r="30">
      <c r="A30" s="5" t="s">
        <v>61</v>
      </c>
      <c r="B30" s="5" t="s">
        <v>23</v>
      </c>
      <c r="C30" s="5" t="s">
        <v>55</v>
      </c>
      <c r="D30" s="6" t="s">
        <v>93</v>
      </c>
      <c r="E30" s="5" t="s">
        <v>19</v>
      </c>
      <c r="F30" s="5" t="s">
        <v>27</v>
      </c>
      <c r="G30" s="5">
        <v>53561.0</v>
      </c>
      <c r="H30" s="5">
        <v>147.0</v>
      </c>
      <c r="I30" s="5">
        <v>37063.0</v>
      </c>
      <c r="J30" s="5">
        <v>51480.0</v>
      </c>
      <c r="K30" s="5">
        <v>14.0</v>
      </c>
      <c r="L30" s="9">
        <v>2039.35506</v>
      </c>
      <c r="M30" s="15">
        <f t="shared" si="1"/>
        <v>145.6682186</v>
      </c>
      <c r="N30" s="16">
        <f t="shared" si="2"/>
        <v>0.002744534269</v>
      </c>
    </row>
    <row r="31">
      <c r="A31" s="5" t="s">
        <v>15</v>
      </c>
      <c r="B31" s="5" t="s">
        <v>31</v>
      </c>
      <c r="C31" s="5" t="s">
        <v>17</v>
      </c>
      <c r="D31" s="6" t="s">
        <v>93</v>
      </c>
      <c r="E31" s="5" t="s">
        <v>26</v>
      </c>
      <c r="F31" s="5" t="s">
        <v>27</v>
      </c>
      <c r="G31" s="5">
        <v>67752.0</v>
      </c>
      <c r="H31" s="5">
        <v>174.0</v>
      </c>
      <c r="I31" s="5">
        <v>47126.0</v>
      </c>
      <c r="J31" s="5">
        <v>65080.0</v>
      </c>
      <c r="K31" s="5">
        <v>3.0</v>
      </c>
      <c r="L31" s="9">
        <v>1557.01573</v>
      </c>
      <c r="M31" s="15">
        <f t="shared" si="1"/>
        <v>519.0052433</v>
      </c>
      <c r="N31" s="16">
        <f t="shared" si="2"/>
        <v>0.002568189869</v>
      </c>
    </row>
    <row r="32">
      <c r="A32" s="5" t="s">
        <v>15</v>
      </c>
      <c r="B32" s="5" t="s">
        <v>16</v>
      </c>
      <c r="C32" s="5" t="s">
        <v>78</v>
      </c>
      <c r="D32" s="6" t="s">
        <v>99</v>
      </c>
      <c r="E32" s="5" t="s">
        <v>48</v>
      </c>
      <c r="F32" s="5" t="s">
        <v>27</v>
      </c>
      <c r="G32" s="5">
        <v>75161.0</v>
      </c>
      <c r="H32" s="5">
        <v>280.0</v>
      </c>
      <c r="I32" s="5">
        <v>40385.0</v>
      </c>
      <c r="J32" s="5">
        <v>70325.0</v>
      </c>
      <c r="K32" s="5">
        <v>3.0</v>
      </c>
      <c r="L32" s="9">
        <v>1506.461108</v>
      </c>
      <c r="M32" s="15">
        <f t="shared" si="1"/>
        <v>502.1537027</v>
      </c>
      <c r="N32" s="16">
        <f t="shared" si="2"/>
        <v>0.003725336278</v>
      </c>
    </row>
    <row r="33">
      <c r="A33" s="5" t="s">
        <v>15</v>
      </c>
      <c r="B33" s="5" t="s">
        <v>42</v>
      </c>
      <c r="C33" s="5" t="s">
        <v>35</v>
      </c>
      <c r="D33" s="6" t="s">
        <v>103</v>
      </c>
      <c r="E33" s="5" t="s">
        <v>1046</v>
      </c>
      <c r="F33" s="5" t="s">
        <v>27</v>
      </c>
      <c r="G33" s="5">
        <v>117713.0</v>
      </c>
      <c r="H33" s="5">
        <v>374.0</v>
      </c>
      <c r="I33" s="5">
        <v>16357.0</v>
      </c>
      <c r="J33" s="5">
        <v>100222.0</v>
      </c>
      <c r="K33" s="5">
        <v>5.0</v>
      </c>
      <c r="L33" s="9">
        <v>2505.403543</v>
      </c>
      <c r="M33" s="15">
        <f t="shared" si="1"/>
        <v>501.0807086</v>
      </c>
      <c r="N33" s="16">
        <f t="shared" si="2"/>
        <v>0.003177219169</v>
      </c>
    </row>
    <row r="34">
      <c r="A34" s="5" t="s">
        <v>15</v>
      </c>
      <c r="B34" s="5" t="s">
        <v>23</v>
      </c>
      <c r="C34" s="5" t="s">
        <v>95</v>
      </c>
      <c r="D34" s="6" t="s">
        <v>105</v>
      </c>
      <c r="E34" s="5" t="s">
        <v>19</v>
      </c>
      <c r="F34" s="5" t="s">
        <v>27</v>
      </c>
      <c r="G34" s="5">
        <v>53464.0</v>
      </c>
      <c r="H34" s="5">
        <v>212.0</v>
      </c>
      <c r="I34" s="5">
        <v>22151.0</v>
      </c>
      <c r="J34" s="5">
        <v>49058.0</v>
      </c>
      <c r="K34" s="5">
        <v>9.0</v>
      </c>
      <c r="L34" s="9">
        <v>5741.098045</v>
      </c>
      <c r="M34" s="15">
        <f t="shared" si="1"/>
        <v>637.8997828</v>
      </c>
      <c r="N34" s="16">
        <f t="shared" si="2"/>
        <v>0.003965285052</v>
      </c>
    </row>
    <row r="35">
      <c r="A35" s="5" t="s">
        <v>61</v>
      </c>
      <c r="B35" s="5" t="s">
        <v>42</v>
      </c>
      <c r="C35" s="5" t="s">
        <v>29</v>
      </c>
      <c r="D35" s="6" t="s">
        <v>105</v>
      </c>
      <c r="E35" s="5" t="s">
        <v>46</v>
      </c>
      <c r="F35" s="5" t="s">
        <v>27</v>
      </c>
      <c r="G35" s="5">
        <v>13686.0</v>
      </c>
      <c r="H35" s="5">
        <v>66.0</v>
      </c>
      <c r="I35" s="5">
        <v>7928.0</v>
      </c>
      <c r="J35" s="5">
        <v>11931.0</v>
      </c>
      <c r="K35" s="5">
        <v>11.0</v>
      </c>
      <c r="L35" s="9">
        <v>4660.560369</v>
      </c>
      <c r="M35" s="15">
        <f t="shared" si="1"/>
        <v>423.6873063</v>
      </c>
      <c r="N35" s="16">
        <f t="shared" si="2"/>
        <v>0.004822446295</v>
      </c>
    </row>
    <row r="36">
      <c r="A36" s="5" t="s">
        <v>22</v>
      </c>
      <c r="B36" s="5" t="s">
        <v>23</v>
      </c>
      <c r="C36" s="5" t="s">
        <v>24</v>
      </c>
      <c r="D36" s="6" t="s">
        <v>105</v>
      </c>
      <c r="E36" s="5" t="s">
        <v>19</v>
      </c>
      <c r="F36" s="5" t="s">
        <v>27</v>
      </c>
      <c r="G36" s="5">
        <v>17752.0</v>
      </c>
      <c r="H36" s="5">
        <v>98.0</v>
      </c>
      <c r="I36" s="5">
        <v>5855.0</v>
      </c>
      <c r="J36" s="5">
        <v>15753.0</v>
      </c>
      <c r="K36" s="5">
        <v>5.0</v>
      </c>
      <c r="L36" s="9">
        <v>2200.297094</v>
      </c>
      <c r="M36" s="15">
        <f t="shared" si="1"/>
        <v>440.0594188</v>
      </c>
      <c r="N36" s="16">
        <f t="shared" si="2"/>
        <v>0.005520504732</v>
      </c>
    </row>
    <row r="37">
      <c r="A37" s="5" t="s">
        <v>22</v>
      </c>
      <c r="B37" s="5" t="s">
        <v>23</v>
      </c>
      <c r="C37" s="5" t="s">
        <v>35</v>
      </c>
      <c r="D37" s="6" t="s">
        <v>111</v>
      </c>
      <c r="E37" s="5" t="s">
        <v>19</v>
      </c>
      <c r="F37" s="5" t="s">
        <v>27</v>
      </c>
      <c r="G37" s="5">
        <v>15322.0</v>
      </c>
      <c r="H37" s="5">
        <v>55.0</v>
      </c>
      <c r="I37" s="5">
        <v>6416.0</v>
      </c>
      <c r="J37" s="5">
        <v>14049.0</v>
      </c>
      <c r="K37" s="5">
        <v>5.0</v>
      </c>
      <c r="L37" s="9">
        <v>1850.464205</v>
      </c>
      <c r="M37" s="15">
        <f t="shared" si="1"/>
        <v>370.092841</v>
      </c>
      <c r="N37" s="16">
        <f t="shared" si="2"/>
        <v>0.003589609712</v>
      </c>
    </row>
    <row r="38">
      <c r="A38" s="5" t="s">
        <v>15</v>
      </c>
      <c r="B38" s="5" t="s">
        <v>16</v>
      </c>
      <c r="C38" s="5" t="s">
        <v>78</v>
      </c>
      <c r="D38" s="6" t="s">
        <v>113</v>
      </c>
      <c r="E38" s="5" t="s">
        <v>46</v>
      </c>
      <c r="F38" s="5" t="s">
        <v>27</v>
      </c>
      <c r="G38" s="5">
        <v>18458.0</v>
      </c>
      <c r="H38" s="5">
        <v>111.0</v>
      </c>
      <c r="I38" s="5">
        <v>3623.0</v>
      </c>
      <c r="J38" s="5">
        <v>16934.0</v>
      </c>
      <c r="K38" s="5">
        <v>6.0</v>
      </c>
      <c r="L38" s="9">
        <v>2866.496671</v>
      </c>
      <c r="M38" s="15">
        <f t="shared" si="1"/>
        <v>477.7494452</v>
      </c>
      <c r="N38" s="16">
        <f t="shared" si="2"/>
        <v>0.006013652617</v>
      </c>
    </row>
    <row r="39">
      <c r="A39" s="5" t="s">
        <v>22</v>
      </c>
      <c r="B39" s="5" t="s">
        <v>42</v>
      </c>
      <c r="C39" s="5" t="s">
        <v>35</v>
      </c>
      <c r="D39" s="6" t="s">
        <v>115</v>
      </c>
      <c r="E39" s="5" t="s">
        <v>19</v>
      </c>
      <c r="F39" s="5" t="s">
        <v>27</v>
      </c>
      <c r="G39" s="5">
        <v>108559.0</v>
      </c>
      <c r="H39" s="5">
        <v>212.0</v>
      </c>
      <c r="I39" s="5">
        <v>79254.0</v>
      </c>
      <c r="J39" s="5">
        <v>100563.0</v>
      </c>
      <c r="K39" s="5">
        <v>7.0</v>
      </c>
      <c r="L39" s="9">
        <v>6850.576483</v>
      </c>
      <c r="M39" s="15">
        <f t="shared" si="1"/>
        <v>978.6537833</v>
      </c>
      <c r="N39" s="16">
        <f t="shared" si="2"/>
        <v>0.001952855129</v>
      </c>
    </row>
    <row r="40">
      <c r="A40" s="5" t="s">
        <v>22</v>
      </c>
      <c r="B40" s="5" t="s">
        <v>42</v>
      </c>
      <c r="C40" s="5" t="s">
        <v>35</v>
      </c>
      <c r="D40" s="6" t="s">
        <v>115</v>
      </c>
      <c r="E40" s="5" t="s">
        <v>117</v>
      </c>
      <c r="F40" s="5" t="s">
        <v>27</v>
      </c>
      <c r="G40" s="5">
        <v>106151.0</v>
      </c>
      <c r="H40" s="5">
        <v>299.0</v>
      </c>
      <c r="I40" s="5">
        <v>75304.0</v>
      </c>
      <c r="J40" s="5">
        <v>99311.0</v>
      </c>
      <c r="K40" s="5">
        <v>9.0</v>
      </c>
      <c r="L40" s="9">
        <v>6616.88066</v>
      </c>
      <c r="M40" s="15">
        <f t="shared" si="1"/>
        <v>735.2089622</v>
      </c>
      <c r="N40" s="16">
        <f t="shared" si="2"/>
        <v>0.002816742188</v>
      </c>
    </row>
    <row r="41">
      <c r="A41" s="5" t="s">
        <v>22</v>
      </c>
      <c r="B41" s="5" t="s">
        <v>42</v>
      </c>
      <c r="C41" s="5" t="s">
        <v>84</v>
      </c>
      <c r="D41" s="6" t="s">
        <v>115</v>
      </c>
      <c r="E41" s="5" t="s">
        <v>36</v>
      </c>
      <c r="F41" s="5" t="s">
        <v>27</v>
      </c>
      <c r="G41" s="5">
        <v>149618.0</v>
      </c>
      <c r="H41" s="5">
        <v>260.0</v>
      </c>
      <c r="I41" s="5">
        <v>126031.0</v>
      </c>
      <c r="J41" s="5">
        <v>140596.0</v>
      </c>
      <c r="K41" s="5">
        <v>26.0</v>
      </c>
      <c r="L41" s="9">
        <v>6605.586158</v>
      </c>
      <c r="M41" s="15">
        <f t="shared" si="1"/>
        <v>254.0610061</v>
      </c>
      <c r="N41" s="16">
        <f t="shared" si="2"/>
        <v>0.001737758826</v>
      </c>
    </row>
    <row r="42">
      <c r="A42" s="5" t="s">
        <v>22</v>
      </c>
      <c r="B42" s="5" t="s">
        <v>42</v>
      </c>
      <c r="C42" s="5" t="s">
        <v>35</v>
      </c>
      <c r="D42" s="6" t="s">
        <v>115</v>
      </c>
      <c r="E42" s="5" t="s">
        <v>117</v>
      </c>
      <c r="F42" s="5" t="s">
        <v>27</v>
      </c>
      <c r="G42" s="5">
        <v>114384.0</v>
      </c>
      <c r="H42" s="5">
        <v>100.0</v>
      </c>
      <c r="I42" s="5">
        <v>61524.0</v>
      </c>
      <c r="J42" s="5">
        <v>105104.0</v>
      </c>
      <c r="K42" s="5">
        <v>12.0</v>
      </c>
      <c r="L42" s="9">
        <v>5803.331454</v>
      </c>
      <c r="M42" s="15">
        <f t="shared" si="1"/>
        <v>483.6109545</v>
      </c>
      <c r="N42" s="16">
        <f t="shared" si="2"/>
        <v>0.0008742481466</v>
      </c>
    </row>
    <row r="43">
      <c r="A43" s="5" t="s">
        <v>22</v>
      </c>
      <c r="B43" s="5" t="s">
        <v>16</v>
      </c>
      <c r="C43" s="5" t="s">
        <v>1095</v>
      </c>
      <c r="D43" s="6" t="s">
        <v>115</v>
      </c>
      <c r="E43" s="5" t="s">
        <v>80</v>
      </c>
      <c r="F43" s="5" t="s">
        <v>27</v>
      </c>
      <c r="G43" s="5">
        <v>43367.0</v>
      </c>
      <c r="H43" s="5">
        <v>111.0</v>
      </c>
      <c r="I43" s="5">
        <v>14306.0</v>
      </c>
      <c r="J43" s="5">
        <v>39750.0</v>
      </c>
      <c r="K43" s="5">
        <v>12.0</v>
      </c>
      <c r="L43" s="9">
        <v>5214.298693</v>
      </c>
      <c r="M43" s="15">
        <f t="shared" si="1"/>
        <v>434.5248911</v>
      </c>
      <c r="N43" s="16">
        <f t="shared" si="2"/>
        <v>0.002559549888</v>
      </c>
    </row>
    <row r="44">
      <c r="A44" s="5" t="s">
        <v>22</v>
      </c>
      <c r="B44" s="5" t="s">
        <v>16</v>
      </c>
      <c r="C44" s="5" t="s">
        <v>35</v>
      </c>
      <c r="D44" s="6" t="s">
        <v>115</v>
      </c>
      <c r="E44" s="5" t="s">
        <v>19</v>
      </c>
      <c r="F44" s="5" t="s">
        <v>27</v>
      </c>
      <c r="G44" s="5">
        <v>26715.0</v>
      </c>
      <c r="H44" s="5">
        <v>100.0</v>
      </c>
      <c r="I44" s="5">
        <v>12287.0</v>
      </c>
      <c r="J44" s="5">
        <v>25003.0</v>
      </c>
      <c r="K44" s="5">
        <v>6.0</v>
      </c>
      <c r="L44" s="9">
        <v>4623.089672</v>
      </c>
      <c r="M44" s="15">
        <f t="shared" si="1"/>
        <v>770.5149453</v>
      </c>
      <c r="N44" s="16">
        <f t="shared" si="2"/>
        <v>0.003743215422</v>
      </c>
    </row>
    <row r="45">
      <c r="A45" s="5" t="s">
        <v>22</v>
      </c>
      <c r="B45" s="5" t="s">
        <v>31</v>
      </c>
      <c r="C45" s="5" t="s">
        <v>126</v>
      </c>
      <c r="D45" s="6" t="s">
        <v>115</v>
      </c>
      <c r="E45" s="5" t="s">
        <v>19</v>
      </c>
      <c r="F45" s="5" t="s">
        <v>27</v>
      </c>
      <c r="G45" s="5">
        <v>65380.0</v>
      </c>
      <c r="H45" s="5">
        <v>208.0</v>
      </c>
      <c r="I45" s="5">
        <v>30039.0</v>
      </c>
      <c r="J45" s="5">
        <v>60482.0</v>
      </c>
      <c r="K45" s="5">
        <v>5.0</v>
      </c>
      <c r="L45" s="9">
        <v>2905.884162</v>
      </c>
      <c r="M45" s="15">
        <f t="shared" si="1"/>
        <v>581.1768324</v>
      </c>
      <c r="N45" s="16">
        <f t="shared" si="2"/>
        <v>0.00318140104</v>
      </c>
    </row>
    <row r="46">
      <c r="A46" s="5" t="s">
        <v>15</v>
      </c>
      <c r="B46" s="5" t="s">
        <v>42</v>
      </c>
      <c r="C46" s="5" t="s">
        <v>17</v>
      </c>
      <c r="D46" s="6" t="s">
        <v>115</v>
      </c>
      <c r="E46" s="5" t="s">
        <v>19</v>
      </c>
      <c r="F46" s="5" t="s">
        <v>27</v>
      </c>
      <c r="G46" s="5">
        <v>130796.0</v>
      </c>
      <c r="H46" s="5">
        <v>300.0</v>
      </c>
      <c r="I46" s="5">
        <v>109118.0</v>
      </c>
      <c r="J46" s="5">
        <v>122937.0</v>
      </c>
      <c r="K46" s="5">
        <v>6.0</v>
      </c>
      <c r="L46" s="9">
        <v>2196.661232</v>
      </c>
      <c r="M46" s="15">
        <f t="shared" si="1"/>
        <v>366.1102053</v>
      </c>
      <c r="N46" s="16">
        <f t="shared" si="2"/>
        <v>0.002293648124</v>
      </c>
    </row>
    <row r="47">
      <c r="A47" s="5" t="s">
        <v>15</v>
      </c>
      <c r="B47" s="5" t="s">
        <v>42</v>
      </c>
      <c r="C47" s="5" t="s">
        <v>35</v>
      </c>
      <c r="D47" s="6" t="s">
        <v>115</v>
      </c>
      <c r="E47" s="5" t="s">
        <v>36</v>
      </c>
      <c r="F47" s="5" t="s">
        <v>27</v>
      </c>
      <c r="G47" s="5">
        <v>210096.0</v>
      </c>
      <c r="H47" s="5">
        <v>590.0</v>
      </c>
      <c r="I47" s="5">
        <v>90928.0</v>
      </c>
      <c r="J47" s="5">
        <v>184823.0</v>
      </c>
      <c r="K47" s="5">
        <v>4.0</v>
      </c>
      <c r="L47" s="9">
        <v>2027.431388</v>
      </c>
      <c r="M47" s="15">
        <f t="shared" si="1"/>
        <v>506.857847</v>
      </c>
      <c r="N47" s="16">
        <f t="shared" si="2"/>
        <v>0.002808240043</v>
      </c>
    </row>
    <row r="48">
      <c r="A48" s="5" t="s">
        <v>22</v>
      </c>
      <c r="B48" s="5" t="s">
        <v>16</v>
      </c>
      <c r="C48" s="5" t="s">
        <v>131</v>
      </c>
      <c r="D48" s="6" t="s">
        <v>115</v>
      </c>
      <c r="E48" s="5" t="s">
        <v>19</v>
      </c>
      <c r="F48" s="5" t="s">
        <v>27</v>
      </c>
      <c r="G48" s="5">
        <v>77313.0</v>
      </c>
      <c r="H48" s="5">
        <v>191.0</v>
      </c>
      <c r="I48" s="5">
        <v>40366.0</v>
      </c>
      <c r="J48" s="5">
        <v>71128.0</v>
      </c>
      <c r="K48" s="5">
        <v>3.0</v>
      </c>
      <c r="L48" s="9">
        <v>1790.390198</v>
      </c>
      <c r="M48" s="15">
        <f t="shared" si="1"/>
        <v>596.7967327</v>
      </c>
      <c r="N48" s="16">
        <f t="shared" si="2"/>
        <v>0.002470477151</v>
      </c>
    </row>
    <row r="49">
      <c r="A49" s="5" t="s">
        <v>15</v>
      </c>
      <c r="B49" s="5" t="s">
        <v>42</v>
      </c>
      <c r="C49" s="5" t="s">
        <v>84</v>
      </c>
      <c r="D49" s="6" t="s">
        <v>115</v>
      </c>
      <c r="E49" s="5" t="s">
        <v>36</v>
      </c>
      <c r="F49" s="5" t="s">
        <v>27</v>
      </c>
      <c r="G49" s="5">
        <v>188170.0</v>
      </c>
      <c r="H49" s="5">
        <v>490.0</v>
      </c>
      <c r="I49" s="5">
        <v>155266.0</v>
      </c>
      <c r="J49" s="5">
        <v>176562.0</v>
      </c>
      <c r="K49" s="5">
        <v>6.0</v>
      </c>
      <c r="L49" s="9">
        <v>1599.715069</v>
      </c>
      <c r="M49" s="15">
        <f t="shared" si="1"/>
        <v>266.6191782</v>
      </c>
      <c r="N49" s="16">
        <f t="shared" si="2"/>
        <v>0.002604028272</v>
      </c>
    </row>
    <row r="50">
      <c r="A50" s="5" t="s">
        <v>22</v>
      </c>
      <c r="B50" s="5" t="s">
        <v>42</v>
      </c>
      <c r="C50" s="5" t="s">
        <v>39</v>
      </c>
      <c r="D50" s="6" t="s">
        <v>138</v>
      </c>
      <c r="E50" s="5" t="s">
        <v>19</v>
      </c>
      <c r="F50" s="5" t="s">
        <v>27</v>
      </c>
      <c r="G50" s="5">
        <v>10779.0</v>
      </c>
      <c r="H50" s="5">
        <v>86.0</v>
      </c>
      <c r="I50" s="5">
        <v>6420.0</v>
      </c>
      <c r="J50" s="5">
        <v>10287.0</v>
      </c>
      <c r="K50" s="5">
        <v>3.0</v>
      </c>
      <c r="L50" s="9">
        <v>1759.704833</v>
      </c>
      <c r="M50" s="15">
        <f t="shared" si="1"/>
        <v>586.5682777</v>
      </c>
      <c r="N50" s="16">
        <f t="shared" si="2"/>
        <v>0.007978476668</v>
      </c>
    </row>
    <row r="51">
      <c r="A51" s="5" t="s">
        <v>22</v>
      </c>
      <c r="B51" s="5" t="s">
        <v>16</v>
      </c>
      <c r="C51" s="5" t="s">
        <v>55</v>
      </c>
      <c r="D51" s="6" t="s">
        <v>140</v>
      </c>
      <c r="E51" s="5" t="s">
        <v>19</v>
      </c>
      <c r="F51" s="5" t="s">
        <v>27</v>
      </c>
      <c r="G51" s="5">
        <v>11325.0</v>
      </c>
      <c r="H51" s="5">
        <v>88.0</v>
      </c>
      <c r="I51" s="5">
        <v>6186.0</v>
      </c>
      <c r="J51" s="5">
        <v>10612.0</v>
      </c>
      <c r="K51" s="5">
        <v>2.0</v>
      </c>
      <c r="L51" s="9">
        <v>1573.25409</v>
      </c>
      <c r="M51" s="15">
        <f t="shared" si="1"/>
        <v>786.627045</v>
      </c>
      <c r="N51" s="16">
        <f t="shared" si="2"/>
        <v>0.007770419426</v>
      </c>
    </row>
    <row r="52">
      <c r="A52" s="5" t="s">
        <v>22</v>
      </c>
      <c r="B52" s="5" t="s">
        <v>16</v>
      </c>
      <c r="C52" s="5" t="s">
        <v>142</v>
      </c>
      <c r="D52" s="6" t="s">
        <v>143</v>
      </c>
      <c r="E52" s="5" t="s">
        <v>48</v>
      </c>
      <c r="F52" s="5" t="s">
        <v>27</v>
      </c>
      <c r="G52" s="5">
        <v>9078.0</v>
      </c>
      <c r="H52" s="5">
        <v>21.0</v>
      </c>
      <c r="I52" s="5">
        <v>4051.0</v>
      </c>
      <c r="J52" s="5">
        <v>6215.0</v>
      </c>
      <c r="K52" s="5">
        <v>1.0</v>
      </c>
      <c r="L52" s="9">
        <v>1700.795736</v>
      </c>
      <c r="M52" s="15">
        <f t="shared" si="1"/>
        <v>1700.795736</v>
      </c>
      <c r="N52" s="16">
        <f t="shared" si="2"/>
        <v>0.002313284865</v>
      </c>
    </row>
    <row r="53">
      <c r="A53" s="5" t="s">
        <v>22</v>
      </c>
      <c r="B53" s="5" t="s">
        <v>42</v>
      </c>
      <c r="C53" s="5" t="s">
        <v>29</v>
      </c>
      <c r="D53" s="6" t="s">
        <v>145</v>
      </c>
      <c r="E53" s="5" t="s">
        <v>19</v>
      </c>
      <c r="F53" s="5" t="s">
        <v>27</v>
      </c>
      <c r="G53" s="5">
        <v>11511.0</v>
      </c>
      <c r="H53" s="5">
        <v>33.0</v>
      </c>
      <c r="I53" s="5">
        <v>8268.0</v>
      </c>
      <c r="J53" s="5">
        <v>11042.0</v>
      </c>
      <c r="K53" s="5">
        <v>3.0</v>
      </c>
      <c r="L53" s="9">
        <v>6815.712325</v>
      </c>
      <c r="M53" s="15">
        <f t="shared" si="1"/>
        <v>2271.904108</v>
      </c>
      <c r="N53" s="16">
        <f t="shared" si="2"/>
        <v>0.002866823039</v>
      </c>
    </row>
    <row r="54">
      <c r="A54" s="5" t="s">
        <v>22</v>
      </c>
      <c r="B54" s="5" t="s">
        <v>23</v>
      </c>
      <c r="C54" s="5" t="s">
        <v>147</v>
      </c>
      <c r="D54" s="6" t="s">
        <v>145</v>
      </c>
      <c r="E54" s="5" t="s">
        <v>46</v>
      </c>
      <c r="F54" s="5" t="s">
        <v>27</v>
      </c>
      <c r="G54" s="5">
        <v>14047.0</v>
      </c>
      <c r="H54" s="5">
        <v>44.0</v>
      </c>
      <c r="I54" s="5">
        <v>9934.0</v>
      </c>
      <c r="J54" s="5">
        <v>13377.0</v>
      </c>
      <c r="K54" s="5">
        <v>7.0</v>
      </c>
      <c r="L54" s="9">
        <v>5729.650755</v>
      </c>
      <c r="M54" s="15">
        <f t="shared" si="1"/>
        <v>818.5215364</v>
      </c>
      <c r="N54" s="16">
        <f t="shared" si="2"/>
        <v>0.003132341425</v>
      </c>
    </row>
    <row r="55">
      <c r="A55" s="5" t="s">
        <v>15</v>
      </c>
      <c r="B55" s="5" t="s">
        <v>31</v>
      </c>
      <c r="C55" s="5" t="s">
        <v>17</v>
      </c>
      <c r="D55" s="6" t="s">
        <v>145</v>
      </c>
      <c r="E55" s="5" t="s">
        <v>46</v>
      </c>
      <c r="F55" s="5" t="s">
        <v>27</v>
      </c>
      <c r="G55" s="5">
        <v>20278.0</v>
      </c>
      <c r="H55" s="5">
        <v>74.0</v>
      </c>
      <c r="I55" s="5">
        <v>14227.0</v>
      </c>
      <c r="J55" s="5">
        <v>19480.0</v>
      </c>
      <c r="K55" s="5">
        <v>3.0</v>
      </c>
      <c r="L55" s="9">
        <v>2921.110207</v>
      </c>
      <c r="M55" s="15">
        <f t="shared" si="1"/>
        <v>973.7034023</v>
      </c>
      <c r="N55" s="16">
        <f t="shared" si="2"/>
        <v>0.003649275076</v>
      </c>
    </row>
    <row r="56">
      <c r="A56" s="5" t="s">
        <v>22</v>
      </c>
      <c r="B56" s="5" t="s">
        <v>31</v>
      </c>
      <c r="C56" s="5" t="s">
        <v>150</v>
      </c>
      <c r="D56" s="6" t="s">
        <v>145</v>
      </c>
      <c r="E56" s="5" t="s">
        <v>36</v>
      </c>
      <c r="F56" s="5" t="s">
        <v>27</v>
      </c>
      <c r="G56" s="5">
        <v>12354.0</v>
      </c>
      <c r="H56" s="5">
        <v>10.0</v>
      </c>
      <c r="I56" s="5">
        <v>8561.0</v>
      </c>
      <c r="J56" s="5">
        <v>11782.0</v>
      </c>
      <c r="K56" s="5">
        <v>5.0</v>
      </c>
      <c r="L56" s="9">
        <v>1808.307918</v>
      </c>
      <c r="M56" s="15">
        <f t="shared" si="1"/>
        <v>361.6615836</v>
      </c>
      <c r="N56" s="16">
        <f t="shared" si="2"/>
        <v>0.0008094544277</v>
      </c>
    </row>
    <row r="57">
      <c r="A57" s="5" t="s">
        <v>15</v>
      </c>
      <c r="B57" s="5" t="s">
        <v>16</v>
      </c>
      <c r="C57" s="5" t="s">
        <v>35</v>
      </c>
      <c r="D57" s="6" t="s">
        <v>145</v>
      </c>
      <c r="E57" s="5" t="s">
        <v>19</v>
      </c>
      <c r="F57" s="5" t="s">
        <v>27</v>
      </c>
      <c r="G57" s="5">
        <v>13132.0</v>
      </c>
      <c r="H57" s="5">
        <v>67.0</v>
      </c>
      <c r="I57" s="5">
        <v>6133.0</v>
      </c>
      <c r="J57" s="5">
        <v>12377.0</v>
      </c>
      <c r="K57" s="5">
        <v>4.0</v>
      </c>
      <c r="L57" s="9">
        <v>1807.693142</v>
      </c>
      <c r="M57" s="15">
        <f t="shared" si="1"/>
        <v>451.9232855</v>
      </c>
      <c r="N57" s="16">
        <f t="shared" si="2"/>
        <v>0.005102040816</v>
      </c>
    </row>
    <row r="58">
      <c r="A58" s="5" t="s">
        <v>15</v>
      </c>
      <c r="B58" s="5" t="s">
        <v>42</v>
      </c>
      <c r="C58" s="5" t="s">
        <v>95</v>
      </c>
      <c r="D58" s="6" t="s">
        <v>153</v>
      </c>
      <c r="E58" s="5" t="s">
        <v>136</v>
      </c>
      <c r="F58" s="5" t="s">
        <v>27</v>
      </c>
      <c r="G58" s="5">
        <v>35034.0</v>
      </c>
      <c r="H58" s="5">
        <v>145.0</v>
      </c>
      <c r="I58" s="5">
        <v>13904.0</v>
      </c>
      <c r="J58" s="5">
        <v>34123.0</v>
      </c>
      <c r="K58" s="5">
        <v>3.0</v>
      </c>
      <c r="L58" s="9">
        <v>2141.469346</v>
      </c>
      <c r="M58" s="15">
        <f t="shared" si="1"/>
        <v>713.8231153</v>
      </c>
      <c r="N58" s="16">
        <f t="shared" si="2"/>
        <v>0.004138836559</v>
      </c>
    </row>
    <row r="59">
      <c r="A59" s="5" t="s">
        <v>61</v>
      </c>
      <c r="B59" s="5" t="s">
        <v>16</v>
      </c>
      <c r="C59" s="5" t="s">
        <v>155</v>
      </c>
      <c r="D59" s="13" t="s">
        <v>1130</v>
      </c>
      <c r="E59" s="5" t="s">
        <v>19</v>
      </c>
      <c r="F59" s="5" t="s">
        <v>27</v>
      </c>
      <c r="G59" s="5">
        <v>9946.0</v>
      </c>
      <c r="H59" s="5">
        <v>20.0</v>
      </c>
      <c r="I59" s="5">
        <v>4818.0</v>
      </c>
      <c r="J59" s="5">
        <v>7382.0</v>
      </c>
      <c r="K59" s="5">
        <v>3.0</v>
      </c>
      <c r="L59" s="9">
        <v>1525.962329</v>
      </c>
      <c r="M59" s="15">
        <f t="shared" si="1"/>
        <v>508.6541097</v>
      </c>
      <c r="N59" s="16">
        <f t="shared" si="2"/>
        <v>0.002010858637</v>
      </c>
    </row>
    <row r="60">
      <c r="A60" s="5" t="s">
        <v>22</v>
      </c>
      <c r="B60" s="5" t="s">
        <v>16</v>
      </c>
      <c r="C60" s="5" t="s">
        <v>55</v>
      </c>
      <c r="D60" s="6" t="s">
        <v>158</v>
      </c>
      <c r="E60" s="5" t="s">
        <v>19</v>
      </c>
      <c r="F60" s="5" t="s">
        <v>27</v>
      </c>
      <c r="G60" s="5">
        <v>8068.0</v>
      </c>
      <c r="H60" s="5">
        <v>10.0</v>
      </c>
      <c r="I60" s="5">
        <v>5545.0</v>
      </c>
      <c r="J60" s="5">
        <v>7554.0</v>
      </c>
      <c r="K60" s="5">
        <v>1.0</v>
      </c>
      <c r="L60" s="9">
        <v>5995.041002</v>
      </c>
      <c r="M60" s="15">
        <f t="shared" si="1"/>
        <v>5995.041002</v>
      </c>
      <c r="N60" s="16">
        <f t="shared" si="2"/>
        <v>0.001239464551</v>
      </c>
    </row>
    <row r="61">
      <c r="A61" s="5" t="s">
        <v>22</v>
      </c>
      <c r="B61" s="5" t="s">
        <v>16</v>
      </c>
      <c r="C61" s="5" t="s">
        <v>39</v>
      </c>
      <c r="D61" s="13" t="s">
        <v>1132</v>
      </c>
      <c r="E61" s="5" t="s">
        <v>161</v>
      </c>
      <c r="F61" s="5" t="s">
        <v>27</v>
      </c>
      <c r="G61" s="5">
        <v>11919.0</v>
      </c>
      <c r="H61" s="5">
        <v>69.0</v>
      </c>
      <c r="I61" s="5">
        <v>8100.0</v>
      </c>
      <c r="J61" s="5">
        <v>11524.0</v>
      </c>
      <c r="K61" s="5">
        <v>2.0</v>
      </c>
      <c r="L61" s="9">
        <v>6350.916905</v>
      </c>
      <c r="M61" s="15">
        <f t="shared" si="1"/>
        <v>3175.458453</v>
      </c>
      <c r="N61" s="16">
        <f t="shared" si="2"/>
        <v>0.005789076265</v>
      </c>
    </row>
    <row r="62">
      <c r="A62" s="5" t="s">
        <v>22</v>
      </c>
      <c r="B62" s="5" t="s">
        <v>23</v>
      </c>
      <c r="C62" s="5" t="s">
        <v>55</v>
      </c>
      <c r="D62" s="13" t="s">
        <v>1132</v>
      </c>
      <c r="E62" s="5" t="s">
        <v>19</v>
      </c>
      <c r="F62" s="5" t="s">
        <v>27</v>
      </c>
      <c r="G62" s="5">
        <v>35163.0</v>
      </c>
      <c r="H62" s="5">
        <v>250.0</v>
      </c>
      <c r="I62" s="5">
        <v>21222.0</v>
      </c>
      <c r="J62" s="5">
        <v>33671.0</v>
      </c>
      <c r="K62" s="5">
        <v>15.0</v>
      </c>
      <c r="L62" s="9">
        <v>6336.7181</v>
      </c>
      <c r="M62" s="15">
        <f t="shared" si="1"/>
        <v>422.4478733</v>
      </c>
      <c r="N62" s="16">
        <f t="shared" si="2"/>
        <v>0.00710974604</v>
      </c>
    </row>
    <row r="63">
      <c r="A63" s="5" t="s">
        <v>22</v>
      </c>
      <c r="B63" s="5" t="s">
        <v>16</v>
      </c>
      <c r="C63" s="5" t="s">
        <v>17</v>
      </c>
      <c r="D63" s="13" t="s">
        <v>1132</v>
      </c>
      <c r="E63" s="5" t="s">
        <v>19</v>
      </c>
      <c r="F63" s="5" t="s">
        <v>27</v>
      </c>
      <c r="G63" s="5">
        <v>59782.0</v>
      </c>
      <c r="H63" s="5">
        <v>212.0</v>
      </c>
      <c r="I63" s="5">
        <v>28235.0</v>
      </c>
      <c r="J63" s="5">
        <v>57543.0</v>
      </c>
      <c r="K63" s="5">
        <v>13.0</v>
      </c>
      <c r="L63" s="9">
        <v>1455.703554</v>
      </c>
      <c r="M63" s="15">
        <f t="shared" si="1"/>
        <v>111.9771965</v>
      </c>
      <c r="N63" s="16">
        <f t="shared" si="2"/>
        <v>0.003546217925</v>
      </c>
    </row>
    <row r="64">
      <c r="A64" s="5" t="s">
        <v>15</v>
      </c>
      <c r="B64" s="5" t="s">
        <v>16</v>
      </c>
      <c r="C64" s="5" t="s">
        <v>35</v>
      </c>
      <c r="D64" s="6" t="s">
        <v>166</v>
      </c>
      <c r="E64" s="5" t="s">
        <v>161</v>
      </c>
      <c r="F64" s="5" t="s">
        <v>27</v>
      </c>
      <c r="G64" s="5">
        <v>11296.0</v>
      </c>
      <c r="H64" s="5">
        <v>54.0</v>
      </c>
      <c r="I64" s="5">
        <v>6822.0</v>
      </c>
      <c r="J64" s="5">
        <v>9274.0</v>
      </c>
      <c r="K64" s="5">
        <v>4.0</v>
      </c>
      <c r="L64" s="9">
        <v>1682.338499</v>
      </c>
      <c r="M64" s="15">
        <f t="shared" si="1"/>
        <v>420.5846248</v>
      </c>
      <c r="N64" s="16">
        <f t="shared" si="2"/>
        <v>0.004780453258</v>
      </c>
    </row>
    <row r="65">
      <c r="A65" s="5" t="s">
        <v>22</v>
      </c>
      <c r="B65" s="5" t="s">
        <v>31</v>
      </c>
      <c r="C65" s="5" t="s">
        <v>39</v>
      </c>
      <c r="D65" s="6" t="s">
        <v>170</v>
      </c>
      <c r="E65" s="5" t="s">
        <v>19</v>
      </c>
      <c r="F65" s="5" t="s">
        <v>27</v>
      </c>
      <c r="G65" s="5">
        <v>18633.0</v>
      </c>
      <c r="H65" s="5">
        <v>60.0</v>
      </c>
      <c r="I65" s="5">
        <v>9424.0</v>
      </c>
      <c r="J65" s="5">
        <v>18087.0</v>
      </c>
      <c r="K65" s="5">
        <v>15.0</v>
      </c>
      <c r="L65" s="9">
        <v>6785.063293</v>
      </c>
      <c r="M65" s="15">
        <f t="shared" si="1"/>
        <v>452.3375529</v>
      </c>
      <c r="N65" s="16">
        <f t="shared" si="2"/>
        <v>0.003220093383</v>
      </c>
    </row>
    <row r="66">
      <c r="A66" s="5" t="s">
        <v>22</v>
      </c>
      <c r="B66" s="5" t="s">
        <v>42</v>
      </c>
      <c r="C66" s="5" t="s">
        <v>78</v>
      </c>
      <c r="D66" s="6" t="s">
        <v>170</v>
      </c>
      <c r="E66" s="5" t="s">
        <v>26</v>
      </c>
      <c r="F66" s="5" t="s">
        <v>27</v>
      </c>
      <c r="G66" s="5">
        <v>37176.0</v>
      </c>
      <c r="H66" s="5">
        <v>100.0</v>
      </c>
      <c r="I66" s="5">
        <v>31829.0</v>
      </c>
      <c r="J66" s="5">
        <v>35639.0</v>
      </c>
      <c r="K66" s="5">
        <v>21.0</v>
      </c>
      <c r="L66" s="9">
        <v>6753.595242</v>
      </c>
      <c r="M66" s="15">
        <f t="shared" si="1"/>
        <v>321.5997734</v>
      </c>
      <c r="N66" s="16">
        <f t="shared" si="2"/>
        <v>0.002689907467</v>
      </c>
    </row>
    <row r="67">
      <c r="A67" s="5" t="s">
        <v>22</v>
      </c>
      <c r="B67" s="5" t="s">
        <v>42</v>
      </c>
      <c r="C67" s="5" t="s">
        <v>173</v>
      </c>
      <c r="D67" s="6" t="s">
        <v>170</v>
      </c>
      <c r="E67" s="5" t="s">
        <v>19</v>
      </c>
      <c r="F67" s="5" t="s">
        <v>27</v>
      </c>
      <c r="G67" s="5">
        <v>29251.0</v>
      </c>
      <c r="H67" s="5">
        <v>95.0</v>
      </c>
      <c r="I67" s="5">
        <v>25060.0</v>
      </c>
      <c r="J67" s="5">
        <v>28038.0</v>
      </c>
      <c r="K67" s="5">
        <v>8.0</v>
      </c>
      <c r="L67" s="9">
        <v>5994.746834</v>
      </c>
      <c r="M67" s="15">
        <f t="shared" si="1"/>
        <v>749.3433543</v>
      </c>
      <c r="N67" s="16">
        <f t="shared" si="2"/>
        <v>0.003247752214</v>
      </c>
    </row>
    <row r="68">
      <c r="A68" s="5" t="s">
        <v>22</v>
      </c>
      <c r="B68" s="5" t="s">
        <v>16</v>
      </c>
      <c r="C68" s="5" t="s">
        <v>175</v>
      </c>
      <c r="D68" s="6" t="s">
        <v>170</v>
      </c>
      <c r="E68" s="5" t="s">
        <v>117</v>
      </c>
      <c r="F68" s="5" t="s">
        <v>27</v>
      </c>
      <c r="G68" s="5">
        <v>36431.0</v>
      </c>
      <c r="H68" s="5">
        <v>108.0</v>
      </c>
      <c r="I68" s="5">
        <v>31262.0</v>
      </c>
      <c r="J68" s="5">
        <v>35043.0</v>
      </c>
      <c r="K68" s="5">
        <v>11.0</v>
      </c>
      <c r="L68" s="9">
        <v>3285.834522</v>
      </c>
      <c r="M68" s="15">
        <f t="shared" si="1"/>
        <v>298.7122293</v>
      </c>
      <c r="N68" s="16">
        <f t="shared" si="2"/>
        <v>0.002964508248</v>
      </c>
    </row>
    <row r="69">
      <c r="A69" s="5" t="s">
        <v>15</v>
      </c>
      <c r="B69" s="5" t="s">
        <v>31</v>
      </c>
      <c r="C69" s="5" t="s">
        <v>35</v>
      </c>
      <c r="D69" s="6" t="s">
        <v>170</v>
      </c>
      <c r="E69" s="5" t="s">
        <v>26</v>
      </c>
      <c r="F69" s="5" t="s">
        <v>27</v>
      </c>
      <c r="G69" s="5">
        <v>22004.0</v>
      </c>
      <c r="H69" s="5">
        <v>80.0</v>
      </c>
      <c r="I69" s="5">
        <v>18735.0</v>
      </c>
      <c r="J69" s="5">
        <v>21127.0</v>
      </c>
      <c r="K69" s="5">
        <v>4.0</v>
      </c>
      <c r="L69" s="9">
        <v>1632.472782</v>
      </c>
      <c r="M69" s="15">
        <f t="shared" si="1"/>
        <v>408.1181955</v>
      </c>
      <c r="N69" s="16">
        <f t="shared" si="2"/>
        <v>0.0036357026</v>
      </c>
    </row>
    <row r="70">
      <c r="A70" s="5" t="s">
        <v>22</v>
      </c>
      <c r="B70" s="5" t="s">
        <v>23</v>
      </c>
      <c r="C70" s="5" t="s">
        <v>173</v>
      </c>
      <c r="D70" s="13" t="s">
        <v>1150</v>
      </c>
      <c r="E70" s="5" t="s">
        <v>50</v>
      </c>
      <c r="F70" s="5" t="s">
        <v>27</v>
      </c>
      <c r="G70" s="5">
        <v>16644.0</v>
      </c>
      <c r="H70" s="5">
        <v>10.0</v>
      </c>
      <c r="I70" s="5">
        <v>5055.0</v>
      </c>
      <c r="J70" s="5">
        <v>15831.0</v>
      </c>
      <c r="K70" s="5">
        <v>5.0</v>
      </c>
      <c r="L70" s="9">
        <v>6386.464232</v>
      </c>
      <c r="M70" s="15">
        <f t="shared" si="1"/>
        <v>1277.292846</v>
      </c>
      <c r="N70" s="16">
        <f t="shared" si="2"/>
        <v>0.0006008171113</v>
      </c>
    </row>
    <row r="71">
      <c r="A71" s="5" t="s">
        <v>22</v>
      </c>
      <c r="B71" s="5" t="s">
        <v>31</v>
      </c>
      <c r="C71" s="5" t="s">
        <v>142</v>
      </c>
      <c r="D71" s="13" t="s">
        <v>1150</v>
      </c>
      <c r="E71" s="5" t="s">
        <v>117</v>
      </c>
      <c r="F71" s="5" t="s">
        <v>27</v>
      </c>
      <c r="G71" s="5">
        <v>45285.0</v>
      </c>
      <c r="H71" s="5">
        <v>190.0</v>
      </c>
      <c r="I71" s="5">
        <v>30225.0</v>
      </c>
      <c r="J71" s="5">
        <v>43298.0</v>
      </c>
      <c r="K71" s="5">
        <v>11.0</v>
      </c>
      <c r="L71" s="9">
        <v>4728.012406</v>
      </c>
      <c r="M71" s="15">
        <f t="shared" si="1"/>
        <v>429.8193096</v>
      </c>
      <c r="N71" s="16">
        <f t="shared" si="2"/>
        <v>0.004195649774</v>
      </c>
    </row>
    <row r="72">
      <c r="A72" s="5" t="s">
        <v>22</v>
      </c>
      <c r="B72" s="5" t="s">
        <v>16</v>
      </c>
      <c r="C72" s="5" t="s">
        <v>181</v>
      </c>
      <c r="D72" s="13" t="s">
        <v>1150</v>
      </c>
      <c r="E72" s="5" t="s">
        <v>117</v>
      </c>
      <c r="F72" s="5" t="s">
        <v>27</v>
      </c>
      <c r="G72" s="5">
        <v>16227.0</v>
      </c>
      <c r="H72" s="5">
        <v>40.0</v>
      </c>
      <c r="I72" s="5">
        <v>9438.0</v>
      </c>
      <c r="J72" s="5">
        <v>15611.0</v>
      </c>
      <c r="K72" s="5">
        <v>3.0</v>
      </c>
      <c r="L72" s="9">
        <v>1991.94384</v>
      </c>
      <c r="M72" s="15">
        <f t="shared" si="1"/>
        <v>663.98128</v>
      </c>
      <c r="N72" s="16">
        <f t="shared" si="2"/>
        <v>0.002465027423</v>
      </c>
    </row>
    <row r="73">
      <c r="A73" s="5" t="s">
        <v>15</v>
      </c>
      <c r="B73" s="5" t="s">
        <v>31</v>
      </c>
      <c r="C73" s="5" t="s">
        <v>183</v>
      </c>
      <c r="D73" s="13" t="s">
        <v>1150</v>
      </c>
      <c r="E73" s="5" t="s">
        <v>184</v>
      </c>
      <c r="F73" s="5" t="s">
        <v>27</v>
      </c>
      <c r="G73" s="5">
        <v>7409.0</v>
      </c>
      <c r="H73" s="5">
        <v>10.0</v>
      </c>
      <c r="I73" s="5">
        <v>5009.0</v>
      </c>
      <c r="J73" s="5">
        <v>7160.0</v>
      </c>
      <c r="K73" s="5">
        <v>12.0</v>
      </c>
      <c r="L73" s="9">
        <v>1472.110115</v>
      </c>
      <c r="M73" s="15">
        <f t="shared" si="1"/>
        <v>122.6758429</v>
      </c>
      <c r="N73" s="16">
        <f t="shared" si="2"/>
        <v>0.001349709812</v>
      </c>
    </row>
    <row r="74">
      <c r="A74" s="5" t="s">
        <v>22</v>
      </c>
      <c r="B74" s="5" t="s">
        <v>23</v>
      </c>
      <c r="C74" s="5" t="s">
        <v>32</v>
      </c>
      <c r="D74" s="6" t="s">
        <v>186</v>
      </c>
      <c r="E74" s="5" t="s">
        <v>19</v>
      </c>
      <c r="F74" s="5" t="s">
        <v>27</v>
      </c>
      <c r="G74" s="5">
        <v>17582.0</v>
      </c>
      <c r="H74" s="5">
        <v>56.0</v>
      </c>
      <c r="I74" s="5">
        <v>9848.0</v>
      </c>
      <c r="J74" s="5">
        <v>16558.0</v>
      </c>
      <c r="K74" s="5">
        <v>12.0</v>
      </c>
      <c r="L74" s="9">
        <v>6846.447915</v>
      </c>
      <c r="M74" s="15">
        <f t="shared" si="1"/>
        <v>570.5373263</v>
      </c>
      <c r="N74" s="16">
        <f t="shared" si="2"/>
        <v>0.003185075646</v>
      </c>
    </row>
    <row r="75">
      <c r="A75" s="5" t="s">
        <v>22</v>
      </c>
      <c r="B75" s="5" t="s">
        <v>31</v>
      </c>
      <c r="C75" s="5" t="s">
        <v>39</v>
      </c>
      <c r="D75" s="6" t="s">
        <v>186</v>
      </c>
      <c r="E75" s="5" t="s">
        <v>191</v>
      </c>
      <c r="F75" s="5" t="s">
        <v>27</v>
      </c>
      <c r="G75" s="5">
        <v>66554.0</v>
      </c>
      <c r="H75" s="5">
        <v>169.0</v>
      </c>
      <c r="I75" s="5">
        <v>39206.0</v>
      </c>
      <c r="J75" s="5">
        <v>62109.0</v>
      </c>
      <c r="K75" s="5">
        <v>6.0</v>
      </c>
      <c r="L75" s="9">
        <v>1890.885935</v>
      </c>
      <c r="M75" s="15">
        <f t="shared" si="1"/>
        <v>315.1476558</v>
      </c>
      <c r="N75" s="16">
        <f t="shared" si="2"/>
        <v>0.002539291402</v>
      </c>
    </row>
    <row r="76">
      <c r="A76" s="5" t="s">
        <v>61</v>
      </c>
      <c r="B76" s="5" t="s">
        <v>16</v>
      </c>
      <c r="C76" s="5" t="s">
        <v>17</v>
      </c>
      <c r="D76" s="6" t="s">
        <v>186</v>
      </c>
      <c r="E76" s="5" t="s">
        <v>19</v>
      </c>
      <c r="F76" s="5" t="s">
        <v>27</v>
      </c>
      <c r="G76" s="5">
        <v>9730.0</v>
      </c>
      <c r="H76" s="5">
        <v>45.0</v>
      </c>
      <c r="I76" s="5">
        <v>2971.0</v>
      </c>
      <c r="J76" s="5">
        <v>5102.0</v>
      </c>
      <c r="K76" s="5">
        <v>3.0</v>
      </c>
      <c r="L76" s="9">
        <v>1778.937935</v>
      </c>
      <c r="M76" s="15">
        <f t="shared" si="1"/>
        <v>592.9793117</v>
      </c>
      <c r="N76" s="16">
        <f t="shared" si="2"/>
        <v>0.004624871531</v>
      </c>
    </row>
    <row r="77">
      <c r="A77" s="5" t="s">
        <v>61</v>
      </c>
      <c r="B77" s="5" t="s">
        <v>23</v>
      </c>
      <c r="C77" s="5" t="s">
        <v>24</v>
      </c>
      <c r="D77" s="6" t="s">
        <v>195</v>
      </c>
      <c r="E77" s="5" t="s">
        <v>26</v>
      </c>
      <c r="F77" s="5" t="s">
        <v>27</v>
      </c>
      <c r="G77" s="5">
        <v>8862.0</v>
      </c>
      <c r="H77" s="5">
        <v>30.0</v>
      </c>
      <c r="I77" s="5">
        <v>1359.0</v>
      </c>
      <c r="J77" s="5">
        <v>7114.0</v>
      </c>
      <c r="K77" s="5">
        <v>1.0</v>
      </c>
      <c r="L77" s="9">
        <v>1481.945157</v>
      </c>
      <c r="M77" s="15">
        <f t="shared" si="1"/>
        <v>1481.945157</v>
      </c>
      <c r="N77" s="16">
        <f t="shared" si="2"/>
        <v>0.003385240352</v>
      </c>
    </row>
    <row r="78">
      <c r="A78" s="5" t="s">
        <v>15</v>
      </c>
      <c r="B78" s="5" t="s">
        <v>42</v>
      </c>
      <c r="C78" s="5" t="s">
        <v>39</v>
      </c>
      <c r="D78" s="6" t="s">
        <v>197</v>
      </c>
      <c r="E78" s="5" t="s">
        <v>46</v>
      </c>
      <c r="F78" s="5" t="s">
        <v>27</v>
      </c>
      <c r="G78" s="5">
        <v>7229.0</v>
      </c>
      <c r="H78" s="5">
        <v>20.0</v>
      </c>
      <c r="I78" s="5">
        <v>5668.0</v>
      </c>
      <c r="J78" s="5">
        <v>6760.0</v>
      </c>
      <c r="K78" s="5">
        <v>3.0</v>
      </c>
      <c r="L78" s="9">
        <v>6812.588702</v>
      </c>
      <c r="M78" s="15">
        <f t="shared" si="1"/>
        <v>2270.862901</v>
      </c>
      <c r="N78" s="16">
        <f t="shared" si="2"/>
        <v>0.002766634389</v>
      </c>
    </row>
    <row r="79">
      <c r="A79" s="5" t="s">
        <v>22</v>
      </c>
      <c r="B79" s="5" t="s">
        <v>16</v>
      </c>
      <c r="C79" s="5" t="s">
        <v>95</v>
      </c>
      <c r="D79" s="6" t="s">
        <v>197</v>
      </c>
      <c r="E79" s="5" t="s">
        <v>46</v>
      </c>
      <c r="F79" s="5" t="s">
        <v>27</v>
      </c>
      <c r="G79" s="5">
        <v>115544.0</v>
      </c>
      <c r="H79" s="5">
        <v>412.0</v>
      </c>
      <c r="I79" s="5">
        <v>79182.0</v>
      </c>
      <c r="J79" s="5">
        <v>109463.0</v>
      </c>
      <c r="K79" s="5">
        <v>56.0</v>
      </c>
      <c r="L79" s="9">
        <v>6721.094453</v>
      </c>
      <c r="M79" s="15">
        <f t="shared" si="1"/>
        <v>120.0195438</v>
      </c>
      <c r="N79" s="16">
        <f t="shared" si="2"/>
        <v>0.00356574119</v>
      </c>
    </row>
    <row r="80">
      <c r="A80" s="5" t="s">
        <v>22</v>
      </c>
      <c r="B80" s="5" t="s">
        <v>16</v>
      </c>
      <c r="C80" s="5" t="s">
        <v>78</v>
      </c>
      <c r="D80" s="6" t="s">
        <v>197</v>
      </c>
      <c r="E80" s="5" t="s">
        <v>161</v>
      </c>
      <c r="F80" s="5" t="s">
        <v>27</v>
      </c>
      <c r="G80" s="5">
        <v>134847.0</v>
      </c>
      <c r="H80" s="5">
        <v>450.0</v>
      </c>
      <c r="I80" s="5">
        <v>104268.0</v>
      </c>
      <c r="J80" s="5">
        <v>128470.0</v>
      </c>
      <c r="K80" s="5">
        <v>125.0</v>
      </c>
      <c r="L80" s="9">
        <v>6040.595578</v>
      </c>
      <c r="M80" s="15">
        <f t="shared" si="1"/>
        <v>48.32476462</v>
      </c>
      <c r="N80" s="16">
        <f t="shared" si="2"/>
        <v>0.003337115397</v>
      </c>
    </row>
    <row r="81">
      <c r="A81" s="5" t="s">
        <v>22</v>
      </c>
      <c r="B81" s="5" t="s">
        <v>16</v>
      </c>
      <c r="C81" s="5" t="s">
        <v>95</v>
      </c>
      <c r="D81" s="6" t="s">
        <v>197</v>
      </c>
      <c r="E81" s="5" t="s">
        <v>46</v>
      </c>
      <c r="F81" s="5" t="s">
        <v>27</v>
      </c>
      <c r="G81" s="5">
        <v>35178.0</v>
      </c>
      <c r="H81" s="5">
        <v>155.0</v>
      </c>
      <c r="I81" s="5">
        <v>23374.0</v>
      </c>
      <c r="J81" s="5">
        <v>33779.0</v>
      </c>
      <c r="K81" s="5">
        <v>8.0</v>
      </c>
      <c r="L81" s="9">
        <v>5738.809089</v>
      </c>
      <c r="M81" s="15">
        <f t="shared" si="1"/>
        <v>717.3511361</v>
      </c>
      <c r="N81" s="16">
        <f t="shared" si="2"/>
        <v>0.004406162943</v>
      </c>
    </row>
    <row r="82">
      <c r="A82" s="5" t="s">
        <v>22</v>
      </c>
      <c r="B82" s="5" t="s">
        <v>16</v>
      </c>
      <c r="C82" s="5" t="s">
        <v>17</v>
      </c>
      <c r="D82" s="6" t="s">
        <v>197</v>
      </c>
      <c r="E82" s="5" t="s">
        <v>19</v>
      </c>
      <c r="F82" s="5" t="s">
        <v>27</v>
      </c>
      <c r="G82" s="5">
        <v>43117.0</v>
      </c>
      <c r="H82" s="5">
        <v>100.0</v>
      </c>
      <c r="I82" s="5">
        <v>6478.0</v>
      </c>
      <c r="J82" s="5">
        <v>27405.0</v>
      </c>
      <c r="K82" s="5">
        <v>8.0</v>
      </c>
      <c r="L82" s="9">
        <v>4250.430439</v>
      </c>
      <c r="M82" s="15">
        <f t="shared" si="1"/>
        <v>531.3038049</v>
      </c>
      <c r="N82" s="16">
        <f t="shared" si="2"/>
        <v>0.002319270821</v>
      </c>
    </row>
    <row r="83">
      <c r="A83" s="5" t="s">
        <v>15</v>
      </c>
      <c r="B83" s="5" t="s">
        <v>42</v>
      </c>
      <c r="C83" s="5" t="s">
        <v>204</v>
      </c>
      <c r="D83" s="6" t="s">
        <v>197</v>
      </c>
      <c r="E83" s="5" t="s">
        <v>46</v>
      </c>
      <c r="F83" s="5" t="s">
        <v>27</v>
      </c>
      <c r="G83" s="5">
        <v>510778.0</v>
      </c>
      <c r="H83" s="5">
        <v>1290.0</v>
      </c>
      <c r="I83" s="5">
        <v>70777.0</v>
      </c>
      <c r="J83" s="5">
        <v>436133.0</v>
      </c>
      <c r="K83" s="5">
        <v>6.0</v>
      </c>
      <c r="L83" s="9">
        <v>3870.253867</v>
      </c>
      <c r="M83" s="15">
        <f t="shared" si="1"/>
        <v>645.0423112</v>
      </c>
      <c r="N83" s="16">
        <f t="shared" si="2"/>
        <v>0.002525559049</v>
      </c>
    </row>
    <row r="84">
      <c r="A84" s="5" t="s">
        <v>15</v>
      </c>
      <c r="B84" s="5" t="s">
        <v>23</v>
      </c>
      <c r="C84" s="5" t="s">
        <v>29</v>
      </c>
      <c r="D84" s="6" t="s">
        <v>197</v>
      </c>
      <c r="E84" s="5" t="s">
        <v>26</v>
      </c>
      <c r="F84" s="5" t="s">
        <v>27</v>
      </c>
      <c r="G84" s="5">
        <v>13700.0</v>
      </c>
      <c r="H84" s="5">
        <v>63.0</v>
      </c>
      <c r="I84" s="5">
        <v>3609.0</v>
      </c>
      <c r="J84" s="5">
        <v>12644.0</v>
      </c>
      <c r="K84" s="5">
        <v>4.0</v>
      </c>
      <c r="L84" s="9">
        <v>2032.700147</v>
      </c>
      <c r="M84" s="15">
        <f t="shared" si="1"/>
        <v>508.1750368</v>
      </c>
      <c r="N84" s="16">
        <f t="shared" si="2"/>
        <v>0.004598540146</v>
      </c>
    </row>
    <row r="85">
      <c r="A85" s="5" t="s">
        <v>22</v>
      </c>
      <c r="B85" s="5" t="s">
        <v>16</v>
      </c>
      <c r="C85" s="5" t="s">
        <v>55</v>
      </c>
      <c r="D85" s="6" t="s">
        <v>197</v>
      </c>
      <c r="E85" s="5" t="s">
        <v>136</v>
      </c>
      <c r="F85" s="5" t="s">
        <v>27</v>
      </c>
      <c r="G85" s="5">
        <v>69540.0</v>
      </c>
      <c r="H85" s="5">
        <v>204.0</v>
      </c>
      <c r="I85" s="5">
        <v>28713.0</v>
      </c>
      <c r="J85" s="5">
        <v>62829.0</v>
      </c>
      <c r="K85" s="5">
        <v>15.0</v>
      </c>
      <c r="L85" s="9">
        <v>1838.98773</v>
      </c>
      <c r="M85" s="15">
        <f t="shared" si="1"/>
        <v>122.599182</v>
      </c>
      <c r="N85" s="16">
        <f t="shared" si="2"/>
        <v>0.002933563417</v>
      </c>
    </row>
    <row r="86">
      <c r="A86" s="5" t="s">
        <v>22</v>
      </c>
      <c r="B86" s="5" t="s">
        <v>16</v>
      </c>
      <c r="C86" s="5" t="s">
        <v>35</v>
      </c>
      <c r="D86" s="6" t="s">
        <v>197</v>
      </c>
      <c r="E86" s="5" t="s">
        <v>19</v>
      </c>
      <c r="F86" s="5" t="s">
        <v>27</v>
      </c>
      <c r="G86" s="5">
        <v>21478.0</v>
      </c>
      <c r="H86" s="5">
        <v>50.0</v>
      </c>
      <c r="I86" s="5">
        <v>15548.0</v>
      </c>
      <c r="J86" s="5">
        <v>20651.0</v>
      </c>
      <c r="K86" s="5">
        <v>24.0</v>
      </c>
      <c r="L86" s="9">
        <v>1541.214047</v>
      </c>
      <c r="M86" s="15">
        <f t="shared" si="1"/>
        <v>64.21725196</v>
      </c>
      <c r="N86" s="16">
        <f t="shared" si="2"/>
        <v>0.002327963498</v>
      </c>
    </row>
    <row r="87">
      <c r="A87" s="5" t="s">
        <v>22</v>
      </c>
      <c r="B87" s="5" t="s">
        <v>31</v>
      </c>
      <c r="C87" s="5" t="s">
        <v>78</v>
      </c>
      <c r="D87" s="6" t="s">
        <v>211</v>
      </c>
      <c r="E87" s="5" t="s">
        <v>19</v>
      </c>
      <c r="F87" s="5" t="s">
        <v>27</v>
      </c>
      <c r="G87" s="5">
        <v>9515.0</v>
      </c>
      <c r="H87" s="5">
        <v>30.0</v>
      </c>
      <c r="I87" s="5">
        <v>6169.0</v>
      </c>
      <c r="J87" s="5">
        <v>9138.0</v>
      </c>
      <c r="K87" s="5">
        <v>3.0</v>
      </c>
      <c r="L87" s="9">
        <v>5776.508186</v>
      </c>
      <c r="M87" s="15">
        <f t="shared" si="1"/>
        <v>1925.502729</v>
      </c>
      <c r="N87" s="16">
        <f t="shared" si="2"/>
        <v>0.003152916448</v>
      </c>
    </row>
    <row r="88">
      <c r="A88" s="5" t="s">
        <v>22</v>
      </c>
      <c r="B88" s="5" t="s">
        <v>23</v>
      </c>
      <c r="C88" s="5" t="s">
        <v>35</v>
      </c>
      <c r="D88" s="6" t="s">
        <v>211</v>
      </c>
      <c r="E88" s="5" t="s">
        <v>48</v>
      </c>
      <c r="F88" s="5" t="s">
        <v>27</v>
      </c>
      <c r="G88" s="5">
        <v>20548.0</v>
      </c>
      <c r="H88" s="5">
        <v>40.0</v>
      </c>
      <c r="I88" s="5">
        <v>14259.0</v>
      </c>
      <c r="J88" s="5">
        <v>19654.0</v>
      </c>
      <c r="K88" s="5">
        <v>13.0</v>
      </c>
      <c r="L88" s="9">
        <v>3060.424769</v>
      </c>
      <c r="M88" s="15">
        <f t="shared" si="1"/>
        <v>235.4172899</v>
      </c>
      <c r="N88" s="16">
        <f t="shared" si="2"/>
        <v>0.001946661476</v>
      </c>
    </row>
    <row r="89">
      <c r="A89" s="5" t="s">
        <v>61</v>
      </c>
      <c r="B89" s="5" t="s">
        <v>23</v>
      </c>
      <c r="C89" s="5" t="s">
        <v>32</v>
      </c>
      <c r="D89" s="6" t="s">
        <v>216</v>
      </c>
      <c r="E89" s="5" t="s">
        <v>26</v>
      </c>
      <c r="F89" s="5" t="s">
        <v>27</v>
      </c>
      <c r="G89" s="5">
        <v>114723.0</v>
      </c>
      <c r="H89" s="5">
        <v>350.0</v>
      </c>
      <c r="I89" s="5">
        <v>14623.0</v>
      </c>
      <c r="J89" s="5">
        <v>92063.0</v>
      </c>
      <c r="K89" s="5">
        <v>6.0</v>
      </c>
      <c r="L89" s="9">
        <v>4742.008637</v>
      </c>
      <c r="M89" s="15">
        <f t="shared" si="1"/>
        <v>790.3347728</v>
      </c>
      <c r="N89" s="16">
        <f t="shared" si="2"/>
        <v>0.003050826774</v>
      </c>
    </row>
    <row r="90">
      <c r="A90" s="5" t="s">
        <v>15</v>
      </c>
      <c r="B90" s="5" t="s">
        <v>31</v>
      </c>
      <c r="C90" s="5" t="s">
        <v>35</v>
      </c>
      <c r="D90" s="6" t="s">
        <v>216</v>
      </c>
      <c r="E90" s="5" t="s">
        <v>19</v>
      </c>
      <c r="F90" s="5" t="s">
        <v>27</v>
      </c>
      <c r="G90" s="5">
        <v>14581.0</v>
      </c>
      <c r="H90" s="5">
        <v>85.0</v>
      </c>
      <c r="I90" s="5">
        <v>6970.0</v>
      </c>
      <c r="J90" s="5">
        <v>8882.0</v>
      </c>
      <c r="K90" s="5">
        <v>4.0</v>
      </c>
      <c r="L90" s="9">
        <v>2636.202124</v>
      </c>
      <c r="M90" s="15">
        <f t="shared" si="1"/>
        <v>659.050531</v>
      </c>
      <c r="N90" s="16">
        <f t="shared" si="2"/>
        <v>0.005829504149</v>
      </c>
    </row>
    <row r="91">
      <c r="A91" s="5" t="s">
        <v>61</v>
      </c>
      <c r="B91" s="5" t="s">
        <v>42</v>
      </c>
      <c r="C91" s="5" t="s">
        <v>35</v>
      </c>
      <c r="D91" s="6" t="s">
        <v>219</v>
      </c>
      <c r="E91" s="5" t="s">
        <v>19</v>
      </c>
      <c r="F91" s="5" t="s">
        <v>27</v>
      </c>
      <c r="G91" s="5">
        <v>19461.0</v>
      </c>
      <c r="H91" s="5">
        <v>74.0</v>
      </c>
      <c r="I91" s="5">
        <v>14647.0</v>
      </c>
      <c r="J91" s="5">
        <v>18731.0</v>
      </c>
      <c r="K91" s="5">
        <v>9.0</v>
      </c>
      <c r="L91" s="9">
        <v>7311.99875</v>
      </c>
      <c r="M91" s="15">
        <f t="shared" si="1"/>
        <v>812.4443056</v>
      </c>
      <c r="N91" s="16">
        <f t="shared" si="2"/>
        <v>0.003802476748</v>
      </c>
    </row>
    <row r="92">
      <c r="A92" s="5" t="s">
        <v>22</v>
      </c>
      <c r="B92" s="5" t="s">
        <v>23</v>
      </c>
      <c r="C92" s="5" t="s">
        <v>35</v>
      </c>
      <c r="D92" s="6" t="s">
        <v>219</v>
      </c>
      <c r="E92" s="5" t="s">
        <v>26</v>
      </c>
      <c r="F92" s="5" t="s">
        <v>27</v>
      </c>
      <c r="G92" s="5">
        <v>27032.0</v>
      </c>
      <c r="H92" s="5">
        <v>110.0</v>
      </c>
      <c r="I92" s="5">
        <v>21893.0</v>
      </c>
      <c r="J92" s="5">
        <v>26127.0</v>
      </c>
      <c r="K92" s="5">
        <v>5.0</v>
      </c>
      <c r="L92" s="9">
        <v>5292.896913</v>
      </c>
      <c r="M92" s="15">
        <f t="shared" si="1"/>
        <v>1058.579383</v>
      </c>
      <c r="N92" s="16">
        <f t="shared" si="2"/>
        <v>0.004069251258</v>
      </c>
    </row>
    <row r="93">
      <c r="A93" s="5" t="s">
        <v>15</v>
      </c>
      <c r="B93" s="5" t="s">
        <v>23</v>
      </c>
      <c r="C93" s="5" t="s">
        <v>84</v>
      </c>
      <c r="D93" s="6" t="s">
        <v>222</v>
      </c>
      <c r="E93" s="5" t="s">
        <v>19</v>
      </c>
      <c r="F93" s="5" t="s">
        <v>27</v>
      </c>
      <c r="G93" s="5">
        <v>7628.0</v>
      </c>
      <c r="H93" s="5">
        <v>19.0</v>
      </c>
      <c r="I93" s="5">
        <v>5048.0</v>
      </c>
      <c r="J93" s="5">
        <v>7154.0</v>
      </c>
      <c r="K93" s="5">
        <v>5.0</v>
      </c>
      <c r="L93" s="9">
        <v>6684.062804</v>
      </c>
      <c r="M93" s="15">
        <f t="shared" si="1"/>
        <v>1336.812561</v>
      </c>
      <c r="N93" s="16">
        <f t="shared" si="2"/>
        <v>0.002490823283</v>
      </c>
    </row>
    <row r="94">
      <c r="A94" s="5" t="s">
        <v>22</v>
      </c>
      <c r="B94" s="5" t="s">
        <v>16</v>
      </c>
      <c r="C94" s="5" t="s">
        <v>78</v>
      </c>
      <c r="D94" s="6" t="s">
        <v>224</v>
      </c>
      <c r="E94" s="5" t="s">
        <v>19</v>
      </c>
      <c r="F94" s="5" t="s">
        <v>27</v>
      </c>
      <c r="G94" s="5">
        <v>7806.0</v>
      </c>
      <c r="H94" s="5">
        <v>20.0</v>
      </c>
      <c r="I94" s="5">
        <v>3150.0</v>
      </c>
      <c r="J94" s="5">
        <v>7247.0</v>
      </c>
      <c r="K94" s="5">
        <v>1.0</v>
      </c>
      <c r="L94" s="9">
        <v>6162.320833</v>
      </c>
      <c r="M94" s="15">
        <f t="shared" si="1"/>
        <v>6162.320833</v>
      </c>
      <c r="N94" s="16">
        <f t="shared" si="2"/>
        <v>0.002562131694</v>
      </c>
    </row>
    <row r="95">
      <c r="A95" s="5" t="s">
        <v>22</v>
      </c>
      <c r="B95" s="5" t="s">
        <v>23</v>
      </c>
      <c r="C95" s="5" t="s">
        <v>29</v>
      </c>
      <c r="D95" s="6" t="s">
        <v>228</v>
      </c>
      <c r="E95" s="5" t="s">
        <v>19</v>
      </c>
      <c r="F95" s="5" t="s">
        <v>27</v>
      </c>
      <c r="G95" s="5">
        <v>29107.0</v>
      </c>
      <c r="H95" s="5">
        <v>64.0</v>
      </c>
      <c r="I95" s="5">
        <v>4047.0</v>
      </c>
      <c r="J95" s="5">
        <v>27357.0</v>
      </c>
      <c r="K95" s="5">
        <v>9.0</v>
      </c>
      <c r="L95" s="9">
        <v>3339.454322</v>
      </c>
      <c r="M95" s="15">
        <f t="shared" si="1"/>
        <v>371.0504802</v>
      </c>
      <c r="N95" s="16">
        <f t="shared" si="2"/>
        <v>0.002198783798</v>
      </c>
    </row>
    <row r="96">
      <c r="A96" s="5" t="s">
        <v>22</v>
      </c>
      <c r="B96" s="5" t="s">
        <v>16</v>
      </c>
      <c r="C96" s="5" t="s">
        <v>84</v>
      </c>
      <c r="D96" s="6" t="s">
        <v>228</v>
      </c>
      <c r="E96" s="5" t="s">
        <v>36</v>
      </c>
      <c r="F96" s="5" t="s">
        <v>27</v>
      </c>
      <c r="G96" s="5">
        <v>12451.0</v>
      </c>
      <c r="H96" s="5">
        <v>30.0</v>
      </c>
      <c r="I96" s="5">
        <v>2987.0</v>
      </c>
      <c r="J96" s="5">
        <v>11295.0</v>
      </c>
      <c r="K96" s="5">
        <v>4.0</v>
      </c>
      <c r="L96" s="9">
        <v>2127.323828</v>
      </c>
      <c r="M96" s="15">
        <f t="shared" si="1"/>
        <v>531.830957</v>
      </c>
      <c r="N96" s="16">
        <f t="shared" si="2"/>
        <v>0.002409445024</v>
      </c>
    </row>
    <row r="97">
      <c r="A97" s="5" t="s">
        <v>15</v>
      </c>
      <c r="B97" s="5" t="s">
        <v>23</v>
      </c>
      <c r="C97" s="5" t="s">
        <v>29</v>
      </c>
      <c r="D97" s="6" t="s">
        <v>233</v>
      </c>
      <c r="E97" s="5" t="s">
        <v>19</v>
      </c>
      <c r="F97" s="5" t="s">
        <v>27</v>
      </c>
      <c r="G97" s="5">
        <v>7472.0</v>
      </c>
      <c r="H97" s="5">
        <v>10.0</v>
      </c>
      <c r="I97" s="5">
        <v>1191.0</v>
      </c>
      <c r="J97" s="5">
        <v>5883.0</v>
      </c>
      <c r="K97" s="5">
        <v>1.0</v>
      </c>
      <c r="L97" s="9">
        <v>2183.952037</v>
      </c>
      <c r="M97" s="15">
        <f t="shared" si="1"/>
        <v>2183.952037</v>
      </c>
      <c r="N97" s="16">
        <f t="shared" si="2"/>
        <v>0.001338329764</v>
      </c>
    </row>
    <row r="98">
      <c r="A98" s="5" t="s">
        <v>15</v>
      </c>
      <c r="B98" s="5" t="s">
        <v>31</v>
      </c>
      <c r="C98" s="5" t="s">
        <v>35</v>
      </c>
      <c r="D98" s="6" t="s">
        <v>235</v>
      </c>
      <c r="E98" s="5" t="s">
        <v>19</v>
      </c>
      <c r="F98" s="5" t="s">
        <v>27</v>
      </c>
      <c r="G98" s="5">
        <v>42451.0</v>
      </c>
      <c r="H98" s="5">
        <v>122.0</v>
      </c>
      <c r="I98" s="5">
        <v>29142.0</v>
      </c>
      <c r="J98" s="5">
        <v>41093.0</v>
      </c>
      <c r="K98" s="5">
        <v>7.0</v>
      </c>
      <c r="L98" s="9">
        <v>1530.553686</v>
      </c>
      <c r="M98" s="15">
        <f t="shared" si="1"/>
        <v>218.6505266</v>
      </c>
      <c r="N98" s="16">
        <f t="shared" si="2"/>
        <v>0.002873901675</v>
      </c>
    </row>
    <row r="99">
      <c r="A99" s="5" t="s">
        <v>22</v>
      </c>
      <c r="B99" s="5" t="s">
        <v>16</v>
      </c>
      <c r="C99" s="5" t="s">
        <v>78</v>
      </c>
      <c r="D99" s="6" t="s">
        <v>235</v>
      </c>
      <c r="E99" s="5" t="s">
        <v>117</v>
      </c>
      <c r="F99" s="5" t="s">
        <v>27</v>
      </c>
      <c r="G99" s="5">
        <v>10677.0</v>
      </c>
      <c r="H99" s="5">
        <v>88.0</v>
      </c>
      <c r="I99" s="5">
        <v>7247.0</v>
      </c>
      <c r="J99" s="5">
        <v>10338.0</v>
      </c>
      <c r="K99" s="5">
        <v>3.0</v>
      </c>
      <c r="L99" s="9">
        <v>1483.452706</v>
      </c>
      <c r="M99" s="15">
        <f t="shared" si="1"/>
        <v>494.4842353</v>
      </c>
      <c r="N99" s="16">
        <f t="shared" si="2"/>
        <v>0.008242015547</v>
      </c>
    </row>
    <row r="100">
      <c r="A100" s="5" t="s">
        <v>15</v>
      </c>
      <c r="B100" s="5" t="s">
        <v>23</v>
      </c>
      <c r="C100" s="5" t="s">
        <v>35</v>
      </c>
      <c r="D100" s="6" t="s">
        <v>238</v>
      </c>
      <c r="E100" s="5" t="s">
        <v>46</v>
      </c>
      <c r="F100" s="5" t="s">
        <v>27</v>
      </c>
      <c r="G100" s="5">
        <v>8217.0</v>
      </c>
      <c r="H100" s="5">
        <v>25.0</v>
      </c>
      <c r="I100" s="5">
        <v>5740.0</v>
      </c>
      <c r="J100" s="5">
        <v>8009.0</v>
      </c>
      <c r="K100" s="5">
        <v>11.0</v>
      </c>
      <c r="L100" s="9">
        <v>6051.334623</v>
      </c>
      <c r="M100" s="15">
        <f t="shared" si="1"/>
        <v>550.1213294</v>
      </c>
      <c r="N100" s="16">
        <f t="shared" si="2"/>
        <v>0.003042472922</v>
      </c>
    </row>
    <row r="101">
      <c r="A101" s="5" t="s">
        <v>22</v>
      </c>
      <c r="B101" s="5" t="s">
        <v>23</v>
      </c>
      <c r="C101" s="5" t="s">
        <v>240</v>
      </c>
      <c r="D101" s="6" t="s">
        <v>238</v>
      </c>
      <c r="E101" s="5" t="s">
        <v>161</v>
      </c>
      <c r="F101" s="5" t="s">
        <v>27</v>
      </c>
      <c r="G101" s="5">
        <v>7530.0</v>
      </c>
      <c r="H101" s="5">
        <v>20.0</v>
      </c>
      <c r="I101" s="5">
        <v>5468.0</v>
      </c>
      <c r="J101" s="5">
        <v>7298.0</v>
      </c>
      <c r="K101" s="5">
        <v>3.0</v>
      </c>
      <c r="L101" s="9">
        <v>5038.714067</v>
      </c>
      <c r="M101" s="15">
        <f t="shared" si="1"/>
        <v>1679.571356</v>
      </c>
      <c r="N101" s="16">
        <f t="shared" si="2"/>
        <v>0.002656042497</v>
      </c>
    </row>
    <row r="102">
      <c r="A102" s="5" t="s">
        <v>22</v>
      </c>
      <c r="B102" s="5" t="s">
        <v>16</v>
      </c>
      <c r="C102" s="5" t="s">
        <v>78</v>
      </c>
      <c r="D102" s="6" t="s">
        <v>242</v>
      </c>
      <c r="E102" s="5" t="s">
        <v>19</v>
      </c>
      <c r="F102" s="5" t="s">
        <v>27</v>
      </c>
      <c r="G102" s="5">
        <v>272509.0</v>
      </c>
      <c r="H102" s="5">
        <v>736.0</v>
      </c>
      <c r="I102" s="5">
        <v>89526.0</v>
      </c>
      <c r="J102" s="5">
        <v>237859.0</v>
      </c>
      <c r="K102" s="5">
        <v>69.0</v>
      </c>
      <c r="L102" s="9">
        <v>8168.347077</v>
      </c>
      <c r="M102" s="15">
        <f t="shared" si="1"/>
        <v>118.3818417</v>
      </c>
      <c r="N102" s="16">
        <f t="shared" si="2"/>
        <v>0.00270082823</v>
      </c>
    </row>
    <row r="103">
      <c r="A103" s="5" t="s">
        <v>15</v>
      </c>
      <c r="B103" s="5" t="s">
        <v>16</v>
      </c>
      <c r="C103" s="5" t="s">
        <v>78</v>
      </c>
      <c r="D103" s="6" t="s">
        <v>242</v>
      </c>
      <c r="E103" s="5" t="s">
        <v>19</v>
      </c>
      <c r="F103" s="5" t="s">
        <v>27</v>
      </c>
      <c r="G103" s="5">
        <v>106392.0</v>
      </c>
      <c r="H103" s="5">
        <v>299.0</v>
      </c>
      <c r="I103" s="5">
        <v>39599.0</v>
      </c>
      <c r="J103" s="5">
        <v>94941.0</v>
      </c>
      <c r="K103" s="5">
        <v>3.0</v>
      </c>
      <c r="L103" s="9">
        <v>6542.612428</v>
      </c>
      <c r="M103" s="15">
        <f t="shared" si="1"/>
        <v>2180.870809</v>
      </c>
      <c r="N103" s="16">
        <f t="shared" si="2"/>
        <v>0.002810361681</v>
      </c>
    </row>
    <row r="104">
      <c r="A104" s="5" t="s">
        <v>22</v>
      </c>
      <c r="B104" s="5" t="s">
        <v>31</v>
      </c>
      <c r="C104" s="5" t="s">
        <v>17</v>
      </c>
      <c r="D104" s="6" t="s">
        <v>242</v>
      </c>
      <c r="E104" s="5" t="s">
        <v>26</v>
      </c>
      <c r="F104" s="5" t="s">
        <v>27</v>
      </c>
      <c r="G104" s="5">
        <v>9060.0</v>
      </c>
      <c r="H104" s="5">
        <v>30.0</v>
      </c>
      <c r="I104" s="5">
        <v>5190.0</v>
      </c>
      <c r="J104" s="5">
        <v>8621.0</v>
      </c>
      <c r="K104" s="5">
        <v>14.0</v>
      </c>
      <c r="L104" s="9">
        <v>4934.851563</v>
      </c>
      <c r="M104" s="15">
        <f t="shared" si="1"/>
        <v>352.4893974</v>
      </c>
      <c r="N104" s="16">
        <f t="shared" si="2"/>
        <v>0.003311258278</v>
      </c>
    </row>
    <row r="105">
      <c r="A105" s="5" t="s">
        <v>22</v>
      </c>
      <c r="B105" s="5" t="s">
        <v>31</v>
      </c>
      <c r="C105" s="5" t="s">
        <v>35</v>
      </c>
      <c r="D105" s="6" t="s">
        <v>242</v>
      </c>
      <c r="E105" s="5" t="s">
        <v>117</v>
      </c>
      <c r="F105" s="5" t="s">
        <v>27</v>
      </c>
      <c r="G105" s="5">
        <v>116926.0</v>
      </c>
      <c r="H105" s="5">
        <v>321.0</v>
      </c>
      <c r="I105" s="5">
        <v>69132.0</v>
      </c>
      <c r="J105" s="5">
        <v>111957.0</v>
      </c>
      <c r="K105" s="5">
        <v>22.0</v>
      </c>
      <c r="L105" s="9">
        <v>4918.040982</v>
      </c>
      <c r="M105" s="15">
        <f t="shared" si="1"/>
        <v>223.5473174</v>
      </c>
      <c r="N105" s="16">
        <f t="shared" si="2"/>
        <v>0.002745326104</v>
      </c>
    </row>
    <row r="106">
      <c r="A106" s="5" t="s">
        <v>15</v>
      </c>
      <c r="B106" s="5" t="s">
        <v>42</v>
      </c>
      <c r="C106" s="5" t="s">
        <v>78</v>
      </c>
      <c r="D106" s="6" t="s">
        <v>242</v>
      </c>
      <c r="E106" s="5" t="s">
        <v>50</v>
      </c>
      <c r="F106" s="5" t="s">
        <v>27</v>
      </c>
      <c r="G106" s="5">
        <v>45402.0</v>
      </c>
      <c r="H106" s="5">
        <v>122.0</v>
      </c>
      <c r="I106" s="5">
        <v>17284.0</v>
      </c>
      <c r="J106" s="5">
        <v>27542.0</v>
      </c>
      <c r="K106" s="5">
        <v>5.0</v>
      </c>
      <c r="L106" s="9">
        <v>2163.265346</v>
      </c>
      <c r="M106" s="15">
        <f t="shared" si="1"/>
        <v>432.6530692</v>
      </c>
      <c r="N106" s="16">
        <f t="shared" si="2"/>
        <v>0.002687106295</v>
      </c>
    </row>
    <row r="107">
      <c r="A107" s="5" t="s">
        <v>61</v>
      </c>
      <c r="B107" s="5" t="s">
        <v>31</v>
      </c>
      <c r="C107" s="5" t="s">
        <v>35</v>
      </c>
      <c r="D107" s="6" t="s">
        <v>242</v>
      </c>
      <c r="E107" s="5" t="s">
        <v>19</v>
      </c>
      <c r="F107" s="5" t="s">
        <v>27</v>
      </c>
      <c r="G107" s="5">
        <v>84306.0</v>
      </c>
      <c r="H107" s="5">
        <v>185.0</v>
      </c>
      <c r="I107" s="5">
        <v>45376.0</v>
      </c>
      <c r="J107" s="5">
        <v>79935.0</v>
      </c>
      <c r="K107" s="5">
        <v>3.0</v>
      </c>
      <c r="L107" s="9">
        <v>1809.590961</v>
      </c>
      <c r="M107" s="15">
        <f t="shared" si="1"/>
        <v>603.196987</v>
      </c>
      <c r="N107" s="16">
        <f t="shared" si="2"/>
        <v>0.002194387114</v>
      </c>
    </row>
    <row r="108">
      <c r="A108" s="5" t="s">
        <v>15</v>
      </c>
      <c r="B108" s="5" t="s">
        <v>16</v>
      </c>
      <c r="C108" s="5" t="s">
        <v>17</v>
      </c>
      <c r="D108" s="6" t="s">
        <v>242</v>
      </c>
      <c r="E108" s="5" t="s">
        <v>19</v>
      </c>
      <c r="F108" s="5" t="s">
        <v>27</v>
      </c>
      <c r="G108" s="5">
        <v>88499.0</v>
      </c>
      <c r="H108" s="5">
        <v>186.0</v>
      </c>
      <c r="I108" s="5">
        <v>18950.0</v>
      </c>
      <c r="J108" s="5">
        <v>71458.0</v>
      </c>
      <c r="K108" s="5">
        <v>5.0</v>
      </c>
      <c r="L108" s="9">
        <v>1803.139812</v>
      </c>
      <c r="M108" s="15">
        <f t="shared" si="1"/>
        <v>360.6279624</v>
      </c>
      <c r="N108" s="16">
        <f t="shared" si="2"/>
        <v>0.002101718663</v>
      </c>
    </row>
    <row r="109">
      <c r="A109" s="5" t="s">
        <v>15</v>
      </c>
      <c r="B109" s="5" t="s">
        <v>16</v>
      </c>
      <c r="C109" s="5" t="s">
        <v>150</v>
      </c>
      <c r="D109" s="6" t="s">
        <v>242</v>
      </c>
      <c r="E109" s="5" t="s">
        <v>19</v>
      </c>
      <c r="F109" s="5" t="s">
        <v>27</v>
      </c>
      <c r="G109" s="5">
        <v>77748.0</v>
      </c>
      <c r="H109" s="5">
        <v>227.0</v>
      </c>
      <c r="I109" s="5">
        <v>6170.0</v>
      </c>
      <c r="J109" s="5">
        <v>53603.0</v>
      </c>
      <c r="K109" s="5">
        <v>3.0</v>
      </c>
      <c r="L109" s="9">
        <v>1498.3009</v>
      </c>
      <c r="M109" s="15">
        <f t="shared" si="1"/>
        <v>499.4336333</v>
      </c>
      <c r="N109" s="16">
        <f t="shared" si="2"/>
        <v>0.002919689252</v>
      </c>
    </row>
    <row r="110">
      <c r="A110" s="5" t="s">
        <v>22</v>
      </c>
      <c r="B110" s="5" t="s">
        <v>42</v>
      </c>
      <c r="C110" s="5" t="s">
        <v>35</v>
      </c>
      <c r="D110" s="6" t="s">
        <v>251</v>
      </c>
      <c r="E110" s="5" t="s">
        <v>19</v>
      </c>
      <c r="F110" s="5" t="s">
        <v>27</v>
      </c>
      <c r="G110" s="5">
        <v>10191.0</v>
      </c>
      <c r="H110" s="5">
        <v>75.0</v>
      </c>
      <c r="I110" s="5">
        <v>1243.0</v>
      </c>
      <c r="J110" s="5">
        <v>8897.0</v>
      </c>
      <c r="K110" s="5">
        <v>3.0</v>
      </c>
      <c r="L110" s="9">
        <v>2365.914372</v>
      </c>
      <c r="M110" s="15">
        <f t="shared" si="1"/>
        <v>788.638124</v>
      </c>
      <c r="N110" s="16">
        <f t="shared" si="2"/>
        <v>0.007359434795</v>
      </c>
    </row>
    <row r="111">
      <c r="A111" s="5" t="s">
        <v>22</v>
      </c>
      <c r="B111" s="5" t="s">
        <v>31</v>
      </c>
      <c r="C111" s="5" t="s">
        <v>29</v>
      </c>
      <c r="D111" s="6" t="s">
        <v>253</v>
      </c>
      <c r="E111" s="5" t="s">
        <v>19</v>
      </c>
      <c r="F111" s="5" t="s">
        <v>27</v>
      </c>
      <c r="G111" s="5">
        <v>10093.0</v>
      </c>
      <c r="H111" s="5">
        <v>65.0</v>
      </c>
      <c r="I111" s="5">
        <v>3901.0</v>
      </c>
      <c r="J111" s="5">
        <v>9645.0</v>
      </c>
      <c r="K111" s="5">
        <v>2.0</v>
      </c>
      <c r="L111" s="9">
        <v>3105.283004</v>
      </c>
      <c r="M111" s="15">
        <f t="shared" si="1"/>
        <v>1552.641502</v>
      </c>
      <c r="N111" s="16">
        <f t="shared" si="2"/>
        <v>0.006440107005</v>
      </c>
    </row>
    <row r="112">
      <c r="A112" s="5" t="s">
        <v>15</v>
      </c>
      <c r="B112" s="5" t="s">
        <v>16</v>
      </c>
      <c r="C112" s="5" t="s">
        <v>35</v>
      </c>
      <c r="D112" s="6" t="s">
        <v>255</v>
      </c>
      <c r="E112" s="5" t="s">
        <v>19</v>
      </c>
      <c r="F112" s="5" t="s">
        <v>27</v>
      </c>
      <c r="G112" s="5">
        <v>9328.0</v>
      </c>
      <c r="H112" s="5">
        <v>56.0</v>
      </c>
      <c r="I112" s="5">
        <v>7102.0</v>
      </c>
      <c r="J112" s="5">
        <v>8925.0</v>
      </c>
      <c r="K112" s="5">
        <v>5.0</v>
      </c>
      <c r="L112" s="9">
        <v>3408.076049</v>
      </c>
      <c r="M112" s="15">
        <f t="shared" si="1"/>
        <v>681.6152098</v>
      </c>
      <c r="N112" s="16">
        <f t="shared" si="2"/>
        <v>0.006003430532</v>
      </c>
    </row>
    <row r="113">
      <c r="A113" s="5" t="s">
        <v>15</v>
      </c>
      <c r="B113" s="5" t="s">
        <v>16</v>
      </c>
      <c r="C113" s="5" t="s">
        <v>78</v>
      </c>
      <c r="D113" s="6" t="s">
        <v>259</v>
      </c>
      <c r="E113" s="5" t="s">
        <v>19</v>
      </c>
      <c r="F113" s="5" t="s">
        <v>27</v>
      </c>
      <c r="G113" s="5">
        <v>8111.0</v>
      </c>
      <c r="H113" s="5">
        <v>0.0</v>
      </c>
      <c r="I113" s="5">
        <v>4346.0</v>
      </c>
      <c r="J113" s="5">
        <v>6163.0</v>
      </c>
      <c r="K113" s="5">
        <v>1.0</v>
      </c>
      <c r="L113" s="9">
        <v>5000.761206</v>
      </c>
      <c r="M113" s="15">
        <f t="shared" si="1"/>
        <v>5000.761206</v>
      </c>
      <c r="N113" s="16">
        <f t="shared" si="2"/>
        <v>0</v>
      </c>
    </row>
    <row r="114">
      <c r="A114" s="5" t="s">
        <v>22</v>
      </c>
      <c r="B114" s="5" t="s">
        <v>42</v>
      </c>
      <c r="C114" s="5" t="s">
        <v>78</v>
      </c>
      <c r="D114" s="6" t="s">
        <v>261</v>
      </c>
      <c r="E114" s="5" t="s">
        <v>48</v>
      </c>
      <c r="F114" s="5" t="s">
        <v>27</v>
      </c>
      <c r="G114" s="5">
        <v>25532.0</v>
      </c>
      <c r="H114" s="5">
        <v>140.0</v>
      </c>
      <c r="I114" s="5">
        <v>15219.0</v>
      </c>
      <c r="J114" s="5">
        <v>21497.0</v>
      </c>
      <c r="K114" s="5">
        <v>9.0</v>
      </c>
      <c r="L114" s="9">
        <v>6047.174109</v>
      </c>
      <c r="M114" s="15">
        <f t="shared" si="1"/>
        <v>671.9082343</v>
      </c>
      <c r="N114" s="16">
        <f t="shared" si="2"/>
        <v>0.005483315056</v>
      </c>
    </row>
    <row r="115">
      <c r="A115" s="5" t="s">
        <v>22</v>
      </c>
      <c r="B115" s="5" t="s">
        <v>31</v>
      </c>
      <c r="C115" s="5" t="s">
        <v>35</v>
      </c>
      <c r="D115" s="6" t="s">
        <v>261</v>
      </c>
      <c r="E115" s="5" t="s">
        <v>26</v>
      </c>
      <c r="F115" s="5" t="s">
        <v>27</v>
      </c>
      <c r="G115" s="5">
        <v>28553.0</v>
      </c>
      <c r="H115" s="5">
        <v>90.0</v>
      </c>
      <c r="I115" s="5">
        <v>11390.0</v>
      </c>
      <c r="J115" s="5">
        <v>23355.0</v>
      </c>
      <c r="K115" s="5">
        <v>13.0</v>
      </c>
      <c r="L115" s="9">
        <v>5573.112396</v>
      </c>
      <c r="M115" s="15">
        <f t="shared" si="1"/>
        <v>428.7009535</v>
      </c>
      <c r="N115" s="16">
        <f t="shared" si="2"/>
        <v>0.003152033061</v>
      </c>
    </row>
    <row r="116">
      <c r="A116" s="5" t="s">
        <v>22</v>
      </c>
      <c r="B116" s="5" t="s">
        <v>23</v>
      </c>
      <c r="C116" s="5" t="s">
        <v>142</v>
      </c>
      <c r="D116" s="6" t="s">
        <v>264</v>
      </c>
      <c r="E116" s="5" t="s">
        <v>19</v>
      </c>
      <c r="F116" s="5" t="s">
        <v>27</v>
      </c>
      <c r="G116" s="5">
        <v>29393.0</v>
      </c>
      <c r="H116" s="5">
        <v>70.0</v>
      </c>
      <c r="I116" s="5">
        <v>3277.0</v>
      </c>
      <c r="J116" s="5">
        <v>25959.0</v>
      </c>
      <c r="K116" s="5">
        <v>19.0</v>
      </c>
      <c r="L116" s="9">
        <v>2120.757698</v>
      </c>
      <c r="M116" s="15">
        <f t="shared" si="1"/>
        <v>111.6188262</v>
      </c>
      <c r="N116" s="16">
        <f t="shared" si="2"/>
        <v>0.002381519409</v>
      </c>
    </row>
    <row r="117">
      <c r="A117" s="5" t="s">
        <v>22</v>
      </c>
      <c r="B117" s="5" t="s">
        <v>16</v>
      </c>
      <c r="C117" s="5" t="s">
        <v>17</v>
      </c>
      <c r="D117" s="6" t="s">
        <v>266</v>
      </c>
      <c r="E117" s="5" t="s">
        <v>1046</v>
      </c>
      <c r="F117" s="5" t="s">
        <v>27</v>
      </c>
      <c r="G117" s="5">
        <v>39212.0</v>
      </c>
      <c r="H117" s="5">
        <v>260.0</v>
      </c>
      <c r="I117" s="5">
        <v>31317.0</v>
      </c>
      <c r="J117" s="5">
        <v>37660.0</v>
      </c>
      <c r="K117" s="5">
        <v>1.0</v>
      </c>
      <c r="L117" s="9">
        <v>3621.417703</v>
      </c>
      <c r="M117" s="15">
        <f t="shared" si="1"/>
        <v>3621.417703</v>
      </c>
      <c r="N117" s="16">
        <f t="shared" si="2"/>
        <v>0.006630623279</v>
      </c>
    </row>
    <row r="118">
      <c r="A118" s="5" t="s">
        <v>61</v>
      </c>
      <c r="B118" s="5" t="s">
        <v>42</v>
      </c>
      <c r="C118" s="5" t="s">
        <v>39</v>
      </c>
      <c r="D118" s="6" t="s">
        <v>268</v>
      </c>
      <c r="E118" s="5" t="s">
        <v>19</v>
      </c>
      <c r="F118" s="5" t="s">
        <v>27</v>
      </c>
      <c r="G118" s="5">
        <v>14137.0</v>
      </c>
      <c r="H118" s="5">
        <v>44.0</v>
      </c>
      <c r="I118" s="5">
        <v>9300.0</v>
      </c>
      <c r="J118" s="5">
        <v>13110.0</v>
      </c>
      <c r="K118" s="5">
        <v>8.0</v>
      </c>
      <c r="L118" s="9">
        <v>6345.460338</v>
      </c>
      <c r="M118" s="15">
        <f t="shared" si="1"/>
        <v>793.1825423</v>
      </c>
      <c r="N118" s="16">
        <f t="shared" si="2"/>
        <v>0.003112400085</v>
      </c>
    </row>
    <row r="119">
      <c r="A119" s="5" t="s">
        <v>15</v>
      </c>
      <c r="B119" s="5" t="s">
        <v>42</v>
      </c>
      <c r="C119" s="5" t="s">
        <v>17</v>
      </c>
      <c r="D119" s="6" t="s">
        <v>268</v>
      </c>
      <c r="E119" s="5" t="s">
        <v>19</v>
      </c>
      <c r="F119" s="5" t="s">
        <v>27</v>
      </c>
      <c r="G119" s="5">
        <v>7921.0</v>
      </c>
      <c r="H119" s="5">
        <v>50.0</v>
      </c>
      <c r="I119" s="5">
        <v>4727.0</v>
      </c>
      <c r="J119" s="5">
        <v>6513.0</v>
      </c>
      <c r="K119" s="5">
        <v>11.0</v>
      </c>
      <c r="L119" s="9">
        <v>5379.00144</v>
      </c>
      <c r="M119" s="15">
        <f t="shared" si="1"/>
        <v>489.0001309</v>
      </c>
      <c r="N119" s="16">
        <f t="shared" si="2"/>
        <v>0.006312334301</v>
      </c>
    </row>
    <row r="120">
      <c r="A120" s="5" t="s">
        <v>22</v>
      </c>
      <c r="B120" s="5" t="s">
        <v>42</v>
      </c>
      <c r="C120" s="5" t="s">
        <v>29</v>
      </c>
      <c r="D120" s="6" t="s">
        <v>271</v>
      </c>
      <c r="E120" s="5" t="s">
        <v>19</v>
      </c>
      <c r="F120" s="5" t="s">
        <v>27</v>
      </c>
      <c r="G120" s="5">
        <v>11025.0</v>
      </c>
      <c r="H120" s="5">
        <v>50.0</v>
      </c>
      <c r="I120" s="5">
        <v>7974.0</v>
      </c>
      <c r="J120" s="5">
        <v>10311.0</v>
      </c>
      <c r="K120" s="5">
        <v>4.0</v>
      </c>
      <c r="L120" s="9">
        <v>1657.159766</v>
      </c>
      <c r="M120" s="15">
        <f t="shared" si="1"/>
        <v>414.2899415</v>
      </c>
      <c r="N120" s="16">
        <f t="shared" si="2"/>
        <v>0.004535147392</v>
      </c>
    </row>
    <row r="121">
      <c r="A121" s="5" t="s">
        <v>15</v>
      </c>
      <c r="B121" s="5" t="s">
        <v>42</v>
      </c>
      <c r="C121" s="5" t="s">
        <v>273</v>
      </c>
      <c r="D121" s="6" t="s">
        <v>271</v>
      </c>
      <c r="E121" s="5" t="s">
        <v>26</v>
      </c>
      <c r="F121" s="5" t="s">
        <v>27</v>
      </c>
      <c r="G121" s="5">
        <v>14922.0</v>
      </c>
      <c r="H121" s="5">
        <v>99.0</v>
      </c>
      <c r="I121" s="5">
        <v>10713.0</v>
      </c>
      <c r="J121" s="5">
        <v>13992.0</v>
      </c>
      <c r="K121" s="5">
        <v>5.0</v>
      </c>
      <c r="L121" s="9">
        <v>1578.876432</v>
      </c>
      <c r="M121" s="15">
        <f t="shared" si="1"/>
        <v>315.7752864</v>
      </c>
      <c r="N121" s="16">
        <f t="shared" si="2"/>
        <v>0.006634499397</v>
      </c>
    </row>
    <row r="122">
      <c r="A122" s="5" t="s">
        <v>15</v>
      </c>
      <c r="B122" s="5" t="s">
        <v>31</v>
      </c>
      <c r="C122" s="5" t="s">
        <v>66</v>
      </c>
      <c r="D122" s="6" t="s">
        <v>271</v>
      </c>
      <c r="E122" s="5" t="s">
        <v>19</v>
      </c>
      <c r="F122" s="5" t="s">
        <v>27</v>
      </c>
      <c r="G122" s="5">
        <v>7427.0</v>
      </c>
      <c r="H122" s="5">
        <v>0.0</v>
      </c>
      <c r="I122" s="5">
        <v>4752.0</v>
      </c>
      <c r="J122" s="5">
        <v>6566.0</v>
      </c>
      <c r="K122" s="5">
        <v>1.0</v>
      </c>
      <c r="L122" s="9">
        <v>1504.784161</v>
      </c>
      <c r="M122" s="15">
        <f t="shared" si="1"/>
        <v>1504.784161</v>
      </c>
      <c r="N122" s="16">
        <f t="shared" si="2"/>
        <v>0</v>
      </c>
    </row>
    <row r="123">
      <c r="A123" s="5" t="s">
        <v>22</v>
      </c>
      <c r="B123" s="5" t="s">
        <v>16</v>
      </c>
      <c r="C123" s="5" t="s">
        <v>55</v>
      </c>
      <c r="D123" s="6" t="s">
        <v>276</v>
      </c>
      <c r="E123" s="5" t="s">
        <v>48</v>
      </c>
      <c r="F123" s="5" t="s">
        <v>27</v>
      </c>
      <c r="G123" s="5">
        <v>14553.0</v>
      </c>
      <c r="H123" s="5">
        <v>47.0</v>
      </c>
      <c r="I123" s="5">
        <v>6119.0</v>
      </c>
      <c r="J123" s="5">
        <v>12505.0</v>
      </c>
      <c r="K123" s="5">
        <v>11.0</v>
      </c>
      <c r="L123" s="9">
        <v>6968.00047</v>
      </c>
      <c r="M123" s="15">
        <f t="shared" si="1"/>
        <v>633.4545882</v>
      </c>
      <c r="N123" s="16">
        <f t="shared" si="2"/>
        <v>0.003229574658</v>
      </c>
    </row>
    <row r="124">
      <c r="A124" s="5" t="s">
        <v>61</v>
      </c>
      <c r="B124" s="5" t="s">
        <v>16</v>
      </c>
      <c r="C124" s="5" t="s">
        <v>17</v>
      </c>
      <c r="D124" s="6" t="s">
        <v>278</v>
      </c>
      <c r="E124" s="5" t="s">
        <v>26</v>
      </c>
      <c r="F124" s="5" t="s">
        <v>27</v>
      </c>
      <c r="G124" s="5">
        <v>10350.0</v>
      </c>
      <c r="H124" s="5">
        <v>66.0</v>
      </c>
      <c r="I124" s="5">
        <v>723.0</v>
      </c>
      <c r="J124" s="5">
        <v>8720.0</v>
      </c>
      <c r="K124" s="5">
        <v>14.0</v>
      </c>
      <c r="L124" s="9">
        <v>6774.202636</v>
      </c>
      <c r="M124" s="15">
        <f t="shared" si="1"/>
        <v>483.8716169</v>
      </c>
      <c r="N124" s="16">
        <f t="shared" si="2"/>
        <v>0.006376811594</v>
      </c>
    </row>
    <row r="125">
      <c r="A125" s="5" t="s">
        <v>15</v>
      </c>
      <c r="B125" s="5" t="s">
        <v>23</v>
      </c>
      <c r="C125" s="5" t="s">
        <v>17</v>
      </c>
      <c r="D125" s="6" t="s">
        <v>281</v>
      </c>
      <c r="E125" s="5" t="s">
        <v>19</v>
      </c>
      <c r="F125" s="5" t="s">
        <v>27</v>
      </c>
      <c r="G125" s="5">
        <v>12391.0</v>
      </c>
      <c r="H125" s="5">
        <v>40.0</v>
      </c>
      <c r="I125" s="5">
        <v>5756.0</v>
      </c>
      <c r="J125" s="5">
        <v>11636.0</v>
      </c>
      <c r="K125" s="5">
        <v>4.0</v>
      </c>
      <c r="L125" s="9">
        <v>3069.123483</v>
      </c>
      <c r="M125" s="15">
        <f t="shared" si="1"/>
        <v>767.2808708</v>
      </c>
      <c r="N125" s="16">
        <f t="shared" si="2"/>
        <v>0.003228149463</v>
      </c>
    </row>
    <row r="126">
      <c r="A126" s="5" t="s">
        <v>22</v>
      </c>
      <c r="B126" s="5" t="s">
        <v>31</v>
      </c>
      <c r="C126" s="5" t="s">
        <v>32</v>
      </c>
      <c r="D126" s="6" t="s">
        <v>283</v>
      </c>
      <c r="E126" s="5" t="s">
        <v>46</v>
      </c>
      <c r="F126" s="5" t="s">
        <v>27</v>
      </c>
      <c r="G126" s="5">
        <v>14917.0</v>
      </c>
      <c r="H126" s="5">
        <v>10.0</v>
      </c>
      <c r="I126" s="5">
        <v>3065.0</v>
      </c>
      <c r="J126" s="5">
        <v>13109.0</v>
      </c>
      <c r="K126" s="5">
        <v>3.0</v>
      </c>
      <c r="L126" s="9">
        <v>1583.537104</v>
      </c>
      <c r="M126" s="15">
        <f t="shared" si="1"/>
        <v>527.8457013</v>
      </c>
      <c r="N126" s="16">
        <f t="shared" si="2"/>
        <v>0.000670376081</v>
      </c>
    </row>
    <row r="127">
      <c r="A127" s="5" t="s">
        <v>61</v>
      </c>
      <c r="B127" s="5" t="s">
        <v>16</v>
      </c>
      <c r="C127" s="5" t="s">
        <v>29</v>
      </c>
      <c r="D127" s="6" t="s">
        <v>285</v>
      </c>
      <c r="E127" s="5" t="s">
        <v>117</v>
      </c>
      <c r="F127" s="5" t="s">
        <v>27</v>
      </c>
      <c r="G127" s="5">
        <v>9560.0</v>
      </c>
      <c r="H127" s="5">
        <v>98.0</v>
      </c>
      <c r="I127" s="5">
        <v>3076.0</v>
      </c>
      <c r="J127" s="5">
        <v>6252.0</v>
      </c>
      <c r="K127" s="5">
        <v>17.0</v>
      </c>
      <c r="L127" s="9">
        <v>6420.218123</v>
      </c>
      <c r="M127" s="15">
        <f t="shared" si="1"/>
        <v>377.6598896</v>
      </c>
      <c r="N127" s="16">
        <f t="shared" si="2"/>
        <v>0.01025104603</v>
      </c>
    </row>
    <row r="128">
      <c r="A128" s="5" t="s">
        <v>22</v>
      </c>
      <c r="B128" s="5" t="s">
        <v>23</v>
      </c>
      <c r="C128" s="5" t="s">
        <v>55</v>
      </c>
      <c r="D128" s="6" t="s">
        <v>287</v>
      </c>
      <c r="E128" s="5" t="s">
        <v>19</v>
      </c>
      <c r="F128" s="5" t="s">
        <v>27</v>
      </c>
      <c r="G128" s="5">
        <v>12606.0</v>
      </c>
      <c r="H128" s="5">
        <v>74.0</v>
      </c>
      <c r="I128" s="5">
        <v>8332.0</v>
      </c>
      <c r="J128" s="5">
        <v>11170.0</v>
      </c>
      <c r="K128" s="5">
        <v>5.0</v>
      </c>
      <c r="L128" s="9">
        <v>2002.537989</v>
      </c>
      <c r="M128" s="15">
        <f t="shared" si="1"/>
        <v>400.5075978</v>
      </c>
      <c r="N128" s="16">
        <f t="shared" si="2"/>
        <v>0.00587022053</v>
      </c>
    </row>
    <row r="129">
      <c r="A129" s="5" t="s">
        <v>22</v>
      </c>
      <c r="B129" s="5" t="s">
        <v>16</v>
      </c>
      <c r="C129" s="5" t="s">
        <v>78</v>
      </c>
      <c r="D129" s="6" t="s">
        <v>289</v>
      </c>
      <c r="E129" s="5" t="s">
        <v>1046</v>
      </c>
      <c r="F129" s="5" t="s">
        <v>27</v>
      </c>
      <c r="G129" s="5">
        <v>18022.0</v>
      </c>
      <c r="H129" s="5">
        <v>30.0</v>
      </c>
      <c r="I129" s="5">
        <v>10618.0</v>
      </c>
      <c r="J129" s="5">
        <v>16643.0</v>
      </c>
      <c r="K129" s="5">
        <v>15.0</v>
      </c>
      <c r="L129" s="9">
        <v>4051.158749</v>
      </c>
      <c r="M129" s="15">
        <f t="shared" si="1"/>
        <v>270.0772499</v>
      </c>
      <c r="N129" s="16">
        <f t="shared" si="2"/>
        <v>0.001664632116</v>
      </c>
    </row>
    <row r="130">
      <c r="A130" s="5" t="s">
        <v>22</v>
      </c>
      <c r="B130" s="5" t="s">
        <v>16</v>
      </c>
      <c r="C130" s="5" t="s">
        <v>17</v>
      </c>
      <c r="D130" s="6" t="s">
        <v>291</v>
      </c>
      <c r="E130" s="5" t="s">
        <v>36</v>
      </c>
      <c r="F130" s="5" t="s">
        <v>27</v>
      </c>
      <c r="G130" s="5">
        <v>18401.0</v>
      </c>
      <c r="H130" s="5">
        <v>66.0</v>
      </c>
      <c r="I130" s="5">
        <v>11051.0</v>
      </c>
      <c r="J130" s="5">
        <v>17202.0</v>
      </c>
      <c r="K130" s="5">
        <v>26.0</v>
      </c>
      <c r="L130" s="9">
        <v>6571.491552</v>
      </c>
      <c r="M130" s="15">
        <f t="shared" si="1"/>
        <v>252.7496751</v>
      </c>
      <c r="N130" s="16">
        <f t="shared" si="2"/>
        <v>0.003586761589</v>
      </c>
    </row>
    <row r="131">
      <c r="A131" s="5" t="s">
        <v>22</v>
      </c>
      <c r="B131" s="5" t="s">
        <v>16</v>
      </c>
      <c r="C131" s="5" t="s">
        <v>273</v>
      </c>
      <c r="D131" s="6" t="s">
        <v>291</v>
      </c>
      <c r="E131" s="5" t="s">
        <v>19</v>
      </c>
      <c r="F131" s="5" t="s">
        <v>27</v>
      </c>
      <c r="G131" s="5">
        <v>18412.0</v>
      </c>
      <c r="H131" s="5">
        <v>140.0</v>
      </c>
      <c r="I131" s="5">
        <v>5668.0</v>
      </c>
      <c r="J131" s="5">
        <v>16711.0</v>
      </c>
      <c r="K131" s="5">
        <v>12.0</v>
      </c>
      <c r="L131" s="9">
        <v>5244.34174</v>
      </c>
      <c r="M131" s="15">
        <f t="shared" si="1"/>
        <v>437.0284783</v>
      </c>
      <c r="N131" s="16">
        <f t="shared" si="2"/>
        <v>0.007603736693</v>
      </c>
    </row>
    <row r="132">
      <c r="A132" s="5" t="s">
        <v>15</v>
      </c>
      <c r="B132" s="5" t="s">
        <v>31</v>
      </c>
      <c r="C132" s="5" t="s">
        <v>29</v>
      </c>
      <c r="D132" s="6" t="s">
        <v>291</v>
      </c>
      <c r="E132" s="5" t="s">
        <v>46</v>
      </c>
      <c r="F132" s="5" t="s">
        <v>27</v>
      </c>
      <c r="G132" s="5">
        <v>11697.0</v>
      </c>
      <c r="H132" s="5">
        <v>64.0</v>
      </c>
      <c r="I132" s="5">
        <v>6761.0</v>
      </c>
      <c r="J132" s="5">
        <v>10783.0</v>
      </c>
      <c r="K132" s="5">
        <v>3.0</v>
      </c>
      <c r="L132" s="9">
        <v>5218.070231</v>
      </c>
      <c r="M132" s="15">
        <f t="shared" si="1"/>
        <v>1739.356744</v>
      </c>
      <c r="N132" s="16">
        <f t="shared" si="2"/>
        <v>0.005471488416</v>
      </c>
    </row>
    <row r="133">
      <c r="A133" s="5" t="s">
        <v>22</v>
      </c>
      <c r="B133" s="5" t="s">
        <v>16</v>
      </c>
      <c r="C133" s="5" t="s">
        <v>29</v>
      </c>
      <c r="D133" s="6" t="s">
        <v>291</v>
      </c>
      <c r="E133" s="5" t="s">
        <v>36</v>
      </c>
      <c r="F133" s="5" t="s">
        <v>27</v>
      </c>
      <c r="G133" s="5">
        <v>12220.0</v>
      </c>
      <c r="H133" s="5">
        <v>54.0</v>
      </c>
      <c r="I133" s="5">
        <v>7133.0</v>
      </c>
      <c r="J133" s="5">
        <v>11331.0</v>
      </c>
      <c r="K133" s="5">
        <v>3.0</v>
      </c>
      <c r="L133" s="9">
        <v>1478.392247</v>
      </c>
      <c r="M133" s="15">
        <f t="shared" si="1"/>
        <v>492.7974157</v>
      </c>
      <c r="N133" s="16">
        <f t="shared" si="2"/>
        <v>0.00441898527</v>
      </c>
    </row>
    <row r="134">
      <c r="A134" s="5" t="s">
        <v>15</v>
      </c>
      <c r="B134" s="5" t="s">
        <v>16</v>
      </c>
      <c r="C134" s="5" t="s">
        <v>35</v>
      </c>
      <c r="D134" s="6" t="s">
        <v>297</v>
      </c>
      <c r="E134" s="5" t="s">
        <v>19</v>
      </c>
      <c r="F134" s="5" t="s">
        <v>27</v>
      </c>
      <c r="G134" s="5">
        <v>1100942.0</v>
      </c>
      <c r="H134" s="5">
        <v>2984.0</v>
      </c>
      <c r="I134" s="5">
        <v>629973.0</v>
      </c>
      <c r="J134" s="5">
        <v>1041225.0</v>
      </c>
      <c r="K134" s="5">
        <v>147.0</v>
      </c>
      <c r="L134" s="9">
        <v>7979.348589</v>
      </c>
      <c r="M134" s="15">
        <f t="shared" si="1"/>
        <v>54.28128292</v>
      </c>
      <c r="N134" s="16">
        <f t="shared" si="2"/>
        <v>0.002710406179</v>
      </c>
    </row>
    <row r="135">
      <c r="A135" s="5" t="s">
        <v>22</v>
      </c>
      <c r="B135" s="5" t="s">
        <v>16</v>
      </c>
      <c r="C135" s="5" t="s">
        <v>78</v>
      </c>
      <c r="D135" s="6" t="s">
        <v>297</v>
      </c>
      <c r="E135" s="5" t="s">
        <v>19</v>
      </c>
      <c r="F135" s="5" t="s">
        <v>27</v>
      </c>
      <c r="G135" s="5">
        <v>221720.0</v>
      </c>
      <c r="H135" s="5">
        <v>499.0</v>
      </c>
      <c r="I135" s="5">
        <v>35178.0</v>
      </c>
      <c r="J135" s="5">
        <v>196583.0</v>
      </c>
      <c r="K135" s="5">
        <v>69.0</v>
      </c>
      <c r="L135" s="9">
        <v>7890.221963</v>
      </c>
      <c r="M135" s="15">
        <f t="shared" si="1"/>
        <v>114.3510429</v>
      </c>
      <c r="N135" s="16">
        <f t="shared" si="2"/>
        <v>0.002250586325</v>
      </c>
    </row>
    <row r="136">
      <c r="A136" s="5" t="s">
        <v>15</v>
      </c>
      <c r="B136" s="5" t="s">
        <v>31</v>
      </c>
      <c r="C136" s="5" t="s">
        <v>78</v>
      </c>
      <c r="D136" s="6" t="s">
        <v>297</v>
      </c>
      <c r="E136" s="5" t="s">
        <v>19</v>
      </c>
      <c r="F136" s="5" t="s">
        <v>27</v>
      </c>
      <c r="G136" s="5">
        <v>325152.0</v>
      </c>
      <c r="H136" s="5">
        <v>854.0</v>
      </c>
      <c r="I136" s="5">
        <v>138319.0</v>
      </c>
      <c r="J136" s="5">
        <v>300133.0</v>
      </c>
      <c r="K136" s="5">
        <v>55.0</v>
      </c>
      <c r="L136" s="9">
        <v>7887.612662</v>
      </c>
      <c r="M136" s="15">
        <f t="shared" si="1"/>
        <v>143.4111393</v>
      </c>
      <c r="N136" s="16">
        <f t="shared" si="2"/>
        <v>0.002626463931</v>
      </c>
    </row>
    <row r="137">
      <c r="A137" s="5" t="s">
        <v>22</v>
      </c>
      <c r="B137" s="5" t="s">
        <v>16</v>
      </c>
      <c r="C137" s="5" t="s">
        <v>55</v>
      </c>
      <c r="D137" s="6" t="s">
        <v>297</v>
      </c>
      <c r="E137" s="5" t="s">
        <v>50</v>
      </c>
      <c r="F137" s="5" t="s">
        <v>27</v>
      </c>
      <c r="G137" s="5">
        <v>680912.0</v>
      </c>
      <c r="H137" s="5">
        <v>2000.0</v>
      </c>
      <c r="I137" s="5">
        <v>388915.0</v>
      </c>
      <c r="J137" s="5">
        <v>648524.0</v>
      </c>
      <c r="K137" s="5">
        <v>39.0</v>
      </c>
      <c r="L137" s="9">
        <v>7814.262494</v>
      </c>
      <c r="M137" s="15">
        <f t="shared" si="1"/>
        <v>200.365705</v>
      </c>
      <c r="N137" s="16">
        <f t="shared" si="2"/>
        <v>0.002937237117</v>
      </c>
    </row>
    <row r="138">
      <c r="A138" s="5" t="s">
        <v>15</v>
      </c>
      <c r="B138" s="5" t="s">
        <v>42</v>
      </c>
      <c r="C138" s="5" t="s">
        <v>39</v>
      </c>
      <c r="D138" s="6" t="s">
        <v>297</v>
      </c>
      <c r="E138" s="5" t="s">
        <v>1046</v>
      </c>
      <c r="F138" s="5" t="s">
        <v>27</v>
      </c>
      <c r="G138" s="5">
        <v>569171.0</v>
      </c>
      <c r="H138" s="5">
        <v>1354.0</v>
      </c>
      <c r="I138" s="5">
        <v>343050.0</v>
      </c>
      <c r="J138" s="5">
        <v>541133.0</v>
      </c>
      <c r="K138" s="5">
        <v>78.0</v>
      </c>
      <c r="L138" s="9">
        <v>7129.633287</v>
      </c>
      <c r="M138" s="15">
        <f t="shared" si="1"/>
        <v>91.40555496</v>
      </c>
      <c r="N138" s="16">
        <f t="shared" si="2"/>
        <v>0.002378898433</v>
      </c>
    </row>
    <row r="139">
      <c r="A139" s="5" t="s">
        <v>22</v>
      </c>
      <c r="B139" s="5" t="s">
        <v>31</v>
      </c>
      <c r="C139" s="5" t="s">
        <v>304</v>
      </c>
      <c r="D139" s="6" t="s">
        <v>297</v>
      </c>
      <c r="E139" s="5" t="s">
        <v>167</v>
      </c>
      <c r="F139" s="5" t="s">
        <v>27</v>
      </c>
      <c r="G139" s="5">
        <v>83957.0</v>
      </c>
      <c r="H139" s="5">
        <v>185.0</v>
      </c>
      <c r="I139" s="5">
        <v>1420.0</v>
      </c>
      <c r="J139" s="5">
        <v>69246.0</v>
      </c>
      <c r="K139" s="5">
        <v>19.0</v>
      </c>
      <c r="L139" s="9">
        <v>6651.51451</v>
      </c>
      <c r="M139" s="15">
        <f t="shared" si="1"/>
        <v>350.0797111</v>
      </c>
      <c r="N139" s="16">
        <f t="shared" si="2"/>
        <v>0.002203508939</v>
      </c>
    </row>
    <row r="140">
      <c r="A140" s="5" t="s">
        <v>15</v>
      </c>
      <c r="B140" s="5" t="s">
        <v>42</v>
      </c>
      <c r="C140" s="5" t="s">
        <v>78</v>
      </c>
      <c r="D140" s="6" t="s">
        <v>297</v>
      </c>
      <c r="E140" s="5" t="s">
        <v>19</v>
      </c>
      <c r="F140" s="5" t="s">
        <v>27</v>
      </c>
      <c r="G140" s="5">
        <v>161178.0</v>
      </c>
      <c r="H140" s="5">
        <v>492.0</v>
      </c>
      <c r="I140" s="5">
        <v>70181.0</v>
      </c>
      <c r="J140" s="5">
        <v>150003.0</v>
      </c>
      <c r="K140" s="5">
        <v>11.0</v>
      </c>
      <c r="L140" s="9">
        <v>5892.48218</v>
      </c>
      <c r="M140" s="15">
        <f t="shared" si="1"/>
        <v>535.6801982</v>
      </c>
      <c r="N140" s="16">
        <f t="shared" si="2"/>
        <v>0.003052525779</v>
      </c>
    </row>
    <row r="141">
      <c r="A141" s="5" t="s">
        <v>22</v>
      </c>
      <c r="B141" s="5" t="s">
        <v>31</v>
      </c>
      <c r="C141" s="5" t="s">
        <v>17</v>
      </c>
      <c r="D141" s="6" t="s">
        <v>297</v>
      </c>
      <c r="E141" s="5" t="s">
        <v>19</v>
      </c>
      <c r="F141" s="5" t="s">
        <v>27</v>
      </c>
      <c r="G141" s="5">
        <v>405957.0</v>
      </c>
      <c r="H141" s="5">
        <v>874.0</v>
      </c>
      <c r="I141" s="5">
        <v>204189.0</v>
      </c>
      <c r="J141" s="5">
        <v>385654.0</v>
      </c>
      <c r="K141" s="5">
        <v>16.0</v>
      </c>
      <c r="L141" s="9">
        <v>5864.126493</v>
      </c>
      <c r="M141" s="15">
        <f t="shared" si="1"/>
        <v>366.5079058</v>
      </c>
      <c r="N141" s="16">
        <f t="shared" si="2"/>
        <v>0.00215293738</v>
      </c>
    </row>
    <row r="142">
      <c r="A142" s="5" t="s">
        <v>22</v>
      </c>
      <c r="B142" s="5" t="s">
        <v>23</v>
      </c>
      <c r="C142" s="5" t="s">
        <v>29</v>
      </c>
      <c r="D142" s="6" t="s">
        <v>297</v>
      </c>
      <c r="E142" s="5" t="s">
        <v>117</v>
      </c>
      <c r="F142" s="5" t="s">
        <v>27</v>
      </c>
      <c r="G142" s="5">
        <v>39794.0</v>
      </c>
      <c r="H142" s="5">
        <v>101.0</v>
      </c>
      <c r="I142" s="5">
        <v>17539.0</v>
      </c>
      <c r="J142" s="5">
        <v>37664.0</v>
      </c>
      <c r="K142" s="5">
        <v>12.0</v>
      </c>
      <c r="L142" s="9">
        <v>5328.524514</v>
      </c>
      <c r="M142" s="15">
        <f t="shared" si="1"/>
        <v>444.0437095</v>
      </c>
      <c r="N142" s="16">
        <f t="shared" si="2"/>
        <v>0.002538071066</v>
      </c>
    </row>
    <row r="143">
      <c r="A143" s="5" t="s">
        <v>15</v>
      </c>
      <c r="B143" s="5" t="s">
        <v>31</v>
      </c>
      <c r="C143" s="5" t="s">
        <v>35</v>
      </c>
      <c r="D143" s="6" t="s">
        <v>297</v>
      </c>
      <c r="E143" s="5" t="s">
        <v>19</v>
      </c>
      <c r="F143" s="5" t="s">
        <v>27</v>
      </c>
      <c r="G143" s="5">
        <v>262807.0</v>
      </c>
      <c r="H143" s="5">
        <v>684.0</v>
      </c>
      <c r="I143" s="5">
        <v>109871.0</v>
      </c>
      <c r="J143" s="5">
        <v>236426.0</v>
      </c>
      <c r="K143" s="5">
        <v>12.0</v>
      </c>
      <c r="L143" s="9">
        <v>5150.468923</v>
      </c>
      <c r="M143" s="15">
        <f t="shared" si="1"/>
        <v>429.2057436</v>
      </c>
      <c r="N143" s="16">
        <f t="shared" si="2"/>
        <v>0.002602670401</v>
      </c>
    </row>
    <row r="144">
      <c r="A144" s="5" t="s">
        <v>15</v>
      </c>
      <c r="B144" s="5" t="s">
        <v>31</v>
      </c>
      <c r="C144" s="5" t="s">
        <v>35</v>
      </c>
      <c r="D144" s="6" t="s">
        <v>297</v>
      </c>
      <c r="E144" s="5" t="s">
        <v>117</v>
      </c>
      <c r="F144" s="5" t="s">
        <v>27</v>
      </c>
      <c r="G144" s="5">
        <v>56945.0</v>
      </c>
      <c r="H144" s="5">
        <v>152.0</v>
      </c>
      <c r="I144" s="5">
        <v>20750.0</v>
      </c>
      <c r="J144" s="5">
        <v>50714.0</v>
      </c>
      <c r="K144" s="5">
        <v>9.0</v>
      </c>
      <c r="L144" s="9">
        <v>5144.474371</v>
      </c>
      <c r="M144" s="15">
        <f t="shared" si="1"/>
        <v>571.6082634</v>
      </c>
      <c r="N144" s="16">
        <f t="shared" si="2"/>
        <v>0.002669242251</v>
      </c>
    </row>
    <row r="145">
      <c r="A145" s="5" t="s">
        <v>15</v>
      </c>
      <c r="B145" s="5" t="s">
        <v>23</v>
      </c>
      <c r="C145" s="5" t="s">
        <v>39</v>
      </c>
      <c r="D145" s="6" t="s">
        <v>297</v>
      </c>
      <c r="E145" s="5" t="s">
        <v>19</v>
      </c>
      <c r="F145" s="5" t="s">
        <v>27</v>
      </c>
      <c r="G145" s="5">
        <v>23983.0</v>
      </c>
      <c r="H145" s="5">
        <v>0.0</v>
      </c>
      <c r="I145" s="5">
        <v>464.0</v>
      </c>
      <c r="J145" s="5">
        <v>19802.0</v>
      </c>
      <c r="K145" s="5">
        <v>9.0</v>
      </c>
      <c r="L145" s="9">
        <v>4574.34827</v>
      </c>
      <c r="M145" s="15">
        <f t="shared" si="1"/>
        <v>508.2609189</v>
      </c>
      <c r="N145" s="16">
        <f t="shared" si="2"/>
        <v>0</v>
      </c>
    </row>
    <row r="146">
      <c r="A146" s="5" t="s">
        <v>22</v>
      </c>
      <c r="B146" s="5" t="s">
        <v>23</v>
      </c>
      <c r="C146" s="5" t="s">
        <v>35</v>
      </c>
      <c r="D146" s="6" t="s">
        <v>297</v>
      </c>
      <c r="E146" s="5" t="s">
        <v>19</v>
      </c>
      <c r="F146" s="5" t="s">
        <v>27</v>
      </c>
      <c r="G146" s="5">
        <v>102884.0</v>
      </c>
      <c r="H146" s="5">
        <v>299.0</v>
      </c>
      <c r="I146" s="5">
        <v>42841.0</v>
      </c>
      <c r="J146" s="5">
        <v>96539.0</v>
      </c>
      <c r="K146" s="5">
        <v>6.0</v>
      </c>
      <c r="L146" s="9">
        <v>2015.448331</v>
      </c>
      <c r="M146" s="15">
        <f t="shared" si="1"/>
        <v>335.9080552</v>
      </c>
      <c r="N146" s="16">
        <f t="shared" si="2"/>
        <v>0.002906185607</v>
      </c>
    </row>
    <row r="147">
      <c r="A147" s="5" t="s">
        <v>15</v>
      </c>
      <c r="B147" s="5" t="s">
        <v>42</v>
      </c>
      <c r="C147" s="5" t="s">
        <v>142</v>
      </c>
      <c r="D147" s="6" t="s">
        <v>297</v>
      </c>
      <c r="E147" s="5" t="s">
        <v>19</v>
      </c>
      <c r="F147" s="5" t="s">
        <v>27</v>
      </c>
      <c r="G147" s="5">
        <v>189462.0</v>
      </c>
      <c r="H147" s="5">
        <v>478.0</v>
      </c>
      <c r="I147" s="5">
        <v>53431.0</v>
      </c>
      <c r="J147" s="5">
        <v>163634.0</v>
      </c>
      <c r="K147" s="5">
        <v>5.0</v>
      </c>
      <c r="L147" s="9">
        <v>1625.17488</v>
      </c>
      <c r="M147" s="15">
        <f t="shared" si="1"/>
        <v>325.034976</v>
      </c>
      <c r="N147" s="16">
        <f t="shared" si="2"/>
        <v>0.002522933359</v>
      </c>
    </row>
    <row r="148">
      <c r="A148" s="5" t="s">
        <v>22</v>
      </c>
      <c r="B148" s="5" t="s">
        <v>23</v>
      </c>
      <c r="C148" s="5" t="s">
        <v>35</v>
      </c>
      <c r="D148" s="6" t="s">
        <v>297</v>
      </c>
      <c r="E148" s="5" t="s">
        <v>46</v>
      </c>
      <c r="F148" s="5" t="s">
        <v>27</v>
      </c>
      <c r="G148" s="5">
        <v>87287.0</v>
      </c>
      <c r="H148" s="5">
        <v>203.0</v>
      </c>
      <c r="I148" s="5">
        <v>40039.0</v>
      </c>
      <c r="J148" s="5">
        <v>80040.0</v>
      </c>
      <c r="K148" s="5">
        <v>18.0</v>
      </c>
      <c r="L148" s="9">
        <v>1579.367346</v>
      </c>
      <c r="M148" s="15">
        <f t="shared" si="1"/>
        <v>87.74263033</v>
      </c>
      <c r="N148" s="16">
        <f t="shared" si="2"/>
        <v>0.002325661324</v>
      </c>
    </row>
    <row r="149">
      <c r="A149" s="5" t="s">
        <v>15</v>
      </c>
      <c r="B149" s="5" t="s">
        <v>16</v>
      </c>
      <c r="C149" s="5" t="s">
        <v>17</v>
      </c>
      <c r="D149" s="6" t="s">
        <v>297</v>
      </c>
      <c r="E149" s="5" t="s">
        <v>46</v>
      </c>
      <c r="F149" s="5" t="s">
        <v>27</v>
      </c>
      <c r="G149" s="5">
        <v>77703.0</v>
      </c>
      <c r="H149" s="5">
        <v>204.0</v>
      </c>
      <c r="I149" s="5">
        <v>33478.0</v>
      </c>
      <c r="J149" s="5">
        <v>72874.0</v>
      </c>
      <c r="K149" s="5">
        <v>3.0</v>
      </c>
      <c r="L149" s="9">
        <v>1566.912406</v>
      </c>
      <c r="M149" s="15">
        <f t="shared" si="1"/>
        <v>522.3041353</v>
      </c>
      <c r="N149" s="16">
        <f t="shared" si="2"/>
        <v>0.002625381259</v>
      </c>
    </row>
    <row r="150">
      <c r="A150" s="5" t="s">
        <v>15</v>
      </c>
      <c r="B150" s="5" t="s">
        <v>42</v>
      </c>
      <c r="C150" s="5" t="s">
        <v>39</v>
      </c>
      <c r="D150" s="6" t="s">
        <v>297</v>
      </c>
      <c r="E150" s="5" t="s">
        <v>50</v>
      </c>
      <c r="F150" s="5" t="s">
        <v>27</v>
      </c>
      <c r="G150" s="5">
        <v>435848.0</v>
      </c>
      <c r="H150" s="5">
        <v>1058.0</v>
      </c>
      <c r="I150" s="5">
        <v>274912.0</v>
      </c>
      <c r="J150" s="5">
        <v>415601.0</v>
      </c>
      <c r="K150" s="5">
        <v>15.0</v>
      </c>
      <c r="L150" s="9">
        <v>1554.439959</v>
      </c>
      <c r="M150" s="15">
        <f t="shared" si="1"/>
        <v>103.6293306</v>
      </c>
      <c r="N150" s="16">
        <f t="shared" si="2"/>
        <v>0.002427451772</v>
      </c>
    </row>
    <row r="151">
      <c r="A151" s="5" t="s">
        <v>15</v>
      </c>
      <c r="B151" s="5" t="s">
        <v>42</v>
      </c>
      <c r="C151" s="5" t="s">
        <v>35</v>
      </c>
      <c r="D151" s="6" t="s">
        <v>297</v>
      </c>
      <c r="E151" s="5" t="s">
        <v>46</v>
      </c>
      <c r="F151" s="5" t="s">
        <v>27</v>
      </c>
      <c r="G151" s="5">
        <v>9210.0</v>
      </c>
      <c r="H151" s="5">
        <v>80.0</v>
      </c>
      <c r="I151" s="5">
        <v>3798.0</v>
      </c>
      <c r="J151" s="5">
        <v>8619.0</v>
      </c>
      <c r="K151" s="5">
        <v>2.0</v>
      </c>
      <c r="L151" s="9">
        <v>1536.629068</v>
      </c>
      <c r="M151" s="15">
        <f t="shared" si="1"/>
        <v>768.314534</v>
      </c>
      <c r="N151" s="16">
        <f t="shared" si="2"/>
        <v>0.008686210641</v>
      </c>
    </row>
    <row r="152">
      <c r="A152" s="5" t="s">
        <v>22</v>
      </c>
      <c r="B152" s="5" t="s">
        <v>31</v>
      </c>
      <c r="C152" s="5" t="s">
        <v>35</v>
      </c>
      <c r="D152" s="6" t="s">
        <v>297</v>
      </c>
      <c r="E152" s="5" t="s">
        <v>36</v>
      </c>
      <c r="F152" s="5" t="s">
        <v>27</v>
      </c>
      <c r="G152" s="5">
        <v>12088.0</v>
      </c>
      <c r="H152" s="5">
        <v>88.0</v>
      </c>
      <c r="I152" s="5">
        <v>1124.0</v>
      </c>
      <c r="J152" s="5">
        <v>10003.0</v>
      </c>
      <c r="K152" s="5">
        <v>2.0</v>
      </c>
      <c r="L152" s="9">
        <v>1500.026152</v>
      </c>
      <c r="M152" s="15">
        <f t="shared" si="1"/>
        <v>750.013076</v>
      </c>
      <c r="N152" s="16">
        <f t="shared" si="2"/>
        <v>0.007279947055</v>
      </c>
    </row>
    <row r="153">
      <c r="A153" s="5" t="s">
        <v>22</v>
      </c>
      <c r="B153" s="5" t="s">
        <v>31</v>
      </c>
      <c r="C153" s="5" t="s">
        <v>35</v>
      </c>
      <c r="D153" s="6" t="s">
        <v>297</v>
      </c>
      <c r="E153" s="5" t="s">
        <v>19</v>
      </c>
      <c r="F153" s="5" t="s">
        <v>27</v>
      </c>
      <c r="G153" s="5">
        <v>126337.0</v>
      </c>
      <c r="H153" s="5">
        <v>325.0</v>
      </c>
      <c r="I153" s="5">
        <v>51394.0</v>
      </c>
      <c r="J153" s="5">
        <v>117635.0</v>
      </c>
      <c r="K153" s="5">
        <v>5.0</v>
      </c>
      <c r="L153" s="9">
        <v>1487.088288</v>
      </c>
      <c r="M153" s="15">
        <f t="shared" si="1"/>
        <v>297.4176576</v>
      </c>
      <c r="N153" s="16">
        <f t="shared" si="2"/>
        <v>0.002572484704</v>
      </c>
    </row>
    <row r="154">
      <c r="A154" s="5" t="s">
        <v>15</v>
      </c>
      <c r="B154" s="5" t="s">
        <v>23</v>
      </c>
      <c r="C154" s="5" t="s">
        <v>35</v>
      </c>
      <c r="D154" s="6" t="s">
        <v>297</v>
      </c>
      <c r="E154" s="5" t="s">
        <v>327</v>
      </c>
      <c r="F154" s="5" t="s">
        <v>27</v>
      </c>
      <c r="G154" s="5">
        <v>229908.0</v>
      </c>
      <c r="H154" s="5">
        <v>489.0</v>
      </c>
      <c r="I154" s="5">
        <v>98259.0</v>
      </c>
      <c r="J154" s="5">
        <v>212073.0</v>
      </c>
      <c r="K154" s="5">
        <v>4.0</v>
      </c>
      <c r="L154" s="9">
        <v>1464.348944</v>
      </c>
      <c r="M154" s="15">
        <f t="shared" si="1"/>
        <v>366.087236</v>
      </c>
      <c r="N154" s="16">
        <f t="shared" si="2"/>
        <v>0.002126937732</v>
      </c>
    </row>
    <row r="155">
      <c r="A155" s="5" t="s">
        <v>15</v>
      </c>
      <c r="B155" s="5" t="s">
        <v>23</v>
      </c>
      <c r="C155" s="5" t="s">
        <v>17</v>
      </c>
      <c r="D155" s="6" t="s">
        <v>297</v>
      </c>
      <c r="E155" s="5" t="s">
        <v>117</v>
      </c>
      <c r="F155" s="5" t="s">
        <v>27</v>
      </c>
      <c r="G155" s="5">
        <v>144088.0</v>
      </c>
      <c r="H155" s="5">
        <v>490.0</v>
      </c>
      <c r="I155" s="5">
        <v>26416.0</v>
      </c>
      <c r="J155" s="5">
        <v>137369.0</v>
      </c>
      <c r="K155" s="5">
        <v>7.0</v>
      </c>
      <c r="L155" s="9">
        <v>1464.064235</v>
      </c>
      <c r="M155" s="15">
        <f t="shared" si="1"/>
        <v>209.1520336</v>
      </c>
      <c r="N155" s="16">
        <f t="shared" si="2"/>
        <v>0.003400699572</v>
      </c>
    </row>
    <row r="156">
      <c r="A156" s="5" t="s">
        <v>22</v>
      </c>
      <c r="B156" s="5" t="s">
        <v>16</v>
      </c>
      <c r="C156" s="5" t="s">
        <v>32</v>
      </c>
      <c r="D156" s="6" t="s">
        <v>297</v>
      </c>
      <c r="E156" s="5" t="s">
        <v>46</v>
      </c>
      <c r="F156" s="5" t="s">
        <v>27</v>
      </c>
      <c r="G156" s="5">
        <v>37269.0</v>
      </c>
      <c r="H156" s="5">
        <v>106.0</v>
      </c>
      <c r="I156" s="5">
        <v>11667.0</v>
      </c>
      <c r="J156" s="5">
        <v>33260.0</v>
      </c>
      <c r="K156" s="5">
        <v>6.0</v>
      </c>
      <c r="L156" s="9">
        <v>1453.075462</v>
      </c>
      <c r="M156" s="15">
        <f t="shared" si="1"/>
        <v>242.1792437</v>
      </c>
      <c r="N156" s="16">
        <f t="shared" si="2"/>
        <v>0.002844186858</v>
      </c>
    </row>
    <row r="157">
      <c r="A157" s="5" t="s">
        <v>15</v>
      </c>
      <c r="B157" s="5" t="s">
        <v>23</v>
      </c>
      <c r="C157" s="5" t="s">
        <v>17</v>
      </c>
      <c r="D157" s="6" t="s">
        <v>297</v>
      </c>
      <c r="E157" s="5" t="s">
        <v>26</v>
      </c>
      <c r="F157" s="5" t="s">
        <v>27</v>
      </c>
      <c r="G157" s="5">
        <v>13326.0</v>
      </c>
      <c r="H157" s="5">
        <v>98.0</v>
      </c>
      <c r="I157" s="5">
        <v>3568.0</v>
      </c>
      <c r="J157" s="5">
        <v>11388.0</v>
      </c>
      <c r="K157" s="5">
        <v>2.0</v>
      </c>
      <c r="L157" s="9">
        <v>1442.032183</v>
      </c>
      <c r="M157" s="15">
        <f t="shared" si="1"/>
        <v>721.0160915</v>
      </c>
      <c r="N157" s="16">
        <f t="shared" si="2"/>
        <v>0.007354044725</v>
      </c>
    </row>
    <row r="158">
      <c r="A158" s="5" t="s">
        <v>15</v>
      </c>
      <c r="B158" s="5" t="s">
        <v>31</v>
      </c>
      <c r="C158" s="5" t="s">
        <v>78</v>
      </c>
      <c r="D158" s="6" t="s">
        <v>332</v>
      </c>
      <c r="E158" s="5" t="s">
        <v>19</v>
      </c>
      <c r="F158" s="5" t="s">
        <v>27</v>
      </c>
      <c r="G158" s="5">
        <v>10942.0</v>
      </c>
      <c r="H158" s="5">
        <v>66.0</v>
      </c>
      <c r="I158" s="5">
        <v>4578.0</v>
      </c>
      <c r="J158" s="5">
        <v>9155.0</v>
      </c>
      <c r="K158" s="5">
        <v>3.0</v>
      </c>
      <c r="L158" s="9">
        <v>1595.752624</v>
      </c>
      <c r="M158" s="15">
        <f t="shared" si="1"/>
        <v>531.9175413</v>
      </c>
      <c r="N158" s="16">
        <f t="shared" si="2"/>
        <v>0.006031804058</v>
      </c>
    </row>
    <row r="159">
      <c r="A159" s="5" t="s">
        <v>22</v>
      </c>
      <c r="B159" s="5" t="s">
        <v>16</v>
      </c>
      <c r="C159" s="5" t="s">
        <v>150</v>
      </c>
      <c r="D159" s="6" t="s">
        <v>334</v>
      </c>
      <c r="E159" s="5" t="s">
        <v>19</v>
      </c>
      <c r="F159" s="5" t="s">
        <v>27</v>
      </c>
      <c r="G159" s="5">
        <v>14011.0</v>
      </c>
      <c r="H159" s="5">
        <v>40.0</v>
      </c>
      <c r="I159" s="5">
        <v>5060.0</v>
      </c>
      <c r="J159" s="5">
        <v>12459.0</v>
      </c>
      <c r="K159" s="5">
        <v>5.0</v>
      </c>
      <c r="L159" s="9">
        <v>5632.087973</v>
      </c>
      <c r="M159" s="15">
        <f t="shared" si="1"/>
        <v>1126.417595</v>
      </c>
      <c r="N159" s="16">
        <f t="shared" si="2"/>
        <v>0.002854899722</v>
      </c>
    </row>
    <row r="160">
      <c r="A160" s="5" t="s">
        <v>15</v>
      </c>
      <c r="B160" s="5" t="s">
        <v>42</v>
      </c>
      <c r="C160" s="5" t="s">
        <v>29</v>
      </c>
      <c r="D160" s="6" t="s">
        <v>336</v>
      </c>
      <c r="E160" s="5" t="s">
        <v>19</v>
      </c>
      <c r="F160" s="5" t="s">
        <v>27</v>
      </c>
      <c r="G160" s="5">
        <v>13464.0</v>
      </c>
      <c r="H160" s="5">
        <v>84.0</v>
      </c>
      <c r="I160" s="5">
        <v>1698.0</v>
      </c>
      <c r="J160" s="5">
        <v>11234.0</v>
      </c>
      <c r="K160" s="5">
        <v>1.0</v>
      </c>
      <c r="L160" s="9">
        <v>1466.285104</v>
      </c>
      <c r="M160" s="15">
        <f t="shared" si="1"/>
        <v>1466.285104</v>
      </c>
      <c r="N160" s="16">
        <f t="shared" si="2"/>
        <v>0.00623885918</v>
      </c>
    </row>
    <row r="161">
      <c r="A161" s="5" t="s">
        <v>15</v>
      </c>
      <c r="B161" s="5" t="s">
        <v>31</v>
      </c>
      <c r="C161" s="5" t="s">
        <v>84</v>
      </c>
      <c r="D161" s="6" t="s">
        <v>338</v>
      </c>
      <c r="E161" s="5" t="s">
        <v>26</v>
      </c>
      <c r="F161" s="5" t="s">
        <v>27</v>
      </c>
      <c r="G161" s="5">
        <v>121991.0</v>
      </c>
      <c r="H161" s="5">
        <v>369.0</v>
      </c>
      <c r="I161" s="5">
        <v>43079.0</v>
      </c>
      <c r="J161" s="5">
        <v>99312.0</v>
      </c>
      <c r="K161" s="5">
        <v>4.0</v>
      </c>
      <c r="L161" s="9">
        <v>3993.214585</v>
      </c>
      <c r="M161" s="15">
        <f t="shared" si="1"/>
        <v>998.3036463</v>
      </c>
      <c r="N161" s="16">
        <f t="shared" si="2"/>
        <v>0.003024813306</v>
      </c>
    </row>
    <row r="162">
      <c r="A162" s="5" t="s">
        <v>22</v>
      </c>
      <c r="B162" s="5" t="s">
        <v>31</v>
      </c>
      <c r="C162" s="5" t="s">
        <v>35</v>
      </c>
      <c r="D162" s="6" t="s">
        <v>338</v>
      </c>
      <c r="E162" s="5" t="s">
        <v>19</v>
      </c>
      <c r="F162" s="5" t="s">
        <v>27</v>
      </c>
      <c r="G162" s="5">
        <v>95289.0</v>
      </c>
      <c r="H162" s="5">
        <v>199.0</v>
      </c>
      <c r="I162" s="5">
        <v>19527.0</v>
      </c>
      <c r="J162" s="5">
        <v>82800.0</v>
      </c>
      <c r="K162" s="5">
        <v>5.0</v>
      </c>
      <c r="L162" s="9">
        <v>3223.535948</v>
      </c>
      <c r="M162" s="15">
        <f t="shared" si="1"/>
        <v>644.7071896</v>
      </c>
      <c r="N162" s="16">
        <f t="shared" si="2"/>
        <v>0.002088383759</v>
      </c>
    </row>
    <row r="163">
      <c r="A163" s="5" t="s">
        <v>22</v>
      </c>
      <c r="B163" s="5" t="s">
        <v>16</v>
      </c>
      <c r="C163" s="5" t="s">
        <v>35</v>
      </c>
      <c r="D163" s="6" t="s">
        <v>341</v>
      </c>
      <c r="E163" s="5" t="s">
        <v>19</v>
      </c>
      <c r="F163" s="5" t="s">
        <v>27</v>
      </c>
      <c r="G163" s="5">
        <v>80408.0</v>
      </c>
      <c r="H163" s="5">
        <v>199.0</v>
      </c>
      <c r="I163" s="5">
        <v>13127.0</v>
      </c>
      <c r="J163" s="5">
        <v>67027.0</v>
      </c>
      <c r="K163" s="5">
        <v>9.0</v>
      </c>
      <c r="L163" s="9">
        <v>1788.111618</v>
      </c>
      <c r="M163" s="15">
        <f t="shared" si="1"/>
        <v>198.6790687</v>
      </c>
      <c r="N163" s="16">
        <f t="shared" si="2"/>
        <v>0.002474878122</v>
      </c>
    </row>
    <row r="164">
      <c r="A164" s="5" t="s">
        <v>22</v>
      </c>
      <c r="B164" s="5" t="s">
        <v>42</v>
      </c>
      <c r="C164" s="5" t="s">
        <v>55</v>
      </c>
      <c r="D164" s="6" t="s">
        <v>341</v>
      </c>
      <c r="E164" s="5" t="s">
        <v>46</v>
      </c>
      <c r="F164" s="5" t="s">
        <v>27</v>
      </c>
      <c r="G164" s="5">
        <v>82916.0</v>
      </c>
      <c r="H164" s="5">
        <v>199.0</v>
      </c>
      <c r="I164" s="5">
        <v>24951.0</v>
      </c>
      <c r="J164" s="5">
        <v>77333.0</v>
      </c>
      <c r="K164" s="5">
        <v>12.0</v>
      </c>
      <c r="L164" s="9">
        <v>1584.821247</v>
      </c>
      <c r="M164" s="15">
        <f t="shared" si="1"/>
        <v>132.0684373</v>
      </c>
      <c r="N164" s="16">
        <f t="shared" si="2"/>
        <v>0.002400019297</v>
      </c>
    </row>
    <row r="165">
      <c r="A165" s="5" t="s">
        <v>22</v>
      </c>
      <c r="B165" s="5" t="s">
        <v>31</v>
      </c>
      <c r="C165" s="5" t="s">
        <v>35</v>
      </c>
      <c r="D165" s="6" t="s">
        <v>346</v>
      </c>
      <c r="E165" s="5" t="s">
        <v>1046</v>
      </c>
      <c r="F165" s="5" t="s">
        <v>27</v>
      </c>
      <c r="G165" s="5">
        <v>9920.0</v>
      </c>
      <c r="H165" s="5">
        <v>20.0</v>
      </c>
      <c r="I165" s="5">
        <v>6702.0</v>
      </c>
      <c r="J165" s="5">
        <v>9096.0</v>
      </c>
      <c r="K165" s="5">
        <v>10.0</v>
      </c>
      <c r="L165" s="9">
        <v>1453.11439</v>
      </c>
      <c r="M165" s="15">
        <f t="shared" si="1"/>
        <v>145.311439</v>
      </c>
      <c r="N165" s="16">
        <f t="shared" si="2"/>
        <v>0.002016129032</v>
      </c>
    </row>
    <row r="166">
      <c r="A166" s="5" t="s">
        <v>22</v>
      </c>
      <c r="B166" s="5" t="s">
        <v>42</v>
      </c>
      <c r="C166" s="5" t="s">
        <v>24</v>
      </c>
      <c r="D166" s="6" t="s">
        <v>348</v>
      </c>
      <c r="E166" s="5" t="s">
        <v>36</v>
      </c>
      <c r="F166" s="5" t="s">
        <v>27</v>
      </c>
      <c r="G166" s="5">
        <v>31243.0</v>
      </c>
      <c r="H166" s="5">
        <v>100.0</v>
      </c>
      <c r="I166" s="5">
        <v>16326.0</v>
      </c>
      <c r="J166" s="5">
        <v>25991.0</v>
      </c>
      <c r="K166" s="5">
        <v>21.0</v>
      </c>
      <c r="L166" s="9">
        <v>1452.59056</v>
      </c>
      <c r="M166" s="15">
        <f t="shared" si="1"/>
        <v>69.17097905</v>
      </c>
      <c r="N166" s="16">
        <f t="shared" si="2"/>
        <v>0.003200716961</v>
      </c>
    </row>
    <row r="167">
      <c r="A167" s="5" t="s">
        <v>22</v>
      </c>
      <c r="B167" s="5" t="s">
        <v>42</v>
      </c>
      <c r="C167" s="5" t="s">
        <v>17</v>
      </c>
      <c r="D167" s="6" t="s">
        <v>352</v>
      </c>
      <c r="E167" s="5" t="s">
        <v>1046</v>
      </c>
      <c r="F167" s="5" t="s">
        <v>27</v>
      </c>
      <c r="G167" s="5">
        <v>15252.0</v>
      </c>
      <c r="H167" s="5">
        <v>55.0</v>
      </c>
      <c r="I167" s="5">
        <v>2152.0</v>
      </c>
      <c r="J167" s="5">
        <v>3482.0</v>
      </c>
      <c r="K167" s="5">
        <v>7.0</v>
      </c>
      <c r="L167" s="9">
        <v>6211.200147</v>
      </c>
      <c r="M167" s="15">
        <f t="shared" si="1"/>
        <v>887.3143067</v>
      </c>
      <c r="N167" s="16">
        <f t="shared" si="2"/>
        <v>0.003606084448</v>
      </c>
    </row>
    <row r="168">
      <c r="A168" s="5" t="s">
        <v>61</v>
      </c>
      <c r="B168" s="5" t="s">
        <v>42</v>
      </c>
      <c r="C168" s="5" t="s">
        <v>304</v>
      </c>
      <c r="D168" s="6" t="s">
        <v>352</v>
      </c>
      <c r="E168" s="5" t="s">
        <v>19</v>
      </c>
      <c r="F168" s="5" t="s">
        <v>27</v>
      </c>
      <c r="G168" s="5">
        <v>7394.0</v>
      </c>
      <c r="H168" s="5">
        <v>20.0</v>
      </c>
      <c r="I168" s="5">
        <v>3441.0</v>
      </c>
      <c r="J168" s="5">
        <v>6663.0</v>
      </c>
      <c r="K168" s="5">
        <v>1.0</v>
      </c>
      <c r="L168" s="9">
        <v>1624.840774</v>
      </c>
      <c r="M168" s="15">
        <f t="shared" si="1"/>
        <v>1624.840774</v>
      </c>
      <c r="N168" s="16">
        <f t="shared" si="2"/>
        <v>0.002704895862</v>
      </c>
    </row>
    <row r="169">
      <c r="A169" s="5" t="s">
        <v>22</v>
      </c>
      <c r="B169" s="5" t="s">
        <v>16</v>
      </c>
      <c r="C169" s="5" t="s">
        <v>55</v>
      </c>
      <c r="D169" s="6" t="s">
        <v>352</v>
      </c>
      <c r="E169" s="5" t="s">
        <v>19</v>
      </c>
      <c r="F169" s="5" t="s">
        <v>27</v>
      </c>
      <c r="G169" s="5">
        <v>22259.0</v>
      </c>
      <c r="H169" s="5">
        <v>120.0</v>
      </c>
      <c r="I169" s="5">
        <v>12405.0</v>
      </c>
      <c r="J169" s="5">
        <v>17609.0</v>
      </c>
      <c r="K169" s="5">
        <v>14.0</v>
      </c>
      <c r="L169" s="9">
        <v>1611.340211</v>
      </c>
      <c r="M169" s="15">
        <f t="shared" si="1"/>
        <v>115.0957294</v>
      </c>
      <c r="N169" s="16">
        <f t="shared" si="2"/>
        <v>0.005391077766</v>
      </c>
    </row>
    <row r="170">
      <c r="A170" s="5" t="s">
        <v>22</v>
      </c>
      <c r="B170" s="5" t="s">
        <v>16</v>
      </c>
      <c r="C170" s="5" t="s">
        <v>35</v>
      </c>
      <c r="D170" s="6" t="s">
        <v>358</v>
      </c>
      <c r="E170" s="5" t="s">
        <v>48</v>
      </c>
      <c r="F170" s="5" t="s">
        <v>27</v>
      </c>
      <c r="G170" s="5">
        <v>111624.0</v>
      </c>
      <c r="H170" s="5">
        <v>590.0</v>
      </c>
      <c r="I170" s="5">
        <v>40343.0</v>
      </c>
      <c r="J170" s="5">
        <v>101306.0</v>
      </c>
      <c r="K170" s="5">
        <v>21.0</v>
      </c>
      <c r="L170" s="9">
        <v>6510.446656</v>
      </c>
      <c r="M170" s="15">
        <f t="shared" si="1"/>
        <v>310.0212693</v>
      </c>
      <c r="N170" s="16">
        <f t="shared" si="2"/>
        <v>0.005285601663</v>
      </c>
    </row>
    <row r="171">
      <c r="A171" s="5" t="s">
        <v>61</v>
      </c>
      <c r="B171" s="5" t="s">
        <v>42</v>
      </c>
      <c r="C171" s="5" t="s">
        <v>55</v>
      </c>
      <c r="D171" s="6" t="s">
        <v>362</v>
      </c>
      <c r="E171" s="5" t="s">
        <v>46</v>
      </c>
      <c r="F171" s="5" t="s">
        <v>27</v>
      </c>
      <c r="G171" s="5">
        <v>115412.0</v>
      </c>
      <c r="H171" s="5">
        <v>490.0</v>
      </c>
      <c r="I171" s="5">
        <v>71564.0</v>
      </c>
      <c r="J171" s="5">
        <v>81785.0</v>
      </c>
      <c r="K171" s="5">
        <v>21.0</v>
      </c>
      <c r="L171" s="9">
        <v>6861.53638</v>
      </c>
      <c r="M171" s="15">
        <f t="shared" si="1"/>
        <v>326.7398276</v>
      </c>
      <c r="N171" s="16">
        <f t="shared" si="2"/>
        <v>0.00424565903</v>
      </c>
    </row>
    <row r="172">
      <c r="A172" s="5" t="s">
        <v>15</v>
      </c>
      <c r="B172" s="5" t="s">
        <v>31</v>
      </c>
      <c r="C172" s="5" t="s">
        <v>35</v>
      </c>
      <c r="D172" s="6" t="s">
        <v>362</v>
      </c>
      <c r="E172" s="5" t="s">
        <v>19</v>
      </c>
      <c r="F172" s="5" t="s">
        <v>27</v>
      </c>
      <c r="G172" s="5">
        <v>11375.0</v>
      </c>
      <c r="H172" s="5">
        <v>87.0</v>
      </c>
      <c r="I172" s="5">
        <v>7171.0</v>
      </c>
      <c r="J172" s="5">
        <v>8151.0</v>
      </c>
      <c r="K172" s="5">
        <v>4.0</v>
      </c>
      <c r="L172" s="9">
        <v>1763.784061</v>
      </c>
      <c r="M172" s="15">
        <f t="shared" si="1"/>
        <v>440.9460153</v>
      </c>
      <c r="N172" s="16">
        <f t="shared" si="2"/>
        <v>0.007648351648</v>
      </c>
    </row>
    <row r="173">
      <c r="A173" s="5" t="s">
        <v>22</v>
      </c>
      <c r="B173" s="5" t="s">
        <v>42</v>
      </c>
      <c r="C173" s="5" t="s">
        <v>39</v>
      </c>
      <c r="D173" s="6" t="s">
        <v>365</v>
      </c>
      <c r="E173" s="5" t="s">
        <v>19</v>
      </c>
      <c r="F173" s="5" t="s">
        <v>27</v>
      </c>
      <c r="G173" s="5">
        <v>22690.0</v>
      </c>
      <c r="H173" s="5">
        <v>68.0</v>
      </c>
      <c r="I173" s="5">
        <v>10212.0</v>
      </c>
      <c r="J173" s="5">
        <v>19934.0</v>
      </c>
      <c r="K173" s="5">
        <v>19.0</v>
      </c>
      <c r="L173" s="9">
        <v>7210.686506</v>
      </c>
      <c r="M173" s="15">
        <f t="shared" si="1"/>
        <v>379.5098161</v>
      </c>
      <c r="N173" s="16">
        <f t="shared" si="2"/>
        <v>0.002996914941</v>
      </c>
    </row>
    <row r="174">
      <c r="A174" s="5" t="s">
        <v>22</v>
      </c>
      <c r="B174" s="5" t="s">
        <v>42</v>
      </c>
      <c r="C174" s="5" t="s">
        <v>78</v>
      </c>
      <c r="D174" s="6" t="s">
        <v>365</v>
      </c>
      <c r="E174" s="5" t="s">
        <v>36</v>
      </c>
      <c r="F174" s="5" t="s">
        <v>27</v>
      </c>
      <c r="G174" s="5">
        <v>76049.0</v>
      </c>
      <c r="H174" s="5">
        <v>199.0</v>
      </c>
      <c r="I174" s="5">
        <v>34921.0</v>
      </c>
      <c r="J174" s="5">
        <v>69138.0</v>
      </c>
      <c r="K174" s="5">
        <v>8.0</v>
      </c>
      <c r="L174" s="9">
        <v>6942.800458</v>
      </c>
      <c r="M174" s="15">
        <f t="shared" si="1"/>
        <v>867.8500573</v>
      </c>
      <c r="N174" s="16">
        <f t="shared" si="2"/>
        <v>0.002616733948</v>
      </c>
    </row>
    <row r="175">
      <c r="A175" s="5" t="s">
        <v>22</v>
      </c>
      <c r="B175" s="5" t="s">
        <v>16</v>
      </c>
      <c r="C175" s="5" t="s">
        <v>173</v>
      </c>
      <c r="D175" s="6" t="s">
        <v>365</v>
      </c>
      <c r="E175" s="5" t="s">
        <v>48</v>
      </c>
      <c r="F175" s="5" t="s">
        <v>27</v>
      </c>
      <c r="G175" s="5">
        <v>44505.0</v>
      </c>
      <c r="H175" s="5">
        <v>125.0</v>
      </c>
      <c r="I175" s="5">
        <v>18993.0</v>
      </c>
      <c r="J175" s="5">
        <v>39522.0</v>
      </c>
      <c r="K175" s="5">
        <v>16.0</v>
      </c>
      <c r="L175" s="9">
        <v>6766.475368</v>
      </c>
      <c r="M175" s="15">
        <f t="shared" si="1"/>
        <v>422.9047105</v>
      </c>
      <c r="N175" s="16">
        <f t="shared" si="2"/>
        <v>0.002808673183</v>
      </c>
    </row>
    <row r="176">
      <c r="A176" s="5" t="s">
        <v>15</v>
      </c>
      <c r="B176" s="5" t="s">
        <v>16</v>
      </c>
      <c r="C176" s="5" t="s">
        <v>78</v>
      </c>
      <c r="D176" s="6" t="s">
        <v>365</v>
      </c>
      <c r="E176" s="5" t="s">
        <v>19</v>
      </c>
      <c r="F176" s="5" t="s">
        <v>27</v>
      </c>
      <c r="G176" s="5">
        <v>286998.0</v>
      </c>
      <c r="H176" s="5">
        <v>815.0</v>
      </c>
      <c r="I176" s="5">
        <v>61586.0</v>
      </c>
      <c r="J176" s="5">
        <v>247500.0</v>
      </c>
      <c r="K176" s="5">
        <v>13.0</v>
      </c>
      <c r="L176" s="9">
        <v>6395.550624</v>
      </c>
      <c r="M176" s="15">
        <f t="shared" si="1"/>
        <v>491.9654326</v>
      </c>
      <c r="N176" s="16">
        <f t="shared" si="2"/>
        <v>0.002839741043</v>
      </c>
    </row>
    <row r="177">
      <c r="A177" s="5" t="s">
        <v>22</v>
      </c>
      <c r="B177" s="5" t="s">
        <v>23</v>
      </c>
      <c r="C177" s="5" t="s">
        <v>35</v>
      </c>
      <c r="D177" s="6" t="s">
        <v>365</v>
      </c>
      <c r="E177" s="5" t="s">
        <v>19</v>
      </c>
      <c r="F177" s="5" t="s">
        <v>27</v>
      </c>
      <c r="G177" s="5">
        <v>232470.0</v>
      </c>
      <c r="H177" s="5">
        <v>504.0</v>
      </c>
      <c r="I177" s="5">
        <v>40870.0</v>
      </c>
      <c r="J177" s="5">
        <v>195447.0</v>
      </c>
      <c r="K177" s="5">
        <v>36.0</v>
      </c>
      <c r="L177" s="9">
        <v>5401.365085</v>
      </c>
      <c r="M177" s="15">
        <f t="shared" si="1"/>
        <v>150.037919</v>
      </c>
      <c r="N177" s="16">
        <f t="shared" si="2"/>
        <v>0.00216802168</v>
      </c>
    </row>
    <row r="178">
      <c r="A178" s="5" t="s">
        <v>22</v>
      </c>
      <c r="B178" s="5" t="s">
        <v>42</v>
      </c>
      <c r="C178" s="5" t="s">
        <v>29</v>
      </c>
      <c r="D178" s="6" t="s">
        <v>365</v>
      </c>
      <c r="E178" s="5" t="s">
        <v>191</v>
      </c>
      <c r="F178" s="5" t="s">
        <v>27</v>
      </c>
      <c r="G178" s="5">
        <v>51056.0</v>
      </c>
      <c r="H178" s="5">
        <v>120.0</v>
      </c>
      <c r="I178" s="5">
        <v>24672.0</v>
      </c>
      <c r="J178" s="5">
        <v>45563.0</v>
      </c>
      <c r="K178" s="5">
        <v>4.0</v>
      </c>
      <c r="L178" s="9">
        <v>2215.631845</v>
      </c>
      <c r="M178" s="15">
        <f t="shared" si="1"/>
        <v>553.9079613</v>
      </c>
      <c r="N178" s="16">
        <f t="shared" si="2"/>
        <v>0.002350360389</v>
      </c>
    </row>
    <row r="179">
      <c r="A179" s="5" t="s">
        <v>22</v>
      </c>
      <c r="B179" s="5" t="s">
        <v>42</v>
      </c>
      <c r="C179" s="5" t="s">
        <v>84</v>
      </c>
      <c r="D179" s="6" t="s">
        <v>365</v>
      </c>
      <c r="E179" s="5" t="s">
        <v>19</v>
      </c>
      <c r="F179" s="5" t="s">
        <v>27</v>
      </c>
      <c r="G179" s="5">
        <v>52582.0</v>
      </c>
      <c r="H179" s="5">
        <v>140.0</v>
      </c>
      <c r="I179" s="5">
        <v>22065.0</v>
      </c>
      <c r="J179" s="5">
        <v>46126.0</v>
      </c>
      <c r="K179" s="5">
        <v>10.0</v>
      </c>
      <c r="L179" s="9">
        <v>1631.741712</v>
      </c>
      <c r="M179" s="15">
        <f t="shared" si="1"/>
        <v>163.1741712</v>
      </c>
      <c r="N179" s="16">
        <f t="shared" si="2"/>
        <v>0.002662508083</v>
      </c>
    </row>
    <row r="180">
      <c r="A180" s="5" t="s">
        <v>15</v>
      </c>
      <c r="B180" s="5" t="s">
        <v>16</v>
      </c>
      <c r="C180" s="5" t="s">
        <v>35</v>
      </c>
      <c r="D180" s="6" t="s">
        <v>365</v>
      </c>
      <c r="E180" s="5" t="s">
        <v>26</v>
      </c>
      <c r="F180" s="5" t="s">
        <v>27</v>
      </c>
      <c r="G180" s="5">
        <v>109567.0</v>
      </c>
      <c r="H180" s="5">
        <v>345.0</v>
      </c>
      <c r="I180" s="5">
        <v>57620.0</v>
      </c>
      <c r="J180" s="5">
        <v>97903.0</v>
      </c>
      <c r="K180" s="5">
        <v>5.0</v>
      </c>
      <c r="L180" s="9">
        <v>1616.714722</v>
      </c>
      <c r="M180" s="15">
        <f t="shared" si="1"/>
        <v>323.3429444</v>
      </c>
      <c r="N180" s="16">
        <f t="shared" si="2"/>
        <v>0.003148758294</v>
      </c>
    </row>
    <row r="181">
      <c r="A181" s="5" t="s">
        <v>22</v>
      </c>
      <c r="B181" s="5" t="s">
        <v>42</v>
      </c>
      <c r="C181" s="5" t="s">
        <v>78</v>
      </c>
      <c r="D181" s="6" t="s">
        <v>365</v>
      </c>
      <c r="E181" s="5" t="s">
        <v>19</v>
      </c>
      <c r="F181" s="5" t="s">
        <v>27</v>
      </c>
      <c r="G181" s="5">
        <v>22163.0</v>
      </c>
      <c r="H181" s="5">
        <v>55.0</v>
      </c>
      <c r="I181" s="5">
        <v>2368.0</v>
      </c>
      <c r="J181" s="5">
        <v>8130.0</v>
      </c>
      <c r="K181" s="5">
        <v>3.0</v>
      </c>
      <c r="L181" s="9">
        <v>1493.779328</v>
      </c>
      <c r="M181" s="15">
        <f t="shared" si="1"/>
        <v>497.9264427</v>
      </c>
      <c r="N181" s="16">
        <f t="shared" si="2"/>
        <v>0.0024816135</v>
      </c>
    </row>
    <row r="182">
      <c r="A182" s="5" t="s">
        <v>22</v>
      </c>
      <c r="B182" s="5" t="s">
        <v>16</v>
      </c>
      <c r="C182" s="5" t="s">
        <v>78</v>
      </c>
      <c r="D182" s="6" t="s">
        <v>378</v>
      </c>
      <c r="E182" s="5" t="s">
        <v>36</v>
      </c>
      <c r="F182" s="5" t="s">
        <v>27</v>
      </c>
      <c r="G182" s="5">
        <v>26304.0</v>
      </c>
      <c r="H182" s="5">
        <v>75.0</v>
      </c>
      <c r="I182" s="5">
        <v>12354.0</v>
      </c>
      <c r="J182" s="5">
        <v>17500.0</v>
      </c>
      <c r="K182" s="5">
        <v>11.0</v>
      </c>
      <c r="L182" s="9">
        <v>4727.813916</v>
      </c>
      <c r="M182" s="15">
        <f t="shared" si="1"/>
        <v>429.8012651</v>
      </c>
      <c r="N182" s="16">
        <f t="shared" si="2"/>
        <v>0.002851277372</v>
      </c>
    </row>
    <row r="183">
      <c r="A183" s="5" t="s">
        <v>15</v>
      </c>
      <c r="B183" s="5" t="s">
        <v>23</v>
      </c>
      <c r="C183" s="5" t="s">
        <v>78</v>
      </c>
      <c r="D183" s="6" t="s">
        <v>378</v>
      </c>
      <c r="E183" s="5" t="s">
        <v>26</v>
      </c>
      <c r="F183" s="5" t="s">
        <v>27</v>
      </c>
      <c r="G183" s="5">
        <v>13100.0</v>
      </c>
      <c r="H183" s="5">
        <v>80.0</v>
      </c>
      <c r="I183" s="5">
        <v>6507.0</v>
      </c>
      <c r="J183" s="5">
        <v>10895.0</v>
      </c>
      <c r="K183" s="5">
        <v>5.0</v>
      </c>
      <c r="L183" s="9">
        <v>3411.590029</v>
      </c>
      <c r="M183" s="15">
        <f t="shared" si="1"/>
        <v>682.3180058</v>
      </c>
      <c r="N183" s="16">
        <f t="shared" si="2"/>
        <v>0.006106870229</v>
      </c>
    </row>
    <row r="184">
      <c r="A184" s="5" t="s">
        <v>22</v>
      </c>
      <c r="B184" s="5" t="s">
        <v>16</v>
      </c>
      <c r="C184" s="5" t="s">
        <v>39</v>
      </c>
      <c r="D184" s="6" t="s">
        <v>382</v>
      </c>
      <c r="E184" s="5" t="s">
        <v>19</v>
      </c>
      <c r="F184" s="5" t="s">
        <v>27</v>
      </c>
      <c r="G184" s="5">
        <v>9533.0</v>
      </c>
      <c r="H184" s="5">
        <v>66.0</v>
      </c>
      <c r="I184" s="5">
        <v>6548.0</v>
      </c>
      <c r="J184" s="5">
        <v>9042.0</v>
      </c>
      <c r="K184" s="5">
        <v>16.0</v>
      </c>
      <c r="L184" s="9">
        <v>5574.543505</v>
      </c>
      <c r="M184" s="15">
        <f t="shared" si="1"/>
        <v>348.4089691</v>
      </c>
      <c r="N184" s="16">
        <f t="shared" si="2"/>
        <v>0.006923318997</v>
      </c>
    </row>
    <row r="185">
      <c r="A185" s="5" t="s">
        <v>15</v>
      </c>
      <c r="B185" s="5" t="s">
        <v>23</v>
      </c>
      <c r="C185" s="5" t="s">
        <v>95</v>
      </c>
      <c r="D185" s="6" t="s">
        <v>384</v>
      </c>
      <c r="E185" s="5" t="s">
        <v>46</v>
      </c>
      <c r="F185" s="5" t="s">
        <v>27</v>
      </c>
      <c r="G185" s="5">
        <v>12092.0</v>
      </c>
      <c r="H185" s="5">
        <v>30.0</v>
      </c>
      <c r="I185" s="5">
        <v>2042.0</v>
      </c>
      <c r="J185" s="5">
        <v>10315.0</v>
      </c>
      <c r="K185" s="5">
        <v>8.0</v>
      </c>
      <c r="L185" s="9">
        <v>6245.134793</v>
      </c>
      <c r="M185" s="15">
        <f t="shared" si="1"/>
        <v>780.6418491</v>
      </c>
      <c r="N185" s="16">
        <f t="shared" si="2"/>
        <v>0.00248097916</v>
      </c>
    </row>
    <row r="186">
      <c r="A186" s="5" t="s">
        <v>15</v>
      </c>
      <c r="B186" s="5" t="s">
        <v>16</v>
      </c>
      <c r="C186" s="5" t="s">
        <v>35</v>
      </c>
      <c r="D186" s="6" t="s">
        <v>386</v>
      </c>
      <c r="E186" s="5" t="s">
        <v>117</v>
      </c>
      <c r="F186" s="5" t="s">
        <v>27</v>
      </c>
      <c r="G186" s="5">
        <v>12710.0</v>
      </c>
      <c r="H186" s="5">
        <v>10.0</v>
      </c>
      <c r="I186" s="5">
        <v>8159.0</v>
      </c>
      <c r="J186" s="5">
        <v>11984.0</v>
      </c>
      <c r="K186" s="5">
        <v>11.0</v>
      </c>
      <c r="L186" s="9">
        <v>7851.397478</v>
      </c>
      <c r="M186" s="15">
        <f t="shared" si="1"/>
        <v>713.7634071</v>
      </c>
      <c r="N186" s="16">
        <f t="shared" si="2"/>
        <v>0.0007867820614</v>
      </c>
    </row>
    <row r="187">
      <c r="A187" s="5" t="s">
        <v>22</v>
      </c>
      <c r="B187" s="5" t="s">
        <v>42</v>
      </c>
      <c r="C187" s="5" t="s">
        <v>35</v>
      </c>
      <c r="D187" s="6" t="s">
        <v>386</v>
      </c>
      <c r="E187" s="5" t="s">
        <v>19</v>
      </c>
      <c r="F187" s="5" t="s">
        <v>27</v>
      </c>
      <c r="G187" s="5">
        <v>9463.0</v>
      </c>
      <c r="H187" s="5">
        <v>56.0</v>
      </c>
      <c r="I187" s="5">
        <v>1518.0</v>
      </c>
      <c r="J187" s="5">
        <v>8191.0</v>
      </c>
      <c r="K187" s="5">
        <v>4.0</v>
      </c>
      <c r="L187" s="9">
        <v>6879.601707</v>
      </c>
      <c r="M187" s="15">
        <f t="shared" si="1"/>
        <v>1719.900427</v>
      </c>
      <c r="N187" s="16">
        <f t="shared" si="2"/>
        <v>0.005917785058</v>
      </c>
    </row>
    <row r="188">
      <c r="A188" s="5" t="s">
        <v>15</v>
      </c>
      <c r="B188" s="5" t="s">
        <v>16</v>
      </c>
      <c r="C188" s="5" t="s">
        <v>35</v>
      </c>
      <c r="D188" s="6" t="s">
        <v>386</v>
      </c>
      <c r="E188" s="5" t="s">
        <v>26</v>
      </c>
      <c r="F188" s="5" t="s">
        <v>27</v>
      </c>
      <c r="G188" s="5">
        <v>12136.0</v>
      </c>
      <c r="H188" s="5">
        <v>97.0</v>
      </c>
      <c r="I188" s="5">
        <v>2089.0</v>
      </c>
      <c r="J188" s="5">
        <v>11500.0</v>
      </c>
      <c r="K188" s="5">
        <v>3.0</v>
      </c>
      <c r="L188" s="9">
        <v>5224.932463</v>
      </c>
      <c r="M188" s="15">
        <f t="shared" si="1"/>
        <v>1741.644154</v>
      </c>
      <c r="N188" s="16">
        <f t="shared" si="2"/>
        <v>0.007992748846</v>
      </c>
    </row>
    <row r="189">
      <c r="A189" s="5" t="s">
        <v>22</v>
      </c>
      <c r="B189" s="5" t="s">
        <v>31</v>
      </c>
      <c r="C189" s="5" t="s">
        <v>39</v>
      </c>
      <c r="D189" s="6" t="s">
        <v>390</v>
      </c>
      <c r="E189" s="5" t="s">
        <v>19</v>
      </c>
      <c r="F189" s="5" t="s">
        <v>27</v>
      </c>
      <c r="G189" s="5">
        <v>15326.0</v>
      </c>
      <c r="H189" s="5">
        <v>68.0</v>
      </c>
      <c r="I189" s="5">
        <v>7941.0</v>
      </c>
      <c r="J189" s="5">
        <v>14331.0</v>
      </c>
      <c r="K189" s="5">
        <v>8.0</v>
      </c>
      <c r="L189" s="9">
        <v>6943.515824</v>
      </c>
      <c r="M189" s="15">
        <f t="shared" si="1"/>
        <v>867.939478</v>
      </c>
      <c r="N189" s="16">
        <f t="shared" si="2"/>
        <v>0.004436904607</v>
      </c>
    </row>
    <row r="190">
      <c r="A190" s="5" t="s">
        <v>22</v>
      </c>
      <c r="B190" s="5" t="s">
        <v>31</v>
      </c>
      <c r="C190" s="5" t="s">
        <v>35</v>
      </c>
      <c r="D190" s="6" t="s">
        <v>390</v>
      </c>
      <c r="E190" s="5" t="s">
        <v>19</v>
      </c>
      <c r="F190" s="5" t="s">
        <v>27</v>
      </c>
      <c r="G190" s="5">
        <v>18095.0</v>
      </c>
      <c r="H190" s="5">
        <v>50.0</v>
      </c>
      <c r="I190" s="5">
        <v>10021.0</v>
      </c>
      <c r="J190" s="5">
        <v>16755.0</v>
      </c>
      <c r="K190" s="5">
        <v>24.0</v>
      </c>
      <c r="L190" s="9">
        <v>6768.758768</v>
      </c>
      <c r="M190" s="15">
        <f t="shared" si="1"/>
        <v>282.0316153</v>
      </c>
      <c r="N190" s="16">
        <f t="shared" si="2"/>
        <v>0.002763194253</v>
      </c>
    </row>
    <row r="191">
      <c r="A191" s="5" t="s">
        <v>61</v>
      </c>
      <c r="B191" s="5" t="s">
        <v>23</v>
      </c>
      <c r="C191" s="5" t="s">
        <v>55</v>
      </c>
      <c r="D191" s="6" t="s">
        <v>390</v>
      </c>
      <c r="E191" s="5" t="s">
        <v>19</v>
      </c>
      <c r="F191" s="5" t="s">
        <v>27</v>
      </c>
      <c r="G191" s="5">
        <v>119280.0</v>
      </c>
      <c r="H191" s="5">
        <v>400.0</v>
      </c>
      <c r="I191" s="5">
        <v>55665.0</v>
      </c>
      <c r="J191" s="5">
        <v>112913.0</v>
      </c>
      <c r="K191" s="5">
        <v>23.0</v>
      </c>
      <c r="L191" s="9">
        <v>6492.676343</v>
      </c>
      <c r="M191" s="15">
        <f t="shared" si="1"/>
        <v>282.2902758</v>
      </c>
      <c r="N191" s="16">
        <f t="shared" si="2"/>
        <v>0.003353454058</v>
      </c>
    </row>
    <row r="192">
      <c r="A192" s="5" t="s">
        <v>22</v>
      </c>
      <c r="B192" s="5" t="s">
        <v>31</v>
      </c>
      <c r="C192" s="5" t="s">
        <v>150</v>
      </c>
      <c r="D192" s="6" t="s">
        <v>390</v>
      </c>
      <c r="E192" s="5" t="s">
        <v>46</v>
      </c>
      <c r="F192" s="5" t="s">
        <v>27</v>
      </c>
      <c r="G192" s="5">
        <v>8204.0</v>
      </c>
      <c r="H192" s="5">
        <v>20.0</v>
      </c>
      <c r="I192" s="5">
        <v>1348.0</v>
      </c>
      <c r="J192" s="5">
        <v>7832.0</v>
      </c>
      <c r="K192" s="5">
        <v>1.0</v>
      </c>
      <c r="L192" s="9">
        <v>5973.379892</v>
      </c>
      <c r="M192" s="15">
        <f t="shared" si="1"/>
        <v>5973.379892</v>
      </c>
      <c r="N192" s="16">
        <f t="shared" si="2"/>
        <v>0.002437835202</v>
      </c>
    </row>
    <row r="193">
      <c r="A193" s="5" t="s">
        <v>61</v>
      </c>
      <c r="B193" s="5" t="s">
        <v>31</v>
      </c>
      <c r="C193" s="5" t="s">
        <v>95</v>
      </c>
      <c r="D193" s="6" t="s">
        <v>390</v>
      </c>
      <c r="E193" s="5" t="s">
        <v>161</v>
      </c>
      <c r="F193" s="5" t="s">
        <v>27</v>
      </c>
      <c r="G193" s="5">
        <v>88022.0</v>
      </c>
      <c r="H193" s="5">
        <v>370.0</v>
      </c>
      <c r="I193" s="5">
        <v>45972.0</v>
      </c>
      <c r="J193" s="5">
        <v>83922.0</v>
      </c>
      <c r="K193" s="5">
        <v>11.0</v>
      </c>
      <c r="L193" s="9">
        <v>5669.14476</v>
      </c>
      <c r="M193" s="15">
        <f t="shared" si="1"/>
        <v>515.3767964</v>
      </c>
      <c r="N193" s="16">
        <f t="shared" si="2"/>
        <v>0.004203494581</v>
      </c>
    </row>
    <row r="194">
      <c r="A194" s="5" t="s">
        <v>22</v>
      </c>
      <c r="B194" s="5" t="s">
        <v>31</v>
      </c>
      <c r="C194" s="5" t="s">
        <v>78</v>
      </c>
      <c r="D194" s="6" t="s">
        <v>390</v>
      </c>
      <c r="E194" s="5" t="s">
        <v>19</v>
      </c>
      <c r="F194" s="5" t="s">
        <v>27</v>
      </c>
      <c r="G194" s="5">
        <v>12879.0</v>
      </c>
      <c r="H194" s="5">
        <v>71.0</v>
      </c>
      <c r="I194" s="5">
        <v>7225.0</v>
      </c>
      <c r="J194" s="5">
        <v>12173.0</v>
      </c>
      <c r="K194" s="5">
        <v>9.0</v>
      </c>
      <c r="L194" s="9">
        <v>5099.28249</v>
      </c>
      <c r="M194" s="15">
        <f t="shared" si="1"/>
        <v>566.5869433</v>
      </c>
      <c r="N194" s="16">
        <f t="shared" si="2"/>
        <v>0.005512850377</v>
      </c>
    </row>
    <row r="195">
      <c r="A195" s="5" t="s">
        <v>22</v>
      </c>
      <c r="B195" s="5" t="s">
        <v>31</v>
      </c>
      <c r="C195" s="5" t="s">
        <v>398</v>
      </c>
      <c r="D195" s="6" t="s">
        <v>390</v>
      </c>
      <c r="E195" s="5" t="s">
        <v>19</v>
      </c>
      <c r="F195" s="5" t="s">
        <v>27</v>
      </c>
      <c r="G195" s="5">
        <v>111884.0</v>
      </c>
      <c r="H195" s="5">
        <v>220.0</v>
      </c>
      <c r="I195" s="5">
        <v>53017.0</v>
      </c>
      <c r="J195" s="5">
        <v>106432.0</v>
      </c>
      <c r="K195" s="5">
        <v>7.0</v>
      </c>
      <c r="L195" s="9">
        <v>1786.105122</v>
      </c>
      <c r="M195" s="15">
        <f t="shared" si="1"/>
        <v>255.1578746</v>
      </c>
      <c r="N195" s="16">
        <f t="shared" si="2"/>
        <v>0.001966322262</v>
      </c>
    </row>
    <row r="196">
      <c r="A196" s="5" t="s">
        <v>22</v>
      </c>
      <c r="B196" s="5" t="s">
        <v>23</v>
      </c>
      <c r="C196" s="5" t="s">
        <v>78</v>
      </c>
      <c r="D196" s="6" t="s">
        <v>390</v>
      </c>
      <c r="E196" s="5" t="s">
        <v>19</v>
      </c>
      <c r="F196" s="5" t="s">
        <v>27</v>
      </c>
      <c r="G196" s="5">
        <v>20899.0</v>
      </c>
      <c r="H196" s="5">
        <v>20.0</v>
      </c>
      <c r="I196" s="5">
        <v>11394.0</v>
      </c>
      <c r="J196" s="5">
        <v>19576.0</v>
      </c>
      <c r="K196" s="5">
        <v>19.0</v>
      </c>
      <c r="L196" s="9">
        <v>1649.459852</v>
      </c>
      <c r="M196" s="15">
        <f t="shared" si="1"/>
        <v>86.81367642</v>
      </c>
      <c r="N196" s="16">
        <f t="shared" si="2"/>
        <v>0.0009569835877</v>
      </c>
    </row>
    <row r="197">
      <c r="A197" s="5" t="s">
        <v>22</v>
      </c>
      <c r="B197" s="5" t="s">
        <v>31</v>
      </c>
      <c r="C197" s="5" t="s">
        <v>78</v>
      </c>
      <c r="D197" s="6" t="s">
        <v>390</v>
      </c>
      <c r="E197" s="5" t="s">
        <v>19</v>
      </c>
      <c r="F197" s="5" t="s">
        <v>27</v>
      </c>
      <c r="G197" s="5">
        <v>15441.0</v>
      </c>
      <c r="H197" s="5">
        <v>48.0</v>
      </c>
      <c r="I197" s="5">
        <v>7626.0</v>
      </c>
      <c r="J197" s="5">
        <v>14456.0</v>
      </c>
      <c r="K197" s="5">
        <v>19.0</v>
      </c>
      <c r="L197" s="9">
        <v>1614.309013</v>
      </c>
      <c r="M197" s="15">
        <f t="shared" si="1"/>
        <v>84.96363226</v>
      </c>
      <c r="N197" s="16">
        <f t="shared" si="2"/>
        <v>0.003108606956</v>
      </c>
    </row>
    <row r="198">
      <c r="A198" s="5" t="s">
        <v>22</v>
      </c>
      <c r="B198" s="5" t="s">
        <v>23</v>
      </c>
      <c r="C198" s="5" t="s">
        <v>78</v>
      </c>
      <c r="D198" s="6" t="s">
        <v>390</v>
      </c>
      <c r="E198" s="5" t="s">
        <v>19</v>
      </c>
      <c r="F198" s="5" t="s">
        <v>27</v>
      </c>
      <c r="G198" s="5">
        <v>33069.0</v>
      </c>
      <c r="H198" s="5">
        <v>140.0</v>
      </c>
      <c r="I198" s="5">
        <v>17744.0</v>
      </c>
      <c r="J198" s="5">
        <v>31192.0</v>
      </c>
      <c r="K198" s="5">
        <v>14.0</v>
      </c>
      <c r="L198" s="9">
        <v>1543.310611</v>
      </c>
      <c r="M198" s="15">
        <f t="shared" si="1"/>
        <v>110.2364722</v>
      </c>
      <c r="N198" s="16">
        <f t="shared" si="2"/>
        <v>0.004233572228</v>
      </c>
    </row>
    <row r="199">
      <c r="A199" s="5" t="s">
        <v>22</v>
      </c>
      <c r="B199" s="5" t="s">
        <v>31</v>
      </c>
      <c r="C199" s="5" t="s">
        <v>84</v>
      </c>
      <c r="D199" s="6" t="s">
        <v>404</v>
      </c>
      <c r="E199" s="5" t="s">
        <v>19</v>
      </c>
      <c r="F199" s="5" t="s">
        <v>27</v>
      </c>
      <c r="G199" s="5">
        <v>54134.0</v>
      </c>
      <c r="H199" s="5">
        <v>155.0</v>
      </c>
      <c r="I199" s="5">
        <v>37418.0</v>
      </c>
      <c r="J199" s="5">
        <v>51299.0</v>
      </c>
      <c r="K199" s="5">
        <v>4.0</v>
      </c>
      <c r="L199" s="9">
        <v>1502.01775</v>
      </c>
      <c r="M199" s="15">
        <f t="shared" si="1"/>
        <v>375.5044375</v>
      </c>
      <c r="N199" s="16">
        <f t="shared" si="2"/>
        <v>0.002863265231</v>
      </c>
    </row>
    <row r="200">
      <c r="A200" s="5" t="s">
        <v>15</v>
      </c>
      <c r="B200" s="5" t="s">
        <v>16</v>
      </c>
      <c r="C200" s="5" t="s">
        <v>173</v>
      </c>
      <c r="D200" s="6" t="s">
        <v>406</v>
      </c>
      <c r="E200" s="5" t="s">
        <v>19</v>
      </c>
      <c r="F200" s="5" t="s">
        <v>27</v>
      </c>
      <c r="G200" s="5">
        <v>7583.0</v>
      </c>
      <c r="H200" s="5">
        <v>45.0</v>
      </c>
      <c r="I200" s="5">
        <v>4608.0</v>
      </c>
      <c r="J200" s="5">
        <v>5881.0</v>
      </c>
      <c r="K200" s="5">
        <v>1.0</v>
      </c>
      <c r="L200" s="9">
        <v>5033.482578</v>
      </c>
      <c r="M200" s="15">
        <f t="shared" si="1"/>
        <v>5033.482578</v>
      </c>
      <c r="N200" s="16">
        <f t="shared" si="2"/>
        <v>0.005934326784</v>
      </c>
    </row>
    <row r="201">
      <c r="A201" s="5" t="s">
        <v>22</v>
      </c>
      <c r="B201" s="5" t="s">
        <v>31</v>
      </c>
      <c r="C201" s="5" t="s">
        <v>35</v>
      </c>
      <c r="D201" s="6" t="s">
        <v>410</v>
      </c>
      <c r="E201" s="5" t="s">
        <v>36</v>
      </c>
      <c r="F201" s="5" t="s">
        <v>27</v>
      </c>
      <c r="G201" s="5">
        <v>122086.0</v>
      </c>
      <c r="H201" s="5">
        <v>299.0</v>
      </c>
      <c r="I201" s="5">
        <v>82898.0</v>
      </c>
      <c r="J201" s="5">
        <v>116235.0</v>
      </c>
      <c r="K201" s="5">
        <v>16.0</v>
      </c>
      <c r="L201" s="9">
        <v>7663.695294</v>
      </c>
      <c r="M201" s="15">
        <f t="shared" si="1"/>
        <v>478.9809559</v>
      </c>
      <c r="N201" s="16">
        <f t="shared" si="2"/>
        <v>0.002449093262</v>
      </c>
    </row>
    <row r="202">
      <c r="A202" s="5" t="s">
        <v>22</v>
      </c>
      <c r="B202" s="5" t="s">
        <v>16</v>
      </c>
      <c r="C202" s="5" t="s">
        <v>66</v>
      </c>
      <c r="D202" s="6" t="s">
        <v>410</v>
      </c>
      <c r="E202" s="5" t="s">
        <v>46</v>
      </c>
      <c r="F202" s="5" t="s">
        <v>27</v>
      </c>
      <c r="G202" s="5">
        <v>63794.0</v>
      </c>
      <c r="H202" s="5">
        <v>200.0</v>
      </c>
      <c r="I202" s="5">
        <v>46557.0</v>
      </c>
      <c r="J202" s="5">
        <v>60868.0</v>
      </c>
      <c r="K202" s="5">
        <v>9.0</v>
      </c>
      <c r="L202" s="9">
        <v>6832.940067</v>
      </c>
      <c r="M202" s="15">
        <f t="shared" si="1"/>
        <v>759.215563</v>
      </c>
      <c r="N202" s="16">
        <f t="shared" si="2"/>
        <v>0.003135091074</v>
      </c>
    </row>
    <row r="203">
      <c r="A203" s="5" t="s">
        <v>22</v>
      </c>
      <c r="B203" s="5" t="s">
        <v>23</v>
      </c>
      <c r="C203" s="5" t="s">
        <v>45</v>
      </c>
      <c r="D203" s="6" t="s">
        <v>410</v>
      </c>
      <c r="E203" s="5" t="s">
        <v>46</v>
      </c>
      <c r="F203" s="5" t="s">
        <v>27</v>
      </c>
      <c r="G203" s="5">
        <v>38408.0</v>
      </c>
      <c r="H203" s="5">
        <v>101.0</v>
      </c>
      <c r="I203" s="5">
        <v>23557.0</v>
      </c>
      <c r="J203" s="5">
        <v>35247.0</v>
      </c>
      <c r="K203" s="5">
        <v>7.0</v>
      </c>
      <c r="L203" s="9">
        <v>5343.459431</v>
      </c>
      <c r="M203" s="15">
        <f t="shared" si="1"/>
        <v>763.3513473</v>
      </c>
      <c r="N203" s="16">
        <f t="shared" si="2"/>
        <v>0.002629660487</v>
      </c>
    </row>
    <row r="204">
      <c r="A204" s="5" t="s">
        <v>22</v>
      </c>
      <c r="B204" s="5" t="s">
        <v>23</v>
      </c>
      <c r="C204" s="5" t="s">
        <v>173</v>
      </c>
      <c r="D204" s="6" t="s">
        <v>410</v>
      </c>
      <c r="E204" s="5" t="s">
        <v>19</v>
      </c>
      <c r="F204" s="5" t="s">
        <v>27</v>
      </c>
      <c r="G204" s="5">
        <v>70134.0</v>
      </c>
      <c r="H204" s="5">
        <v>169.0</v>
      </c>
      <c r="I204" s="5">
        <v>48862.0</v>
      </c>
      <c r="J204" s="5">
        <v>66739.0</v>
      </c>
      <c r="K204" s="5">
        <v>14.0</v>
      </c>
      <c r="L204" s="9">
        <v>2514.868116</v>
      </c>
      <c r="M204" s="15">
        <f t="shared" si="1"/>
        <v>179.6334369</v>
      </c>
      <c r="N204" s="16">
        <f t="shared" si="2"/>
        <v>0.002409672912</v>
      </c>
    </row>
    <row r="205">
      <c r="A205" s="5" t="s">
        <v>22</v>
      </c>
      <c r="B205" s="5" t="s">
        <v>23</v>
      </c>
      <c r="C205" s="5" t="s">
        <v>240</v>
      </c>
      <c r="D205" s="6" t="s">
        <v>410</v>
      </c>
      <c r="E205" s="5" t="s">
        <v>19</v>
      </c>
      <c r="F205" s="5" t="s">
        <v>27</v>
      </c>
      <c r="G205" s="5">
        <v>91593.0</v>
      </c>
      <c r="H205" s="5">
        <v>40.0</v>
      </c>
      <c r="I205" s="5">
        <v>51004.0</v>
      </c>
      <c r="J205" s="5">
        <v>82985.0</v>
      </c>
      <c r="K205" s="5">
        <v>18.0</v>
      </c>
      <c r="L205" s="9">
        <v>1731.584862</v>
      </c>
      <c r="M205" s="15">
        <f t="shared" si="1"/>
        <v>96.199159</v>
      </c>
      <c r="N205" s="16">
        <f t="shared" si="2"/>
        <v>0.0004367145961</v>
      </c>
    </row>
    <row r="206">
      <c r="A206" s="5" t="s">
        <v>61</v>
      </c>
      <c r="B206" s="5" t="s">
        <v>31</v>
      </c>
      <c r="C206" s="5" t="s">
        <v>95</v>
      </c>
      <c r="D206" s="6" t="s">
        <v>410</v>
      </c>
      <c r="E206" s="5" t="s">
        <v>46</v>
      </c>
      <c r="F206" s="5" t="s">
        <v>27</v>
      </c>
      <c r="G206" s="5">
        <v>69722.0</v>
      </c>
      <c r="H206" s="5">
        <v>194.0</v>
      </c>
      <c r="I206" s="5">
        <v>40640.0</v>
      </c>
      <c r="J206" s="5">
        <v>64819.0</v>
      </c>
      <c r="K206" s="5">
        <v>10.0</v>
      </c>
      <c r="L206" s="9">
        <v>1667.655895</v>
      </c>
      <c r="M206" s="15">
        <f t="shared" si="1"/>
        <v>166.7655895</v>
      </c>
      <c r="N206" s="16">
        <f t="shared" si="2"/>
        <v>0.002782478988</v>
      </c>
    </row>
    <row r="207">
      <c r="A207" s="5" t="s">
        <v>22</v>
      </c>
      <c r="B207" s="5" t="s">
        <v>16</v>
      </c>
      <c r="C207" s="5" t="s">
        <v>78</v>
      </c>
      <c r="D207" s="6" t="s">
        <v>410</v>
      </c>
      <c r="E207" s="5" t="s">
        <v>231</v>
      </c>
      <c r="F207" s="5" t="s">
        <v>27</v>
      </c>
      <c r="G207" s="5">
        <v>34959.0</v>
      </c>
      <c r="H207" s="5">
        <v>122.0</v>
      </c>
      <c r="I207" s="5">
        <v>17511.0</v>
      </c>
      <c r="J207" s="5">
        <v>31974.0</v>
      </c>
      <c r="K207" s="5">
        <v>5.0</v>
      </c>
      <c r="L207" s="9">
        <v>1477.493357</v>
      </c>
      <c r="M207" s="15">
        <f t="shared" si="1"/>
        <v>295.4986714</v>
      </c>
      <c r="N207" s="16">
        <f t="shared" si="2"/>
        <v>0.00348980234</v>
      </c>
    </row>
    <row r="208">
      <c r="A208" s="5" t="s">
        <v>15</v>
      </c>
      <c r="B208" s="5" t="s">
        <v>42</v>
      </c>
      <c r="C208" s="5" t="s">
        <v>39</v>
      </c>
      <c r="D208" s="6" t="s">
        <v>422</v>
      </c>
      <c r="E208" s="5" t="s">
        <v>19</v>
      </c>
      <c r="F208" s="5" t="s">
        <v>27</v>
      </c>
      <c r="G208" s="5">
        <v>9273.0</v>
      </c>
      <c r="H208" s="5">
        <v>70.0</v>
      </c>
      <c r="I208" s="5">
        <v>4648.0</v>
      </c>
      <c r="J208" s="5">
        <v>8751.0</v>
      </c>
      <c r="K208" s="5">
        <v>5.0</v>
      </c>
      <c r="L208" s="9">
        <v>4986.51937</v>
      </c>
      <c r="M208" s="15">
        <f t="shared" si="1"/>
        <v>997.303874</v>
      </c>
      <c r="N208" s="16">
        <f t="shared" si="2"/>
        <v>0.007548797584</v>
      </c>
    </row>
    <row r="209">
      <c r="A209" s="5" t="s">
        <v>15</v>
      </c>
      <c r="B209" s="5" t="s">
        <v>23</v>
      </c>
      <c r="C209" s="5" t="s">
        <v>35</v>
      </c>
      <c r="D209" s="6" t="s">
        <v>424</v>
      </c>
      <c r="E209" s="5" t="s">
        <v>46</v>
      </c>
      <c r="F209" s="5" t="s">
        <v>27</v>
      </c>
      <c r="G209" s="5">
        <v>11681.0</v>
      </c>
      <c r="H209" s="5">
        <v>88.0</v>
      </c>
      <c r="I209" s="5">
        <v>4713.0</v>
      </c>
      <c r="J209" s="5">
        <v>8230.0</v>
      </c>
      <c r="K209" s="5">
        <v>4.0</v>
      </c>
      <c r="L209" s="9">
        <v>5216.648879</v>
      </c>
      <c r="M209" s="15">
        <f t="shared" si="1"/>
        <v>1304.16222</v>
      </c>
      <c r="N209" s="16">
        <f t="shared" si="2"/>
        <v>0.007533601575</v>
      </c>
    </row>
    <row r="210">
      <c r="A210" s="5" t="s">
        <v>15</v>
      </c>
      <c r="B210" s="5" t="s">
        <v>31</v>
      </c>
      <c r="C210" s="5" t="s">
        <v>78</v>
      </c>
      <c r="D210" s="6" t="s">
        <v>426</v>
      </c>
      <c r="E210" s="5" t="s">
        <v>19</v>
      </c>
      <c r="F210" s="5" t="s">
        <v>27</v>
      </c>
      <c r="G210" s="5">
        <v>17770.0</v>
      </c>
      <c r="H210" s="5">
        <v>70.0</v>
      </c>
      <c r="I210" s="5">
        <v>12771.0</v>
      </c>
      <c r="J210" s="5">
        <v>16749.0</v>
      </c>
      <c r="K210" s="5">
        <v>9.0</v>
      </c>
      <c r="L210" s="9">
        <v>5195.234677</v>
      </c>
      <c r="M210" s="15">
        <f t="shared" si="1"/>
        <v>577.2482974</v>
      </c>
      <c r="N210" s="16">
        <f t="shared" si="2"/>
        <v>0.00393922341</v>
      </c>
    </row>
    <row r="211">
      <c r="A211" s="5" t="s">
        <v>22</v>
      </c>
      <c r="B211" s="5" t="s">
        <v>31</v>
      </c>
      <c r="C211" s="5" t="s">
        <v>17</v>
      </c>
      <c r="D211" s="6" t="s">
        <v>429</v>
      </c>
      <c r="E211" s="5" t="s">
        <v>46</v>
      </c>
      <c r="F211" s="5" t="s">
        <v>27</v>
      </c>
      <c r="G211" s="5">
        <v>13779.0</v>
      </c>
      <c r="H211" s="5">
        <v>96.0</v>
      </c>
      <c r="I211" s="5">
        <v>3482.0</v>
      </c>
      <c r="J211" s="5">
        <v>12487.0</v>
      </c>
      <c r="K211" s="5">
        <v>4.0</v>
      </c>
      <c r="L211" s="9">
        <v>1530.041892</v>
      </c>
      <c r="M211" s="15">
        <f t="shared" si="1"/>
        <v>382.510473</v>
      </c>
      <c r="N211" s="16">
        <f t="shared" si="2"/>
        <v>0.006967123884</v>
      </c>
    </row>
    <row r="212">
      <c r="A212" s="5" t="s">
        <v>15</v>
      </c>
      <c r="B212" s="5" t="s">
        <v>16</v>
      </c>
      <c r="C212" s="5" t="s">
        <v>43</v>
      </c>
      <c r="D212" s="6" t="s">
        <v>431</v>
      </c>
      <c r="E212" s="5" t="s">
        <v>19</v>
      </c>
      <c r="F212" s="5" t="s">
        <v>27</v>
      </c>
      <c r="G212" s="5">
        <v>13183.0</v>
      </c>
      <c r="H212" s="5">
        <v>100.0</v>
      </c>
      <c r="I212" s="5">
        <v>4337.0</v>
      </c>
      <c r="J212" s="5">
        <v>10596.0</v>
      </c>
      <c r="K212" s="5">
        <v>1.0</v>
      </c>
      <c r="L212" s="9">
        <v>2430.243664</v>
      </c>
      <c r="M212" s="15">
        <f t="shared" si="1"/>
        <v>2430.243664</v>
      </c>
      <c r="N212" s="16">
        <f t="shared" si="2"/>
        <v>0.007585526815</v>
      </c>
    </row>
    <row r="213">
      <c r="A213" s="5" t="s">
        <v>22</v>
      </c>
      <c r="B213" s="5" t="s">
        <v>42</v>
      </c>
      <c r="C213" s="5" t="s">
        <v>433</v>
      </c>
      <c r="D213" s="6" t="s">
        <v>434</v>
      </c>
      <c r="E213" s="5" t="s">
        <v>19</v>
      </c>
      <c r="F213" s="5" t="s">
        <v>27</v>
      </c>
      <c r="G213" s="5">
        <v>109709.0</v>
      </c>
      <c r="H213" s="5">
        <v>278.0</v>
      </c>
      <c r="I213" s="5">
        <v>3064.0</v>
      </c>
      <c r="J213" s="5">
        <v>15428.0</v>
      </c>
      <c r="K213" s="5">
        <v>20.0</v>
      </c>
      <c r="L213" s="9">
        <v>5409.083955</v>
      </c>
      <c r="M213" s="15">
        <f t="shared" si="1"/>
        <v>270.4541978</v>
      </c>
      <c r="N213" s="16">
        <f t="shared" si="2"/>
        <v>0.002533976246</v>
      </c>
    </row>
    <row r="214">
      <c r="A214" s="5" t="s">
        <v>22</v>
      </c>
      <c r="B214" s="5" t="s">
        <v>42</v>
      </c>
      <c r="C214" s="5" t="s">
        <v>78</v>
      </c>
      <c r="D214" s="6" t="s">
        <v>434</v>
      </c>
      <c r="E214" s="5" t="s">
        <v>46</v>
      </c>
      <c r="F214" s="5" t="s">
        <v>27</v>
      </c>
      <c r="G214" s="5">
        <v>45397.0</v>
      </c>
      <c r="H214" s="5">
        <v>114.0</v>
      </c>
      <c r="I214" s="5">
        <v>716.0</v>
      </c>
      <c r="J214" s="5">
        <v>6867.0</v>
      </c>
      <c r="K214" s="5">
        <v>15.0</v>
      </c>
      <c r="L214" s="9">
        <v>4582.453291</v>
      </c>
      <c r="M214" s="15">
        <f t="shared" si="1"/>
        <v>305.4968861</v>
      </c>
      <c r="N214" s="16">
        <f t="shared" si="2"/>
        <v>0.002511179153</v>
      </c>
    </row>
    <row r="215">
      <c r="A215" s="5" t="s">
        <v>22</v>
      </c>
      <c r="B215" s="5" t="s">
        <v>16</v>
      </c>
      <c r="C215" s="5" t="s">
        <v>84</v>
      </c>
      <c r="D215" s="6" t="s">
        <v>434</v>
      </c>
      <c r="E215" s="5" t="s">
        <v>117</v>
      </c>
      <c r="F215" s="5" t="s">
        <v>27</v>
      </c>
      <c r="G215" s="5">
        <v>13293.0</v>
      </c>
      <c r="H215" s="5">
        <v>74.0</v>
      </c>
      <c r="I215" s="5">
        <v>9054.0</v>
      </c>
      <c r="J215" s="5">
        <v>12676.0</v>
      </c>
      <c r="K215" s="5">
        <v>5.0</v>
      </c>
      <c r="L215" s="9">
        <v>2901.209509</v>
      </c>
      <c r="M215" s="15">
        <f t="shared" si="1"/>
        <v>580.2419018</v>
      </c>
      <c r="N215" s="16">
        <f t="shared" si="2"/>
        <v>0.00556683969</v>
      </c>
    </row>
    <row r="216">
      <c r="A216" s="5" t="s">
        <v>61</v>
      </c>
      <c r="B216" s="5" t="s">
        <v>31</v>
      </c>
      <c r="C216" s="5" t="s">
        <v>17</v>
      </c>
      <c r="D216" s="6" t="s">
        <v>441</v>
      </c>
      <c r="E216" s="5" t="s">
        <v>19</v>
      </c>
      <c r="F216" s="5" t="s">
        <v>27</v>
      </c>
      <c r="G216" s="5">
        <v>20537.0</v>
      </c>
      <c r="H216" s="5">
        <v>84.0</v>
      </c>
      <c r="I216" s="5">
        <v>15587.0</v>
      </c>
      <c r="J216" s="5">
        <v>19288.0</v>
      </c>
      <c r="K216" s="5">
        <v>10.0</v>
      </c>
      <c r="L216" s="9">
        <v>1609.880674</v>
      </c>
      <c r="M216" s="15">
        <f t="shared" si="1"/>
        <v>160.9880674</v>
      </c>
      <c r="N216" s="16">
        <f t="shared" si="2"/>
        <v>0.004090178702</v>
      </c>
    </row>
    <row r="217">
      <c r="A217" s="5" t="s">
        <v>15</v>
      </c>
      <c r="B217" s="5" t="s">
        <v>31</v>
      </c>
      <c r="C217" s="5" t="s">
        <v>304</v>
      </c>
      <c r="D217" s="13" t="s">
        <v>1312</v>
      </c>
      <c r="E217" s="5" t="s">
        <v>19</v>
      </c>
      <c r="F217" s="5" t="s">
        <v>27</v>
      </c>
      <c r="G217" s="5">
        <v>8730.0</v>
      </c>
      <c r="H217" s="5">
        <v>22.0</v>
      </c>
      <c r="I217" s="5">
        <v>3725.0</v>
      </c>
      <c r="J217" s="5">
        <v>7413.0</v>
      </c>
      <c r="K217" s="5">
        <v>3.0</v>
      </c>
      <c r="L217" s="9">
        <v>3268.007134</v>
      </c>
      <c r="M217" s="15">
        <f t="shared" si="1"/>
        <v>1089.335711</v>
      </c>
      <c r="N217" s="16">
        <f t="shared" si="2"/>
        <v>0.002520045819</v>
      </c>
    </row>
    <row r="218">
      <c r="A218" s="5" t="s">
        <v>22</v>
      </c>
      <c r="B218" s="5" t="s">
        <v>31</v>
      </c>
      <c r="C218" s="5" t="s">
        <v>95</v>
      </c>
      <c r="D218" s="6" t="s">
        <v>445</v>
      </c>
      <c r="E218" s="5" t="s">
        <v>19</v>
      </c>
      <c r="F218" s="5" t="s">
        <v>27</v>
      </c>
      <c r="G218" s="5">
        <v>26820.0</v>
      </c>
      <c r="H218" s="5">
        <v>80.0</v>
      </c>
      <c r="I218" s="5">
        <v>13553.0</v>
      </c>
      <c r="J218" s="5">
        <v>21192.0</v>
      </c>
      <c r="K218" s="5">
        <v>12.0</v>
      </c>
      <c r="L218" s="9">
        <v>6745.10344</v>
      </c>
      <c r="M218" s="15">
        <f t="shared" si="1"/>
        <v>562.0919533</v>
      </c>
      <c r="N218" s="16">
        <f t="shared" si="2"/>
        <v>0.00298284862</v>
      </c>
    </row>
    <row r="219">
      <c r="A219" s="5" t="s">
        <v>15</v>
      </c>
      <c r="B219" s="5" t="s">
        <v>42</v>
      </c>
      <c r="C219" s="5" t="s">
        <v>17</v>
      </c>
      <c r="D219" s="6" t="s">
        <v>447</v>
      </c>
      <c r="E219" s="5" t="s">
        <v>167</v>
      </c>
      <c r="F219" s="5" t="s">
        <v>27</v>
      </c>
      <c r="G219" s="5">
        <v>9149.0</v>
      </c>
      <c r="H219" s="5">
        <v>40.0</v>
      </c>
      <c r="I219" s="5">
        <v>4568.0</v>
      </c>
      <c r="J219" s="5">
        <v>8648.0</v>
      </c>
      <c r="K219" s="5">
        <v>4.0</v>
      </c>
      <c r="L219" s="9">
        <v>1758.098365</v>
      </c>
      <c r="M219" s="15">
        <f t="shared" si="1"/>
        <v>439.5245913</v>
      </c>
      <c r="N219" s="16">
        <f t="shared" si="2"/>
        <v>0.00437206252</v>
      </c>
    </row>
    <row r="220">
      <c r="A220" s="5" t="s">
        <v>22</v>
      </c>
      <c r="B220" s="5" t="s">
        <v>42</v>
      </c>
      <c r="C220" s="5" t="s">
        <v>78</v>
      </c>
      <c r="D220" s="6" t="s">
        <v>449</v>
      </c>
      <c r="E220" s="5" t="s">
        <v>184</v>
      </c>
      <c r="F220" s="5" t="s">
        <v>27</v>
      </c>
      <c r="G220" s="5">
        <v>13655.0</v>
      </c>
      <c r="H220" s="5">
        <v>66.0</v>
      </c>
      <c r="I220" s="5">
        <v>9519.0</v>
      </c>
      <c r="J220" s="5">
        <v>13041.0</v>
      </c>
      <c r="K220" s="5">
        <v>3.0</v>
      </c>
      <c r="L220" s="9">
        <v>1475.245119</v>
      </c>
      <c r="M220" s="15">
        <f t="shared" si="1"/>
        <v>491.748373</v>
      </c>
      <c r="N220" s="16">
        <f t="shared" si="2"/>
        <v>0.004833394361</v>
      </c>
    </row>
    <row r="221">
      <c r="A221" s="5" t="s">
        <v>61</v>
      </c>
      <c r="B221" s="5" t="s">
        <v>31</v>
      </c>
      <c r="C221" s="5" t="s">
        <v>78</v>
      </c>
      <c r="D221" s="13" t="s">
        <v>1314</v>
      </c>
      <c r="E221" s="5" t="s">
        <v>19</v>
      </c>
      <c r="F221" s="5" t="s">
        <v>27</v>
      </c>
      <c r="G221" s="5">
        <v>17518.0</v>
      </c>
      <c r="H221" s="5">
        <v>60.0</v>
      </c>
      <c r="I221" s="5">
        <v>11513.0</v>
      </c>
      <c r="J221" s="5">
        <v>16192.0</v>
      </c>
      <c r="K221" s="5">
        <v>12.0</v>
      </c>
      <c r="L221" s="9">
        <v>6765.0004</v>
      </c>
      <c r="M221" s="15">
        <f t="shared" si="1"/>
        <v>563.7500333</v>
      </c>
      <c r="N221" s="16">
        <f t="shared" si="2"/>
        <v>0.003425048522</v>
      </c>
    </row>
    <row r="222">
      <c r="A222" s="5" t="s">
        <v>22</v>
      </c>
      <c r="B222" s="5" t="s">
        <v>16</v>
      </c>
      <c r="C222" s="5" t="s">
        <v>55</v>
      </c>
      <c r="D222" s="13" t="s">
        <v>1314</v>
      </c>
      <c r="E222" s="5" t="s">
        <v>19</v>
      </c>
      <c r="F222" s="5" t="s">
        <v>27</v>
      </c>
      <c r="G222" s="5">
        <v>16580.0</v>
      </c>
      <c r="H222" s="5">
        <v>84.0</v>
      </c>
      <c r="I222" s="5">
        <v>11928.0</v>
      </c>
      <c r="J222" s="5">
        <v>14527.0</v>
      </c>
      <c r="K222" s="5">
        <v>6.0</v>
      </c>
      <c r="L222" s="9">
        <v>1965.738947</v>
      </c>
      <c r="M222" s="15">
        <f t="shared" si="1"/>
        <v>327.6231578</v>
      </c>
      <c r="N222" s="16">
        <f t="shared" si="2"/>
        <v>0.005066344994</v>
      </c>
    </row>
    <row r="223">
      <c r="A223" s="5" t="s">
        <v>22</v>
      </c>
      <c r="B223" s="5" t="s">
        <v>23</v>
      </c>
      <c r="C223" s="5" t="s">
        <v>55</v>
      </c>
      <c r="D223" s="6" t="s">
        <v>454</v>
      </c>
      <c r="E223" s="5" t="s">
        <v>46</v>
      </c>
      <c r="F223" s="5" t="s">
        <v>27</v>
      </c>
      <c r="G223" s="5">
        <v>14379.0</v>
      </c>
      <c r="H223" s="5">
        <v>30.0</v>
      </c>
      <c r="I223" s="5">
        <v>6272.0</v>
      </c>
      <c r="J223" s="5">
        <v>11886.0</v>
      </c>
      <c r="K223" s="5">
        <v>18.0</v>
      </c>
      <c r="L223" s="9">
        <v>1973.562233</v>
      </c>
      <c r="M223" s="15">
        <f t="shared" si="1"/>
        <v>109.6423463</v>
      </c>
      <c r="N223" s="16">
        <f t="shared" si="2"/>
        <v>0.002086375965</v>
      </c>
    </row>
    <row r="224">
      <c r="A224" s="5" t="s">
        <v>22</v>
      </c>
      <c r="B224" s="5" t="s">
        <v>16</v>
      </c>
      <c r="C224" s="5" t="s">
        <v>43</v>
      </c>
      <c r="D224" s="6" t="s">
        <v>456</v>
      </c>
      <c r="E224" s="5" t="s">
        <v>19</v>
      </c>
      <c r="F224" s="5" t="s">
        <v>27</v>
      </c>
      <c r="G224" s="5">
        <v>138904.0</v>
      </c>
      <c r="H224" s="5">
        <v>399.0</v>
      </c>
      <c r="I224" s="5">
        <v>98952.0</v>
      </c>
      <c r="J224" s="5">
        <v>120688.0</v>
      </c>
      <c r="K224" s="5">
        <v>25.0</v>
      </c>
      <c r="L224" s="9">
        <v>5038.644724</v>
      </c>
      <c r="M224" s="15">
        <f t="shared" si="1"/>
        <v>201.545789</v>
      </c>
      <c r="N224" s="16">
        <f t="shared" si="2"/>
        <v>0.002872487473</v>
      </c>
    </row>
    <row r="225">
      <c r="A225" s="5" t="s">
        <v>15</v>
      </c>
      <c r="B225" s="5" t="s">
        <v>16</v>
      </c>
      <c r="C225" s="5" t="s">
        <v>78</v>
      </c>
      <c r="D225" s="13" t="s">
        <v>1321</v>
      </c>
      <c r="E225" s="5" t="s">
        <v>46</v>
      </c>
      <c r="F225" s="5" t="s">
        <v>27</v>
      </c>
      <c r="G225" s="5">
        <v>7356.0</v>
      </c>
      <c r="H225" s="5">
        <v>10.0</v>
      </c>
      <c r="I225" s="5">
        <v>1588.0</v>
      </c>
      <c r="J225" s="5">
        <v>7088.0</v>
      </c>
      <c r="K225" s="5">
        <v>1.0</v>
      </c>
      <c r="L225" s="9">
        <v>1730.37357</v>
      </c>
      <c r="M225" s="15">
        <f t="shared" si="1"/>
        <v>1730.37357</v>
      </c>
      <c r="N225" s="16">
        <f t="shared" si="2"/>
        <v>0.001359434475</v>
      </c>
    </row>
    <row r="226">
      <c r="A226" s="5" t="s">
        <v>22</v>
      </c>
      <c r="B226" s="5" t="s">
        <v>42</v>
      </c>
      <c r="C226" s="5" t="s">
        <v>24</v>
      </c>
      <c r="D226" s="6" t="s">
        <v>464</v>
      </c>
      <c r="E226" s="5" t="s">
        <v>19</v>
      </c>
      <c r="F226" s="5" t="s">
        <v>27</v>
      </c>
      <c r="G226" s="5">
        <v>9261.0</v>
      </c>
      <c r="H226" s="5">
        <v>66.0</v>
      </c>
      <c r="I226" s="5">
        <v>3852.0</v>
      </c>
      <c r="J226" s="5">
        <v>8526.0</v>
      </c>
      <c r="K226" s="5">
        <v>9.0</v>
      </c>
      <c r="L226" s="9">
        <v>6511.029576</v>
      </c>
      <c r="M226" s="15">
        <f t="shared" si="1"/>
        <v>723.4477307</v>
      </c>
      <c r="N226" s="16">
        <f t="shared" si="2"/>
        <v>0.007126660188</v>
      </c>
    </row>
    <row r="227">
      <c r="A227" s="5" t="s">
        <v>22</v>
      </c>
      <c r="B227" s="5" t="s">
        <v>16</v>
      </c>
      <c r="C227" s="5" t="s">
        <v>131</v>
      </c>
      <c r="D227" s="6" t="s">
        <v>464</v>
      </c>
      <c r="E227" s="5" t="s">
        <v>26</v>
      </c>
      <c r="F227" s="5" t="s">
        <v>27</v>
      </c>
      <c r="G227" s="5">
        <v>19344.0</v>
      </c>
      <c r="H227" s="5">
        <v>68.0</v>
      </c>
      <c r="I227" s="5">
        <v>2353.0</v>
      </c>
      <c r="J227" s="5">
        <v>18261.0</v>
      </c>
      <c r="K227" s="5">
        <v>10.0</v>
      </c>
      <c r="L227" s="9">
        <v>1500.722291</v>
      </c>
      <c r="M227" s="15">
        <f t="shared" si="1"/>
        <v>150.0722291</v>
      </c>
      <c r="N227" s="16">
        <f t="shared" si="2"/>
        <v>0.003515301902</v>
      </c>
    </row>
    <row r="228">
      <c r="A228" s="5" t="s">
        <v>15</v>
      </c>
      <c r="B228" s="5" t="s">
        <v>42</v>
      </c>
      <c r="C228" s="5" t="s">
        <v>55</v>
      </c>
      <c r="D228" s="6" t="s">
        <v>467</v>
      </c>
      <c r="E228" s="5" t="s">
        <v>19</v>
      </c>
      <c r="F228" s="5" t="s">
        <v>27</v>
      </c>
      <c r="G228" s="5">
        <v>11672.0</v>
      </c>
      <c r="H228" s="5">
        <v>84.0</v>
      </c>
      <c r="I228" s="5">
        <v>7619.0</v>
      </c>
      <c r="J228" s="5">
        <v>9999.0</v>
      </c>
      <c r="K228" s="5">
        <v>7.0</v>
      </c>
      <c r="L228" s="9">
        <v>5284.27704</v>
      </c>
      <c r="M228" s="15">
        <f t="shared" si="1"/>
        <v>754.89672</v>
      </c>
      <c r="N228" s="16">
        <f t="shared" si="2"/>
        <v>0.007196710075</v>
      </c>
    </row>
    <row r="229">
      <c r="A229" s="5" t="s">
        <v>15</v>
      </c>
      <c r="B229" s="5" t="s">
        <v>42</v>
      </c>
      <c r="C229" s="5" t="s">
        <v>17</v>
      </c>
      <c r="D229" s="6" t="s">
        <v>469</v>
      </c>
      <c r="E229" s="5" t="s">
        <v>117</v>
      </c>
      <c r="F229" s="5" t="s">
        <v>27</v>
      </c>
      <c r="G229" s="5">
        <v>8273.0</v>
      </c>
      <c r="H229" s="5">
        <v>24.0</v>
      </c>
      <c r="I229" s="5">
        <v>1929.0</v>
      </c>
      <c r="J229" s="5">
        <v>7441.0</v>
      </c>
      <c r="K229" s="5">
        <v>3.0</v>
      </c>
      <c r="L229" s="9">
        <v>4689.521024</v>
      </c>
      <c r="M229" s="15">
        <f t="shared" si="1"/>
        <v>1563.173675</v>
      </c>
      <c r="N229" s="16">
        <f t="shared" si="2"/>
        <v>0.002901003264</v>
      </c>
    </row>
    <row r="230">
      <c r="A230" s="5" t="s">
        <v>15</v>
      </c>
      <c r="B230" s="5" t="s">
        <v>16</v>
      </c>
      <c r="C230" s="5" t="s">
        <v>471</v>
      </c>
      <c r="D230" s="6" t="s">
        <v>469</v>
      </c>
      <c r="E230" s="5" t="s">
        <v>48</v>
      </c>
      <c r="F230" s="5" t="s">
        <v>27</v>
      </c>
      <c r="G230" s="5">
        <v>13833.0</v>
      </c>
      <c r="H230" s="5">
        <v>84.0</v>
      </c>
      <c r="I230" s="5">
        <v>7693.0</v>
      </c>
      <c r="J230" s="5">
        <v>13237.0</v>
      </c>
      <c r="K230" s="5">
        <v>6.0</v>
      </c>
      <c r="L230" s="9">
        <v>1526.787066</v>
      </c>
      <c r="M230" s="15">
        <f t="shared" si="1"/>
        <v>254.464511</v>
      </c>
      <c r="N230" s="16">
        <f t="shared" si="2"/>
        <v>0.00607243548</v>
      </c>
    </row>
    <row r="231">
      <c r="A231" s="5" t="s">
        <v>22</v>
      </c>
      <c r="B231" s="5" t="s">
        <v>23</v>
      </c>
      <c r="C231" s="5" t="s">
        <v>356</v>
      </c>
      <c r="D231" s="6" t="s">
        <v>469</v>
      </c>
      <c r="E231" s="5" t="s">
        <v>19</v>
      </c>
      <c r="F231" s="5" t="s">
        <v>27</v>
      </c>
      <c r="G231" s="5">
        <v>22180.0</v>
      </c>
      <c r="H231" s="5">
        <v>60.0</v>
      </c>
      <c r="I231" s="5">
        <v>4835.0</v>
      </c>
      <c r="J231" s="5">
        <v>19291.0</v>
      </c>
      <c r="K231" s="5">
        <v>9.0</v>
      </c>
      <c r="L231" s="9">
        <v>1441.631095</v>
      </c>
      <c r="M231" s="15">
        <f t="shared" si="1"/>
        <v>160.1812328</v>
      </c>
      <c r="N231" s="16">
        <f t="shared" si="2"/>
        <v>0.002705139766</v>
      </c>
    </row>
    <row r="232">
      <c r="A232" s="5" t="s">
        <v>22</v>
      </c>
      <c r="B232" s="5" t="s">
        <v>16</v>
      </c>
      <c r="C232" s="5" t="s">
        <v>95</v>
      </c>
      <c r="D232" s="6" t="s">
        <v>474</v>
      </c>
      <c r="E232" s="5" t="s">
        <v>19</v>
      </c>
      <c r="F232" s="5" t="s">
        <v>27</v>
      </c>
      <c r="G232" s="5">
        <v>102905.0</v>
      </c>
      <c r="H232" s="5">
        <v>421.0</v>
      </c>
      <c r="I232" s="5">
        <v>45324.0</v>
      </c>
      <c r="J232" s="5">
        <v>99065.0</v>
      </c>
      <c r="K232" s="5">
        <v>1.0</v>
      </c>
      <c r="L232" s="9">
        <v>6407.581828</v>
      </c>
      <c r="M232" s="15">
        <f t="shared" si="1"/>
        <v>6407.581828</v>
      </c>
      <c r="N232" s="16">
        <f t="shared" si="2"/>
        <v>0.004091152033</v>
      </c>
    </row>
    <row r="233">
      <c r="A233" s="5" t="s">
        <v>61</v>
      </c>
      <c r="B233" s="5" t="s">
        <v>23</v>
      </c>
      <c r="C233" s="5" t="s">
        <v>78</v>
      </c>
      <c r="D233" s="6" t="s">
        <v>474</v>
      </c>
      <c r="E233" s="5" t="s">
        <v>19</v>
      </c>
      <c r="F233" s="5" t="s">
        <v>27</v>
      </c>
      <c r="G233" s="5">
        <v>89744.0</v>
      </c>
      <c r="H233" s="5">
        <v>311.0</v>
      </c>
      <c r="I233" s="5">
        <v>48786.0</v>
      </c>
      <c r="J233" s="5">
        <v>85900.0</v>
      </c>
      <c r="K233" s="5">
        <v>3.0</v>
      </c>
      <c r="L233" s="9">
        <v>6369.811226</v>
      </c>
      <c r="M233" s="15">
        <f t="shared" si="1"/>
        <v>2123.270409</v>
      </c>
      <c r="N233" s="16">
        <f t="shared" si="2"/>
        <v>0.00346541273</v>
      </c>
    </row>
    <row r="234">
      <c r="A234" s="5" t="s">
        <v>15</v>
      </c>
      <c r="B234" s="5" t="s">
        <v>23</v>
      </c>
      <c r="C234" s="5" t="s">
        <v>43</v>
      </c>
      <c r="D234" s="6" t="s">
        <v>474</v>
      </c>
      <c r="E234" s="5" t="s">
        <v>26</v>
      </c>
      <c r="F234" s="5" t="s">
        <v>27</v>
      </c>
      <c r="G234" s="5">
        <v>39705.0</v>
      </c>
      <c r="H234" s="5">
        <v>190.0</v>
      </c>
      <c r="I234" s="5">
        <v>12950.0</v>
      </c>
      <c r="J234" s="5">
        <v>38030.0</v>
      </c>
      <c r="K234" s="5">
        <v>3.0</v>
      </c>
      <c r="L234" s="9">
        <v>1476.419509</v>
      </c>
      <c r="M234" s="15">
        <f t="shared" si="1"/>
        <v>492.1398363</v>
      </c>
      <c r="N234" s="16">
        <f t="shared" si="2"/>
        <v>0.004785291525</v>
      </c>
    </row>
    <row r="235">
      <c r="A235" s="5" t="s">
        <v>22</v>
      </c>
      <c r="B235" s="5" t="s">
        <v>23</v>
      </c>
      <c r="C235" s="5" t="s">
        <v>55</v>
      </c>
      <c r="D235" s="6" t="s">
        <v>478</v>
      </c>
      <c r="E235" s="5" t="s">
        <v>36</v>
      </c>
      <c r="F235" s="5" t="s">
        <v>27</v>
      </c>
      <c r="G235" s="5">
        <v>23941.0</v>
      </c>
      <c r="H235" s="5">
        <v>150.0</v>
      </c>
      <c r="I235" s="5">
        <v>13054.0</v>
      </c>
      <c r="J235" s="5">
        <v>22276.0</v>
      </c>
      <c r="K235" s="5">
        <v>6.0</v>
      </c>
      <c r="L235" s="9">
        <v>2856.165425</v>
      </c>
      <c r="M235" s="15">
        <f t="shared" si="1"/>
        <v>476.0275708</v>
      </c>
      <c r="N235" s="16">
        <f t="shared" si="2"/>
        <v>0.006265402448</v>
      </c>
    </row>
    <row r="236">
      <c r="A236" s="5" t="s">
        <v>22</v>
      </c>
      <c r="B236" s="5" t="s">
        <v>16</v>
      </c>
      <c r="C236" s="5" t="s">
        <v>35</v>
      </c>
      <c r="D236" s="6" t="s">
        <v>480</v>
      </c>
      <c r="E236" s="5" t="s">
        <v>19</v>
      </c>
      <c r="F236" s="5" t="s">
        <v>27</v>
      </c>
      <c r="G236" s="5">
        <v>42759.0</v>
      </c>
      <c r="H236" s="5">
        <v>177.0</v>
      </c>
      <c r="I236" s="5">
        <v>17744.0</v>
      </c>
      <c r="J236" s="5">
        <v>34812.0</v>
      </c>
      <c r="K236" s="5">
        <v>12.0</v>
      </c>
      <c r="L236" s="9">
        <v>6316.488054</v>
      </c>
      <c r="M236" s="15">
        <f t="shared" si="1"/>
        <v>526.3740045</v>
      </c>
      <c r="N236" s="16">
        <f t="shared" si="2"/>
        <v>0.004139479408</v>
      </c>
    </row>
    <row r="237">
      <c r="A237" s="5" t="s">
        <v>22</v>
      </c>
      <c r="B237" s="5" t="s">
        <v>23</v>
      </c>
      <c r="C237" s="5" t="s">
        <v>35</v>
      </c>
      <c r="D237" s="6" t="s">
        <v>480</v>
      </c>
      <c r="E237" s="5" t="s">
        <v>117</v>
      </c>
      <c r="F237" s="5" t="s">
        <v>27</v>
      </c>
      <c r="G237" s="5">
        <v>115673.0</v>
      </c>
      <c r="H237" s="5">
        <v>410.0</v>
      </c>
      <c r="I237" s="5">
        <v>52475.0</v>
      </c>
      <c r="J237" s="5">
        <v>97166.0</v>
      </c>
      <c r="K237" s="5">
        <v>22.0</v>
      </c>
      <c r="L237" s="9">
        <v>5045.93793</v>
      </c>
      <c r="M237" s="15">
        <f t="shared" si="1"/>
        <v>229.360815</v>
      </c>
      <c r="N237" s="16">
        <f t="shared" si="2"/>
        <v>0.00354447451</v>
      </c>
    </row>
    <row r="238">
      <c r="A238" s="5" t="s">
        <v>22</v>
      </c>
      <c r="B238" s="5" t="s">
        <v>31</v>
      </c>
      <c r="C238" s="5" t="s">
        <v>84</v>
      </c>
      <c r="D238" s="6" t="s">
        <v>486</v>
      </c>
      <c r="E238" s="5" t="s">
        <v>19</v>
      </c>
      <c r="F238" s="5" t="s">
        <v>27</v>
      </c>
      <c r="G238" s="5">
        <v>7687.0</v>
      </c>
      <c r="H238" s="5">
        <v>10.0</v>
      </c>
      <c r="I238" s="5">
        <v>5311.0</v>
      </c>
      <c r="J238" s="5">
        <v>7266.0</v>
      </c>
      <c r="K238" s="5">
        <v>6.0</v>
      </c>
      <c r="L238" s="9">
        <v>6486.853909</v>
      </c>
      <c r="M238" s="15">
        <f t="shared" si="1"/>
        <v>1081.142318</v>
      </c>
      <c r="N238" s="16">
        <f t="shared" si="2"/>
        <v>0.001300897619</v>
      </c>
    </row>
    <row r="239">
      <c r="A239" s="5" t="s">
        <v>22</v>
      </c>
      <c r="B239" s="5" t="s">
        <v>42</v>
      </c>
      <c r="C239" s="5" t="s">
        <v>78</v>
      </c>
      <c r="D239" s="6" t="s">
        <v>489</v>
      </c>
      <c r="E239" s="5" t="s">
        <v>48</v>
      </c>
      <c r="F239" s="5" t="s">
        <v>27</v>
      </c>
      <c r="G239" s="5">
        <v>21482.0</v>
      </c>
      <c r="H239" s="5">
        <v>67.0</v>
      </c>
      <c r="I239" s="5">
        <v>10473.0</v>
      </c>
      <c r="J239" s="5">
        <v>19679.0</v>
      </c>
      <c r="K239" s="5">
        <v>3.0</v>
      </c>
      <c r="L239" s="9">
        <v>3563.098841</v>
      </c>
      <c r="M239" s="15">
        <f t="shared" si="1"/>
        <v>1187.699614</v>
      </c>
      <c r="N239" s="16">
        <f t="shared" si="2"/>
        <v>0.003118890234</v>
      </c>
    </row>
    <row r="240">
      <c r="A240" s="5" t="s">
        <v>61</v>
      </c>
      <c r="B240" s="5" t="s">
        <v>16</v>
      </c>
      <c r="C240" s="5" t="s">
        <v>17</v>
      </c>
      <c r="D240" s="6" t="s">
        <v>489</v>
      </c>
      <c r="E240" s="5" t="s">
        <v>19</v>
      </c>
      <c r="F240" s="5" t="s">
        <v>27</v>
      </c>
      <c r="G240" s="5">
        <v>9178.0</v>
      </c>
      <c r="H240" s="5">
        <v>25.0</v>
      </c>
      <c r="I240" s="5">
        <v>4644.0</v>
      </c>
      <c r="J240" s="5">
        <v>8462.0</v>
      </c>
      <c r="K240" s="5">
        <v>2.0</v>
      </c>
      <c r="L240" s="9">
        <v>1503.205183</v>
      </c>
      <c r="M240" s="15">
        <f t="shared" si="1"/>
        <v>751.6025915</v>
      </c>
      <c r="N240" s="16">
        <f t="shared" si="2"/>
        <v>0.00272390499</v>
      </c>
    </row>
    <row r="241">
      <c r="A241" s="5" t="s">
        <v>22</v>
      </c>
      <c r="B241" s="5" t="s">
        <v>16</v>
      </c>
      <c r="C241" s="5" t="s">
        <v>24</v>
      </c>
      <c r="D241" s="6" t="s">
        <v>489</v>
      </c>
      <c r="E241" s="5" t="s">
        <v>36</v>
      </c>
      <c r="F241" s="5" t="s">
        <v>27</v>
      </c>
      <c r="G241" s="5">
        <v>9040.0</v>
      </c>
      <c r="H241" s="5">
        <v>21.0</v>
      </c>
      <c r="I241" s="5">
        <v>3585.0</v>
      </c>
      <c r="J241" s="5">
        <v>8450.0</v>
      </c>
      <c r="K241" s="5">
        <v>3.0</v>
      </c>
      <c r="L241" s="9">
        <v>1473.192464</v>
      </c>
      <c r="M241" s="15">
        <f t="shared" si="1"/>
        <v>491.0641547</v>
      </c>
      <c r="N241" s="16">
        <f t="shared" si="2"/>
        <v>0.00232300885</v>
      </c>
    </row>
    <row r="242">
      <c r="A242" s="5" t="s">
        <v>22</v>
      </c>
      <c r="B242" s="5" t="s">
        <v>16</v>
      </c>
      <c r="C242" s="5" t="s">
        <v>78</v>
      </c>
      <c r="D242" s="6" t="s">
        <v>493</v>
      </c>
      <c r="E242" s="5" t="s">
        <v>36</v>
      </c>
      <c r="F242" s="5" t="s">
        <v>27</v>
      </c>
      <c r="G242" s="5">
        <v>96728.0</v>
      </c>
      <c r="H242" s="5">
        <v>341.0</v>
      </c>
      <c r="I242" s="5">
        <v>69700.0</v>
      </c>
      <c r="J242" s="5">
        <v>91910.0</v>
      </c>
      <c r="K242" s="5">
        <v>15.0</v>
      </c>
      <c r="L242" s="9">
        <v>6587.243331</v>
      </c>
      <c r="M242" s="15">
        <f t="shared" si="1"/>
        <v>439.1495554</v>
      </c>
      <c r="N242" s="16">
        <f t="shared" si="2"/>
        <v>0.003525349433</v>
      </c>
    </row>
    <row r="243">
      <c r="A243" s="5" t="s">
        <v>22</v>
      </c>
      <c r="B243" s="5" t="s">
        <v>23</v>
      </c>
      <c r="C243" s="5" t="s">
        <v>29</v>
      </c>
      <c r="D243" s="6" t="s">
        <v>493</v>
      </c>
      <c r="E243" s="5" t="s">
        <v>19</v>
      </c>
      <c r="F243" s="5" t="s">
        <v>27</v>
      </c>
      <c r="G243" s="5">
        <v>48947.0</v>
      </c>
      <c r="H243" s="5">
        <v>230.0</v>
      </c>
      <c r="I243" s="5">
        <v>32089.0</v>
      </c>
      <c r="J243" s="5">
        <v>45597.0</v>
      </c>
      <c r="K243" s="5">
        <v>21.0</v>
      </c>
      <c r="L243" s="9">
        <v>5702.290265</v>
      </c>
      <c r="M243" s="15">
        <f t="shared" si="1"/>
        <v>271.5376317</v>
      </c>
      <c r="N243" s="16">
        <f t="shared" si="2"/>
        <v>0.0046989601</v>
      </c>
    </row>
    <row r="244">
      <c r="A244" s="5" t="s">
        <v>61</v>
      </c>
      <c r="B244" s="5" t="s">
        <v>42</v>
      </c>
      <c r="C244" s="5" t="s">
        <v>78</v>
      </c>
      <c r="D244" s="6" t="s">
        <v>493</v>
      </c>
      <c r="E244" s="5" t="s">
        <v>19</v>
      </c>
      <c r="F244" s="5" t="s">
        <v>27</v>
      </c>
      <c r="G244" s="5">
        <v>58938.0</v>
      </c>
      <c r="H244" s="5">
        <v>175.0</v>
      </c>
      <c r="I244" s="5">
        <v>41861.0</v>
      </c>
      <c r="J244" s="5">
        <v>55929.0</v>
      </c>
      <c r="K244" s="5">
        <v>9.0</v>
      </c>
      <c r="L244" s="9">
        <v>4881.198269</v>
      </c>
      <c r="M244" s="15">
        <f t="shared" si="1"/>
        <v>542.3553632</v>
      </c>
      <c r="N244" s="16">
        <f t="shared" si="2"/>
        <v>0.002969221894</v>
      </c>
    </row>
    <row r="245">
      <c r="A245" s="5" t="s">
        <v>15</v>
      </c>
      <c r="B245" s="5" t="s">
        <v>23</v>
      </c>
      <c r="C245" s="5" t="s">
        <v>35</v>
      </c>
      <c r="D245" s="6" t="s">
        <v>493</v>
      </c>
      <c r="E245" s="5" t="s">
        <v>48</v>
      </c>
      <c r="F245" s="5" t="s">
        <v>27</v>
      </c>
      <c r="G245" s="5">
        <v>49014.0</v>
      </c>
      <c r="H245" s="5">
        <v>100.0</v>
      </c>
      <c r="I245" s="5">
        <v>30349.0</v>
      </c>
      <c r="J245" s="5">
        <v>46446.0</v>
      </c>
      <c r="K245" s="5">
        <v>6.0</v>
      </c>
      <c r="L245" s="9">
        <v>3628.34617</v>
      </c>
      <c r="M245" s="15">
        <f t="shared" si="1"/>
        <v>604.7243617</v>
      </c>
      <c r="N245" s="16">
        <f t="shared" si="2"/>
        <v>0.002040233403</v>
      </c>
    </row>
    <row r="246">
      <c r="A246" s="5" t="s">
        <v>22</v>
      </c>
      <c r="B246" s="5" t="s">
        <v>42</v>
      </c>
      <c r="C246" s="5" t="s">
        <v>433</v>
      </c>
      <c r="D246" s="6" t="s">
        <v>493</v>
      </c>
      <c r="E246" s="5" t="s">
        <v>46</v>
      </c>
      <c r="F246" s="5" t="s">
        <v>27</v>
      </c>
      <c r="G246" s="5">
        <v>69523.0</v>
      </c>
      <c r="H246" s="5">
        <v>174.0</v>
      </c>
      <c r="I246" s="5">
        <v>48273.0</v>
      </c>
      <c r="J246" s="5">
        <v>65800.0</v>
      </c>
      <c r="K246" s="5">
        <v>9.0</v>
      </c>
      <c r="L246" s="9">
        <v>2649.997803</v>
      </c>
      <c r="M246" s="15">
        <f t="shared" si="1"/>
        <v>294.4442003</v>
      </c>
      <c r="N246" s="16">
        <f t="shared" si="2"/>
        <v>0.002502768868</v>
      </c>
    </row>
    <row r="247">
      <c r="A247" s="5" t="s">
        <v>61</v>
      </c>
      <c r="B247" s="5" t="s">
        <v>31</v>
      </c>
      <c r="C247" s="5" t="s">
        <v>95</v>
      </c>
      <c r="D247" s="6" t="s">
        <v>493</v>
      </c>
      <c r="E247" s="5" t="s">
        <v>46</v>
      </c>
      <c r="F247" s="5" t="s">
        <v>27</v>
      </c>
      <c r="G247" s="5">
        <v>37717.0</v>
      </c>
      <c r="H247" s="5">
        <v>69.0</v>
      </c>
      <c r="I247" s="5">
        <v>26541.0</v>
      </c>
      <c r="J247" s="5">
        <v>35126.0</v>
      </c>
      <c r="K247" s="5">
        <v>5.0</v>
      </c>
      <c r="L247" s="9">
        <v>1725.271363</v>
      </c>
      <c r="M247" s="15">
        <f t="shared" si="1"/>
        <v>345.0542726</v>
      </c>
      <c r="N247" s="16">
        <f t="shared" si="2"/>
        <v>0.001829413792</v>
      </c>
    </row>
    <row r="248">
      <c r="A248" s="5" t="s">
        <v>22</v>
      </c>
      <c r="B248" s="5" t="s">
        <v>16</v>
      </c>
      <c r="C248" s="5" t="s">
        <v>35</v>
      </c>
      <c r="D248" s="6" t="s">
        <v>493</v>
      </c>
      <c r="E248" s="5" t="s">
        <v>19</v>
      </c>
      <c r="F248" s="5" t="s">
        <v>27</v>
      </c>
      <c r="G248" s="5">
        <v>9222.0</v>
      </c>
      <c r="H248" s="5">
        <v>33.0</v>
      </c>
      <c r="I248" s="5">
        <v>5352.0</v>
      </c>
      <c r="J248" s="5">
        <v>8141.0</v>
      </c>
      <c r="K248" s="5">
        <v>2.0</v>
      </c>
      <c r="L248" s="9">
        <v>1583.164302</v>
      </c>
      <c r="M248" s="15">
        <f t="shared" si="1"/>
        <v>791.582151</v>
      </c>
      <c r="N248" s="16">
        <f t="shared" si="2"/>
        <v>0.00357839948</v>
      </c>
    </row>
    <row r="249">
      <c r="A249" s="5" t="s">
        <v>22</v>
      </c>
      <c r="B249" s="5" t="s">
        <v>42</v>
      </c>
      <c r="C249" s="5" t="s">
        <v>240</v>
      </c>
      <c r="D249" s="6" t="s">
        <v>502</v>
      </c>
      <c r="E249" s="5" t="s">
        <v>48</v>
      </c>
      <c r="F249" s="5" t="s">
        <v>27</v>
      </c>
      <c r="G249" s="5">
        <v>8233.0</v>
      </c>
      <c r="H249" s="5">
        <v>65.0</v>
      </c>
      <c r="I249" s="5">
        <v>5361.0</v>
      </c>
      <c r="J249" s="5">
        <v>7643.0</v>
      </c>
      <c r="K249" s="5">
        <v>4.0</v>
      </c>
      <c r="L249" s="9">
        <v>6381.006576</v>
      </c>
      <c r="M249" s="15">
        <f t="shared" si="1"/>
        <v>1595.251644</v>
      </c>
      <c r="N249" s="16">
        <f t="shared" si="2"/>
        <v>0.00789505648</v>
      </c>
    </row>
    <row r="250">
      <c r="A250" s="5" t="s">
        <v>22</v>
      </c>
      <c r="B250" s="5" t="s">
        <v>23</v>
      </c>
      <c r="C250" s="5" t="s">
        <v>173</v>
      </c>
      <c r="D250" s="6" t="s">
        <v>504</v>
      </c>
      <c r="E250" s="5" t="s">
        <v>167</v>
      </c>
      <c r="F250" s="5" t="s">
        <v>27</v>
      </c>
      <c r="G250" s="5">
        <v>9014.0</v>
      </c>
      <c r="H250" s="5">
        <v>26.0</v>
      </c>
      <c r="I250" s="5">
        <v>5054.0</v>
      </c>
      <c r="J250" s="5">
        <v>7227.0</v>
      </c>
      <c r="K250" s="5">
        <v>4.0</v>
      </c>
      <c r="L250" s="9">
        <v>1539.60069</v>
      </c>
      <c r="M250" s="15">
        <f t="shared" si="1"/>
        <v>384.9001725</v>
      </c>
      <c r="N250" s="16">
        <f t="shared" si="2"/>
        <v>0.002884402041</v>
      </c>
    </row>
    <row r="251">
      <c r="A251" s="5" t="s">
        <v>15</v>
      </c>
      <c r="B251" s="5" t="s">
        <v>23</v>
      </c>
      <c r="C251" s="5" t="s">
        <v>84</v>
      </c>
      <c r="D251" s="6" t="s">
        <v>506</v>
      </c>
      <c r="E251" s="5" t="s">
        <v>46</v>
      </c>
      <c r="F251" s="5" t="s">
        <v>27</v>
      </c>
      <c r="G251" s="5">
        <v>9702.0</v>
      </c>
      <c r="H251" s="5">
        <v>40.0</v>
      </c>
      <c r="I251" s="5">
        <v>5564.0</v>
      </c>
      <c r="J251" s="5">
        <v>8210.0</v>
      </c>
      <c r="K251" s="5">
        <v>1.0</v>
      </c>
      <c r="L251" s="9">
        <v>5711.39201</v>
      </c>
      <c r="M251" s="15">
        <f t="shared" si="1"/>
        <v>5711.39201</v>
      </c>
      <c r="N251" s="16">
        <f t="shared" si="2"/>
        <v>0.004122861266</v>
      </c>
    </row>
    <row r="252">
      <c r="A252" s="5" t="s">
        <v>15</v>
      </c>
      <c r="B252" s="5" t="s">
        <v>23</v>
      </c>
      <c r="C252" s="5" t="s">
        <v>173</v>
      </c>
      <c r="D252" s="6" t="s">
        <v>508</v>
      </c>
      <c r="E252" s="5" t="s">
        <v>36</v>
      </c>
      <c r="F252" s="5" t="s">
        <v>27</v>
      </c>
      <c r="G252" s="5">
        <v>150457.0</v>
      </c>
      <c r="H252" s="5">
        <v>420.0</v>
      </c>
      <c r="I252" s="5">
        <v>58372.0</v>
      </c>
      <c r="J252" s="5">
        <v>135099.0</v>
      </c>
      <c r="K252" s="5">
        <v>14.0</v>
      </c>
      <c r="L252" s="9">
        <v>5906.830006</v>
      </c>
      <c r="M252" s="15">
        <f t="shared" si="1"/>
        <v>421.916429</v>
      </c>
      <c r="N252" s="16">
        <f t="shared" si="2"/>
        <v>0.002791495244</v>
      </c>
    </row>
    <row r="253">
      <c r="A253" s="5" t="s">
        <v>22</v>
      </c>
      <c r="B253" s="5" t="s">
        <v>42</v>
      </c>
      <c r="C253" s="5" t="s">
        <v>471</v>
      </c>
      <c r="D253" s="6" t="s">
        <v>508</v>
      </c>
      <c r="E253" s="5" t="s">
        <v>48</v>
      </c>
      <c r="F253" s="5" t="s">
        <v>27</v>
      </c>
      <c r="G253" s="5">
        <v>190592.0</v>
      </c>
      <c r="H253" s="5">
        <v>601.0</v>
      </c>
      <c r="I253" s="5">
        <v>28906.0</v>
      </c>
      <c r="J253" s="5">
        <v>172515.0</v>
      </c>
      <c r="K253" s="5">
        <v>25.0</v>
      </c>
      <c r="L253" s="9">
        <v>4742.047766</v>
      </c>
      <c r="M253" s="15">
        <f t="shared" si="1"/>
        <v>189.6819106</v>
      </c>
      <c r="N253" s="16">
        <f t="shared" si="2"/>
        <v>0.003153332774</v>
      </c>
    </row>
    <row r="254">
      <c r="A254" s="5" t="s">
        <v>22</v>
      </c>
      <c r="B254" s="5" t="s">
        <v>23</v>
      </c>
      <c r="C254" s="5" t="s">
        <v>35</v>
      </c>
      <c r="D254" s="6" t="s">
        <v>511</v>
      </c>
      <c r="E254" s="5" t="s">
        <v>46</v>
      </c>
      <c r="F254" s="5" t="s">
        <v>27</v>
      </c>
      <c r="G254" s="5">
        <v>12868.0</v>
      </c>
      <c r="H254" s="5">
        <v>80.0</v>
      </c>
      <c r="I254" s="5">
        <v>6472.0</v>
      </c>
      <c r="J254" s="5">
        <v>11922.0</v>
      </c>
      <c r="K254" s="5">
        <v>6.0</v>
      </c>
      <c r="L254" s="9">
        <v>3137.143043</v>
      </c>
      <c r="M254" s="15">
        <f t="shared" si="1"/>
        <v>522.8571738</v>
      </c>
      <c r="N254" s="16">
        <f t="shared" si="2"/>
        <v>0.006216972334</v>
      </c>
    </row>
    <row r="255">
      <c r="A255" s="5" t="s">
        <v>22</v>
      </c>
      <c r="B255" s="5" t="s">
        <v>16</v>
      </c>
      <c r="C255" s="5" t="s">
        <v>29</v>
      </c>
      <c r="D255" s="6" t="s">
        <v>511</v>
      </c>
      <c r="E255" s="5" t="s">
        <v>19</v>
      </c>
      <c r="F255" s="5" t="s">
        <v>27</v>
      </c>
      <c r="G255" s="5">
        <v>9059.0</v>
      </c>
      <c r="H255" s="5">
        <v>22.0</v>
      </c>
      <c r="I255" s="5">
        <v>589.0</v>
      </c>
      <c r="J255" s="5">
        <v>7480.0</v>
      </c>
      <c r="K255" s="5">
        <v>4.0</v>
      </c>
      <c r="L255" s="9">
        <v>1908.526117</v>
      </c>
      <c r="M255" s="15">
        <f t="shared" si="1"/>
        <v>477.1315293</v>
      </c>
      <c r="N255" s="16">
        <f t="shared" si="2"/>
        <v>0.00242852412</v>
      </c>
    </row>
    <row r="256">
      <c r="A256" s="5" t="s">
        <v>61</v>
      </c>
      <c r="B256" s="5" t="s">
        <v>31</v>
      </c>
      <c r="C256" s="5" t="s">
        <v>35</v>
      </c>
      <c r="D256" s="6" t="s">
        <v>515</v>
      </c>
      <c r="E256" s="5" t="s">
        <v>19</v>
      </c>
      <c r="F256" s="5" t="s">
        <v>27</v>
      </c>
      <c r="G256" s="5">
        <v>7822.0</v>
      </c>
      <c r="H256" s="5">
        <v>25.0</v>
      </c>
      <c r="I256" s="5">
        <v>3786.0</v>
      </c>
      <c r="J256" s="5">
        <v>7232.0</v>
      </c>
      <c r="K256" s="5">
        <v>13.0</v>
      </c>
      <c r="L256" s="9">
        <v>6781.821647</v>
      </c>
      <c r="M256" s="15">
        <f t="shared" si="1"/>
        <v>521.6785882</v>
      </c>
      <c r="N256" s="16">
        <f t="shared" si="2"/>
        <v>0.003196113526</v>
      </c>
    </row>
    <row r="257">
      <c r="A257" s="5" t="s">
        <v>22</v>
      </c>
      <c r="B257" s="5" t="s">
        <v>42</v>
      </c>
      <c r="C257" s="5" t="s">
        <v>173</v>
      </c>
      <c r="D257" s="6" t="s">
        <v>515</v>
      </c>
      <c r="E257" s="5" t="s">
        <v>26</v>
      </c>
      <c r="F257" s="5" t="s">
        <v>27</v>
      </c>
      <c r="G257" s="5">
        <v>12214.0</v>
      </c>
      <c r="H257" s="5">
        <v>50.0</v>
      </c>
      <c r="I257" s="5">
        <v>5376.0</v>
      </c>
      <c r="J257" s="5">
        <v>11490.0</v>
      </c>
      <c r="K257" s="5">
        <v>7.0</v>
      </c>
      <c r="L257" s="9">
        <v>5616.309402</v>
      </c>
      <c r="M257" s="15">
        <f t="shared" si="1"/>
        <v>802.3299146</v>
      </c>
      <c r="N257" s="16">
        <f t="shared" si="2"/>
        <v>0.00409366301</v>
      </c>
    </row>
    <row r="258">
      <c r="A258" s="5" t="s">
        <v>22</v>
      </c>
      <c r="B258" s="5" t="s">
        <v>31</v>
      </c>
      <c r="C258" s="5" t="s">
        <v>35</v>
      </c>
      <c r="D258" s="6" t="s">
        <v>518</v>
      </c>
      <c r="E258" s="5" t="s">
        <v>19</v>
      </c>
      <c r="F258" s="5" t="s">
        <v>27</v>
      </c>
      <c r="G258" s="5">
        <v>7514.0</v>
      </c>
      <c r="H258" s="5">
        <v>20.0</v>
      </c>
      <c r="I258" s="5">
        <v>2646.0</v>
      </c>
      <c r="J258" s="5">
        <v>3373.0</v>
      </c>
      <c r="K258" s="5">
        <v>3.0</v>
      </c>
      <c r="L258" s="9">
        <v>6756.295179</v>
      </c>
      <c r="M258" s="15">
        <f t="shared" si="1"/>
        <v>2252.098393</v>
      </c>
      <c r="N258" s="16">
        <f t="shared" si="2"/>
        <v>0.002661698163</v>
      </c>
    </row>
    <row r="259">
      <c r="A259" s="5" t="s">
        <v>15</v>
      </c>
      <c r="B259" s="5" t="s">
        <v>31</v>
      </c>
      <c r="C259" s="5" t="s">
        <v>35</v>
      </c>
      <c r="D259" s="6" t="s">
        <v>518</v>
      </c>
      <c r="E259" s="5" t="s">
        <v>46</v>
      </c>
      <c r="F259" s="5" t="s">
        <v>27</v>
      </c>
      <c r="G259" s="5">
        <v>14083.0</v>
      </c>
      <c r="H259" s="5">
        <v>97.0</v>
      </c>
      <c r="I259" s="5">
        <v>9945.0</v>
      </c>
      <c r="J259" s="5">
        <v>12878.0</v>
      </c>
      <c r="K259" s="5">
        <v>11.0</v>
      </c>
      <c r="L259" s="9">
        <v>5979.67</v>
      </c>
      <c r="M259" s="15">
        <f t="shared" si="1"/>
        <v>543.6063636</v>
      </c>
      <c r="N259" s="16">
        <f t="shared" si="2"/>
        <v>0.006887736988</v>
      </c>
    </row>
    <row r="260">
      <c r="A260" s="5" t="s">
        <v>61</v>
      </c>
      <c r="B260" s="5" t="s">
        <v>42</v>
      </c>
      <c r="C260" s="5" t="s">
        <v>35</v>
      </c>
      <c r="D260" s="6" t="s">
        <v>518</v>
      </c>
      <c r="E260" s="5" t="s">
        <v>19</v>
      </c>
      <c r="F260" s="5" t="s">
        <v>27</v>
      </c>
      <c r="G260" s="5">
        <v>100058.0</v>
      </c>
      <c r="H260" s="5">
        <v>435.0</v>
      </c>
      <c r="I260" s="5">
        <v>73422.0</v>
      </c>
      <c r="J260" s="5">
        <v>91976.0</v>
      </c>
      <c r="K260" s="5">
        <v>8.0</v>
      </c>
      <c r="L260" s="9">
        <v>5831.225793</v>
      </c>
      <c r="M260" s="15">
        <f t="shared" si="1"/>
        <v>728.9032241</v>
      </c>
      <c r="N260" s="16">
        <f t="shared" si="2"/>
        <v>0.004347478462</v>
      </c>
    </row>
    <row r="261">
      <c r="A261" s="5" t="s">
        <v>15</v>
      </c>
      <c r="B261" s="5" t="s">
        <v>16</v>
      </c>
      <c r="C261" s="5" t="s">
        <v>17</v>
      </c>
      <c r="D261" s="6" t="s">
        <v>518</v>
      </c>
      <c r="E261" s="5" t="s">
        <v>26</v>
      </c>
      <c r="F261" s="5" t="s">
        <v>27</v>
      </c>
      <c r="G261" s="5">
        <v>103665.0</v>
      </c>
      <c r="H261" s="5">
        <v>270.0</v>
      </c>
      <c r="I261" s="5">
        <v>77283.0</v>
      </c>
      <c r="J261" s="5">
        <v>94019.0</v>
      </c>
      <c r="K261" s="5">
        <v>4.0</v>
      </c>
      <c r="L261" s="9">
        <v>5284.685565</v>
      </c>
      <c r="M261" s="15">
        <f t="shared" si="1"/>
        <v>1321.171391</v>
      </c>
      <c r="N261" s="16">
        <f t="shared" si="2"/>
        <v>0.002604543481</v>
      </c>
    </row>
    <row r="262">
      <c r="A262" s="5" t="s">
        <v>61</v>
      </c>
      <c r="B262" s="5" t="s">
        <v>42</v>
      </c>
      <c r="C262" s="5" t="s">
        <v>24</v>
      </c>
      <c r="D262" s="6" t="s">
        <v>518</v>
      </c>
      <c r="E262" s="5" t="s">
        <v>19</v>
      </c>
      <c r="F262" s="5" t="s">
        <v>27</v>
      </c>
      <c r="G262" s="5">
        <v>39844.0</v>
      </c>
      <c r="H262" s="5">
        <v>101.0</v>
      </c>
      <c r="I262" s="5">
        <v>28001.0</v>
      </c>
      <c r="J262" s="5">
        <v>36335.0</v>
      </c>
      <c r="K262" s="5">
        <v>3.0</v>
      </c>
      <c r="L262" s="9">
        <v>4439.368082</v>
      </c>
      <c r="M262" s="15">
        <f t="shared" si="1"/>
        <v>1479.789361</v>
      </c>
      <c r="N262" s="16">
        <f t="shared" si="2"/>
        <v>0.002534886056</v>
      </c>
    </row>
    <row r="263">
      <c r="A263" s="5" t="s">
        <v>15</v>
      </c>
      <c r="B263" s="5" t="s">
        <v>23</v>
      </c>
      <c r="C263" s="5" t="s">
        <v>17</v>
      </c>
      <c r="D263" s="6" t="s">
        <v>518</v>
      </c>
      <c r="E263" s="5" t="s">
        <v>19</v>
      </c>
      <c r="F263" s="5" t="s">
        <v>27</v>
      </c>
      <c r="G263" s="5">
        <v>224359.0</v>
      </c>
      <c r="H263" s="5">
        <v>480.0</v>
      </c>
      <c r="I263" s="5">
        <v>163149.0</v>
      </c>
      <c r="J263" s="5">
        <v>200859.0</v>
      </c>
      <c r="K263" s="5">
        <v>5.0</v>
      </c>
      <c r="L263" s="9">
        <v>4196.936777</v>
      </c>
      <c r="M263" s="15">
        <f t="shared" si="1"/>
        <v>839.3873554</v>
      </c>
      <c r="N263" s="16">
        <f t="shared" si="2"/>
        <v>0.002139428327</v>
      </c>
    </row>
    <row r="264">
      <c r="A264" s="5" t="s">
        <v>22</v>
      </c>
      <c r="B264" s="5" t="s">
        <v>16</v>
      </c>
      <c r="C264" s="5" t="s">
        <v>240</v>
      </c>
      <c r="D264" s="6" t="s">
        <v>518</v>
      </c>
      <c r="E264" s="5" t="s">
        <v>36</v>
      </c>
      <c r="F264" s="5" t="s">
        <v>27</v>
      </c>
      <c r="G264" s="5">
        <v>15399.0</v>
      </c>
      <c r="H264" s="5">
        <v>35.0</v>
      </c>
      <c r="I264" s="5">
        <v>3398.0</v>
      </c>
      <c r="J264" s="5">
        <v>4324.0</v>
      </c>
      <c r="K264" s="5">
        <v>3.0</v>
      </c>
      <c r="L264" s="9">
        <v>3434.731153</v>
      </c>
      <c r="M264" s="15">
        <f t="shared" si="1"/>
        <v>1144.910384</v>
      </c>
      <c r="N264" s="16">
        <f t="shared" si="2"/>
        <v>0.002272874862</v>
      </c>
    </row>
    <row r="265">
      <c r="A265" s="5" t="s">
        <v>15</v>
      </c>
      <c r="B265" s="5" t="s">
        <v>16</v>
      </c>
      <c r="C265" s="5" t="s">
        <v>17</v>
      </c>
      <c r="D265" s="6" t="s">
        <v>518</v>
      </c>
      <c r="E265" s="5" t="s">
        <v>46</v>
      </c>
      <c r="F265" s="5" t="s">
        <v>27</v>
      </c>
      <c r="G265" s="5">
        <v>136733.0</v>
      </c>
      <c r="H265" s="5">
        <v>110.0</v>
      </c>
      <c r="I265" s="5">
        <v>102728.0</v>
      </c>
      <c r="J265" s="5">
        <v>127130.0</v>
      </c>
      <c r="K265" s="5">
        <v>4.0</v>
      </c>
      <c r="L265" s="9">
        <v>1946.050447</v>
      </c>
      <c r="M265" s="15">
        <f t="shared" si="1"/>
        <v>486.5126118</v>
      </c>
      <c r="N265" s="16">
        <f t="shared" si="2"/>
        <v>0.000804487578</v>
      </c>
    </row>
    <row r="266">
      <c r="A266" s="5" t="s">
        <v>22</v>
      </c>
      <c r="B266" s="5" t="s">
        <v>31</v>
      </c>
      <c r="C266" s="5" t="s">
        <v>531</v>
      </c>
      <c r="D266" s="6" t="s">
        <v>518</v>
      </c>
      <c r="E266" s="5" t="s">
        <v>19</v>
      </c>
      <c r="F266" s="5" t="s">
        <v>27</v>
      </c>
      <c r="G266" s="5">
        <v>198754.0</v>
      </c>
      <c r="H266" s="5">
        <v>480.0</v>
      </c>
      <c r="I266" s="5">
        <v>137649.0</v>
      </c>
      <c r="J266" s="5">
        <v>178415.0</v>
      </c>
      <c r="K266" s="5">
        <v>4.0</v>
      </c>
      <c r="L266" s="9">
        <v>1803.081497</v>
      </c>
      <c r="M266" s="15">
        <f t="shared" si="1"/>
        <v>450.7703743</v>
      </c>
      <c r="N266" s="16">
        <f t="shared" si="2"/>
        <v>0.002415045735</v>
      </c>
    </row>
    <row r="267">
      <c r="A267" s="5" t="s">
        <v>15</v>
      </c>
      <c r="B267" s="5" t="s">
        <v>16</v>
      </c>
      <c r="C267" s="5" t="s">
        <v>84</v>
      </c>
      <c r="D267" s="6" t="s">
        <v>518</v>
      </c>
      <c r="E267" s="5" t="s">
        <v>117</v>
      </c>
      <c r="F267" s="5" t="s">
        <v>27</v>
      </c>
      <c r="G267" s="5">
        <v>15033.0</v>
      </c>
      <c r="H267" s="5">
        <v>76.0</v>
      </c>
      <c r="I267" s="5">
        <v>5495.0</v>
      </c>
      <c r="J267" s="5">
        <v>7050.0</v>
      </c>
      <c r="K267" s="5">
        <v>3.0</v>
      </c>
      <c r="L267" s="9">
        <v>1650.72301</v>
      </c>
      <c r="M267" s="15">
        <f t="shared" si="1"/>
        <v>550.2410033</v>
      </c>
      <c r="N267" s="16">
        <f t="shared" si="2"/>
        <v>0.005055544469</v>
      </c>
    </row>
    <row r="268">
      <c r="A268" s="5" t="s">
        <v>15</v>
      </c>
      <c r="B268" s="5" t="s">
        <v>16</v>
      </c>
      <c r="C268" s="5" t="s">
        <v>78</v>
      </c>
      <c r="D268" s="6" t="s">
        <v>518</v>
      </c>
      <c r="E268" s="5" t="s">
        <v>19</v>
      </c>
      <c r="F268" s="5" t="s">
        <v>27</v>
      </c>
      <c r="G268" s="5">
        <v>92806.0</v>
      </c>
      <c r="H268" s="5">
        <v>212.0</v>
      </c>
      <c r="I268" s="5">
        <v>67534.0</v>
      </c>
      <c r="J268" s="5">
        <v>85013.0</v>
      </c>
      <c r="K268" s="5">
        <v>11.0</v>
      </c>
      <c r="L268" s="9">
        <v>1579.379602</v>
      </c>
      <c r="M268" s="15">
        <f t="shared" si="1"/>
        <v>143.5799638</v>
      </c>
      <c r="N268" s="16">
        <f t="shared" si="2"/>
        <v>0.002284335065</v>
      </c>
    </row>
    <row r="269">
      <c r="A269" s="5" t="s">
        <v>22</v>
      </c>
      <c r="B269" s="5" t="s">
        <v>16</v>
      </c>
      <c r="C269" s="5" t="s">
        <v>29</v>
      </c>
      <c r="D269" s="6" t="s">
        <v>518</v>
      </c>
      <c r="E269" s="5" t="s">
        <v>46</v>
      </c>
      <c r="F269" s="5" t="s">
        <v>27</v>
      </c>
      <c r="G269" s="5">
        <v>186702.0</v>
      </c>
      <c r="H269" s="5">
        <v>370.0</v>
      </c>
      <c r="I269" s="5">
        <v>132038.0</v>
      </c>
      <c r="J269" s="5">
        <v>167406.0</v>
      </c>
      <c r="K269" s="5">
        <v>4.0</v>
      </c>
      <c r="L269" s="9">
        <v>1568.73602</v>
      </c>
      <c r="M269" s="15">
        <f t="shared" si="1"/>
        <v>392.184005</v>
      </c>
      <c r="N269" s="16">
        <f t="shared" si="2"/>
        <v>0.001981767737</v>
      </c>
    </row>
    <row r="270">
      <c r="A270" s="5" t="s">
        <v>22</v>
      </c>
      <c r="B270" s="5" t="s">
        <v>23</v>
      </c>
      <c r="C270" s="5" t="s">
        <v>29</v>
      </c>
      <c r="D270" s="6" t="s">
        <v>518</v>
      </c>
      <c r="E270" s="5" t="s">
        <v>46</v>
      </c>
      <c r="F270" s="5" t="s">
        <v>27</v>
      </c>
      <c r="G270" s="5">
        <v>69136.0</v>
      </c>
      <c r="H270" s="5">
        <v>190.0</v>
      </c>
      <c r="I270" s="5">
        <v>40571.0</v>
      </c>
      <c r="J270" s="5">
        <v>63614.0</v>
      </c>
      <c r="K270" s="5">
        <v>3.0</v>
      </c>
      <c r="L270" s="9">
        <v>1507.946851</v>
      </c>
      <c r="M270" s="15">
        <f t="shared" si="1"/>
        <v>502.6489503</v>
      </c>
      <c r="N270" s="16">
        <f t="shared" si="2"/>
        <v>0.002748206434</v>
      </c>
    </row>
    <row r="271">
      <c r="A271" s="5" t="s">
        <v>22</v>
      </c>
      <c r="B271" s="5" t="s">
        <v>23</v>
      </c>
      <c r="C271" s="5" t="s">
        <v>24</v>
      </c>
      <c r="D271" s="6" t="s">
        <v>518</v>
      </c>
      <c r="E271" s="5" t="s">
        <v>36</v>
      </c>
      <c r="F271" s="5" t="s">
        <v>27</v>
      </c>
      <c r="G271" s="5">
        <v>88819.0</v>
      </c>
      <c r="H271" s="5">
        <v>200.0</v>
      </c>
      <c r="I271" s="5">
        <v>65488.0</v>
      </c>
      <c r="J271" s="5">
        <v>80451.0</v>
      </c>
      <c r="K271" s="5">
        <v>6.0</v>
      </c>
      <c r="L271" s="9">
        <v>1442.22799</v>
      </c>
      <c r="M271" s="15">
        <f t="shared" si="1"/>
        <v>240.3713317</v>
      </c>
      <c r="N271" s="16">
        <f t="shared" si="2"/>
        <v>0.002251770455</v>
      </c>
    </row>
    <row r="272">
      <c r="A272" s="5" t="s">
        <v>22</v>
      </c>
      <c r="B272" s="5" t="s">
        <v>42</v>
      </c>
      <c r="C272" s="5" t="s">
        <v>35</v>
      </c>
      <c r="D272" s="6" t="s">
        <v>539</v>
      </c>
      <c r="E272" s="5" t="s">
        <v>1046</v>
      </c>
      <c r="F272" s="5" t="s">
        <v>27</v>
      </c>
      <c r="G272" s="5">
        <v>1323451.0</v>
      </c>
      <c r="H272" s="5">
        <v>3414.0</v>
      </c>
      <c r="I272" s="5">
        <v>737990.0</v>
      </c>
      <c r="J272" s="5">
        <v>1177859.0</v>
      </c>
      <c r="K272" s="5">
        <v>123.0</v>
      </c>
      <c r="L272" s="9">
        <v>8187.114541</v>
      </c>
      <c r="M272" s="15">
        <f t="shared" si="1"/>
        <v>66.56190684</v>
      </c>
      <c r="N272" s="16">
        <f t="shared" si="2"/>
        <v>0.002579619495</v>
      </c>
    </row>
    <row r="273">
      <c r="A273" s="5" t="s">
        <v>15</v>
      </c>
      <c r="B273" s="5" t="s">
        <v>42</v>
      </c>
      <c r="C273" s="5" t="s">
        <v>35</v>
      </c>
      <c r="D273" s="6" t="s">
        <v>539</v>
      </c>
      <c r="E273" s="5" t="s">
        <v>46</v>
      </c>
      <c r="F273" s="5" t="s">
        <v>27</v>
      </c>
      <c r="G273" s="5">
        <v>728841.0</v>
      </c>
      <c r="H273" s="5">
        <v>2174.0</v>
      </c>
      <c r="I273" s="5">
        <v>424340.0</v>
      </c>
      <c r="J273" s="5">
        <v>634059.0</v>
      </c>
      <c r="K273" s="5">
        <v>37.0</v>
      </c>
      <c r="L273" s="9">
        <v>8054.141368</v>
      </c>
      <c r="M273" s="15">
        <f t="shared" si="1"/>
        <v>217.6794964</v>
      </c>
      <c r="N273" s="16">
        <f t="shared" si="2"/>
        <v>0.002982817926</v>
      </c>
    </row>
    <row r="274">
      <c r="A274" s="5" t="s">
        <v>22</v>
      </c>
      <c r="B274" s="5" t="s">
        <v>31</v>
      </c>
      <c r="C274" s="5" t="s">
        <v>78</v>
      </c>
      <c r="D274" s="6" t="s">
        <v>539</v>
      </c>
      <c r="E274" s="5" t="s">
        <v>36</v>
      </c>
      <c r="F274" s="5" t="s">
        <v>27</v>
      </c>
      <c r="G274" s="5">
        <v>1010148.0</v>
      </c>
      <c r="H274" s="5">
        <v>2874.0</v>
      </c>
      <c r="I274" s="5">
        <v>699834.0</v>
      </c>
      <c r="J274" s="5">
        <v>955905.0</v>
      </c>
      <c r="K274" s="5">
        <v>31.0</v>
      </c>
      <c r="L274" s="9">
        <v>7788.701621</v>
      </c>
      <c r="M274" s="15">
        <f t="shared" si="1"/>
        <v>251.2484394</v>
      </c>
      <c r="N274" s="16">
        <f t="shared" si="2"/>
        <v>0.002845127645</v>
      </c>
    </row>
    <row r="275">
      <c r="A275" s="5" t="s">
        <v>15</v>
      </c>
      <c r="B275" s="5" t="s">
        <v>42</v>
      </c>
      <c r="C275" s="5" t="s">
        <v>78</v>
      </c>
      <c r="D275" s="6" t="s">
        <v>539</v>
      </c>
      <c r="E275" s="5" t="s">
        <v>46</v>
      </c>
      <c r="F275" s="5" t="s">
        <v>27</v>
      </c>
      <c r="G275" s="5">
        <v>1956642.0</v>
      </c>
      <c r="H275" s="5">
        <v>4563.0</v>
      </c>
      <c r="I275" s="5">
        <v>981461.0</v>
      </c>
      <c r="J275" s="5">
        <v>1731673.0</v>
      </c>
      <c r="K275" s="5">
        <v>106.0</v>
      </c>
      <c r="L275" s="9">
        <v>7730.240616</v>
      </c>
      <c r="M275" s="15">
        <f t="shared" si="1"/>
        <v>72.92679826</v>
      </c>
      <c r="N275" s="16">
        <f t="shared" si="2"/>
        <v>0.002332056656</v>
      </c>
    </row>
    <row r="276">
      <c r="A276" s="5" t="s">
        <v>15</v>
      </c>
      <c r="B276" s="5" t="s">
        <v>31</v>
      </c>
      <c r="C276" s="5" t="s">
        <v>55</v>
      </c>
      <c r="D276" s="6" t="s">
        <v>539</v>
      </c>
      <c r="E276" s="5" t="s">
        <v>19</v>
      </c>
      <c r="F276" s="5" t="s">
        <v>27</v>
      </c>
      <c r="G276" s="5">
        <v>23774.0</v>
      </c>
      <c r="H276" s="5">
        <v>60.0</v>
      </c>
      <c r="I276" s="5">
        <v>10735.0</v>
      </c>
      <c r="J276" s="5">
        <v>21076.0</v>
      </c>
      <c r="K276" s="5">
        <v>24.0</v>
      </c>
      <c r="L276" s="9">
        <v>7657.108034</v>
      </c>
      <c r="M276" s="15">
        <f t="shared" si="1"/>
        <v>319.0461681</v>
      </c>
      <c r="N276" s="16">
        <f t="shared" si="2"/>
        <v>0.002523765458</v>
      </c>
    </row>
    <row r="277">
      <c r="A277" s="5" t="s">
        <v>61</v>
      </c>
      <c r="B277" s="5" t="s">
        <v>31</v>
      </c>
      <c r="C277" s="5" t="s">
        <v>35</v>
      </c>
      <c r="D277" s="6" t="s">
        <v>539</v>
      </c>
      <c r="E277" s="5" t="s">
        <v>36</v>
      </c>
      <c r="F277" s="5" t="s">
        <v>27</v>
      </c>
      <c r="G277" s="5">
        <v>1083050.0</v>
      </c>
      <c r="H277" s="5">
        <v>3984.0</v>
      </c>
      <c r="I277" s="5">
        <v>590156.0</v>
      </c>
      <c r="J277" s="5">
        <v>953556.0</v>
      </c>
      <c r="K277" s="5">
        <v>19.0</v>
      </c>
      <c r="L277" s="9">
        <v>7495.749847</v>
      </c>
      <c r="M277" s="15">
        <f t="shared" si="1"/>
        <v>394.5131498</v>
      </c>
      <c r="N277" s="16">
        <f t="shared" si="2"/>
        <v>0.003678500531</v>
      </c>
    </row>
    <row r="278">
      <c r="A278" s="5" t="s">
        <v>61</v>
      </c>
      <c r="B278" s="5" t="s">
        <v>16</v>
      </c>
      <c r="C278" s="5" t="s">
        <v>78</v>
      </c>
      <c r="D278" s="6" t="s">
        <v>539</v>
      </c>
      <c r="E278" s="5" t="s">
        <v>19</v>
      </c>
      <c r="F278" s="5" t="s">
        <v>27</v>
      </c>
      <c r="G278" s="5">
        <v>184622.0</v>
      </c>
      <c r="H278" s="5">
        <v>180.0</v>
      </c>
      <c r="I278" s="5">
        <v>98938.0</v>
      </c>
      <c r="J278" s="5">
        <v>161848.0</v>
      </c>
      <c r="K278" s="5">
        <v>13.0</v>
      </c>
      <c r="L278" s="9">
        <v>7149.816075</v>
      </c>
      <c r="M278" s="15">
        <f t="shared" si="1"/>
        <v>549.9858519</v>
      </c>
      <c r="N278" s="16">
        <f t="shared" si="2"/>
        <v>0.0009749650638</v>
      </c>
    </row>
    <row r="279">
      <c r="A279" s="5" t="s">
        <v>22</v>
      </c>
      <c r="B279" s="5" t="s">
        <v>31</v>
      </c>
      <c r="C279" s="5" t="s">
        <v>35</v>
      </c>
      <c r="D279" s="6" t="s">
        <v>539</v>
      </c>
      <c r="E279" s="5" t="s">
        <v>50</v>
      </c>
      <c r="F279" s="5" t="s">
        <v>27</v>
      </c>
      <c r="G279" s="5">
        <v>742281.0</v>
      </c>
      <c r="H279" s="5">
        <v>1999.0</v>
      </c>
      <c r="I279" s="5">
        <v>432673.0</v>
      </c>
      <c r="J279" s="5">
        <v>642404.0</v>
      </c>
      <c r="K279" s="5">
        <v>11.0</v>
      </c>
      <c r="L279" s="9">
        <v>6024.422487</v>
      </c>
      <c r="M279" s="15">
        <f t="shared" si="1"/>
        <v>547.6747715</v>
      </c>
      <c r="N279" s="16">
        <f t="shared" si="2"/>
        <v>0.002693050206</v>
      </c>
    </row>
    <row r="280">
      <c r="A280" s="5" t="s">
        <v>15</v>
      </c>
      <c r="B280" s="5" t="s">
        <v>16</v>
      </c>
      <c r="C280" s="5" t="s">
        <v>17</v>
      </c>
      <c r="D280" s="6" t="s">
        <v>539</v>
      </c>
      <c r="E280" s="5" t="s">
        <v>26</v>
      </c>
      <c r="F280" s="5" t="s">
        <v>27</v>
      </c>
      <c r="G280" s="5">
        <v>1720462.0</v>
      </c>
      <c r="H280" s="5">
        <v>4865.0</v>
      </c>
      <c r="I280" s="5">
        <v>940296.0</v>
      </c>
      <c r="J280" s="5">
        <v>1516537.0</v>
      </c>
      <c r="K280" s="5">
        <v>20.0</v>
      </c>
      <c r="L280" s="9">
        <v>5906.464967</v>
      </c>
      <c r="M280" s="15">
        <f t="shared" si="1"/>
        <v>295.3232484</v>
      </c>
      <c r="N280" s="16">
        <f t="shared" si="2"/>
        <v>0.002827728831</v>
      </c>
    </row>
    <row r="281">
      <c r="A281" s="5" t="s">
        <v>15</v>
      </c>
      <c r="B281" s="5" t="s">
        <v>16</v>
      </c>
      <c r="C281" s="5" t="s">
        <v>45</v>
      </c>
      <c r="D281" s="6" t="s">
        <v>539</v>
      </c>
      <c r="E281" s="5" t="s">
        <v>19</v>
      </c>
      <c r="F281" s="5" t="s">
        <v>27</v>
      </c>
      <c r="G281" s="5">
        <v>766674.0</v>
      </c>
      <c r="H281" s="5">
        <v>1984.0</v>
      </c>
      <c r="I281" s="5">
        <v>344201.0</v>
      </c>
      <c r="J281" s="5">
        <v>720606.0</v>
      </c>
      <c r="K281" s="5">
        <v>17.0</v>
      </c>
      <c r="L281" s="9">
        <v>5816.234619</v>
      </c>
      <c r="M281" s="15">
        <f t="shared" si="1"/>
        <v>342.1314482</v>
      </c>
      <c r="N281" s="16">
        <f t="shared" si="2"/>
        <v>0.002587801334</v>
      </c>
    </row>
    <row r="282">
      <c r="A282" s="5" t="s">
        <v>15</v>
      </c>
      <c r="B282" s="5" t="s">
        <v>23</v>
      </c>
      <c r="C282" s="5" t="s">
        <v>131</v>
      </c>
      <c r="D282" s="6" t="s">
        <v>539</v>
      </c>
      <c r="E282" s="5" t="s">
        <v>19</v>
      </c>
      <c r="F282" s="5" t="s">
        <v>27</v>
      </c>
      <c r="G282" s="5">
        <v>14730.0</v>
      </c>
      <c r="H282" s="5">
        <v>86.0</v>
      </c>
      <c r="I282" s="5">
        <v>6410.0</v>
      </c>
      <c r="J282" s="5">
        <v>10860.0</v>
      </c>
      <c r="K282" s="5">
        <v>6.0</v>
      </c>
      <c r="L282" s="9">
        <v>5287.567528</v>
      </c>
      <c r="M282" s="15">
        <f t="shared" si="1"/>
        <v>881.2612547</v>
      </c>
      <c r="N282" s="16">
        <f t="shared" si="2"/>
        <v>0.005838424983</v>
      </c>
    </row>
    <row r="283">
      <c r="A283" s="5" t="s">
        <v>22</v>
      </c>
      <c r="B283" s="5" t="s">
        <v>42</v>
      </c>
      <c r="C283" s="5" t="s">
        <v>1095</v>
      </c>
      <c r="D283" s="6" t="s">
        <v>539</v>
      </c>
      <c r="E283" s="5" t="s">
        <v>26</v>
      </c>
      <c r="F283" s="5" t="s">
        <v>27</v>
      </c>
      <c r="G283" s="5">
        <v>207685.0</v>
      </c>
      <c r="H283" s="5">
        <v>512.0</v>
      </c>
      <c r="I283" s="5">
        <v>20134.0</v>
      </c>
      <c r="J283" s="5">
        <v>30708.0</v>
      </c>
      <c r="K283" s="5">
        <v>34.0</v>
      </c>
      <c r="L283" s="9">
        <v>5239.204787</v>
      </c>
      <c r="M283" s="15">
        <f t="shared" si="1"/>
        <v>154.0942584</v>
      </c>
      <c r="N283" s="16">
        <f t="shared" si="2"/>
        <v>0.002465271926</v>
      </c>
    </row>
    <row r="284">
      <c r="A284" s="5" t="s">
        <v>15</v>
      </c>
      <c r="B284" s="5" t="s">
        <v>23</v>
      </c>
      <c r="C284" s="5" t="s">
        <v>17</v>
      </c>
      <c r="D284" s="6" t="s">
        <v>539</v>
      </c>
      <c r="E284" s="5" t="s">
        <v>80</v>
      </c>
      <c r="F284" s="5" t="s">
        <v>27</v>
      </c>
      <c r="G284" s="5">
        <v>908899.0</v>
      </c>
      <c r="H284" s="5">
        <v>1984.0</v>
      </c>
      <c r="I284" s="5">
        <v>644697.0</v>
      </c>
      <c r="J284" s="5">
        <v>853964.0</v>
      </c>
      <c r="K284" s="5">
        <v>32.0</v>
      </c>
      <c r="L284" s="9">
        <v>5181.087383</v>
      </c>
      <c r="M284" s="15">
        <f t="shared" si="1"/>
        <v>161.9089807</v>
      </c>
      <c r="N284" s="16">
        <f t="shared" si="2"/>
        <v>0.002182860802</v>
      </c>
    </row>
    <row r="285">
      <c r="A285" s="5" t="s">
        <v>15</v>
      </c>
      <c r="B285" s="5" t="s">
        <v>31</v>
      </c>
      <c r="C285" s="5" t="s">
        <v>35</v>
      </c>
      <c r="D285" s="6" t="s">
        <v>539</v>
      </c>
      <c r="E285" s="5" t="s">
        <v>19</v>
      </c>
      <c r="F285" s="5" t="s">
        <v>27</v>
      </c>
      <c r="G285" s="5">
        <v>470192.0</v>
      </c>
      <c r="H285" s="5">
        <v>940.0</v>
      </c>
      <c r="I285" s="5">
        <v>336480.0</v>
      </c>
      <c r="J285" s="5">
        <v>443202.0</v>
      </c>
      <c r="K285" s="5">
        <v>3.0</v>
      </c>
      <c r="L285" s="9">
        <v>4963.966251</v>
      </c>
      <c r="M285" s="15">
        <f t="shared" si="1"/>
        <v>1654.655417</v>
      </c>
      <c r="N285" s="16">
        <f t="shared" si="2"/>
        <v>0.001999183312</v>
      </c>
    </row>
    <row r="286">
      <c r="A286" s="5" t="s">
        <v>22</v>
      </c>
      <c r="B286" s="5" t="s">
        <v>31</v>
      </c>
      <c r="C286" s="5" t="s">
        <v>78</v>
      </c>
      <c r="D286" s="6" t="s">
        <v>539</v>
      </c>
      <c r="E286" s="5" t="s">
        <v>26</v>
      </c>
      <c r="F286" s="5" t="s">
        <v>27</v>
      </c>
      <c r="G286" s="5">
        <v>65257.0</v>
      </c>
      <c r="H286" s="5">
        <v>201.0</v>
      </c>
      <c r="I286" s="5">
        <v>12749.0</v>
      </c>
      <c r="J286" s="5">
        <v>19274.0</v>
      </c>
      <c r="K286" s="5">
        <v>3.0</v>
      </c>
      <c r="L286" s="9">
        <v>2468.135837</v>
      </c>
      <c r="M286" s="15">
        <f t="shared" si="1"/>
        <v>822.7119457</v>
      </c>
      <c r="N286" s="16">
        <f t="shared" si="2"/>
        <v>0.003080129335</v>
      </c>
    </row>
    <row r="287">
      <c r="A287" s="5" t="s">
        <v>22</v>
      </c>
      <c r="B287" s="5" t="s">
        <v>23</v>
      </c>
      <c r="C287" s="5" t="s">
        <v>66</v>
      </c>
      <c r="D287" s="6" t="s">
        <v>539</v>
      </c>
      <c r="E287" s="5" t="s">
        <v>19</v>
      </c>
      <c r="F287" s="5" t="s">
        <v>27</v>
      </c>
      <c r="G287" s="5">
        <v>31003.0</v>
      </c>
      <c r="H287" s="5">
        <v>87.0</v>
      </c>
      <c r="I287" s="5">
        <v>12591.0</v>
      </c>
      <c r="J287" s="5">
        <v>22656.0</v>
      </c>
      <c r="K287" s="5">
        <v>8.0</v>
      </c>
      <c r="L287" s="9">
        <v>2294.003778</v>
      </c>
      <c r="M287" s="15">
        <f t="shared" si="1"/>
        <v>286.7504723</v>
      </c>
      <c r="N287" s="16">
        <f t="shared" si="2"/>
        <v>0.002806180047</v>
      </c>
    </row>
    <row r="288">
      <c r="A288" s="5" t="s">
        <v>15</v>
      </c>
      <c r="B288" s="5" t="s">
        <v>31</v>
      </c>
      <c r="C288" s="5" t="s">
        <v>55</v>
      </c>
      <c r="D288" s="6" t="s">
        <v>539</v>
      </c>
      <c r="E288" s="5" t="s">
        <v>19</v>
      </c>
      <c r="F288" s="5" t="s">
        <v>27</v>
      </c>
      <c r="G288" s="5">
        <v>12988.0</v>
      </c>
      <c r="H288" s="5">
        <v>69.0</v>
      </c>
      <c r="I288" s="5">
        <v>6514.0</v>
      </c>
      <c r="J288" s="5">
        <v>9378.0</v>
      </c>
      <c r="K288" s="5">
        <v>4.0</v>
      </c>
      <c r="L288" s="9">
        <v>2236.485099</v>
      </c>
      <c r="M288" s="15">
        <f t="shared" si="1"/>
        <v>559.1212748</v>
      </c>
      <c r="N288" s="16">
        <f t="shared" si="2"/>
        <v>0.005312596243</v>
      </c>
    </row>
    <row r="289">
      <c r="A289" s="5" t="s">
        <v>61</v>
      </c>
      <c r="B289" s="5" t="s">
        <v>23</v>
      </c>
      <c r="C289" s="5" t="s">
        <v>35</v>
      </c>
      <c r="D289" s="6" t="s">
        <v>539</v>
      </c>
      <c r="E289" s="5" t="s">
        <v>19</v>
      </c>
      <c r="F289" s="5" t="s">
        <v>27</v>
      </c>
      <c r="G289" s="5">
        <v>562103.0</v>
      </c>
      <c r="H289" s="5">
        <v>1450.0</v>
      </c>
      <c r="I289" s="5">
        <v>340616.0</v>
      </c>
      <c r="J289" s="5">
        <v>488921.0</v>
      </c>
      <c r="K289" s="5">
        <v>8.0</v>
      </c>
      <c r="L289" s="9">
        <v>1733.830172</v>
      </c>
      <c r="M289" s="15">
        <f t="shared" si="1"/>
        <v>216.7287715</v>
      </c>
      <c r="N289" s="16">
        <f t="shared" si="2"/>
        <v>0.002579598401</v>
      </c>
    </row>
    <row r="290">
      <c r="A290" s="5" t="s">
        <v>22</v>
      </c>
      <c r="B290" s="5" t="s">
        <v>23</v>
      </c>
      <c r="C290" s="5" t="s">
        <v>29</v>
      </c>
      <c r="D290" s="6" t="s">
        <v>539</v>
      </c>
      <c r="E290" s="5" t="s">
        <v>19</v>
      </c>
      <c r="F290" s="5" t="s">
        <v>27</v>
      </c>
      <c r="G290" s="5">
        <v>780475.0</v>
      </c>
      <c r="H290" s="5">
        <v>2186.0</v>
      </c>
      <c r="I290" s="5">
        <v>453974.0</v>
      </c>
      <c r="J290" s="5">
        <v>691696.0</v>
      </c>
      <c r="K290" s="5">
        <v>11.0</v>
      </c>
      <c r="L290" s="9">
        <v>1726.249457</v>
      </c>
      <c r="M290" s="15">
        <f t="shared" si="1"/>
        <v>156.9317688</v>
      </c>
      <c r="N290" s="16">
        <f t="shared" si="2"/>
        <v>0.002800858452</v>
      </c>
    </row>
    <row r="291">
      <c r="A291" s="5" t="s">
        <v>15</v>
      </c>
      <c r="B291" s="5" t="s">
        <v>16</v>
      </c>
      <c r="C291" s="5" t="s">
        <v>78</v>
      </c>
      <c r="D291" s="6" t="s">
        <v>539</v>
      </c>
      <c r="E291" s="5" t="s">
        <v>46</v>
      </c>
      <c r="F291" s="5" t="s">
        <v>27</v>
      </c>
      <c r="G291" s="5">
        <v>7540.0</v>
      </c>
      <c r="H291" s="5">
        <v>10.0</v>
      </c>
      <c r="I291" s="5">
        <v>1475.0</v>
      </c>
      <c r="J291" s="5">
        <v>2054.0</v>
      </c>
      <c r="K291" s="5">
        <v>1.0</v>
      </c>
      <c r="L291" s="9">
        <v>1713.978863</v>
      </c>
      <c r="M291" s="15">
        <f t="shared" si="1"/>
        <v>1713.978863</v>
      </c>
      <c r="N291" s="16">
        <f t="shared" si="2"/>
        <v>0.001326259947</v>
      </c>
    </row>
    <row r="292">
      <c r="A292" s="5" t="s">
        <v>15</v>
      </c>
      <c r="B292" s="5" t="s">
        <v>23</v>
      </c>
      <c r="C292" s="5" t="s">
        <v>39</v>
      </c>
      <c r="D292" s="6" t="s">
        <v>539</v>
      </c>
      <c r="E292" s="5" t="s">
        <v>19</v>
      </c>
      <c r="F292" s="5" t="s">
        <v>27</v>
      </c>
      <c r="G292" s="5">
        <v>482834.0</v>
      </c>
      <c r="H292" s="5">
        <v>1269.0</v>
      </c>
      <c r="I292" s="5">
        <v>292059.0</v>
      </c>
      <c r="J292" s="5">
        <v>428761.0</v>
      </c>
      <c r="K292" s="5">
        <v>7.0</v>
      </c>
      <c r="L292" s="9">
        <v>1594.463397</v>
      </c>
      <c r="M292" s="15">
        <f t="shared" si="1"/>
        <v>227.7804853</v>
      </c>
      <c r="N292" s="16">
        <f t="shared" si="2"/>
        <v>0.002628232477</v>
      </c>
    </row>
    <row r="293">
      <c r="A293" s="5" t="s">
        <v>15</v>
      </c>
      <c r="B293" s="5" t="s">
        <v>16</v>
      </c>
      <c r="C293" s="5" t="s">
        <v>39</v>
      </c>
      <c r="D293" s="6" t="s">
        <v>539</v>
      </c>
      <c r="E293" s="5" t="s">
        <v>117</v>
      </c>
      <c r="F293" s="5" t="s">
        <v>27</v>
      </c>
      <c r="G293" s="5">
        <v>19464.0</v>
      </c>
      <c r="H293" s="5">
        <v>68.0</v>
      </c>
      <c r="I293" s="5">
        <v>11814.0</v>
      </c>
      <c r="J293" s="5">
        <v>17040.0</v>
      </c>
      <c r="K293" s="5">
        <v>9.0</v>
      </c>
      <c r="L293" s="9">
        <v>1540.46935</v>
      </c>
      <c r="M293" s="15">
        <f t="shared" si="1"/>
        <v>171.1632611</v>
      </c>
      <c r="N293" s="16">
        <f t="shared" si="2"/>
        <v>0.003493629264</v>
      </c>
    </row>
    <row r="294">
      <c r="A294" s="5" t="s">
        <v>22</v>
      </c>
      <c r="B294" s="5" t="s">
        <v>16</v>
      </c>
      <c r="C294" s="5" t="s">
        <v>17</v>
      </c>
      <c r="D294" s="6" t="s">
        <v>539</v>
      </c>
      <c r="E294" s="5" t="s">
        <v>26</v>
      </c>
      <c r="F294" s="5" t="s">
        <v>27</v>
      </c>
      <c r="G294" s="5">
        <v>50838.0</v>
      </c>
      <c r="H294" s="5">
        <v>130.0</v>
      </c>
      <c r="I294" s="5">
        <v>23274.0</v>
      </c>
      <c r="J294" s="5">
        <v>35934.0</v>
      </c>
      <c r="K294" s="5">
        <v>11.0</v>
      </c>
      <c r="L294" s="9">
        <v>1521.372273</v>
      </c>
      <c r="M294" s="15">
        <f t="shared" si="1"/>
        <v>138.3065703</v>
      </c>
      <c r="N294" s="16">
        <f t="shared" si="2"/>
        <v>0.002557142295</v>
      </c>
    </row>
    <row r="295">
      <c r="A295" s="5" t="s">
        <v>15</v>
      </c>
      <c r="B295" s="5" t="s">
        <v>23</v>
      </c>
      <c r="C295" s="5" t="s">
        <v>55</v>
      </c>
      <c r="D295" s="6" t="s">
        <v>539</v>
      </c>
      <c r="E295" s="5" t="s">
        <v>136</v>
      </c>
      <c r="F295" s="5" t="s">
        <v>27</v>
      </c>
      <c r="G295" s="5">
        <v>679098.0</v>
      </c>
      <c r="H295" s="5">
        <v>1984.0</v>
      </c>
      <c r="I295" s="5">
        <v>467726.0</v>
      </c>
      <c r="J295" s="5">
        <v>634589.0</v>
      </c>
      <c r="K295" s="5">
        <v>9.0</v>
      </c>
      <c r="L295" s="9">
        <v>1477.424856</v>
      </c>
      <c r="M295" s="15">
        <f t="shared" si="1"/>
        <v>164.1583173</v>
      </c>
      <c r="N295" s="16">
        <f t="shared" si="2"/>
        <v>0.002921522372</v>
      </c>
    </row>
    <row r="296">
      <c r="A296" s="5" t="s">
        <v>61</v>
      </c>
      <c r="B296" s="5" t="s">
        <v>23</v>
      </c>
      <c r="C296" s="5" t="s">
        <v>78</v>
      </c>
      <c r="D296" s="6" t="s">
        <v>565</v>
      </c>
      <c r="E296" s="5" t="s">
        <v>117</v>
      </c>
      <c r="F296" s="5" t="s">
        <v>27</v>
      </c>
      <c r="G296" s="5">
        <v>11734.0</v>
      </c>
      <c r="H296" s="5">
        <v>78.0</v>
      </c>
      <c r="I296" s="5">
        <v>8741.0</v>
      </c>
      <c r="J296" s="5">
        <v>10606.0</v>
      </c>
      <c r="K296" s="5">
        <v>5.0</v>
      </c>
      <c r="L296" s="9">
        <v>6439.283498</v>
      </c>
      <c r="M296" s="15">
        <f t="shared" si="1"/>
        <v>1287.8567</v>
      </c>
      <c r="N296" s="16">
        <f t="shared" si="2"/>
        <v>0.006647349582</v>
      </c>
    </row>
    <row r="297">
      <c r="A297" s="5" t="s">
        <v>22</v>
      </c>
      <c r="B297" s="5" t="s">
        <v>23</v>
      </c>
      <c r="C297" s="5" t="s">
        <v>147</v>
      </c>
      <c r="D297" s="6" t="s">
        <v>565</v>
      </c>
      <c r="E297" s="5" t="s">
        <v>36</v>
      </c>
      <c r="F297" s="5" t="s">
        <v>27</v>
      </c>
      <c r="G297" s="5">
        <v>27371.0</v>
      </c>
      <c r="H297" s="5">
        <v>60.0</v>
      </c>
      <c r="I297" s="5">
        <v>22256.0</v>
      </c>
      <c r="J297" s="5">
        <v>25986.0</v>
      </c>
      <c r="K297" s="5">
        <v>5.0</v>
      </c>
      <c r="L297" s="9">
        <v>4984.485583</v>
      </c>
      <c r="M297" s="15">
        <f t="shared" si="1"/>
        <v>996.8971166</v>
      </c>
      <c r="N297" s="16">
        <f t="shared" si="2"/>
        <v>0.002192101129</v>
      </c>
    </row>
    <row r="298">
      <c r="A298" s="5" t="s">
        <v>22</v>
      </c>
      <c r="B298" s="5" t="s">
        <v>23</v>
      </c>
      <c r="C298" s="5" t="s">
        <v>84</v>
      </c>
      <c r="D298" s="6" t="s">
        <v>565</v>
      </c>
      <c r="E298" s="5" t="s">
        <v>117</v>
      </c>
      <c r="F298" s="5" t="s">
        <v>27</v>
      </c>
      <c r="G298" s="5">
        <v>21903.0</v>
      </c>
      <c r="H298" s="5">
        <v>124.0</v>
      </c>
      <c r="I298" s="5">
        <v>18831.0</v>
      </c>
      <c r="J298" s="5">
        <v>20922.0</v>
      </c>
      <c r="K298" s="5">
        <v>4.0</v>
      </c>
      <c r="L298" s="9">
        <v>1661.167909</v>
      </c>
      <c r="M298" s="15">
        <f t="shared" si="1"/>
        <v>415.2919773</v>
      </c>
      <c r="N298" s="16">
        <f t="shared" si="2"/>
        <v>0.005661324933</v>
      </c>
    </row>
    <row r="299">
      <c r="A299" s="5" t="s">
        <v>15</v>
      </c>
      <c r="B299" s="5" t="s">
        <v>16</v>
      </c>
      <c r="C299" s="5" t="s">
        <v>35</v>
      </c>
      <c r="D299" s="6" t="s">
        <v>569</v>
      </c>
      <c r="E299" s="5" t="s">
        <v>184</v>
      </c>
      <c r="F299" s="5" t="s">
        <v>27</v>
      </c>
      <c r="G299" s="5">
        <v>9725.0</v>
      </c>
      <c r="H299" s="5">
        <v>80.0</v>
      </c>
      <c r="I299" s="5">
        <v>6616.0</v>
      </c>
      <c r="J299" s="5">
        <v>8778.0</v>
      </c>
      <c r="K299" s="5">
        <v>1.0</v>
      </c>
      <c r="L299" s="9">
        <v>4942.283987</v>
      </c>
      <c r="M299" s="15">
        <f t="shared" si="1"/>
        <v>4942.283987</v>
      </c>
      <c r="N299" s="16">
        <f t="shared" si="2"/>
        <v>0.00822622108</v>
      </c>
    </row>
    <row r="300">
      <c r="A300" s="5" t="s">
        <v>22</v>
      </c>
      <c r="B300" s="5" t="s">
        <v>23</v>
      </c>
      <c r="C300" s="5" t="s">
        <v>35</v>
      </c>
      <c r="D300" s="6" t="s">
        <v>569</v>
      </c>
      <c r="E300" s="5" t="s">
        <v>19</v>
      </c>
      <c r="F300" s="5" t="s">
        <v>27</v>
      </c>
      <c r="G300" s="5">
        <v>45965.0</v>
      </c>
      <c r="H300" s="5">
        <v>190.0</v>
      </c>
      <c r="I300" s="5">
        <v>10028.0</v>
      </c>
      <c r="J300" s="5">
        <v>37295.0</v>
      </c>
      <c r="K300" s="5">
        <v>1.0</v>
      </c>
      <c r="L300" s="9">
        <v>4718.836114</v>
      </c>
      <c r="M300" s="15">
        <f t="shared" si="1"/>
        <v>4718.836114</v>
      </c>
      <c r="N300" s="16">
        <f t="shared" si="2"/>
        <v>0.004133579898</v>
      </c>
    </row>
    <row r="301">
      <c r="A301" s="5" t="s">
        <v>15</v>
      </c>
      <c r="B301" s="5" t="s">
        <v>31</v>
      </c>
      <c r="C301" s="5" t="s">
        <v>17</v>
      </c>
      <c r="D301" s="6" t="s">
        <v>572</v>
      </c>
      <c r="E301" s="5" t="s">
        <v>19</v>
      </c>
      <c r="F301" s="5" t="s">
        <v>27</v>
      </c>
      <c r="G301" s="5">
        <v>8944.0</v>
      </c>
      <c r="H301" s="5">
        <v>45.0</v>
      </c>
      <c r="I301" s="5">
        <v>3002.0</v>
      </c>
      <c r="J301" s="5">
        <v>6361.0</v>
      </c>
      <c r="K301" s="5">
        <v>6.0</v>
      </c>
      <c r="L301" s="9">
        <v>1755.484542</v>
      </c>
      <c r="M301" s="15">
        <f t="shared" si="1"/>
        <v>292.580757</v>
      </c>
      <c r="N301" s="16">
        <f t="shared" si="2"/>
        <v>0.005031305903</v>
      </c>
    </row>
    <row r="302">
      <c r="A302" s="5" t="s">
        <v>15</v>
      </c>
      <c r="B302" s="5" t="s">
        <v>42</v>
      </c>
      <c r="C302" s="5" t="s">
        <v>29</v>
      </c>
      <c r="D302" s="6" t="s">
        <v>574</v>
      </c>
      <c r="E302" s="5" t="s">
        <v>117</v>
      </c>
      <c r="F302" s="5" t="s">
        <v>27</v>
      </c>
      <c r="G302" s="5">
        <v>14398.0</v>
      </c>
      <c r="H302" s="5">
        <v>30.0</v>
      </c>
      <c r="I302" s="5">
        <v>2807.0</v>
      </c>
      <c r="J302" s="5">
        <v>13393.0</v>
      </c>
      <c r="K302" s="5">
        <v>7.0</v>
      </c>
      <c r="L302" s="9">
        <v>5154.644555</v>
      </c>
      <c r="M302" s="15">
        <f t="shared" si="1"/>
        <v>736.3777936</v>
      </c>
      <c r="N302" s="16">
        <f t="shared" si="2"/>
        <v>0.002083622725</v>
      </c>
    </row>
    <row r="303">
      <c r="A303" s="5" t="s">
        <v>22</v>
      </c>
      <c r="B303" s="5" t="s">
        <v>23</v>
      </c>
      <c r="C303" s="5" t="s">
        <v>214</v>
      </c>
      <c r="D303" s="6" t="s">
        <v>576</v>
      </c>
      <c r="E303" s="5" t="s">
        <v>50</v>
      </c>
      <c r="F303" s="5" t="s">
        <v>27</v>
      </c>
      <c r="G303" s="5">
        <v>117879.0</v>
      </c>
      <c r="H303" s="5">
        <v>390.0</v>
      </c>
      <c r="I303" s="5">
        <v>52098.0</v>
      </c>
      <c r="J303" s="5">
        <v>86127.0</v>
      </c>
      <c r="K303" s="5">
        <v>1.0</v>
      </c>
      <c r="L303" s="9">
        <v>5102.706729</v>
      </c>
      <c r="M303" s="15">
        <f t="shared" si="1"/>
        <v>5102.706729</v>
      </c>
      <c r="N303" s="16">
        <f t="shared" si="2"/>
        <v>0.003308477337</v>
      </c>
    </row>
    <row r="304">
      <c r="A304" s="5" t="s">
        <v>15</v>
      </c>
      <c r="B304" s="5" t="s">
        <v>31</v>
      </c>
      <c r="C304" s="5" t="s">
        <v>32</v>
      </c>
      <c r="D304" s="6" t="s">
        <v>578</v>
      </c>
      <c r="E304" s="5" t="s">
        <v>19</v>
      </c>
      <c r="F304" s="5" t="s">
        <v>27</v>
      </c>
      <c r="G304" s="5">
        <v>22444.0</v>
      </c>
      <c r="H304" s="5">
        <v>160.0</v>
      </c>
      <c r="I304" s="5">
        <v>12672.0</v>
      </c>
      <c r="J304" s="5">
        <v>21345.0</v>
      </c>
      <c r="K304" s="5">
        <v>5.0</v>
      </c>
      <c r="L304" s="9">
        <v>2539.200563</v>
      </c>
      <c r="M304" s="15">
        <f t="shared" si="1"/>
        <v>507.8401126</v>
      </c>
      <c r="N304" s="16">
        <f t="shared" si="2"/>
        <v>0.007128854037</v>
      </c>
    </row>
    <row r="305">
      <c r="A305" s="5" t="s">
        <v>22</v>
      </c>
      <c r="B305" s="5" t="s">
        <v>23</v>
      </c>
      <c r="C305" s="5" t="s">
        <v>35</v>
      </c>
      <c r="D305" s="6" t="s">
        <v>578</v>
      </c>
      <c r="E305" s="5" t="s">
        <v>36</v>
      </c>
      <c r="F305" s="5" t="s">
        <v>27</v>
      </c>
      <c r="G305" s="5">
        <v>9881.0</v>
      </c>
      <c r="H305" s="5">
        <v>15.0</v>
      </c>
      <c r="I305" s="5">
        <v>2344.0</v>
      </c>
      <c r="J305" s="5">
        <v>7324.0</v>
      </c>
      <c r="K305" s="5">
        <v>1.0</v>
      </c>
      <c r="L305" s="9">
        <v>1505.01155</v>
      </c>
      <c r="M305" s="15">
        <f t="shared" si="1"/>
        <v>1505.01155</v>
      </c>
      <c r="N305" s="16">
        <f t="shared" si="2"/>
        <v>0.001518064973</v>
      </c>
    </row>
    <row r="306">
      <c r="A306" s="5" t="s">
        <v>22</v>
      </c>
      <c r="B306" s="5" t="s">
        <v>23</v>
      </c>
      <c r="C306" s="5" t="s">
        <v>273</v>
      </c>
      <c r="D306" s="6" t="s">
        <v>582</v>
      </c>
      <c r="E306" s="5" t="s">
        <v>167</v>
      </c>
      <c r="F306" s="5" t="s">
        <v>27</v>
      </c>
      <c r="G306" s="5">
        <v>12148.0</v>
      </c>
      <c r="H306" s="5">
        <v>40.0</v>
      </c>
      <c r="I306" s="5">
        <v>7950.0</v>
      </c>
      <c r="J306" s="5">
        <v>11360.0</v>
      </c>
      <c r="K306" s="5">
        <v>9.0</v>
      </c>
      <c r="L306" s="9">
        <v>1936.008049</v>
      </c>
      <c r="M306" s="15">
        <f t="shared" si="1"/>
        <v>215.1120054</v>
      </c>
      <c r="N306" s="16">
        <f t="shared" si="2"/>
        <v>0.003292723082</v>
      </c>
    </row>
    <row r="307">
      <c r="A307" s="5" t="s">
        <v>22</v>
      </c>
      <c r="B307" s="5" t="s">
        <v>23</v>
      </c>
      <c r="C307" s="5" t="s">
        <v>29</v>
      </c>
      <c r="D307" s="6" t="s">
        <v>584</v>
      </c>
      <c r="E307" s="5" t="s">
        <v>19</v>
      </c>
      <c r="F307" s="5" t="s">
        <v>27</v>
      </c>
      <c r="G307" s="5">
        <v>18771.0</v>
      </c>
      <c r="H307" s="5">
        <v>69.0</v>
      </c>
      <c r="I307" s="5">
        <v>10871.0</v>
      </c>
      <c r="J307" s="5">
        <v>17138.0</v>
      </c>
      <c r="K307" s="5">
        <v>6.0</v>
      </c>
      <c r="L307" s="9">
        <v>3827.366381</v>
      </c>
      <c r="M307" s="15">
        <f t="shared" si="1"/>
        <v>637.8943968</v>
      </c>
      <c r="N307" s="16">
        <f t="shared" si="2"/>
        <v>0.003675883011</v>
      </c>
    </row>
    <row r="308">
      <c r="A308" s="5" t="s">
        <v>15</v>
      </c>
      <c r="B308" s="5" t="s">
        <v>23</v>
      </c>
      <c r="C308" s="5" t="s">
        <v>39</v>
      </c>
      <c r="D308" s="6" t="s">
        <v>584</v>
      </c>
      <c r="E308" s="5" t="s">
        <v>46</v>
      </c>
      <c r="F308" s="5" t="s">
        <v>27</v>
      </c>
      <c r="G308" s="5">
        <v>7402.0</v>
      </c>
      <c r="H308" s="5">
        <v>9.0</v>
      </c>
      <c r="I308" s="5">
        <v>3860.0</v>
      </c>
      <c r="J308" s="5">
        <v>6406.0</v>
      </c>
      <c r="K308" s="5">
        <v>1.0</v>
      </c>
      <c r="L308" s="9">
        <v>1560.449936</v>
      </c>
      <c r="M308" s="15">
        <f t="shared" si="1"/>
        <v>1560.449936</v>
      </c>
      <c r="N308" s="16">
        <f t="shared" si="2"/>
        <v>0.001215887598</v>
      </c>
    </row>
    <row r="309">
      <c r="A309" s="5" t="s">
        <v>22</v>
      </c>
      <c r="B309" s="5" t="s">
        <v>23</v>
      </c>
      <c r="C309" s="5" t="s">
        <v>35</v>
      </c>
      <c r="D309" s="6" t="s">
        <v>587</v>
      </c>
      <c r="E309" s="5" t="s">
        <v>19</v>
      </c>
      <c r="F309" s="5" t="s">
        <v>27</v>
      </c>
      <c r="G309" s="5">
        <v>38735.0</v>
      </c>
      <c r="H309" s="5">
        <v>114.0</v>
      </c>
      <c r="I309" s="5">
        <v>28719.0</v>
      </c>
      <c r="J309" s="5">
        <v>36629.0</v>
      </c>
      <c r="K309" s="5">
        <v>4.0</v>
      </c>
      <c r="L309" s="9">
        <v>2127.824066</v>
      </c>
      <c r="M309" s="15">
        <f t="shared" si="1"/>
        <v>531.9560165</v>
      </c>
      <c r="N309" s="16">
        <f t="shared" si="2"/>
        <v>0.002943074739</v>
      </c>
    </row>
    <row r="310">
      <c r="A310" s="5" t="s">
        <v>22</v>
      </c>
      <c r="B310" s="5" t="s">
        <v>42</v>
      </c>
      <c r="C310" s="5" t="s">
        <v>55</v>
      </c>
      <c r="D310" s="6" t="s">
        <v>587</v>
      </c>
      <c r="E310" s="5" t="s">
        <v>1046</v>
      </c>
      <c r="F310" s="5" t="s">
        <v>27</v>
      </c>
      <c r="G310" s="5">
        <v>7320.0</v>
      </c>
      <c r="H310" s="5">
        <v>33.0</v>
      </c>
      <c r="I310" s="5">
        <v>4020.0</v>
      </c>
      <c r="J310" s="5">
        <v>6692.0</v>
      </c>
      <c r="K310" s="5">
        <v>15.0</v>
      </c>
      <c r="L310" s="9">
        <v>1730.37357</v>
      </c>
      <c r="M310" s="15">
        <f t="shared" si="1"/>
        <v>115.358238</v>
      </c>
      <c r="N310" s="16">
        <f t="shared" si="2"/>
        <v>0.004508196721</v>
      </c>
    </row>
    <row r="311">
      <c r="A311" s="5" t="s">
        <v>22</v>
      </c>
      <c r="B311" s="5" t="s">
        <v>42</v>
      </c>
      <c r="C311" s="5" t="s">
        <v>356</v>
      </c>
      <c r="D311" s="6" t="s">
        <v>590</v>
      </c>
      <c r="E311" s="5" t="s">
        <v>26</v>
      </c>
      <c r="F311" s="5" t="s">
        <v>27</v>
      </c>
      <c r="G311" s="5">
        <v>90463.0</v>
      </c>
      <c r="H311" s="5">
        <v>204.0</v>
      </c>
      <c r="I311" s="5">
        <v>803.0</v>
      </c>
      <c r="J311" s="5">
        <v>2465.0</v>
      </c>
      <c r="K311" s="5">
        <v>9.0</v>
      </c>
      <c r="L311" s="9">
        <v>6120.602514</v>
      </c>
      <c r="M311" s="15">
        <f t="shared" si="1"/>
        <v>680.066946</v>
      </c>
      <c r="N311" s="16">
        <f t="shared" si="2"/>
        <v>0.002255065607</v>
      </c>
    </row>
    <row r="312">
      <c r="A312" s="5" t="s">
        <v>22</v>
      </c>
      <c r="B312" s="5" t="s">
        <v>31</v>
      </c>
      <c r="C312" s="5" t="s">
        <v>304</v>
      </c>
      <c r="D312" s="6" t="s">
        <v>590</v>
      </c>
      <c r="E312" s="5" t="s">
        <v>36</v>
      </c>
      <c r="F312" s="5" t="s">
        <v>27</v>
      </c>
      <c r="G312" s="5">
        <v>252170.0</v>
      </c>
      <c r="H312" s="5">
        <v>650.0</v>
      </c>
      <c r="I312" s="5">
        <v>9248.0</v>
      </c>
      <c r="J312" s="5">
        <v>14192.0</v>
      </c>
      <c r="K312" s="5">
        <v>1.0</v>
      </c>
      <c r="L312" s="9">
        <v>5874.00478</v>
      </c>
      <c r="M312" s="15">
        <f t="shared" si="1"/>
        <v>5874.00478</v>
      </c>
      <c r="N312" s="16">
        <f t="shared" si="2"/>
        <v>0.002577626205</v>
      </c>
    </row>
    <row r="313">
      <c r="A313" s="5" t="s">
        <v>22</v>
      </c>
      <c r="B313" s="5" t="s">
        <v>16</v>
      </c>
      <c r="C313" s="5" t="s">
        <v>593</v>
      </c>
      <c r="D313" s="6" t="s">
        <v>590</v>
      </c>
      <c r="E313" s="5" t="s">
        <v>26</v>
      </c>
      <c r="F313" s="5" t="s">
        <v>27</v>
      </c>
      <c r="G313" s="5">
        <v>68114.0</v>
      </c>
      <c r="H313" s="5">
        <v>174.0</v>
      </c>
      <c r="I313" s="5">
        <v>569.0</v>
      </c>
      <c r="J313" s="5">
        <v>2059.0</v>
      </c>
      <c r="K313" s="5">
        <v>15.0</v>
      </c>
      <c r="L313" s="9">
        <v>2753.711986</v>
      </c>
      <c r="M313" s="15">
        <f t="shared" si="1"/>
        <v>183.5807991</v>
      </c>
      <c r="N313" s="16">
        <f t="shared" si="2"/>
        <v>0.002554540917</v>
      </c>
    </row>
    <row r="314">
      <c r="A314" s="5" t="s">
        <v>15</v>
      </c>
      <c r="B314" s="5" t="s">
        <v>42</v>
      </c>
      <c r="C314" s="5" t="s">
        <v>29</v>
      </c>
      <c r="D314" s="6" t="s">
        <v>590</v>
      </c>
      <c r="E314" s="5" t="s">
        <v>231</v>
      </c>
      <c r="F314" s="5" t="s">
        <v>27</v>
      </c>
      <c r="G314" s="5">
        <v>292578.0</v>
      </c>
      <c r="H314" s="5">
        <v>812.0</v>
      </c>
      <c r="I314" s="5">
        <v>6474.0</v>
      </c>
      <c r="J314" s="5">
        <v>12323.0</v>
      </c>
      <c r="K314" s="5">
        <v>4.0</v>
      </c>
      <c r="L314" s="9">
        <v>1826.318738</v>
      </c>
      <c r="M314" s="15">
        <f t="shared" si="1"/>
        <v>456.5796845</v>
      </c>
      <c r="N314" s="16">
        <f t="shared" si="2"/>
        <v>0.002775328289</v>
      </c>
    </row>
    <row r="315">
      <c r="A315" s="5" t="s">
        <v>15</v>
      </c>
      <c r="B315" s="5" t="s">
        <v>16</v>
      </c>
      <c r="C315" s="5" t="s">
        <v>45</v>
      </c>
      <c r="D315" s="6" t="s">
        <v>598</v>
      </c>
      <c r="E315" s="5" t="s">
        <v>19</v>
      </c>
      <c r="F315" s="5" t="s">
        <v>27</v>
      </c>
      <c r="G315" s="5">
        <v>7789.0</v>
      </c>
      <c r="H315" s="5">
        <v>30.0</v>
      </c>
      <c r="I315" s="5">
        <v>4655.0</v>
      </c>
      <c r="J315" s="5">
        <v>7434.0</v>
      </c>
      <c r="K315" s="5">
        <v>1.0</v>
      </c>
      <c r="L315" s="9">
        <v>6396.868763</v>
      </c>
      <c r="M315" s="15">
        <f t="shared" si="1"/>
        <v>6396.868763</v>
      </c>
      <c r="N315" s="16">
        <f t="shared" si="2"/>
        <v>0.003851585569</v>
      </c>
    </row>
    <row r="316">
      <c r="A316" s="5" t="s">
        <v>22</v>
      </c>
      <c r="B316" s="5" t="s">
        <v>31</v>
      </c>
      <c r="C316" s="5" t="s">
        <v>35</v>
      </c>
      <c r="D316" s="6" t="s">
        <v>598</v>
      </c>
      <c r="E316" s="5" t="s">
        <v>19</v>
      </c>
      <c r="F316" s="5" t="s">
        <v>27</v>
      </c>
      <c r="G316" s="5">
        <v>38396.0</v>
      </c>
      <c r="H316" s="5">
        <v>87.0</v>
      </c>
      <c r="I316" s="5">
        <v>6305.0</v>
      </c>
      <c r="J316" s="5">
        <v>35118.0</v>
      </c>
      <c r="K316" s="5">
        <v>9.0</v>
      </c>
      <c r="L316" s="9">
        <v>5740.164546</v>
      </c>
      <c r="M316" s="15">
        <f t="shared" si="1"/>
        <v>637.7960607</v>
      </c>
      <c r="N316" s="16">
        <f t="shared" si="2"/>
        <v>0.002265861027</v>
      </c>
    </row>
    <row r="317">
      <c r="A317" s="5" t="s">
        <v>22</v>
      </c>
      <c r="B317" s="5" t="s">
        <v>16</v>
      </c>
      <c r="C317" s="5" t="s">
        <v>78</v>
      </c>
      <c r="D317" s="6" t="s">
        <v>598</v>
      </c>
      <c r="E317" s="5" t="s">
        <v>19</v>
      </c>
      <c r="F317" s="5" t="s">
        <v>27</v>
      </c>
      <c r="G317" s="5">
        <v>10012.0</v>
      </c>
      <c r="H317" s="5">
        <v>25.0</v>
      </c>
      <c r="I317" s="5">
        <v>5734.0</v>
      </c>
      <c r="J317" s="5">
        <v>9413.0</v>
      </c>
      <c r="K317" s="5">
        <v>4.0</v>
      </c>
      <c r="L317" s="9">
        <v>1805.926086</v>
      </c>
      <c r="M317" s="15">
        <f t="shared" si="1"/>
        <v>451.4815215</v>
      </c>
      <c r="N317" s="16">
        <f t="shared" si="2"/>
        <v>0.002497003596</v>
      </c>
    </row>
    <row r="318">
      <c r="A318" s="5" t="s">
        <v>61</v>
      </c>
      <c r="B318" s="5" t="s">
        <v>23</v>
      </c>
      <c r="C318" s="5" t="s">
        <v>45</v>
      </c>
      <c r="D318" s="6" t="s">
        <v>598</v>
      </c>
      <c r="E318" s="5" t="s">
        <v>603</v>
      </c>
      <c r="F318" s="5" t="s">
        <v>27</v>
      </c>
      <c r="G318" s="5">
        <v>12459.0</v>
      </c>
      <c r="H318" s="5">
        <v>84.0</v>
      </c>
      <c r="I318" s="5">
        <v>7290.0</v>
      </c>
      <c r="J318" s="5">
        <v>11731.0</v>
      </c>
      <c r="K318" s="5">
        <v>14.0</v>
      </c>
      <c r="L318" s="9">
        <v>1593.010399</v>
      </c>
      <c r="M318" s="15">
        <f t="shared" si="1"/>
        <v>113.7864571</v>
      </c>
      <c r="N318" s="16">
        <f t="shared" si="2"/>
        <v>0.006742114134</v>
      </c>
    </row>
    <row r="319">
      <c r="A319" s="5" t="s">
        <v>22</v>
      </c>
      <c r="B319" s="5" t="s">
        <v>23</v>
      </c>
      <c r="C319" s="5" t="s">
        <v>183</v>
      </c>
      <c r="D319" s="6" t="s">
        <v>598</v>
      </c>
      <c r="E319" s="5" t="s">
        <v>46</v>
      </c>
      <c r="F319" s="5" t="s">
        <v>27</v>
      </c>
      <c r="G319" s="5">
        <v>32714.0</v>
      </c>
      <c r="H319" s="5">
        <v>69.0</v>
      </c>
      <c r="I319" s="5">
        <v>3756.0</v>
      </c>
      <c r="J319" s="5">
        <v>30764.0</v>
      </c>
      <c r="K319" s="5">
        <v>15.0</v>
      </c>
      <c r="L319" s="9">
        <v>1506.624304</v>
      </c>
      <c r="M319" s="15">
        <f t="shared" si="1"/>
        <v>100.4416203</v>
      </c>
      <c r="N319" s="16">
        <f t="shared" si="2"/>
        <v>0.002109188727</v>
      </c>
    </row>
    <row r="320">
      <c r="A320" s="5" t="s">
        <v>22</v>
      </c>
      <c r="B320" s="5" t="s">
        <v>23</v>
      </c>
      <c r="C320" s="5" t="s">
        <v>84</v>
      </c>
      <c r="D320" s="6" t="s">
        <v>606</v>
      </c>
      <c r="E320" s="5" t="s">
        <v>19</v>
      </c>
      <c r="F320" s="5" t="s">
        <v>27</v>
      </c>
      <c r="G320" s="5">
        <v>98509.0</v>
      </c>
      <c r="H320" s="5">
        <v>299.0</v>
      </c>
      <c r="I320" s="5">
        <v>30688.0</v>
      </c>
      <c r="J320" s="5">
        <v>109518.0</v>
      </c>
      <c r="K320" s="5">
        <v>15.0</v>
      </c>
      <c r="L320" s="9">
        <v>2059.270294</v>
      </c>
      <c r="M320" s="15">
        <f t="shared" si="1"/>
        <v>137.2846863</v>
      </c>
      <c r="N320" s="16">
        <f t="shared" si="2"/>
        <v>0.003035255662</v>
      </c>
    </row>
    <row r="321">
      <c r="A321" s="5" t="s">
        <v>22</v>
      </c>
      <c r="B321" s="5" t="s">
        <v>42</v>
      </c>
      <c r="C321" s="5" t="s">
        <v>17</v>
      </c>
      <c r="D321" s="6" t="s">
        <v>612</v>
      </c>
      <c r="E321" s="5" t="s">
        <v>19</v>
      </c>
      <c r="F321" s="5" t="s">
        <v>27</v>
      </c>
      <c r="G321" s="5">
        <v>921791.0</v>
      </c>
      <c r="H321" s="5">
        <v>2150.0</v>
      </c>
      <c r="I321" s="5">
        <v>668449.0</v>
      </c>
      <c r="J321" s="5">
        <v>852442.0</v>
      </c>
      <c r="K321" s="5">
        <v>69.0</v>
      </c>
      <c r="L321" s="9">
        <v>8042.897949</v>
      </c>
      <c r="M321" s="15">
        <f t="shared" si="1"/>
        <v>116.5637384</v>
      </c>
      <c r="N321" s="16">
        <f t="shared" si="2"/>
        <v>0.002332415916</v>
      </c>
    </row>
    <row r="322">
      <c r="A322" s="5" t="s">
        <v>22</v>
      </c>
      <c r="B322" s="5" t="s">
        <v>42</v>
      </c>
      <c r="C322" s="5" t="s">
        <v>35</v>
      </c>
      <c r="D322" s="6" t="s">
        <v>612</v>
      </c>
      <c r="E322" s="5" t="s">
        <v>26</v>
      </c>
      <c r="F322" s="5" t="s">
        <v>27</v>
      </c>
      <c r="G322" s="5">
        <v>4154911.0</v>
      </c>
      <c r="H322" s="5">
        <v>1254.0</v>
      </c>
      <c r="I322" s="5">
        <v>2338732.0</v>
      </c>
      <c r="J322" s="5">
        <v>3445626.0</v>
      </c>
      <c r="K322" s="5">
        <v>154.0</v>
      </c>
      <c r="L322" s="9">
        <v>8038.570371</v>
      </c>
      <c r="M322" s="15">
        <f t="shared" si="1"/>
        <v>52.1985089</v>
      </c>
      <c r="N322" s="16">
        <f t="shared" si="2"/>
        <v>0.0003018115189</v>
      </c>
    </row>
    <row r="323">
      <c r="A323" s="5" t="s">
        <v>22</v>
      </c>
      <c r="B323" s="5" t="s">
        <v>16</v>
      </c>
      <c r="C323" s="5" t="s">
        <v>55</v>
      </c>
      <c r="D323" s="6" t="s">
        <v>612</v>
      </c>
      <c r="E323" s="5" t="s">
        <v>19</v>
      </c>
      <c r="F323" s="5" t="s">
        <v>27</v>
      </c>
      <c r="G323" s="5">
        <v>1222302.0</v>
      </c>
      <c r="H323" s="5">
        <v>3142.0</v>
      </c>
      <c r="I323" s="5">
        <v>553773.0</v>
      </c>
      <c r="J323" s="5">
        <v>1120128.0</v>
      </c>
      <c r="K323" s="5">
        <v>42.0</v>
      </c>
      <c r="L323" s="9">
        <v>7880.770406</v>
      </c>
      <c r="M323" s="15">
        <f t="shared" si="1"/>
        <v>187.6373906</v>
      </c>
      <c r="N323" s="16">
        <f t="shared" si="2"/>
        <v>0.002570559485</v>
      </c>
    </row>
    <row r="324">
      <c r="A324" s="5" t="s">
        <v>22</v>
      </c>
      <c r="B324" s="5" t="s">
        <v>23</v>
      </c>
      <c r="C324" s="5" t="s">
        <v>29</v>
      </c>
      <c r="D324" s="6" t="s">
        <v>612</v>
      </c>
      <c r="E324" s="5" t="s">
        <v>19</v>
      </c>
      <c r="F324" s="5" t="s">
        <v>27</v>
      </c>
      <c r="G324" s="5">
        <v>999915.0</v>
      </c>
      <c r="H324" s="5">
        <v>2748.0</v>
      </c>
      <c r="I324" s="5">
        <v>618816.0</v>
      </c>
      <c r="J324" s="5">
        <v>829942.0</v>
      </c>
      <c r="K324" s="5">
        <v>23.0</v>
      </c>
      <c r="L324" s="9">
        <v>7879.316787</v>
      </c>
      <c r="M324" s="15">
        <f t="shared" si="1"/>
        <v>342.5789907</v>
      </c>
      <c r="N324" s="16">
        <f t="shared" si="2"/>
        <v>0.0027482336</v>
      </c>
    </row>
    <row r="325">
      <c r="A325" s="5" t="s">
        <v>22</v>
      </c>
      <c r="B325" s="5" t="s">
        <v>42</v>
      </c>
      <c r="C325" s="5" t="s">
        <v>17</v>
      </c>
      <c r="D325" s="6" t="s">
        <v>612</v>
      </c>
      <c r="E325" s="5" t="s">
        <v>19</v>
      </c>
      <c r="F325" s="5" t="s">
        <v>27</v>
      </c>
      <c r="G325" s="5">
        <v>1515751.0</v>
      </c>
      <c r="H325" s="5">
        <v>3874.0</v>
      </c>
      <c r="I325" s="5">
        <v>1151776.0</v>
      </c>
      <c r="J325" s="5">
        <v>1396230.0</v>
      </c>
      <c r="K325" s="5">
        <v>49.0</v>
      </c>
      <c r="L325" s="9">
        <v>7850.644244</v>
      </c>
      <c r="M325" s="15">
        <f t="shared" si="1"/>
        <v>160.2172295</v>
      </c>
      <c r="N325" s="16">
        <f t="shared" si="2"/>
        <v>0.002555828761</v>
      </c>
    </row>
    <row r="326">
      <c r="A326" s="5" t="s">
        <v>15</v>
      </c>
      <c r="B326" s="5" t="s">
        <v>31</v>
      </c>
      <c r="C326" s="5" t="s">
        <v>17</v>
      </c>
      <c r="D326" s="6" t="s">
        <v>612</v>
      </c>
      <c r="E326" s="5" t="s">
        <v>117</v>
      </c>
      <c r="F326" s="5" t="s">
        <v>27</v>
      </c>
      <c r="G326" s="5">
        <v>1575592.0</v>
      </c>
      <c r="H326" s="5">
        <v>3874.0</v>
      </c>
      <c r="I326" s="5">
        <v>1155869.0</v>
      </c>
      <c r="J326" s="5">
        <v>1447900.0</v>
      </c>
      <c r="K326" s="5">
        <v>88.0</v>
      </c>
      <c r="L326" s="9">
        <v>7818.648297</v>
      </c>
      <c r="M326" s="15">
        <f t="shared" si="1"/>
        <v>88.8482761</v>
      </c>
      <c r="N326" s="16">
        <f t="shared" si="2"/>
        <v>0.002458758359</v>
      </c>
    </row>
    <row r="327">
      <c r="A327" s="5" t="s">
        <v>22</v>
      </c>
      <c r="B327" s="5" t="s">
        <v>23</v>
      </c>
      <c r="C327" s="5" t="s">
        <v>39</v>
      </c>
      <c r="D327" s="6" t="s">
        <v>612</v>
      </c>
      <c r="E327" s="5" t="s">
        <v>26</v>
      </c>
      <c r="F327" s="5" t="s">
        <v>27</v>
      </c>
      <c r="G327" s="5">
        <v>458931.0</v>
      </c>
      <c r="H327" s="5">
        <v>974.0</v>
      </c>
      <c r="I327" s="5">
        <v>264325.0</v>
      </c>
      <c r="J327" s="5">
        <v>378011.0</v>
      </c>
      <c r="K327" s="5">
        <v>30.0</v>
      </c>
      <c r="L327" s="9">
        <v>7462.677935</v>
      </c>
      <c r="M327" s="15">
        <f t="shared" si="1"/>
        <v>248.7559312</v>
      </c>
      <c r="N327" s="16">
        <f t="shared" si="2"/>
        <v>0.002122323399</v>
      </c>
    </row>
    <row r="328">
      <c r="A328" s="5" t="s">
        <v>22</v>
      </c>
      <c r="B328" s="5" t="s">
        <v>42</v>
      </c>
      <c r="C328" s="5" t="s">
        <v>29</v>
      </c>
      <c r="D328" s="6" t="s">
        <v>612</v>
      </c>
      <c r="E328" s="5" t="s">
        <v>26</v>
      </c>
      <c r="F328" s="5" t="s">
        <v>27</v>
      </c>
      <c r="G328" s="5">
        <v>1601933.0</v>
      </c>
      <c r="H328" s="5">
        <v>4265.0</v>
      </c>
      <c r="I328" s="5">
        <v>1135085.0</v>
      </c>
      <c r="J328" s="5">
        <v>1487426.0</v>
      </c>
      <c r="K328" s="5">
        <v>29.0</v>
      </c>
      <c r="L328" s="9">
        <v>6785.70979</v>
      </c>
      <c r="M328" s="15">
        <f t="shared" si="1"/>
        <v>233.9899928</v>
      </c>
      <c r="N328" s="16">
        <f t="shared" si="2"/>
        <v>0.002662408478</v>
      </c>
    </row>
    <row r="329">
      <c r="A329" s="5" t="s">
        <v>22</v>
      </c>
      <c r="B329" s="5" t="s">
        <v>23</v>
      </c>
      <c r="C329" s="5" t="s">
        <v>45</v>
      </c>
      <c r="D329" s="6" t="s">
        <v>612</v>
      </c>
      <c r="E329" s="5" t="s">
        <v>19</v>
      </c>
      <c r="F329" s="5" t="s">
        <v>27</v>
      </c>
      <c r="G329" s="5">
        <v>26270.0</v>
      </c>
      <c r="H329" s="5">
        <v>63.0</v>
      </c>
      <c r="I329" s="5">
        <v>12813.0</v>
      </c>
      <c r="J329" s="5">
        <v>21893.0</v>
      </c>
      <c r="K329" s="5">
        <v>12.0</v>
      </c>
      <c r="L329" s="9">
        <v>6417.264564</v>
      </c>
      <c r="M329" s="15">
        <f t="shared" si="1"/>
        <v>534.772047</v>
      </c>
      <c r="N329" s="16">
        <f t="shared" si="2"/>
        <v>0.002398172821</v>
      </c>
    </row>
    <row r="330">
      <c r="A330" s="5" t="s">
        <v>15</v>
      </c>
      <c r="B330" s="5" t="s">
        <v>31</v>
      </c>
      <c r="C330" s="5" t="s">
        <v>66</v>
      </c>
      <c r="D330" s="6" t="s">
        <v>612</v>
      </c>
      <c r="E330" s="5" t="s">
        <v>46</v>
      </c>
      <c r="F330" s="5" t="s">
        <v>27</v>
      </c>
      <c r="G330" s="5">
        <v>12974.0</v>
      </c>
      <c r="H330" s="5">
        <v>84.0</v>
      </c>
      <c r="I330" s="5">
        <v>7521.0</v>
      </c>
      <c r="J330" s="5">
        <v>10959.0</v>
      </c>
      <c r="K330" s="5">
        <v>7.0</v>
      </c>
      <c r="L330" s="9">
        <v>6301.868847</v>
      </c>
      <c r="M330" s="15">
        <f t="shared" si="1"/>
        <v>900.2669781</v>
      </c>
      <c r="N330" s="16">
        <f t="shared" si="2"/>
        <v>0.006474487436</v>
      </c>
    </row>
    <row r="331">
      <c r="A331" s="5" t="s">
        <v>22</v>
      </c>
      <c r="B331" s="5" t="s">
        <v>16</v>
      </c>
      <c r="C331" s="5" t="s">
        <v>35</v>
      </c>
      <c r="D331" s="6" t="s">
        <v>612</v>
      </c>
      <c r="E331" s="5" t="s">
        <v>26</v>
      </c>
      <c r="F331" s="5" t="s">
        <v>27</v>
      </c>
      <c r="G331" s="5">
        <v>192201.0</v>
      </c>
      <c r="H331" s="5">
        <v>489.0</v>
      </c>
      <c r="I331" s="5">
        <v>113707.0</v>
      </c>
      <c r="J331" s="5">
        <v>157940.0</v>
      </c>
      <c r="K331" s="5">
        <v>3.0</v>
      </c>
      <c r="L331" s="9">
        <v>6176.004154</v>
      </c>
      <c r="M331" s="15">
        <f t="shared" si="1"/>
        <v>2058.668051</v>
      </c>
      <c r="N331" s="16">
        <f t="shared" si="2"/>
        <v>0.002544211529</v>
      </c>
    </row>
    <row r="332">
      <c r="A332" s="5" t="s">
        <v>22</v>
      </c>
      <c r="B332" s="5" t="s">
        <v>23</v>
      </c>
      <c r="C332" s="5" t="s">
        <v>35</v>
      </c>
      <c r="D332" s="6" t="s">
        <v>612</v>
      </c>
      <c r="E332" s="5" t="s">
        <v>48</v>
      </c>
      <c r="F332" s="5" t="s">
        <v>27</v>
      </c>
      <c r="G332" s="5">
        <v>3196231.0</v>
      </c>
      <c r="H332" s="5">
        <v>8745.0</v>
      </c>
      <c r="I332" s="5">
        <v>2013324.0</v>
      </c>
      <c r="J332" s="5">
        <v>2669103.0</v>
      </c>
      <c r="K332" s="5">
        <v>70.0</v>
      </c>
      <c r="L332" s="9">
        <v>5756.271172</v>
      </c>
      <c r="M332" s="15">
        <f t="shared" si="1"/>
        <v>82.23244531</v>
      </c>
      <c r="N332" s="16">
        <f t="shared" si="2"/>
        <v>0.002736035036</v>
      </c>
    </row>
    <row r="333">
      <c r="A333" s="5" t="s">
        <v>15</v>
      </c>
      <c r="B333" s="5" t="s">
        <v>42</v>
      </c>
      <c r="C333" s="5" t="s">
        <v>29</v>
      </c>
      <c r="D333" s="6" t="s">
        <v>612</v>
      </c>
      <c r="E333" s="5" t="s">
        <v>19</v>
      </c>
      <c r="F333" s="5" t="s">
        <v>27</v>
      </c>
      <c r="G333" s="5">
        <v>109128.0</v>
      </c>
      <c r="H333" s="5">
        <v>470.0</v>
      </c>
      <c r="I333" s="5">
        <v>38487.0</v>
      </c>
      <c r="J333" s="5">
        <v>90615.0</v>
      </c>
      <c r="K333" s="5">
        <v>3.0</v>
      </c>
      <c r="L333" s="9">
        <v>5153.117204</v>
      </c>
      <c r="M333" s="15">
        <f t="shared" si="1"/>
        <v>1717.705735</v>
      </c>
      <c r="N333" s="16">
        <f t="shared" si="2"/>
        <v>0.004306868998</v>
      </c>
    </row>
    <row r="334">
      <c r="A334" s="5" t="s">
        <v>61</v>
      </c>
      <c r="B334" s="5" t="s">
        <v>16</v>
      </c>
      <c r="C334" s="5" t="s">
        <v>78</v>
      </c>
      <c r="D334" s="6" t="s">
        <v>612</v>
      </c>
      <c r="E334" s="5" t="s">
        <v>46</v>
      </c>
      <c r="F334" s="5" t="s">
        <v>27</v>
      </c>
      <c r="G334" s="5">
        <v>13946.0</v>
      </c>
      <c r="H334" s="5">
        <v>40.0</v>
      </c>
      <c r="I334" s="5">
        <v>3142.0</v>
      </c>
      <c r="J334" s="5">
        <v>8823.0</v>
      </c>
      <c r="K334" s="5">
        <v>8.0</v>
      </c>
      <c r="L334" s="9">
        <v>4920.23463</v>
      </c>
      <c r="M334" s="15">
        <f t="shared" si="1"/>
        <v>615.0293288</v>
      </c>
      <c r="N334" s="16">
        <f t="shared" si="2"/>
        <v>0.002868205937</v>
      </c>
    </row>
    <row r="335">
      <c r="A335" s="5" t="s">
        <v>15</v>
      </c>
      <c r="B335" s="5" t="s">
        <v>23</v>
      </c>
      <c r="C335" s="5" t="s">
        <v>29</v>
      </c>
      <c r="D335" s="6" t="s">
        <v>612</v>
      </c>
      <c r="E335" s="5" t="s">
        <v>136</v>
      </c>
      <c r="F335" s="5" t="s">
        <v>27</v>
      </c>
      <c r="G335" s="5">
        <v>335461.0</v>
      </c>
      <c r="H335" s="5">
        <v>963.0</v>
      </c>
      <c r="I335" s="5">
        <v>171464.0</v>
      </c>
      <c r="J335" s="5">
        <v>247450.0</v>
      </c>
      <c r="K335" s="5">
        <v>5.0</v>
      </c>
      <c r="L335" s="9">
        <v>4445.874629</v>
      </c>
      <c r="M335" s="15">
        <f t="shared" si="1"/>
        <v>889.1749258</v>
      </c>
      <c r="N335" s="16">
        <f t="shared" si="2"/>
        <v>0.002870676472</v>
      </c>
    </row>
    <row r="336">
      <c r="A336" s="5" t="s">
        <v>22</v>
      </c>
      <c r="B336" s="5" t="s">
        <v>31</v>
      </c>
      <c r="C336" s="5" t="s">
        <v>155</v>
      </c>
      <c r="D336" s="6" t="s">
        <v>612</v>
      </c>
      <c r="E336" s="5" t="s">
        <v>19</v>
      </c>
      <c r="F336" s="5" t="s">
        <v>27</v>
      </c>
      <c r="G336" s="5">
        <v>48436.0</v>
      </c>
      <c r="H336" s="5">
        <v>171.0</v>
      </c>
      <c r="I336" s="5">
        <v>16543.0</v>
      </c>
      <c r="J336" s="5">
        <v>42427.0</v>
      </c>
      <c r="K336" s="5">
        <v>6.0</v>
      </c>
      <c r="L336" s="9">
        <v>4386.648215</v>
      </c>
      <c r="M336" s="15">
        <f t="shared" si="1"/>
        <v>731.1080358</v>
      </c>
      <c r="N336" s="16">
        <f t="shared" si="2"/>
        <v>0.00353043191</v>
      </c>
    </row>
    <row r="337">
      <c r="A337" s="5" t="s">
        <v>22</v>
      </c>
      <c r="B337" s="5" t="s">
        <v>31</v>
      </c>
      <c r="C337" s="5" t="s">
        <v>39</v>
      </c>
      <c r="D337" s="6" t="s">
        <v>612</v>
      </c>
      <c r="E337" s="5" t="s">
        <v>19</v>
      </c>
      <c r="F337" s="5" t="s">
        <v>27</v>
      </c>
      <c r="G337" s="5">
        <v>58738.0</v>
      </c>
      <c r="H337" s="5">
        <v>165.0</v>
      </c>
      <c r="I337" s="5">
        <v>33538.0</v>
      </c>
      <c r="J337" s="5">
        <v>47535.0</v>
      </c>
      <c r="K337" s="5">
        <v>14.0</v>
      </c>
      <c r="L337" s="9">
        <v>2801.584386</v>
      </c>
      <c r="M337" s="15">
        <f t="shared" si="1"/>
        <v>200.1131704</v>
      </c>
      <c r="N337" s="16">
        <f t="shared" si="2"/>
        <v>0.002809084409</v>
      </c>
    </row>
    <row r="338">
      <c r="A338" s="5" t="s">
        <v>22</v>
      </c>
      <c r="B338" s="5" t="s">
        <v>31</v>
      </c>
      <c r="C338" s="5" t="s">
        <v>35</v>
      </c>
      <c r="D338" s="6" t="s">
        <v>612</v>
      </c>
      <c r="E338" s="5" t="s">
        <v>19</v>
      </c>
      <c r="F338" s="5" t="s">
        <v>27</v>
      </c>
      <c r="G338" s="5">
        <v>297347.0</v>
      </c>
      <c r="H338" s="5">
        <v>751.0</v>
      </c>
      <c r="I338" s="5">
        <v>166412.0</v>
      </c>
      <c r="J338" s="5">
        <v>251319.0</v>
      </c>
      <c r="K338" s="5">
        <v>4.0</v>
      </c>
      <c r="L338" s="9">
        <v>2255.522409</v>
      </c>
      <c r="M338" s="15">
        <f t="shared" si="1"/>
        <v>563.8806023</v>
      </c>
      <c r="N338" s="16">
        <f t="shared" si="2"/>
        <v>0.002525668663</v>
      </c>
    </row>
    <row r="339">
      <c r="A339" s="5" t="s">
        <v>22</v>
      </c>
      <c r="B339" s="5" t="s">
        <v>31</v>
      </c>
      <c r="C339" s="5" t="s">
        <v>35</v>
      </c>
      <c r="D339" s="6" t="s">
        <v>612</v>
      </c>
      <c r="E339" s="5" t="s">
        <v>19</v>
      </c>
      <c r="F339" s="5" t="s">
        <v>27</v>
      </c>
      <c r="G339" s="5">
        <v>80456.0</v>
      </c>
      <c r="H339" s="5">
        <v>204.0</v>
      </c>
      <c r="I339" s="5">
        <v>46039.0</v>
      </c>
      <c r="J339" s="5">
        <v>65383.0</v>
      </c>
      <c r="K339" s="5">
        <v>3.0</v>
      </c>
      <c r="L339" s="9">
        <v>2039.848792</v>
      </c>
      <c r="M339" s="15">
        <f t="shared" si="1"/>
        <v>679.9495973</v>
      </c>
      <c r="N339" s="16">
        <f t="shared" si="2"/>
        <v>0.00253554738</v>
      </c>
    </row>
    <row r="340">
      <c r="A340" s="5" t="s">
        <v>22</v>
      </c>
      <c r="B340" s="5" t="s">
        <v>16</v>
      </c>
      <c r="C340" s="5" t="s">
        <v>433</v>
      </c>
      <c r="D340" s="6" t="s">
        <v>612</v>
      </c>
      <c r="E340" s="5" t="s">
        <v>1046</v>
      </c>
      <c r="F340" s="5" t="s">
        <v>27</v>
      </c>
      <c r="G340" s="5">
        <v>171575.0</v>
      </c>
      <c r="H340" s="5">
        <v>499.0</v>
      </c>
      <c r="I340" s="5">
        <v>101487.0</v>
      </c>
      <c r="J340" s="5">
        <v>136036.0</v>
      </c>
      <c r="K340" s="5">
        <v>8.0</v>
      </c>
      <c r="L340" s="9">
        <v>1658.332426</v>
      </c>
      <c r="M340" s="15">
        <f t="shared" si="1"/>
        <v>207.2915533</v>
      </c>
      <c r="N340" s="16">
        <f t="shared" si="2"/>
        <v>0.002908349118</v>
      </c>
    </row>
    <row r="341">
      <c r="A341" s="5" t="s">
        <v>15</v>
      </c>
      <c r="B341" s="5" t="s">
        <v>31</v>
      </c>
      <c r="C341" s="5" t="s">
        <v>35</v>
      </c>
      <c r="D341" s="6" t="s">
        <v>612</v>
      </c>
      <c r="E341" s="5" t="s">
        <v>19</v>
      </c>
      <c r="F341" s="5" t="s">
        <v>27</v>
      </c>
      <c r="G341" s="5">
        <v>554980.0</v>
      </c>
      <c r="H341" s="5">
        <v>1542.0</v>
      </c>
      <c r="I341" s="5">
        <v>323498.0</v>
      </c>
      <c r="J341" s="5">
        <v>467646.0</v>
      </c>
      <c r="K341" s="5">
        <v>8.0</v>
      </c>
      <c r="L341" s="9">
        <v>1600.769588</v>
      </c>
      <c r="M341" s="15">
        <f t="shared" si="1"/>
        <v>200.0961985</v>
      </c>
      <c r="N341" s="16">
        <f t="shared" si="2"/>
        <v>0.002778478504</v>
      </c>
    </row>
    <row r="342">
      <c r="A342" s="5" t="s">
        <v>15</v>
      </c>
      <c r="B342" s="5" t="s">
        <v>31</v>
      </c>
      <c r="C342" s="5" t="s">
        <v>17</v>
      </c>
      <c r="D342" s="6" t="s">
        <v>612</v>
      </c>
      <c r="E342" s="5" t="s">
        <v>19</v>
      </c>
      <c r="F342" s="5" t="s">
        <v>27</v>
      </c>
      <c r="G342" s="5">
        <v>321263.0</v>
      </c>
      <c r="H342" s="5">
        <v>852.0</v>
      </c>
      <c r="I342" s="5">
        <v>172887.0</v>
      </c>
      <c r="J342" s="5">
        <v>263424.0</v>
      </c>
      <c r="K342" s="5">
        <v>6.0</v>
      </c>
      <c r="L342" s="9">
        <v>1576.051434</v>
      </c>
      <c r="M342" s="15">
        <f t="shared" si="1"/>
        <v>262.675239</v>
      </c>
      <c r="N342" s="16">
        <f t="shared" si="2"/>
        <v>0.002652032758</v>
      </c>
    </row>
    <row r="343">
      <c r="A343" s="5" t="s">
        <v>15</v>
      </c>
      <c r="B343" s="5" t="s">
        <v>23</v>
      </c>
      <c r="C343" s="5" t="s">
        <v>147</v>
      </c>
      <c r="D343" s="6" t="s">
        <v>612</v>
      </c>
      <c r="E343" s="5" t="s">
        <v>19</v>
      </c>
      <c r="F343" s="5" t="s">
        <v>27</v>
      </c>
      <c r="G343" s="5">
        <v>311753.0</v>
      </c>
      <c r="H343" s="5">
        <v>763.0</v>
      </c>
      <c r="I343" s="5">
        <v>170122.0</v>
      </c>
      <c r="J343" s="5">
        <v>256841.0</v>
      </c>
      <c r="K343" s="5">
        <v>6.0</v>
      </c>
      <c r="L343" s="9">
        <v>1543.612655</v>
      </c>
      <c r="M343" s="15">
        <f t="shared" si="1"/>
        <v>257.2687758</v>
      </c>
      <c r="N343" s="16">
        <f t="shared" si="2"/>
        <v>0.002447450385</v>
      </c>
    </row>
    <row r="344">
      <c r="A344" s="5" t="s">
        <v>22</v>
      </c>
      <c r="B344" s="5" t="s">
        <v>16</v>
      </c>
      <c r="C344" s="5" t="s">
        <v>142</v>
      </c>
      <c r="D344" s="6" t="s">
        <v>612</v>
      </c>
      <c r="E344" s="5" t="s">
        <v>19</v>
      </c>
      <c r="F344" s="5" t="s">
        <v>27</v>
      </c>
      <c r="G344" s="5">
        <v>47931.0</v>
      </c>
      <c r="H344" s="5">
        <v>170.0</v>
      </c>
      <c r="I344" s="5">
        <v>15989.0</v>
      </c>
      <c r="J344" s="5">
        <v>38916.0</v>
      </c>
      <c r="K344" s="5">
        <v>4.0</v>
      </c>
      <c r="L344" s="9">
        <v>1487.228625</v>
      </c>
      <c r="M344" s="15">
        <f t="shared" si="1"/>
        <v>371.8071563</v>
      </c>
      <c r="N344" s="16">
        <f t="shared" si="2"/>
        <v>0.003546765142</v>
      </c>
    </row>
    <row r="345">
      <c r="A345" s="5" t="s">
        <v>15</v>
      </c>
      <c r="B345" s="5" t="s">
        <v>23</v>
      </c>
      <c r="C345" s="5" t="s">
        <v>641</v>
      </c>
      <c r="D345" s="6" t="s">
        <v>612</v>
      </c>
      <c r="E345" s="5" t="s">
        <v>36</v>
      </c>
      <c r="F345" s="5" t="s">
        <v>27</v>
      </c>
      <c r="G345" s="5">
        <v>177632.0</v>
      </c>
      <c r="H345" s="5">
        <v>485.0</v>
      </c>
      <c r="I345" s="5">
        <v>70865.0</v>
      </c>
      <c r="J345" s="5">
        <v>95871.0</v>
      </c>
      <c r="K345" s="5">
        <v>5.0</v>
      </c>
      <c r="L345" s="9">
        <v>1483.384404</v>
      </c>
      <c r="M345" s="15">
        <f t="shared" si="1"/>
        <v>296.6768808</v>
      </c>
      <c r="N345" s="16">
        <f t="shared" si="2"/>
        <v>0.002730363898</v>
      </c>
    </row>
    <row r="346">
      <c r="A346" s="5" t="s">
        <v>22</v>
      </c>
      <c r="B346" s="5" t="s">
        <v>16</v>
      </c>
      <c r="C346" s="5" t="s">
        <v>131</v>
      </c>
      <c r="D346" s="6" t="s">
        <v>645</v>
      </c>
      <c r="E346" s="5" t="s">
        <v>46</v>
      </c>
      <c r="F346" s="5" t="s">
        <v>27</v>
      </c>
      <c r="G346" s="5">
        <v>26784.0</v>
      </c>
      <c r="H346" s="5">
        <v>85.0</v>
      </c>
      <c r="I346" s="5">
        <v>12708.0</v>
      </c>
      <c r="J346" s="5">
        <v>22261.0</v>
      </c>
      <c r="K346" s="5">
        <v>9.0</v>
      </c>
      <c r="L346" s="9">
        <v>6643.161647</v>
      </c>
      <c r="M346" s="15">
        <f t="shared" si="1"/>
        <v>738.1290719</v>
      </c>
      <c r="N346" s="16">
        <f t="shared" si="2"/>
        <v>0.00317353644</v>
      </c>
    </row>
    <row r="347">
      <c r="A347" s="5" t="s">
        <v>22</v>
      </c>
      <c r="B347" s="5" t="s">
        <v>16</v>
      </c>
      <c r="C347" s="5" t="s">
        <v>35</v>
      </c>
      <c r="D347" s="6" t="s">
        <v>645</v>
      </c>
      <c r="E347" s="5" t="s">
        <v>19</v>
      </c>
      <c r="F347" s="5" t="s">
        <v>27</v>
      </c>
      <c r="G347" s="5">
        <v>21028.0</v>
      </c>
      <c r="H347" s="5">
        <v>10.0</v>
      </c>
      <c r="I347" s="5">
        <v>5781.0</v>
      </c>
      <c r="J347" s="5">
        <v>16134.0</v>
      </c>
      <c r="K347" s="5">
        <v>11.0</v>
      </c>
      <c r="L347" s="9">
        <v>5101.321655</v>
      </c>
      <c r="M347" s="15">
        <f t="shared" si="1"/>
        <v>463.7565141</v>
      </c>
      <c r="N347" s="16">
        <f t="shared" si="2"/>
        <v>0.000475556401</v>
      </c>
    </row>
    <row r="348">
      <c r="A348" s="5" t="s">
        <v>61</v>
      </c>
      <c r="B348" s="5" t="s">
        <v>16</v>
      </c>
      <c r="C348" s="5" t="s">
        <v>29</v>
      </c>
      <c r="D348" s="6" t="s">
        <v>648</v>
      </c>
      <c r="E348" s="5" t="s">
        <v>19</v>
      </c>
      <c r="F348" s="5" t="s">
        <v>27</v>
      </c>
      <c r="G348" s="5">
        <v>9238.0</v>
      </c>
      <c r="H348" s="5">
        <v>84.0</v>
      </c>
      <c r="I348" s="5">
        <v>4626.0</v>
      </c>
      <c r="J348" s="5">
        <v>8264.0</v>
      </c>
      <c r="K348" s="5">
        <v>15.0</v>
      </c>
      <c r="L348" s="9">
        <v>6683.225487</v>
      </c>
      <c r="M348" s="15">
        <f t="shared" si="1"/>
        <v>445.5483658</v>
      </c>
      <c r="N348" s="16">
        <f t="shared" si="2"/>
        <v>0.009092877246</v>
      </c>
    </row>
    <row r="349">
      <c r="A349" s="5" t="s">
        <v>22</v>
      </c>
      <c r="B349" s="5" t="s">
        <v>23</v>
      </c>
      <c r="C349" s="5" t="s">
        <v>29</v>
      </c>
      <c r="D349" s="6" t="s">
        <v>650</v>
      </c>
      <c r="E349" s="5" t="s">
        <v>26</v>
      </c>
      <c r="F349" s="5" t="s">
        <v>27</v>
      </c>
      <c r="G349" s="5">
        <v>39881.0</v>
      </c>
      <c r="H349" s="5">
        <v>125.0</v>
      </c>
      <c r="I349" s="5">
        <v>6331.0</v>
      </c>
      <c r="J349" s="5">
        <v>36245.0</v>
      </c>
      <c r="K349" s="5">
        <v>10.0</v>
      </c>
      <c r="L349" s="9">
        <v>7098.889706</v>
      </c>
      <c r="M349" s="15">
        <f t="shared" si="1"/>
        <v>709.8889706</v>
      </c>
      <c r="N349" s="16">
        <f t="shared" si="2"/>
        <v>0.003134324616</v>
      </c>
    </row>
    <row r="350">
      <c r="A350" s="5" t="s">
        <v>15</v>
      </c>
      <c r="B350" s="5" t="s">
        <v>16</v>
      </c>
      <c r="C350" s="5" t="s">
        <v>471</v>
      </c>
      <c r="D350" s="6" t="s">
        <v>652</v>
      </c>
      <c r="E350" s="5" t="s">
        <v>19</v>
      </c>
      <c r="F350" s="5" t="s">
        <v>27</v>
      </c>
      <c r="G350" s="5">
        <v>10883.0</v>
      </c>
      <c r="H350" s="5">
        <v>46.0</v>
      </c>
      <c r="I350" s="5">
        <v>1652.0</v>
      </c>
      <c r="J350" s="5">
        <v>8869.0</v>
      </c>
      <c r="K350" s="5">
        <v>16.0</v>
      </c>
      <c r="L350" s="9">
        <v>1942.482395</v>
      </c>
      <c r="M350" s="15">
        <f t="shared" si="1"/>
        <v>121.4051497</v>
      </c>
      <c r="N350" s="16">
        <f t="shared" si="2"/>
        <v>0.004226775705</v>
      </c>
    </row>
    <row r="351">
      <c r="A351" s="5" t="s">
        <v>22</v>
      </c>
      <c r="B351" s="5" t="s">
        <v>16</v>
      </c>
      <c r="C351" s="5" t="s">
        <v>24</v>
      </c>
      <c r="D351" s="6" t="s">
        <v>654</v>
      </c>
      <c r="E351" s="5" t="s">
        <v>19</v>
      </c>
      <c r="F351" s="5" t="s">
        <v>27</v>
      </c>
      <c r="G351" s="5">
        <v>7248.0</v>
      </c>
      <c r="H351" s="5">
        <v>10.0</v>
      </c>
      <c r="I351" s="5">
        <v>3988.0</v>
      </c>
      <c r="J351" s="5">
        <v>6863.0</v>
      </c>
      <c r="K351" s="5">
        <v>7.0</v>
      </c>
      <c r="L351" s="9">
        <v>1247.0</v>
      </c>
      <c r="M351" s="15">
        <f t="shared" si="1"/>
        <v>178.1428571</v>
      </c>
      <c r="N351" s="16">
        <f t="shared" si="2"/>
        <v>0.001379690949</v>
      </c>
    </row>
    <row r="352">
      <c r="A352" s="5" t="s">
        <v>22</v>
      </c>
      <c r="B352" s="5" t="s">
        <v>42</v>
      </c>
      <c r="C352" s="5" t="s">
        <v>29</v>
      </c>
      <c r="D352" s="6" t="s">
        <v>657</v>
      </c>
      <c r="E352" s="5" t="s">
        <v>46</v>
      </c>
      <c r="F352" s="5" t="s">
        <v>27</v>
      </c>
      <c r="G352" s="5">
        <v>10835.0</v>
      </c>
      <c r="H352" s="5">
        <v>25.0</v>
      </c>
      <c r="I352" s="5">
        <v>2888.0</v>
      </c>
      <c r="J352" s="5">
        <v>10487.0</v>
      </c>
      <c r="K352" s="5">
        <v>3.0</v>
      </c>
      <c r="L352" s="9">
        <v>4704.249956</v>
      </c>
      <c r="M352" s="15">
        <f t="shared" si="1"/>
        <v>1568.083319</v>
      </c>
      <c r="N352" s="16">
        <f t="shared" si="2"/>
        <v>0.002307337333</v>
      </c>
    </row>
    <row r="353">
      <c r="A353" s="5" t="s">
        <v>15</v>
      </c>
      <c r="B353" s="5" t="s">
        <v>31</v>
      </c>
      <c r="C353" s="5" t="s">
        <v>17</v>
      </c>
      <c r="D353" s="6" t="s">
        <v>659</v>
      </c>
      <c r="E353" s="5" t="s">
        <v>19</v>
      </c>
      <c r="F353" s="5" t="s">
        <v>27</v>
      </c>
      <c r="G353" s="5">
        <v>11476.0</v>
      </c>
      <c r="H353" s="5">
        <v>45.0</v>
      </c>
      <c r="I353" s="5">
        <v>4963.0</v>
      </c>
      <c r="J353" s="5">
        <v>10991.0</v>
      </c>
      <c r="K353" s="5">
        <v>8.0</v>
      </c>
      <c r="L353" s="9">
        <v>7227.417349</v>
      </c>
      <c r="M353" s="15">
        <f t="shared" si="1"/>
        <v>903.4271686</v>
      </c>
      <c r="N353" s="16">
        <f t="shared" si="2"/>
        <v>0.003921226908</v>
      </c>
    </row>
    <row r="354">
      <c r="A354" s="5" t="s">
        <v>22</v>
      </c>
      <c r="B354" s="5" t="s">
        <v>23</v>
      </c>
      <c r="C354" s="5" t="s">
        <v>78</v>
      </c>
      <c r="D354" s="6" t="s">
        <v>661</v>
      </c>
      <c r="E354" s="5" t="s">
        <v>19</v>
      </c>
      <c r="F354" s="5" t="s">
        <v>27</v>
      </c>
      <c r="G354" s="5">
        <v>92764.0</v>
      </c>
      <c r="H354" s="5">
        <v>320.0</v>
      </c>
      <c r="I354" s="5">
        <v>19625.0</v>
      </c>
      <c r="J354" s="5">
        <v>76531.0</v>
      </c>
      <c r="K354" s="5">
        <v>14.0</v>
      </c>
      <c r="L354" s="9">
        <v>6730.012549</v>
      </c>
      <c r="M354" s="15">
        <f t="shared" si="1"/>
        <v>480.7151821</v>
      </c>
      <c r="N354" s="16">
        <f t="shared" si="2"/>
        <v>0.003449614074</v>
      </c>
    </row>
    <row r="355">
      <c r="A355" s="5" t="s">
        <v>22</v>
      </c>
      <c r="B355" s="5" t="s">
        <v>23</v>
      </c>
      <c r="C355" s="5" t="s">
        <v>273</v>
      </c>
      <c r="D355" s="6" t="s">
        <v>661</v>
      </c>
      <c r="E355" s="5" t="s">
        <v>36</v>
      </c>
      <c r="F355" s="5" t="s">
        <v>27</v>
      </c>
      <c r="G355" s="5">
        <v>189571.0</v>
      </c>
      <c r="H355" s="5">
        <v>500.0</v>
      </c>
      <c r="I355" s="5">
        <v>130676.0</v>
      </c>
      <c r="J355" s="5">
        <v>183688.0</v>
      </c>
      <c r="K355" s="5">
        <v>39.0</v>
      </c>
      <c r="L355" s="9">
        <v>6335.948388</v>
      </c>
      <c r="M355" s="15">
        <f t="shared" si="1"/>
        <v>162.4602151</v>
      </c>
      <c r="N355" s="16">
        <f t="shared" si="2"/>
        <v>0.002637534222</v>
      </c>
    </row>
    <row r="356">
      <c r="A356" s="5" t="s">
        <v>15</v>
      </c>
      <c r="B356" s="5" t="s">
        <v>42</v>
      </c>
      <c r="C356" s="5" t="s">
        <v>24</v>
      </c>
      <c r="D356" s="6" t="s">
        <v>661</v>
      </c>
      <c r="E356" s="5" t="s">
        <v>50</v>
      </c>
      <c r="F356" s="5" t="s">
        <v>27</v>
      </c>
      <c r="G356" s="5">
        <v>14224.0</v>
      </c>
      <c r="H356" s="5">
        <v>30.0</v>
      </c>
      <c r="I356" s="5">
        <v>2549.0</v>
      </c>
      <c r="J356" s="5">
        <v>11974.0</v>
      </c>
      <c r="K356" s="5">
        <v>7.0</v>
      </c>
      <c r="L356" s="9">
        <v>5637.303497</v>
      </c>
      <c r="M356" s="15">
        <f t="shared" si="1"/>
        <v>805.329071</v>
      </c>
      <c r="N356" s="16">
        <f t="shared" si="2"/>
        <v>0.002109111361</v>
      </c>
    </row>
    <row r="357">
      <c r="A357" s="5" t="s">
        <v>15</v>
      </c>
      <c r="B357" s="5" t="s">
        <v>31</v>
      </c>
      <c r="C357" s="5" t="s">
        <v>17</v>
      </c>
      <c r="D357" s="6" t="s">
        <v>661</v>
      </c>
      <c r="E357" s="5" t="s">
        <v>19</v>
      </c>
      <c r="F357" s="5" t="s">
        <v>27</v>
      </c>
      <c r="G357" s="5">
        <v>183208.0</v>
      </c>
      <c r="H357" s="5">
        <v>620.0</v>
      </c>
      <c r="I357" s="5">
        <v>131164.0</v>
      </c>
      <c r="J357" s="5">
        <v>177952.0</v>
      </c>
      <c r="K357" s="5">
        <v>43.0</v>
      </c>
      <c r="L357" s="9">
        <v>2682.436623</v>
      </c>
      <c r="M357" s="15">
        <f t="shared" si="1"/>
        <v>62.38224705</v>
      </c>
      <c r="N357" s="16">
        <f t="shared" si="2"/>
        <v>0.003384131697</v>
      </c>
    </row>
    <row r="358">
      <c r="A358" s="5" t="s">
        <v>22</v>
      </c>
      <c r="B358" s="5" t="s">
        <v>42</v>
      </c>
      <c r="C358" s="5" t="s">
        <v>78</v>
      </c>
      <c r="D358" s="6" t="s">
        <v>661</v>
      </c>
      <c r="E358" s="5" t="s">
        <v>46</v>
      </c>
      <c r="F358" s="5" t="s">
        <v>27</v>
      </c>
      <c r="G358" s="5">
        <v>20486.0</v>
      </c>
      <c r="H358" s="5">
        <v>42.0</v>
      </c>
      <c r="I358" s="5">
        <v>14583.0</v>
      </c>
      <c r="J358" s="5">
        <v>19860.0</v>
      </c>
      <c r="K358" s="5">
        <v>2.0</v>
      </c>
      <c r="L358" s="9">
        <v>1718.513762</v>
      </c>
      <c r="M358" s="15">
        <f t="shared" si="1"/>
        <v>859.256881</v>
      </c>
      <c r="N358" s="16">
        <f t="shared" si="2"/>
        <v>0.002050180611</v>
      </c>
    </row>
    <row r="359">
      <c r="A359" s="5" t="s">
        <v>15</v>
      </c>
      <c r="B359" s="5" t="s">
        <v>42</v>
      </c>
      <c r="C359" s="5" t="s">
        <v>35</v>
      </c>
      <c r="D359" s="6" t="s">
        <v>667</v>
      </c>
      <c r="E359" s="5" t="s">
        <v>117</v>
      </c>
      <c r="F359" s="5" t="s">
        <v>27</v>
      </c>
      <c r="G359" s="5">
        <v>15047.0</v>
      </c>
      <c r="H359" s="5">
        <v>84.0</v>
      </c>
      <c r="I359" s="5">
        <v>5653.0</v>
      </c>
      <c r="J359" s="5">
        <v>14459.0</v>
      </c>
      <c r="K359" s="5">
        <v>4.0</v>
      </c>
      <c r="L359" s="9">
        <v>2127.495962</v>
      </c>
      <c r="M359" s="15">
        <f t="shared" si="1"/>
        <v>531.8739905</v>
      </c>
      <c r="N359" s="16">
        <f t="shared" si="2"/>
        <v>0.005582508141</v>
      </c>
    </row>
    <row r="360">
      <c r="A360" s="5" t="s">
        <v>22</v>
      </c>
      <c r="B360" s="5" t="s">
        <v>16</v>
      </c>
      <c r="C360" s="5" t="s">
        <v>32</v>
      </c>
      <c r="D360" s="6" t="s">
        <v>669</v>
      </c>
      <c r="E360" s="5" t="s">
        <v>161</v>
      </c>
      <c r="F360" s="5" t="s">
        <v>27</v>
      </c>
      <c r="G360" s="5">
        <v>41513.0</v>
      </c>
      <c r="H360" s="5">
        <v>113.0</v>
      </c>
      <c r="I360" s="5">
        <v>20872.0</v>
      </c>
      <c r="J360" s="5">
        <v>39250.0</v>
      </c>
      <c r="K360" s="5">
        <v>9.0</v>
      </c>
      <c r="L360" s="9">
        <v>6789.533401</v>
      </c>
      <c r="M360" s="15">
        <f t="shared" si="1"/>
        <v>754.3926001</v>
      </c>
      <c r="N360" s="16">
        <f t="shared" si="2"/>
        <v>0.002722038879</v>
      </c>
    </row>
    <row r="361">
      <c r="A361" s="5" t="s">
        <v>15</v>
      </c>
      <c r="B361" s="5" t="s">
        <v>31</v>
      </c>
      <c r="C361" s="5" t="s">
        <v>35</v>
      </c>
      <c r="D361" s="6" t="s">
        <v>669</v>
      </c>
      <c r="E361" s="5" t="s">
        <v>46</v>
      </c>
      <c r="F361" s="5" t="s">
        <v>27</v>
      </c>
      <c r="G361" s="5">
        <v>16503.0</v>
      </c>
      <c r="H361" s="5">
        <v>69.0</v>
      </c>
      <c r="I361" s="5">
        <v>8595.0</v>
      </c>
      <c r="J361" s="5">
        <v>14466.0</v>
      </c>
      <c r="K361" s="5">
        <v>7.0</v>
      </c>
      <c r="L361" s="9">
        <v>5714.523867</v>
      </c>
      <c r="M361" s="15">
        <f t="shared" si="1"/>
        <v>816.3605524</v>
      </c>
      <c r="N361" s="16">
        <f t="shared" si="2"/>
        <v>0.004181057989</v>
      </c>
    </row>
    <row r="362">
      <c r="A362" s="5" t="s">
        <v>15</v>
      </c>
      <c r="B362" s="5" t="s">
        <v>16</v>
      </c>
      <c r="C362" s="5" t="s">
        <v>17</v>
      </c>
      <c r="D362" s="6" t="s">
        <v>669</v>
      </c>
      <c r="E362" s="5" t="s">
        <v>19</v>
      </c>
      <c r="F362" s="5" t="s">
        <v>27</v>
      </c>
      <c r="G362" s="5">
        <v>52006.0</v>
      </c>
      <c r="H362" s="5">
        <v>160.0</v>
      </c>
      <c r="I362" s="5">
        <v>24711.0</v>
      </c>
      <c r="J362" s="5">
        <v>48019.0</v>
      </c>
      <c r="K362" s="5">
        <v>12.0</v>
      </c>
      <c r="L362" s="9">
        <v>5200.010118</v>
      </c>
      <c r="M362" s="15">
        <f t="shared" si="1"/>
        <v>433.3341765</v>
      </c>
      <c r="N362" s="16">
        <f t="shared" si="2"/>
        <v>0.003076568088</v>
      </c>
    </row>
    <row r="363">
      <c r="A363" s="5" t="s">
        <v>15</v>
      </c>
      <c r="B363" s="5" t="s">
        <v>42</v>
      </c>
      <c r="C363" s="5" t="s">
        <v>66</v>
      </c>
      <c r="D363" s="6" t="s">
        <v>669</v>
      </c>
      <c r="E363" s="5" t="s">
        <v>46</v>
      </c>
      <c r="F363" s="5" t="s">
        <v>27</v>
      </c>
      <c r="G363" s="5">
        <v>8420.0</v>
      </c>
      <c r="H363" s="5">
        <v>80.0</v>
      </c>
      <c r="I363" s="5">
        <v>4430.0</v>
      </c>
      <c r="J363" s="5">
        <v>7869.0</v>
      </c>
      <c r="K363" s="5">
        <v>8.0</v>
      </c>
      <c r="L363" s="9">
        <v>5184.585424</v>
      </c>
      <c r="M363" s="15">
        <f t="shared" si="1"/>
        <v>648.073178</v>
      </c>
      <c r="N363" s="16">
        <f t="shared" si="2"/>
        <v>0.009501187648</v>
      </c>
    </row>
    <row r="364">
      <c r="A364" s="5" t="s">
        <v>61</v>
      </c>
      <c r="B364" s="5" t="s">
        <v>16</v>
      </c>
      <c r="C364" s="5" t="s">
        <v>45</v>
      </c>
      <c r="D364" s="6" t="s">
        <v>669</v>
      </c>
      <c r="E364" s="5" t="s">
        <v>19</v>
      </c>
      <c r="F364" s="5" t="s">
        <v>27</v>
      </c>
      <c r="G364" s="5">
        <v>63415.0</v>
      </c>
      <c r="H364" s="5">
        <v>185.0</v>
      </c>
      <c r="I364" s="5">
        <v>28161.0</v>
      </c>
      <c r="J364" s="5">
        <v>59169.0</v>
      </c>
      <c r="K364" s="5">
        <v>9.0</v>
      </c>
      <c r="L364" s="9">
        <v>1924.162675</v>
      </c>
      <c r="M364" s="15">
        <f t="shared" si="1"/>
        <v>213.7958528</v>
      </c>
      <c r="N364" s="16">
        <f t="shared" si="2"/>
        <v>0.002917290862</v>
      </c>
    </row>
    <row r="365">
      <c r="A365" s="5" t="s">
        <v>22</v>
      </c>
      <c r="B365" s="5" t="s">
        <v>31</v>
      </c>
      <c r="C365" s="5" t="s">
        <v>17</v>
      </c>
      <c r="D365" s="6" t="s">
        <v>669</v>
      </c>
      <c r="E365" s="5" t="s">
        <v>26</v>
      </c>
      <c r="F365" s="5" t="s">
        <v>27</v>
      </c>
      <c r="G365" s="5">
        <v>73544.0</v>
      </c>
      <c r="H365" s="5">
        <v>223.0</v>
      </c>
      <c r="I365" s="5">
        <v>40405.0</v>
      </c>
      <c r="J365" s="5">
        <v>67406.0</v>
      </c>
      <c r="K365" s="5">
        <v>1.0</v>
      </c>
      <c r="L365" s="9">
        <v>1465.872266</v>
      </c>
      <c r="M365" s="15">
        <f t="shared" si="1"/>
        <v>1465.872266</v>
      </c>
      <c r="N365" s="16">
        <f t="shared" si="2"/>
        <v>0.003032198412</v>
      </c>
    </row>
    <row r="366">
      <c r="A366" s="5" t="s">
        <v>22</v>
      </c>
      <c r="B366" s="5" t="s">
        <v>31</v>
      </c>
      <c r="C366" s="5" t="s">
        <v>32</v>
      </c>
      <c r="D366" s="6" t="s">
        <v>676</v>
      </c>
      <c r="E366" s="5" t="s">
        <v>161</v>
      </c>
      <c r="F366" s="5" t="s">
        <v>27</v>
      </c>
      <c r="G366" s="5">
        <v>16288.0</v>
      </c>
      <c r="H366" s="5">
        <v>56.0</v>
      </c>
      <c r="I366" s="5">
        <v>5304.0</v>
      </c>
      <c r="J366" s="5">
        <v>10731.0</v>
      </c>
      <c r="K366" s="5">
        <v>3.0</v>
      </c>
      <c r="L366" s="9">
        <v>2030.142709</v>
      </c>
      <c r="M366" s="15">
        <f t="shared" si="1"/>
        <v>676.7142363</v>
      </c>
      <c r="N366" s="16">
        <f t="shared" si="2"/>
        <v>0.003438113949</v>
      </c>
    </row>
    <row r="367">
      <c r="A367" s="5" t="s">
        <v>61</v>
      </c>
      <c r="B367" s="5" t="s">
        <v>16</v>
      </c>
      <c r="C367" s="5" t="s">
        <v>183</v>
      </c>
      <c r="D367" s="6" t="s">
        <v>678</v>
      </c>
      <c r="E367" s="5" t="s">
        <v>19</v>
      </c>
      <c r="F367" s="5" t="s">
        <v>27</v>
      </c>
      <c r="G367" s="5">
        <v>15602.0</v>
      </c>
      <c r="H367" s="5">
        <v>50.0</v>
      </c>
      <c r="I367" s="5">
        <v>7676.0</v>
      </c>
      <c r="J367" s="5">
        <v>13775.0</v>
      </c>
      <c r="K367" s="5">
        <v>1.0</v>
      </c>
      <c r="L367" s="9">
        <v>2600.894327</v>
      </c>
      <c r="M367" s="15">
        <f t="shared" si="1"/>
        <v>2600.894327</v>
      </c>
      <c r="N367" s="16">
        <f t="shared" si="2"/>
        <v>0.003204717344</v>
      </c>
    </row>
    <row r="368">
      <c r="A368" s="5" t="s">
        <v>15</v>
      </c>
      <c r="B368" s="5" t="s">
        <v>16</v>
      </c>
      <c r="C368" s="5" t="s">
        <v>39</v>
      </c>
      <c r="D368" s="6" t="s">
        <v>681</v>
      </c>
      <c r="E368" s="5" t="s">
        <v>50</v>
      </c>
      <c r="F368" s="5" t="s">
        <v>27</v>
      </c>
      <c r="G368" s="5">
        <v>8000.0</v>
      </c>
      <c r="H368" s="5">
        <v>10.0</v>
      </c>
      <c r="I368" s="5">
        <v>4400.0</v>
      </c>
      <c r="J368" s="5">
        <v>6379.0</v>
      </c>
      <c r="K368" s="5">
        <v>1.0</v>
      </c>
      <c r="L368" s="9">
        <v>6159.366902</v>
      </c>
      <c r="M368" s="15">
        <f t="shared" si="1"/>
        <v>6159.366902</v>
      </c>
      <c r="N368" s="16">
        <f t="shared" si="2"/>
        <v>0.00125</v>
      </c>
    </row>
    <row r="369">
      <c r="A369" s="5" t="s">
        <v>22</v>
      </c>
      <c r="B369" s="5" t="s">
        <v>31</v>
      </c>
      <c r="C369" s="5" t="s">
        <v>17</v>
      </c>
      <c r="D369" s="6" t="s">
        <v>681</v>
      </c>
      <c r="E369" s="5" t="s">
        <v>136</v>
      </c>
      <c r="F369" s="5" t="s">
        <v>27</v>
      </c>
      <c r="G369" s="5">
        <v>13592.0</v>
      </c>
      <c r="H369" s="5">
        <v>85.0</v>
      </c>
      <c r="I369" s="5">
        <v>7747.0</v>
      </c>
      <c r="J369" s="5">
        <v>10690.0</v>
      </c>
      <c r="K369" s="5">
        <v>1.0</v>
      </c>
      <c r="L369" s="9">
        <v>1555.112078</v>
      </c>
      <c r="M369" s="15">
        <f t="shared" si="1"/>
        <v>1555.112078</v>
      </c>
      <c r="N369" s="16">
        <f t="shared" si="2"/>
        <v>0.006253678634</v>
      </c>
    </row>
    <row r="370">
      <c r="A370" s="5" t="s">
        <v>22</v>
      </c>
      <c r="B370" s="5" t="s">
        <v>42</v>
      </c>
      <c r="C370" s="5" t="s">
        <v>78</v>
      </c>
      <c r="D370" s="6" t="s">
        <v>684</v>
      </c>
      <c r="E370" s="5" t="s">
        <v>26</v>
      </c>
      <c r="F370" s="5" t="s">
        <v>27</v>
      </c>
      <c r="G370" s="5">
        <v>15588.0</v>
      </c>
      <c r="H370" s="5">
        <v>80.0</v>
      </c>
      <c r="I370" s="5">
        <v>2089.0</v>
      </c>
      <c r="J370" s="5">
        <v>14526.0</v>
      </c>
      <c r="K370" s="5">
        <v>9.0</v>
      </c>
      <c r="L370" s="9">
        <v>3518.533482</v>
      </c>
      <c r="M370" s="15">
        <f t="shared" si="1"/>
        <v>390.9481647</v>
      </c>
      <c r="N370" s="16">
        <f t="shared" si="2"/>
        <v>0.005132152938</v>
      </c>
    </row>
    <row r="371">
      <c r="A371" s="5" t="s">
        <v>22</v>
      </c>
      <c r="B371" s="5" t="s">
        <v>31</v>
      </c>
      <c r="C371" s="5" t="s">
        <v>29</v>
      </c>
      <c r="D371" s="6" t="s">
        <v>686</v>
      </c>
      <c r="E371" s="5" t="s">
        <v>19</v>
      </c>
      <c r="F371" s="5" t="s">
        <v>27</v>
      </c>
      <c r="G371" s="5">
        <v>14038.0</v>
      </c>
      <c r="H371" s="5">
        <v>63.0</v>
      </c>
      <c r="I371" s="5">
        <v>1600.0</v>
      </c>
      <c r="J371" s="5">
        <v>11345.0</v>
      </c>
      <c r="K371" s="5">
        <v>8.0</v>
      </c>
      <c r="L371" s="9">
        <v>6368.862913</v>
      </c>
      <c r="M371" s="15">
        <f t="shared" si="1"/>
        <v>796.1078641</v>
      </c>
      <c r="N371" s="16">
        <f t="shared" si="2"/>
        <v>0.004487818778</v>
      </c>
    </row>
    <row r="372">
      <c r="A372" s="5" t="s">
        <v>61</v>
      </c>
      <c r="B372" s="5" t="s">
        <v>31</v>
      </c>
      <c r="C372" s="5" t="s">
        <v>55</v>
      </c>
      <c r="D372" s="6" t="s">
        <v>686</v>
      </c>
      <c r="E372" s="5" t="s">
        <v>1046</v>
      </c>
      <c r="F372" s="5" t="s">
        <v>27</v>
      </c>
      <c r="G372" s="5">
        <v>140359.0</v>
      </c>
      <c r="H372" s="5">
        <v>352.0</v>
      </c>
      <c r="I372" s="5">
        <v>76130.0</v>
      </c>
      <c r="J372" s="5">
        <v>133578.0</v>
      </c>
      <c r="K372" s="5">
        <v>26.0</v>
      </c>
      <c r="L372" s="9">
        <v>6094.666799</v>
      </c>
      <c r="M372" s="15">
        <f t="shared" si="1"/>
        <v>234.4102615</v>
      </c>
      <c r="N372" s="16">
        <f t="shared" si="2"/>
        <v>0.002507854858</v>
      </c>
    </row>
    <row r="373">
      <c r="A373" s="5" t="s">
        <v>22</v>
      </c>
      <c r="B373" s="5" t="s">
        <v>31</v>
      </c>
      <c r="C373" s="5" t="s">
        <v>35</v>
      </c>
      <c r="D373" s="6" t="s">
        <v>686</v>
      </c>
      <c r="E373" s="5" t="s">
        <v>19</v>
      </c>
      <c r="F373" s="5" t="s">
        <v>27</v>
      </c>
      <c r="G373" s="5">
        <v>25377.0</v>
      </c>
      <c r="H373" s="5">
        <v>101.0</v>
      </c>
      <c r="I373" s="5">
        <v>16698.0</v>
      </c>
      <c r="J373" s="5">
        <v>23798.0</v>
      </c>
      <c r="K373" s="5">
        <v>2.0</v>
      </c>
      <c r="L373" s="9">
        <v>5175.142919</v>
      </c>
      <c r="M373" s="15">
        <f t="shared" si="1"/>
        <v>2587.57146</v>
      </c>
      <c r="N373" s="16">
        <f t="shared" si="2"/>
        <v>0.003979981873</v>
      </c>
    </row>
    <row r="374">
      <c r="A374" s="5" t="s">
        <v>22</v>
      </c>
      <c r="B374" s="5" t="s">
        <v>23</v>
      </c>
      <c r="C374" s="5" t="s">
        <v>55</v>
      </c>
      <c r="D374" s="6" t="s">
        <v>686</v>
      </c>
      <c r="E374" s="5" t="s">
        <v>19</v>
      </c>
      <c r="F374" s="5" t="s">
        <v>27</v>
      </c>
      <c r="G374" s="5">
        <v>29092.0</v>
      </c>
      <c r="H374" s="5">
        <v>75.0</v>
      </c>
      <c r="I374" s="5">
        <v>16986.0</v>
      </c>
      <c r="J374" s="5">
        <v>26606.0</v>
      </c>
      <c r="K374" s="5">
        <v>15.0</v>
      </c>
      <c r="L374" s="9">
        <v>1801.058111</v>
      </c>
      <c r="M374" s="15">
        <f t="shared" si="1"/>
        <v>120.0705407</v>
      </c>
      <c r="N374" s="16">
        <f t="shared" si="2"/>
        <v>0.002578028324</v>
      </c>
    </row>
    <row r="375">
      <c r="A375" s="5" t="s">
        <v>22</v>
      </c>
      <c r="B375" s="5" t="s">
        <v>16</v>
      </c>
      <c r="C375" s="5" t="s">
        <v>35</v>
      </c>
      <c r="D375" s="6" t="s">
        <v>686</v>
      </c>
      <c r="E375" s="5" t="s">
        <v>19</v>
      </c>
      <c r="F375" s="5" t="s">
        <v>27</v>
      </c>
      <c r="G375" s="5">
        <v>152881.0</v>
      </c>
      <c r="H375" s="5">
        <v>426.0</v>
      </c>
      <c r="I375" s="5">
        <v>94895.0</v>
      </c>
      <c r="J375" s="5">
        <v>145113.0</v>
      </c>
      <c r="K375" s="5">
        <v>11.0</v>
      </c>
      <c r="L375" s="9">
        <v>1496.668524</v>
      </c>
      <c r="M375" s="15">
        <f t="shared" si="1"/>
        <v>136.0607749</v>
      </c>
      <c r="N375" s="16">
        <f t="shared" si="2"/>
        <v>0.002786480988</v>
      </c>
    </row>
    <row r="376">
      <c r="A376" s="5" t="s">
        <v>22</v>
      </c>
      <c r="B376" s="5" t="s">
        <v>23</v>
      </c>
      <c r="C376" s="5" t="s">
        <v>35</v>
      </c>
      <c r="D376" s="6" t="s">
        <v>693</v>
      </c>
      <c r="E376" s="5" t="s">
        <v>19</v>
      </c>
      <c r="F376" s="5" t="s">
        <v>27</v>
      </c>
      <c r="G376" s="5">
        <v>16239.0</v>
      </c>
      <c r="H376" s="5">
        <v>78.0</v>
      </c>
      <c r="I376" s="5">
        <v>9375.0</v>
      </c>
      <c r="J376" s="5">
        <v>15562.0</v>
      </c>
      <c r="K376" s="5">
        <v>5.0</v>
      </c>
      <c r="L376" s="9">
        <v>2387.686295</v>
      </c>
      <c r="M376" s="15">
        <f t="shared" si="1"/>
        <v>477.537259</v>
      </c>
      <c r="N376" s="16">
        <f t="shared" si="2"/>
        <v>0.004803251432</v>
      </c>
    </row>
    <row r="377">
      <c r="A377" s="5" t="s">
        <v>15</v>
      </c>
      <c r="B377" s="5" t="s">
        <v>16</v>
      </c>
      <c r="C377" s="5" t="s">
        <v>35</v>
      </c>
      <c r="D377" s="6" t="s">
        <v>693</v>
      </c>
      <c r="E377" s="5" t="s">
        <v>36</v>
      </c>
      <c r="F377" s="5" t="s">
        <v>27</v>
      </c>
      <c r="G377" s="5">
        <v>14932.0</v>
      </c>
      <c r="H377" s="5">
        <v>90.0</v>
      </c>
      <c r="I377" s="5">
        <v>8947.0</v>
      </c>
      <c r="J377" s="5">
        <v>14256.0</v>
      </c>
      <c r="K377" s="5">
        <v>3.0</v>
      </c>
      <c r="L377" s="9">
        <v>1724.417704</v>
      </c>
      <c r="M377" s="15">
        <f t="shared" si="1"/>
        <v>574.8059013</v>
      </c>
      <c r="N377" s="16">
        <f t="shared" si="2"/>
        <v>0.006027323868</v>
      </c>
    </row>
    <row r="378">
      <c r="A378" s="5" t="s">
        <v>15</v>
      </c>
      <c r="B378" s="5" t="s">
        <v>23</v>
      </c>
      <c r="C378" s="5" t="s">
        <v>24</v>
      </c>
      <c r="D378" s="6" t="s">
        <v>696</v>
      </c>
      <c r="E378" s="5" t="s">
        <v>36</v>
      </c>
      <c r="F378" s="5" t="s">
        <v>27</v>
      </c>
      <c r="G378" s="5">
        <v>13823.0</v>
      </c>
      <c r="H378" s="5">
        <v>58.0</v>
      </c>
      <c r="I378" s="5">
        <v>10671.0</v>
      </c>
      <c r="J378" s="5">
        <v>12937.0</v>
      </c>
      <c r="K378" s="5">
        <v>3.0</v>
      </c>
      <c r="L378" s="9">
        <v>1574.709734</v>
      </c>
      <c r="M378" s="15">
        <f t="shared" si="1"/>
        <v>524.9032447</v>
      </c>
      <c r="N378" s="16">
        <f t="shared" si="2"/>
        <v>0.004195905375</v>
      </c>
    </row>
    <row r="379">
      <c r="A379" s="5" t="s">
        <v>15</v>
      </c>
      <c r="B379" s="5" t="s">
        <v>16</v>
      </c>
      <c r="C379" s="5" t="s">
        <v>32</v>
      </c>
      <c r="D379" s="6" t="s">
        <v>696</v>
      </c>
      <c r="E379" s="5" t="s">
        <v>19</v>
      </c>
      <c r="F379" s="5" t="s">
        <v>27</v>
      </c>
      <c r="G379" s="5">
        <v>11214.0</v>
      </c>
      <c r="H379" s="5">
        <v>49.0</v>
      </c>
      <c r="I379" s="5">
        <v>5523.0</v>
      </c>
      <c r="J379" s="5">
        <v>10267.0</v>
      </c>
      <c r="K379" s="5">
        <v>2.0</v>
      </c>
      <c r="L379" s="9">
        <v>1554.389215</v>
      </c>
      <c r="M379" s="15">
        <f t="shared" si="1"/>
        <v>777.1946075</v>
      </c>
      <c r="N379" s="16">
        <f t="shared" si="2"/>
        <v>0.004369538077</v>
      </c>
    </row>
    <row r="380">
      <c r="A380" s="5" t="s">
        <v>22</v>
      </c>
      <c r="B380" s="5" t="s">
        <v>42</v>
      </c>
      <c r="C380" s="5" t="s">
        <v>699</v>
      </c>
      <c r="D380" s="6" t="s">
        <v>700</v>
      </c>
      <c r="E380" s="5" t="s">
        <v>36</v>
      </c>
      <c r="F380" s="5" t="s">
        <v>27</v>
      </c>
      <c r="G380" s="5">
        <v>19829.0</v>
      </c>
      <c r="H380" s="5">
        <v>42.0</v>
      </c>
      <c r="I380" s="5">
        <v>15071.0</v>
      </c>
      <c r="J380" s="5">
        <v>19095.0</v>
      </c>
      <c r="K380" s="5">
        <v>2.0</v>
      </c>
      <c r="L380" s="9">
        <v>1952.463773</v>
      </c>
      <c r="M380" s="15">
        <f t="shared" si="1"/>
        <v>976.2318865</v>
      </c>
      <c r="N380" s="16">
        <f t="shared" si="2"/>
        <v>0.002118109839</v>
      </c>
    </row>
    <row r="381">
      <c r="A381" s="5" t="s">
        <v>22</v>
      </c>
      <c r="B381" s="5" t="s">
        <v>23</v>
      </c>
      <c r="C381" s="5" t="s">
        <v>39</v>
      </c>
      <c r="D381" s="6" t="s">
        <v>702</v>
      </c>
      <c r="E381" s="5" t="s">
        <v>1046</v>
      </c>
      <c r="F381" s="5" t="s">
        <v>27</v>
      </c>
      <c r="G381" s="5">
        <v>183230.0</v>
      </c>
      <c r="H381" s="5">
        <v>666.0</v>
      </c>
      <c r="I381" s="5">
        <v>155260.0</v>
      </c>
      <c r="J381" s="5">
        <v>169583.0</v>
      </c>
      <c r="K381" s="5">
        <v>34.0</v>
      </c>
      <c r="L381" s="9">
        <v>7863.469709</v>
      </c>
      <c r="M381" s="15">
        <f t="shared" si="1"/>
        <v>231.2785209</v>
      </c>
      <c r="N381" s="16">
        <f t="shared" si="2"/>
        <v>0.003634775965</v>
      </c>
    </row>
    <row r="382">
      <c r="A382" s="5" t="s">
        <v>22</v>
      </c>
      <c r="B382" s="5" t="s">
        <v>42</v>
      </c>
      <c r="C382" s="5" t="s">
        <v>84</v>
      </c>
      <c r="D382" s="6" t="s">
        <v>702</v>
      </c>
      <c r="E382" s="5" t="s">
        <v>117</v>
      </c>
      <c r="F382" s="5" t="s">
        <v>27</v>
      </c>
      <c r="G382" s="5">
        <v>113262.0</v>
      </c>
      <c r="H382" s="5">
        <v>380.0</v>
      </c>
      <c r="I382" s="5">
        <v>95762.0</v>
      </c>
      <c r="J382" s="5">
        <v>104612.0</v>
      </c>
      <c r="K382" s="5">
        <v>4.0</v>
      </c>
      <c r="L382" s="9">
        <v>7443.483233</v>
      </c>
      <c r="M382" s="15">
        <f t="shared" si="1"/>
        <v>1860.870808</v>
      </c>
      <c r="N382" s="16">
        <f t="shared" si="2"/>
        <v>0.003355052886</v>
      </c>
    </row>
    <row r="383">
      <c r="A383" s="5" t="s">
        <v>15</v>
      </c>
      <c r="B383" s="5" t="s">
        <v>31</v>
      </c>
      <c r="C383" s="5" t="s">
        <v>29</v>
      </c>
      <c r="D383" s="6" t="s">
        <v>702</v>
      </c>
      <c r="E383" s="5" t="s">
        <v>19</v>
      </c>
      <c r="F383" s="5" t="s">
        <v>27</v>
      </c>
      <c r="G383" s="5">
        <v>75531.0</v>
      </c>
      <c r="H383" s="5">
        <v>200.0</v>
      </c>
      <c r="I383" s="5">
        <v>63816.0</v>
      </c>
      <c r="J383" s="5">
        <v>70011.0</v>
      </c>
      <c r="K383" s="5">
        <v>9.0</v>
      </c>
      <c r="L383" s="9">
        <v>7261.86504</v>
      </c>
      <c r="M383" s="15">
        <f t="shared" si="1"/>
        <v>806.8738933</v>
      </c>
      <c r="N383" s="16">
        <f t="shared" si="2"/>
        <v>0.002647919397</v>
      </c>
    </row>
    <row r="384">
      <c r="A384" s="5" t="s">
        <v>22</v>
      </c>
      <c r="B384" s="5" t="s">
        <v>31</v>
      </c>
      <c r="C384" s="5" t="s">
        <v>55</v>
      </c>
      <c r="D384" s="6" t="s">
        <v>702</v>
      </c>
      <c r="E384" s="5" t="s">
        <v>46</v>
      </c>
      <c r="F384" s="5" t="s">
        <v>27</v>
      </c>
      <c r="G384" s="5">
        <v>264580.0</v>
      </c>
      <c r="H384" s="5">
        <v>691.0</v>
      </c>
      <c r="I384" s="5">
        <v>217526.0</v>
      </c>
      <c r="J384" s="5">
        <v>240731.0</v>
      </c>
      <c r="K384" s="5">
        <v>9.0</v>
      </c>
      <c r="L384" s="9">
        <v>4874.651722</v>
      </c>
      <c r="M384" s="15">
        <f t="shared" si="1"/>
        <v>541.6279691</v>
      </c>
      <c r="N384" s="16">
        <f t="shared" si="2"/>
        <v>0.002611686446</v>
      </c>
    </row>
    <row r="385">
      <c r="A385" s="5" t="s">
        <v>22</v>
      </c>
      <c r="B385" s="5" t="s">
        <v>42</v>
      </c>
      <c r="C385" s="5" t="s">
        <v>32</v>
      </c>
      <c r="D385" s="6" t="s">
        <v>702</v>
      </c>
      <c r="E385" s="5" t="s">
        <v>19</v>
      </c>
      <c r="F385" s="5" t="s">
        <v>27</v>
      </c>
      <c r="G385" s="5">
        <v>42833.0</v>
      </c>
      <c r="H385" s="5">
        <v>120.0</v>
      </c>
      <c r="I385" s="5">
        <v>37438.0</v>
      </c>
      <c r="J385" s="5">
        <v>40447.0</v>
      </c>
      <c r="K385" s="5">
        <v>9.0</v>
      </c>
      <c r="L385" s="9">
        <v>2040.934819</v>
      </c>
      <c r="M385" s="15">
        <f t="shared" si="1"/>
        <v>226.7705354</v>
      </c>
      <c r="N385" s="16">
        <f t="shared" si="2"/>
        <v>0.002801578222</v>
      </c>
    </row>
    <row r="386">
      <c r="A386" s="5" t="s">
        <v>22</v>
      </c>
      <c r="B386" s="5" t="s">
        <v>16</v>
      </c>
      <c r="C386" s="5" t="s">
        <v>39</v>
      </c>
      <c r="D386" s="6" t="s">
        <v>702</v>
      </c>
      <c r="E386" s="5" t="s">
        <v>36</v>
      </c>
      <c r="F386" s="5" t="s">
        <v>27</v>
      </c>
      <c r="G386" s="5">
        <v>481526.0</v>
      </c>
      <c r="H386" s="5">
        <v>1235.0</v>
      </c>
      <c r="I386" s="5">
        <v>396802.0</v>
      </c>
      <c r="J386" s="5">
        <v>437639.0</v>
      </c>
      <c r="K386" s="5">
        <v>23.0</v>
      </c>
      <c r="L386" s="9">
        <v>2037.865594</v>
      </c>
      <c r="M386" s="15">
        <f t="shared" si="1"/>
        <v>88.60285191</v>
      </c>
      <c r="N386" s="16">
        <f t="shared" si="2"/>
        <v>0.002564762858</v>
      </c>
    </row>
    <row r="387">
      <c r="A387" s="5" t="s">
        <v>15</v>
      </c>
      <c r="B387" s="5" t="s">
        <v>42</v>
      </c>
      <c r="C387" s="5" t="s">
        <v>17</v>
      </c>
      <c r="D387" s="6" t="s">
        <v>702</v>
      </c>
      <c r="E387" s="5" t="s">
        <v>19</v>
      </c>
      <c r="F387" s="5" t="s">
        <v>27</v>
      </c>
      <c r="G387" s="5">
        <v>21088.0</v>
      </c>
      <c r="H387" s="5">
        <v>60.0</v>
      </c>
      <c r="I387" s="5">
        <v>17930.0</v>
      </c>
      <c r="J387" s="5">
        <v>19822.0</v>
      </c>
      <c r="K387" s="5">
        <v>4.0</v>
      </c>
      <c r="L387" s="9">
        <v>1623.681601</v>
      </c>
      <c r="M387" s="15">
        <f t="shared" si="1"/>
        <v>405.9204003</v>
      </c>
      <c r="N387" s="16">
        <f t="shared" si="2"/>
        <v>0.00284522003</v>
      </c>
    </row>
    <row r="388">
      <c r="A388" s="5" t="s">
        <v>15</v>
      </c>
      <c r="B388" s="5" t="s">
        <v>23</v>
      </c>
      <c r="C388" s="5" t="s">
        <v>29</v>
      </c>
      <c r="D388" s="6" t="s">
        <v>702</v>
      </c>
      <c r="E388" s="5" t="s">
        <v>19</v>
      </c>
      <c r="F388" s="5" t="s">
        <v>27</v>
      </c>
      <c r="G388" s="5">
        <v>284783.0</v>
      </c>
      <c r="H388" s="5">
        <v>756.0</v>
      </c>
      <c r="I388" s="5">
        <v>239363.0</v>
      </c>
      <c r="J388" s="5">
        <v>261467.0</v>
      </c>
      <c r="K388" s="5">
        <v>9.0</v>
      </c>
      <c r="L388" s="9">
        <v>1605.538072</v>
      </c>
      <c r="M388" s="15">
        <f t="shared" si="1"/>
        <v>178.3931191</v>
      </c>
      <c r="N388" s="16">
        <f t="shared" si="2"/>
        <v>0.002654652841</v>
      </c>
    </row>
    <row r="389">
      <c r="A389" s="5" t="s">
        <v>22</v>
      </c>
      <c r="B389" s="5" t="s">
        <v>42</v>
      </c>
      <c r="C389" s="5" t="s">
        <v>531</v>
      </c>
      <c r="D389" s="6" t="s">
        <v>702</v>
      </c>
      <c r="E389" s="5" t="s">
        <v>19</v>
      </c>
      <c r="F389" s="5" t="s">
        <v>27</v>
      </c>
      <c r="G389" s="5">
        <v>21229.0</v>
      </c>
      <c r="H389" s="5">
        <v>80.0</v>
      </c>
      <c r="I389" s="5">
        <v>18073.0</v>
      </c>
      <c r="J389" s="5">
        <v>19655.0</v>
      </c>
      <c r="K389" s="5">
        <v>10.0</v>
      </c>
      <c r="L389" s="9">
        <v>1550.076655</v>
      </c>
      <c r="M389" s="15">
        <f t="shared" si="1"/>
        <v>155.0076655</v>
      </c>
      <c r="N389" s="16">
        <f t="shared" si="2"/>
        <v>0.003768429978</v>
      </c>
    </row>
    <row r="390">
      <c r="A390" s="5" t="s">
        <v>22</v>
      </c>
      <c r="B390" s="5" t="s">
        <v>42</v>
      </c>
      <c r="C390" s="5" t="s">
        <v>214</v>
      </c>
      <c r="D390" s="6" t="s">
        <v>702</v>
      </c>
      <c r="E390" s="5" t="s">
        <v>19</v>
      </c>
      <c r="F390" s="5" t="s">
        <v>27</v>
      </c>
      <c r="G390" s="5">
        <v>55274.0</v>
      </c>
      <c r="H390" s="5">
        <v>219.0</v>
      </c>
      <c r="I390" s="5">
        <v>47583.0</v>
      </c>
      <c r="J390" s="5">
        <v>51275.0</v>
      </c>
      <c r="K390" s="5">
        <v>3.0</v>
      </c>
      <c r="L390" s="9">
        <v>1532.757905</v>
      </c>
      <c r="M390" s="15">
        <f t="shared" si="1"/>
        <v>510.9193017</v>
      </c>
      <c r="N390" s="16">
        <f t="shared" si="2"/>
        <v>0.003962079821</v>
      </c>
    </row>
    <row r="391">
      <c r="A391" s="5" t="s">
        <v>22</v>
      </c>
      <c r="B391" s="5" t="s">
        <v>31</v>
      </c>
      <c r="C391" s="5" t="s">
        <v>55</v>
      </c>
      <c r="D391" s="6" t="s">
        <v>702</v>
      </c>
      <c r="E391" s="5" t="s">
        <v>36</v>
      </c>
      <c r="F391" s="5" t="s">
        <v>27</v>
      </c>
      <c r="G391" s="5">
        <v>8278.0</v>
      </c>
      <c r="H391" s="5">
        <v>40.0</v>
      </c>
      <c r="I391" s="5">
        <v>6758.0</v>
      </c>
      <c r="J391" s="5">
        <v>7537.0</v>
      </c>
      <c r="K391" s="5">
        <v>1.0</v>
      </c>
      <c r="L391" s="9">
        <v>1526.296619</v>
      </c>
      <c r="M391" s="15">
        <f t="shared" si="1"/>
        <v>1526.296619</v>
      </c>
      <c r="N391" s="16">
        <f t="shared" si="2"/>
        <v>0.004832085045</v>
      </c>
    </row>
    <row r="392">
      <c r="A392" s="5" t="s">
        <v>15</v>
      </c>
      <c r="B392" s="5" t="s">
        <v>42</v>
      </c>
      <c r="C392" s="5" t="s">
        <v>95</v>
      </c>
      <c r="D392" s="6" t="s">
        <v>718</v>
      </c>
      <c r="E392" s="5" t="s">
        <v>36</v>
      </c>
      <c r="F392" s="5" t="s">
        <v>27</v>
      </c>
      <c r="G392" s="5">
        <v>57168.0</v>
      </c>
      <c r="H392" s="5">
        <v>160.0</v>
      </c>
      <c r="I392" s="5">
        <v>43261.0</v>
      </c>
      <c r="J392" s="5">
        <v>55261.0</v>
      </c>
      <c r="K392" s="5">
        <v>12.0</v>
      </c>
      <c r="L392" s="9">
        <v>5841.15136</v>
      </c>
      <c r="M392" s="15">
        <f t="shared" si="1"/>
        <v>486.7626133</v>
      </c>
      <c r="N392" s="16">
        <f t="shared" si="2"/>
        <v>0.002798768542</v>
      </c>
    </row>
    <row r="393">
      <c r="A393" s="5" t="s">
        <v>15</v>
      </c>
      <c r="B393" s="5" t="s">
        <v>16</v>
      </c>
      <c r="C393" s="5" t="s">
        <v>55</v>
      </c>
      <c r="D393" s="6" t="s">
        <v>718</v>
      </c>
      <c r="E393" s="5" t="s">
        <v>1046</v>
      </c>
      <c r="F393" s="5" t="s">
        <v>27</v>
      </c>
      <c r="G393" s="5">
        <v>58477.0</v>
      </c>
      <c r="H393" s="5">
        <v>135.0</v>
      </c>
      <c r="I393" s="5">
        <v>43554.0</v>
      </c>
      <c r="J393" s="5">
        <v>56558.0</v>
      </c>
      <c r="K393" s="5">
        <v>19.0</v>
      </c>
      <c r="L393" s="9">
        <v>5247.623883</v>
      </c>
      <c r="M393" s="15">
        <f t="shared" si="1"/>
        <v>276.1907307</v>
      </c>
      <c r="N393" s="16">
        <f t="shared" si="2"/>
        <v>0.002308599962</v>
      </c>
    </row>
    <row r="394">
      <c r="A394" s="5" t="s">
        <v>15</v>
      </c>
      <c r="B394" s="5" t="s">
        <v>31</v>
      </c>
      <c r="C394" s="5" t="s">
        <v>175</v>
      </c>
      <c r="D394" s="6" t="s">
        <v>718</v>
      </c>
      <c r="E394" s="5" t="s">
        <v>19</v>
      </c>
      <c r="F394" s="5" t="s">
        <v>27</v>
      </c>
      <c r="G394" s="5">
        <v>13202.0</v>
      </c>
      <c r="H394" s="5">
        <v>101.0</v>
      </c>
      <c r="I394" s="5">
        <v>10871.0</v>
      </c>
      <c r="J394" s="5">
        <v>12885.0</v>
      </c>
      <c r="K394" s="5">
        <v>3.0</v>
      </c>
      <c r="L394" s="9">
        <v>1699.060809</v>
      </c>
      <c r="M394" s="15">
        <f t="shared" si="1"/>
        <v>566.353603</v>
      </c>
      <c r="N394" s="16">
        <f t="shared" si="2"/>
        <v>0.007650356007</v>
      </c>
    </row>
    <row r="395">
      <c r="A395" s="5" t="s">
        <v>15</v>
      </c>
      <c r="B395" s="5" t="s">
        <v>42</v>
      </c>
      <c r="C395" s="5" t="s">
        <v>55</v>
      </c>
      <c r="D395" s="6" t="s">
        <v>723</v>
      </c>
      <c r="E395" s="5" t="s">
        <v>48</v>
      </c>
      <c r="F395" s="5" t="s">
        <v>27</v>
      </c>
      <c r="G395" s="5">
        <v>8187.0</v>
      </c>
      <c r="H395" s="5">
        <v>20.0</v>
      </c>
      <c r="I395" s="5">
        <v>4888.0</v>
      </c>
      <c r="J395" s="5">
        <v>7510.0</v>
      </c>
      <c r="K395" s="5">
        <v>3.0</v>
      </c>
      <c r="L395" s="9">
        <v>6980.229304</v>
      </c>
      <c r="M395" s="15">
        <f t="shared" si="1"/>
        <v>2326.743101</v>
      </c>
      <c r="N395" s="16">
        <f t="shared" si="2"/>
        <v>0.002442897276</v>
      </c>
    </row>
    <row r="396">
      <c r="A396" s="5" t="s">
        <v>15</v>
      </c>
      <c r="B396" s="5" t="s">
        <v>23</v>
      </c>
      <c r="C396" s="5" t="s">
        <v>84</v>
      </c>
      <c r="D396" s="6" t="s">
        <v>723</v>
      </c>
      <c r="E396" s="5" t="s">
        <v>26</v>
      </c>
      <c r="F396" s="5" t="s">
        <v>27</v>
      </c>
      <c r="G396" s="5">
        <v>21280.0</v>
      </c>
      <c r="H396" s="5">
        <v>70.0</v>
      </c>
      <c r="I396" s="5">
        <v>15309.0</v>
      </c>
      <c r="J396" s="5">
        <v>20244.0</v>
      </c>
      <c r="K396" s="5">
        <v>6.0</v>
      </c>
      <c r="L396" s="9">
        <v>6837.510602</v>
      </c>
      <c r="M396" s="15">
        <f t="shared" si="1"/>
        <v>1139.5851</v>
      </c>
      <c r="N396" s="16">
        <f t="shared" si="2"/>
        <v>0.003289473684</v>
      </c>
    </row>
    <row r="397">
      <c r="A397" s="5" t="s">
        <v>22</v>
      </c>
      <c r="B397" s="5" t="s">
        <v>23</v>
      </c>
      <c r="C397" s="5" t="s">
        <v>1095</v>
      </c>
      <c r="D397" s="6" t="s">
        <v>723</v>
      </c>
      <c r="E397" s="5" t="s">
        <v>19</v>
      </c>
      <c r="F397" s="5" t="s">
        <v>27</v>
      </c>
      <c r="G397" s="5">
        <v>81567.0</v>
      </c>
      <c r="H397" s="5">
        <v>440.0</v>
      </c>
      <c r="I397" s="5">
        <v>53264.0</v>
      </c>
      <c r="J397" s="5">
        <v>68123.0</v>
      </c>
      <c r="K397" s="5">
        <v>4.0</v>
      </c>
      <c r="L397" s="9">
        <v>6392.471955</v>
      </c>
      <c r="M397" s="15">
        <f t="shared" si="1"/>
        <v>1598.117989</v>
      </c>
      <c r="N397" s="16">
        <f t="shared" si="2"/>
        <v>0.005394338397</v>
      </c>
    </row>
    <row r="398">
      <c r="A398" s="5" t="s">
        <v>15</v>
      </c>
      <c r="B398" s="5" t="s">
        <v>16</v>
      </c>
      <c r="C398" s="5" t="s">
        <v>356</v>
      </c>
      <c r="D398" s="6" t="s">
        <v>723</v>
      </c>
      <c r="E398" s="5" t="s">
        <v>19</v>
      </c>
      <c r="F398" s="5" t="s">
        <v>27</v>
      </c>
      <c r="G398" s="5">
        <v>17620.0</v>
      </c>
      <c r="H398" s="5">
        <v>52.0</v>
      </c>
      <c r="I398" s="5">
        <v>11197.0</v>
      </c>
      <c r="J398" s="5">
        <v>16687.0</v>
      </c>
      <c r="K398" s="5">
        <v>9.0</v>
      </c>
      <c r="L398" s="9">
        <v>2407.794325</v>
      </c>
      <c r="M398" s="15">
        <f t="shared" si="1"/>
        <v>267.5327028</v>
      </c>
      <c r="N398" s="16">
        <f t="shared" si="2"/>
        <v>0.002951191827</v>
      </c>
    </row>
    <row r="399">
      <c r="A399" s="5" t="s">
        <v>22</v>
      </c>
      <c r="B399" s="5" t="s">
        <v>31</v>
      </c>
      <c r="C399" s="5" t="s">
        <v>84</v>
      </c>
      <c r="D399" s="6" t="s">
        <v>723</v>
      </c>
      <c r="E399" s="5" t="s">
        <v>167</v>
      </c>
      <c r="F399" s="5" t="s">
        <v>27</v>
      </c>
      <c r="G399" s="5">
        <v>22175.0</v>
      </c>
      <c r="H399" s="5">
        <v>140.0</v>
      </c>
      <c r="I399" s="5">
        <v>14910.0</v>
      </c>
      <c r="J399" s="5">
        <v>20074.0</v>
      </c>
      <c r="K399" s="5">
        <v>6.0</v>
      </c>
      <c r="L399" s="9">
        <v>1909.277483</v>
      </c>
      <c r="M399" s="15">
        <f t="shared" si="1"/>
        <v>318.2129138</v>
      </c>
      <c r="N399" s="16">
        <f t="shared" si="2"/>
        <v>0.006313416009</v>
      </c>
    </row>
    <row r="400">
      <c r="A400" s="5" t="s">
        <v>22</v>
      </c>
      <c r="B400" s="5" t="s">
        <v>16</v>
      </c>
      <c r="C400" s="5" t="s">
        <v>35</v>
      </c>
      <c r="D400" s="6" t="s">
        <v>730</v>
      </c>
      <c r="E400" s="5" t="s">
        <v>327</v>
      </c>
      <c r="F400" s="5" t="s">
        <v>27</v>
      </c>
      <c r="G400" s="5">
        <v>56927.0</v>
      </c>
      <c r="H400" s="5">
        <v>165.0</v>
      </c>
      <c r="I400" s="5">
        <v>20980.0</v>
      </c>
      <c r="J400" s="5">
        <v>55050.0</v>
      </c>
      <c r="K400" s="5">
        <v>5.0</v>
      </c>
      <c r="L400" s="9">
        <v>2463.821917</v>
      </c>
      <c r="M400" s="15">
        <f t="shared" si="1"/>
        <v>492.7643834</v>
      </c>
      <c r="N400" s="16">
        <f t="shared" si="2"/>
        <v>0.002898448891</v>
      </c>
    </row>
    <row r="401">
      <c r="A401" s="5" t="s">
        <v>22</v>
      </c>
      <c r="B401" s="5" t="s">
        <v>23</v>
      </c>
      <c r="C401" s="5" t="s">
        <v>55</v>
      </c>
      <c r="D401" s="6" t="s">
        <v>732</v>
      </c>
      <c r="E401" s="5" t="s">
        <v>46</v>
      </c>
      <c r="F401" s="5" t="s">
        <v>27</v>
      </c>
      <c r="G401" s="5">
        <v>20165.0</v>
      </c>
      <c r="H401" s="5">
        <v>60.0</v>
      </c>
      <c r="I401" s="5">
        <v>6601.0</v>
      </c>
      <c r="J401" s="5">
        <v>18909.0</v>
      </c>
      <c r="K401" s="5">
        <v>10.0</v>
      </c>
      <c r="L401" s="9">
        <v>1743.078687</v>
      </c>
      <c r="M401" s="15">
        <f t="shared" si="1"/>
        <v>174.3078687</v>
      </c>
      <c r="N401" s="16">
        <f t="shared" si="2"/>
        <v>0.002975452517</v>
      </c>
    </row>
    <row r="402">
      <c r="A402" s="5" t="s">
        <v>22</v>
      </c>
      <c r="B402" s="5" t="s">
        <v>16</v>
      </c>
      <c r="C402" s="5" t="s">
        <v>131</v>
      </c>
      <c r="D402" s="6" t="s">
        <v>735</v>
      </c>
      <c r="E402" s="5" t="s">
        <v>19</v>
      </c>
      <c r="F402" s="5" t="s">
        <v>27</v>
      </c>
      <c r="G402" s="5">
        <v>268811.0</v>
      </c>
      <c r="H402" s="5">
        <v>799.0</v>
      </c>
      <c r="I402" s="5">
        <v>95989.0</v>
      </c>
      <c r="J402" s="5">
        <v>173923.0</v>
      </c>
      <c r="K402" s="5">
        <v>4.0</v>
      </c>
      <c r="L402" s="9">
        <v>2549.115158</v>
      </c>
      <c r="M402" s="15">
        <f t="shared" si="1"/>
        <v>637.2787895</v>
      </c>
      <c r="N402" s="16">
        <f t="shared" si="2"/>
        <v>0.002972348602</v>
      </c>
    </row>
    <row r="403">
      <c r="A403" s="5" t="s">
        <v>15</v>
      </c>
      <c r="B403" s="5" t="s">
        <v>16</v>
      </c>
      <c r="C403" s="5" t="s">
        <v>32</v>
      </c>
      <c r="D403" s="6" t="s">
        <v>735</v>
      </c>
      <c r="E403" s="5" t="s">
        <v>19</v>
      </c>
      <c r="F403" s="5" t="s">
        <v>27</v>
      </c>
      <c r="G403" s="5">
        <v>9130.0</v>
      </c>
      <c r="H403" s="5">
        <v>33.0</v>
      </c>
      <c r="I403" s="5">
        <v>3721.0</v>
      </c>
      <c r="J403" s="5">
        <v>5564.0</v>
      </c>
      <c r="K403" s="5">
        <v>1.0</v>
      </c>
      <c r="L403" s="9">
        <v>1655.792857</v>
      </c>
      <c r="M403" s="15">
        <f t="shared" si="1"/>
        <v>1655.792857</v>
      </c>
      <c r="N403" s="16">
        <f t="shared" si="2"/>
        <v>0.003614457831</v>
      </c>
    </row>
    <row r="404">
      <c r="A404" s="5" t="s">
        <v>15</v>
      </c>
      <c r="B404" s="5" t="s">
        <v>42</v>
      </c>
      <c r="C404" s="5" t="s">
        <v>55</v>
      </c>
      <c r="D404" s="6" t="s">
        <v>740</v>
      </c>
      <c r="E404" s="5" t="s">
        <v>19</v>
      </c>
      <c r="F404" s="5" t="s">
        <v>27</v>
      </c>
      <c r="G404" s="5">
        <v>8097.0</v>
      </c>
      <c r="H404" s="5">
        <v>20.0</v>
      </c>
      <c r="I404" s="5">
        <v>4942.0</v>
      </c>
      <c r="J404" s="5">
        <v>6868.0</v>
      </c>
      <c r="K404" s="5">
        <v>1.0</v>
      </c>
      <c r="L404" s="9">
        <v>6177.464545</v>
      </c>
      <c r="M404" s="15">
        <f t="shared" si="1"/>
        <v>6177.464545</v>
      </c>
      <c r="N404" s="16">
        <f t="shared" si="2"/>
        <v>0.002470050636</v>
      </c>
    </row>
    <row r="405">
      <c r="A405" s="5" t="s">
        <v>15</v>
      </c>
      <c r="B405" s="5" t="s">
        <v>16</v>
      </c>
      <c r="C405" s="5" t="s">
        <v>39</v>
      </c>
      <c r="D405" s="6" t="s">
        <v>743</v>
      </c>
      <c r="E405" s="5" t="s">
        <v>19</v>
      </c>
      <c r="F405" s="5" t="s">
        <v>27</v>
      </c>
      <c r="G405" s="5">
        <v>224877.0</v>
      </c>
      <c r="H405" s="5">
        <v>805.0</v>
      </c>
      <c r="I405" s="5">
        <v>121175.0</v>
      </c>
      <c r="J405" s="5">
        <v>213280.0</v>
      </c>
      <c r="K405" s="5">
        <v>11.0</v>
      </c>
      <c r="L405" s="9">
        <v>7360.992969</v>
      </c>
      <c r="M405" s="15">
        <f t="shared" si="1"/>
        <v>669.181179</v>
      </c>
      <c r="N405" s="16">
        <f t="shared" si="2"/>
        <v>0.003579734699</v>
      </c>
    </row>
    <row r="406">
      <c r="A406" s="5" t="s">
        <v>22</v>
      </c>
      <c r="B406" s="5" t="s">
        <v>23</v>
      </c>
      <c r="C406" s="5" t="s">
        <v>183</v>
      </c>
      <c r="D406" s="6" t="s">
        <v>743</v>
      </c>
      <c r="E406" s="5" t="s">
        <v>50</v>
      </c>
      <c r="F406" s="5" t="s">
        <v>27</v>
      </c>
      <c r="G406" s="5">
        <v>44889.0</v>
      </c>
      <c r="H406" s="5">
        <v>125.0</v>
      </c>
      <c r="I406" s="5">
        <v>17477.0</v>
      </c>
      <c r="J406" s="5">
        <v>38621.0</v>
      </c>
      <c r="K406" s="5">
        <v>25.0</v>
      </c>
      <c r="L406" s="9">
        <v>6644.954146</v>
      </c>
      <c r="M406" s="15">
        <f t="shared" si="1"/>
        <v>265.7981658</v>
      </c>
      <c r="N406" s="16">
        <f t="shared" si="2"/>
        <v>0.002784646573</v>
      </c>
    </row>
    <row r="407">
      <c r="A407" s="5" t="s">
        <v>22</v>
      </c>
      <c r="B407" s="5" t="s">
        <v>16</v>
      </c>
      <c r="C407" s="5" t="s">
        <v>204</v>
      </c>
      <c r="D407" s="6" t="s">
        <v>743</v>
      </c>
      <c r="E407" s="5" t="s">
        <v>117</v>
      </c>
      <c r="F407" s="5" t="s">
        <v>27</v>
      </c>
      <c r="G407" s="5">
        <v>42459.0</v>
      </c>
      <c r="H407" s="5">
        <v>121.0</v>
      </c>
      <c r="I407" s="5">
        <v>15187.0</v>
      </c>
      <c r="J407" s="5">
        <v>37408.0</v>
      </c>
      <c r="K407" s="5">
        <v>11.0</v>
      </c>
      <c r="L407" s="9">
        <v>6321.491689</v>
      </c>
      <c r="M407" s="15">
        <f t="shared" si="1"/>
        <v>574.6810626</v>
      </c>
      <c r="N407" s="16">
        <f t="shared" si="2"/>
        <v>0.00284980805</v>
      </c>
    </row>
    <row r="408">
      <c r="A408" s="5" t="s">
        <v>15</v>
      </c>
      <c r="B408" s="5" t="s">
        <v>23</v>
      </c>
      <c r="C408" s="5" t="s">
        <v>55</v>
      </c>
      <c r="D408" s="6" t="s">
        <v>743</v>
      </c>
      <c r="E408" s="5" t="s">
        <v>117</v>
      </c>
      <c r="F408" s="5" t="s">
        <v>27</v>
      </c>
      <c r="G408" s="5">
        <v>69928.0</v>
      </c>
      <c r="H408" s="5">
        <v>210.0</v>
      </c>
      <c r="I408" s="5">
        <v>30196.0</v>
      </c>
      <c r="J408" s="5">
        <v>62327.0</v>
      </c>
      <c r="K408" s="5">
        <v>9.0</v>
      </c>
      <c r="L408" s="9">
        <v>6318.413085</v>
      </c>
      <c r="M408" s="15">
        <f t="shared" si="1"/>
        <v>702.0458983</v>
      </c>
      <c r="N408" s="16">
        <f t="shared" si="2"/>
        <v>0.003003088891</v>
      </c>
    </row>
    <row r="409">
      <c r="A409" s="5" t="s">
        <v>22</v>
      </c>
      <c r="B409" s="5" t="s">
        <v>31</v>
      </c>
      <c r="C409" s="5" t="s">
        <v>17</v>
      </c>
      <c r="D409" s="6" t="s">
        <v>743</v>
      </c>
      <c r="E409" s="5" t="s">
        <v>19</v>
      </c>
      <c r="F409" s="5" t="s">
        <v>27</v>
      </c>
      <c r="G409" s="5">
        <v>40859.0</v>
      </c>
      <c r="H409" s="5">
        <v>144.0</v>
      </c>
      <c r="I409" s="5">
        <v>17695.0</v>
      </c>
      <c r="J409" s="5">
        <v>37108.0</v>
      </c>
      <c r="K409" s="5">
        <v>4.0</v>
      </c>
      <c r="L409" s="9">
        <v>6130.368425</v>
      </c>
      <c r="M409" s="15">
        <f t="shared" si="1"/>
        <v>1532.592106</v>
      </c>
      <c r="N409" s="16">
        <f t="shared" si="2"/>
        <v>0.003524315328</v>
      </c>
    </row>
    <row r="410">
      <c r="A410" s="5" t="s">
        <v>22</v>
      </c>
      <c r="B410" s="5" t="s">
        <v>16</v>
      </c>
      <c r="C410" s="5" t="s">
        <v>55</v>
      </c>
      <c r="D410" s="6" t="s">
        <v>743</v>
      </c>
      <c r="E410" s="5" t="s">
        <v>36</v>
      </c>
      <c r="F410" s="5" t="s">
        <v>27</v>
      </c>
      <c r="G410" s="5">
        <v>14581.0</v>
      </c>
      <c r="H410" s="5">
        <v>45.0</v>
      </c>
      <c r="I410" s="5">
        <v>3821.0</v>
      </c>
      <c r="J410" s="5">
        <v>12741.0</v>
      </c>
      <c r="K410" s="5">
        <v>6.0</v>
      </c>
      <c r="L410" s="9">
        <v>5296.970091</v>
      </c>
      <c r="M410" s="15">
        <f t="shared" si="1"/>
        <v>882.8283485</v>
      </c>
      <c r="N410" s="16">
        <f t="shared" si="2"/>
        <v>0.003086208079</v>
      </c>
    </row>
    <row r="411">
      <c r="A411" s="5" t="s">
        <v>15</v>
      </c>
      <c r="B411" s="5" t="s">
        <v>16</v>
      </c>
      <c r="C411" s="5" t="s">
        <v>356</v>
      </c>
      <c r="D411" s="6" t="s">
        <v>743</v>
      </c>
      <c r="E411" s="5" t="s">
        <v>19</v>
      </c>
      <c r="F411" s="5" t="s">
        <v>27</v>
      </c>
      <c r="G411" s="5">
        <v>15449.0</v>
      </c>
      <c r="H411" s="5">
        <v>50.0</v>
      </c>
      <c r="I411" s="5">
        <v>4595.0</v>
      </c>
      <c r="J411" s="5">
        <v>13765.0</v>
      </c>
      <c r="K411" s="5">
        <v>1.0</v>
      </c>
      <c r="L411" s="9">
        <v>3122.942574</v>
      </c>
      <c r="M411" s="15">
        <f t="shared" si="1"/>
        <v>3122.942574</v>
      </c>
      <c r="N411" s="16">
        <f t="shared" si="2"/>
        <v>0.003236455434</v>
      </c>
    </row>
    <row r="412">
      <c r="A412" s="5" t="s">
        <v>15</v>
      </c>
      <c r="B412" s="5" t="s">
        <v>31</v>
      </c>
      <c r="C412" s="5" t="s">
        <v>78</v>
      </c>
      <c r="D412" s="6" t="s">
        <v>743</v>
      </c>
      <c r="E412" s="5" t="s">
        <v>191</v>
      </c>
      <c r="F412" s="5" t="s">
        <v>27</v>
      </c>
      <c r="G412" s="5">
        <v>114267.0</v>
      </c>
      <c r="H412" s="5">
        <v>110.0</v>
      </c>
      <c r="I412" s="5">
        <v>60964.0</v>
      </c>
      <c r="J412" s="5">
        <v>108301.0</v>
      </c>
      <c r="K412" s="5">
        <v>5.0</v>
      </c>
      <c r="L412" s="9">
        <v>2679.154068</v>
      </c>
      <c r="M412" s="15">
        <f t="shared" si="1"/>
        <v>535.8308136</v>
      </c>
      <c r="N412" s="16">
        <f t="shared" si="2"/>
        <v>0.0009626576352</v>
      </c>
    </row>
    <row r="413">
      <c r="A413" s="5" t="s">
        <v>22</v>
      </c>
      <c r="B413" s="5" t="s">
        <v>23</v>
      </c>
      <c r="C413" s="5" t="s">
        <v>35</v>
      </c>
      <c r="D413" s="6" t="s">
        <v>743</v>
      </c>
      <c r="E413" s="5" t="s">
        <v>19</v>
      </c>
      <c r="F413" s="5" t="s">
        <v>27</v>
      </c>
      <c r="G413" s="5">
        <v>85280.0</v>
      </c>
      <c r="H413" s="5">
        <v>211.0</v>
      </c>
      <c r="I413" s="5">
        <v>35860.0</v>
      </c>
      <c r="J413" s="5">
        <v>79837.0</v>
      </c>
      <c r="K413" s="5">
        <v>5.0</v>
      </c>
      <c r="L413" s="9">
        <v>2217.932092</v>
      </c>
      <c r="M413" s="15">
        <f t="shared" si="1"/>
        <v>443.5864184</v>
      </c>
      <c r="N413" s="16">
        <f t="shared" si="2"/>
        <v>0.002474202627</v>
      </c>
    </row>
    <row r="414">
      <c r="A414" s="5" t="s">
        <v>22</v>
      </c>
      <c r="B414" s="5" t="s">
        <v>16</v>
      </c>
      <c r="C414" s="5" t="s">
        <v>35</v>
      </c>
      <c r="D414" s="6" t="s">
        <v>743</v>
      </c>
      <c r="E414" s="5" t="s">
        <v>36</v>
      </c>
      <c r="F414" s="5" t="s">
        <v>27</v>
      </c>
      <c r="G414" s="5">
        <v>51515.0</v>
      </c>
      <c r="H414" s="5">
        <v>144.0</v>
      </c>
      <c r="I414" s="5">
        <v>18304.0</v>
      </c>
      <c r="J414" s="5">
        <v>44891.0</v>
      </c>
      <c r="K414" s="5">
        <v>14.0</v>
      </c>
      <c r="L414" s="9">
        <v>2160.307325</v>
      </c>
      <c r="M414" s="15">
        <f t="shared" si="1"/>
        <v>154.3076661</v>
      </c>
      <c r="N414" s="16">
        <f t="shared" si="2"/>
        <v>0.002795302339</v>
      </c>
    </row>
    <row r="415">
      <c r="A415" s="5" t="s">
        <v>22</v>
      </c>
      <c r="B415" s="5" t="s">
        <v>42</v>
      </c>
      <c r="C415" s="5" t="s">
        <v>66</v>
      </c>
      <c r="D415" s="6" t="s">
        <v>743</v>
      </c>
      <c r="E415" s="5" t="s">
        <v>46</v>
      </c>
      <c r="F415" s="5" t="s">
        <v>27</v>
      </c>
      <c r="G415" s="5">
        <v>43666.0</v>
      </c>
      <c r="H415" s="5">
        <v>133.0</v>
      </c>
      <c r="I415" s="5">
        <v>18513.0</v>
      </c>
      <c r="J415" s="5">
        <v>40506.0</v>
      </c>
      <c r="K415" s="5">
        <v>18.0</v>
      </c>
      <c r="L415" s="9">
        <v>1980.393834</v>
      </c>
      <c r="M415" s="15">
        <f t="shared" si="1"/>
        <v>110.0218797</v>
      </c>
      <c r="N415" s="16">
        <f t="shared" si="2"/>
        <v>0.003045848028</v>
      </c>
    </row>
    <row r="416">
      <c r="A416" s="5" t="s">
        <v>22</v>
      </c>
      <c r="B416" s="5" t="s">
        <v>16</v>
      </c>
      <c r="C416" s="5" t="s">
        <v>55</v>
      </c>
      <c r="D416" s="6" t="s">
        <v>743</v>
      </c>
      <c r="E416" s="5" t="s">
        <v>19</v>
      </c>
      <c r="F416" s="5" t="s">
        <v>27</v>
      </c>
      <c r="G416" s="5">
        <v>104814.0</v>
      </c>
      <c r="H416" s="5">
        <v>369.0</v>
      </c>
      <c r="I416" s="5">
        <v>55984.0</v>
      </c>
      <c r="J416" s="5">
        <v>99432.0</v>
      </c>
      <c r="K416" s="5">
        <v>5.0</v>
      </c>
      <c r="L416" s="9">
        <v>1942.847513</v>
      </c>
      <c r="M416" s="15">
        <f t="shared" si="1"/>
        <v>388.5695026</v>
      </c>
      <c r="N416" s="16">
        <f t="shared" si="2"/>
        <v>0.003520522068</v>
      </c>
    </row>
    <row r="417">
      <c r="A417" s="5" t="s">
        <v>22</v>
      </c>
      <c r="B417" s="5" t="s">
        <v>42</v>
      </c>
      <c r="C417" s="5" t="s">
        <v>29</v>
      </c>
      <c r="D417" s="6" t="s">
        <v>743</v>
      </c>
      <c r="E417" s="5" t="s">
        <v>46</v>
      </c>
      <c r="F417" s="5" t="s">
        <v>27</v>
      </c>
      <c r="G417" s="5">
        <v>64577.0</v>
      </c>
      <c r="H417" s="5">
        <v>240.0</v>
      </c>
      <c r="I417" s="5">
        <v>37732.0</v>
      </c>
      <c r="J417" s="5">
        <v>60357.0</v>
      </c>
      <c r="K417" s="5">
        <v>11.0</v>
      </c>
      <c r="L417" s="9">
        <v>1801.349131</v>
      </c>
      <c r="M417" s="15">
        <f t="shared" si="1"/>
        <v>163.7590119</v>
      </c>
      <c r="N417" s="16">
        <f t="shared" si="2"/>
        <v>0.003716493488</v>
      </c>
    </row>
    <row r="418">
      <c r="A418" s="5" t="s">
        <v>22</v>
      </c>
      <c r="B418" s="5" t="s">
        <v>16</v>
      </c>
      <c r="C418" s="5" t="s">
        <v>78</v>
      </c>
      <c r="D418" s="6" t="s">
        <v>743</v>
      </c>
      <c r="E418" s="5" t="s">
        <v>46</v>
      </c>
      <c r="F418" s="5" t="s">
        <v>27</v>
      </c>
      <c r="G418" s="5">
        <v>15318.0</v>
      </c>
      <c r="H418" s="5">
        <v>30.0</v>
      </c>
      <c r="I418" s="5">
        <v>5928.0</v>
      </c>
      <c r="J418" s="5">
        <v>13298.0</v>
      </c>
      <c r="K418" s="5">
        <v>19.0</v>
      </c>
      <c r="L418" s="9">
        <v>1570.29739</v>
      </c>
      <c r="M418" s="15">
        <f t="shared" si="1"/>
        <v>82.64723105</v>
      </c>
      <c r="N418" s="16">
        <f t="shared" si="2"/>
        <v>0.001958480219</v>
      </c>
    </row>
    <row r="419">
      <c r="A419" s="5" t="s">
        <v>61</v>
      </c>
      <c r="B419" s="5" t="s">
        <v>42</v>
      </c>
      <c r="C419" s="5" t="s">
        <v>29</v>
      </c>
      <c r="D419" s="6" t="s">
        <v>743</v>
      </c>
      <c r="E419" s="5" t="s">
        <v>46</v>
      </c>
      <c r="F419" s="5" t="s">
        <v>27</v>
      </c>
      <c r="G419" s="5">
        <v>10819.0</v>
      </c>
      <c r="H419" s="5">
        <v>20.0</v>
      </c>
      <c r="I419" s="5">
        <v>4168.0</v>
      </c>
      <c r="J419" s="5">
        <v>9768.0</v>
      </c>
      <c r="K419" s="5">
        <v>2.0</v>
      </c>
      <c r="L419" s="9">
        <v>1504.329214</v>
      </c>
      <c r="M419" s="15">
        <f t="shared" si="1"/>
        <v>752.164607</v>
      </c>
      <c r="N419" s="16">
        <f t="shared" si="2"/>
        <v>0.001848599686</v>
      </c>
    </row>
    <row r="420">
      <c r="A420" s="5" t="s">
        <v>15</v>
      </c>
      <c r="B420" s="5" t="s">
        <v>16</v>
      </c>
      <c r="C420" s="5" t="s">
        <v>32</v>
      </c>
      <c r="D420" s="6" t="s">
        <v>743</v>
      </c>
      <c r="E420" s="5" t="s">
        <v>46</v>
      </c>
      <c r="F420" s="5" t="s">
        <v>27</v>
      </c>
      <c r="G420" s="5">
        <v>30714.0</v>
      </c>
      <c r="H420" s="5">
        <v>111.0</v>
      </c>
      <c r="I420" s="5">
        <v>12531.0</v>
      </c>
      <c r="J420" s="5">
        <v>28461.0</v>
      </c>
      <c r="K420" s="5">
        <v>9.0</v>
      </c>
      <c r="L420" s="9">
        <v>1503.484311</v>
      </c>
      <c r="M420" s="15">
        <f t="shared" si="1"/>
        <v>167.0538123</v>
      </c>
      <c r="N420" s="16">
        <f t="shared" si="2"/>
        <v>0.003613987107</v>
      </c>
    </row>
    <row r="421">
      <c r="A421" s="5" t="s">
        <v>22</v>
      </c>
      <c r="B421" s="5" t="s">
        <v>16</v>
      </c>
      <c r="C421" s="5" t="s">
        <v>17</v>
      </c>
      <c r="D421" s="6" t="s">
        <v>768</v>
      </c>
      <c r="E421" s="5" t="s">
        <v>48</v>
      </c>
      <c r="F421" s="5" t="s">
        <v>27</v>
      </c>
      <c r="G421" s="5">
        <v>37617.0</v>
      </c>
      <c r="H421" s="5">
        <v>85.0</v>
      </c>
      <c r="I421" s="5">
        <v>5092.0</v>
      </c>
      <c r="J421" s="5">
        <v>34373.0</v>
      </c>
      <c r="K421" s="5">
        <v>6.0</v>
      </c>
      <c r="L421" s="9">
        <v>1608.882952</v>
      </c>
      <c r="M421" s="15">
        <f t="shared" si="1"/>
        <v>268.1471587</v>
      </c>
      <c r="N421" s="16">
        <f t="shared" si="2"/>
        <v>0.002259616663</v>
      </c>
    </row>
    <row r="422">
      <c r="A422" s="5" t="s">
        <v>15</v>
      </c>
      <c r="B422" s="5" t="s">
        <v>31</v>
      </c>
      <c r="C422" s="5" t="s">
        <v>24</v>
      </c>
      <c r="D422" s="6" t="s">
        <v>772</v>
      </c>
      <c r="E422" s="5" t="s">
        <v>46</v>
      </c>
      <c r="F422" s="5" t="s">
        <v>27</v>
      </c>
      <c r="G422" s="5">
        <v>15277.0</v>
      </c>
      <c r="H422" s="5">
        <v>69.0</v>
      </c>
      <c r="I422" s="5">
        <v>3089.0</v>
      </c>
      <c r="J422" s="5">
        <v>13644.0</v>
      </c>
      <c r="K422" s="5">
        <v>4.0</v>
      </c>
      <c r="L422" s="9">
        <v>1904.564346</v>
      </c>
      <c r="M422" s="15">
        <f t="shared" si="1"/>
        <v>476.1410865</v>
      </c>
      <c r="N422" s="16">
        <f t="shared" si="2"/>
        <v>0.004516593572</v>
      </c>
    </row>
    <row r="423">
      <c r="A423" s="5" t="s">
        <v>15</v>
      </c>
      <c r="B423" s="5" t="s">
        <v>31</v>
      </c>
      <c r="C423" s="5" t="s">
        <v>78</v>
      </c>
      <c r="D423" s="6" t="s">
        <v>775</v>
      </c>
      <c r="E423" s="5" t="s">
        <v>50</v>
      </c>
      <c r="F423" s="5" t="s">
        <v>27</v>
      </c>
      <c r="G423" s="5">
        <v>13382.0</v>
      </c>
      <c r="H423" s="5">
        <v>68.0</v>
      </c>
      <c r="I423" s="5">
        <v>3340.0</v>
      </c>
      <c r="J423" s="5">
        <v>11662.0</v>
      </c>
      <c r="K423" s="5">
        <v>1.0</v>
      </c>
      <c r="L423" s="9">
        <v>1447.927193</v>
      </c>
      <c r="M423" s="15">
        <f t="shared" si="1"/>
        <v>1447.927193</v>
      </c>
      <c r="N423" s="16">
        <f t="shared" si="2"/>
        <v>0.005081452698</v>
      </c>
    </row>
    <row r="424">
      <c r="A424" s="5" t="s">
        <v>22</v>
      </c>
      <c r="B424" s="5" t="s">
        <v>23</v>
      </c>
      <c r="C424" s="5" t="s">
        <v>777</v>
      </c>
      <c r="D424" s="6" t="s">
        <v>778</v>
      </c>
      <c r="E424" s="5" t="s">
        <v>36</v>
      </c>
      <c r="F424" s="5" t="s">
        <v>27</v>
      </c>
      <c r="G424" s="5">
        <v>9319.0</v>
      </c>
      <c r="H424" s="5">
        <v>30.0</v>
      </c>
      <c r="I424" s="5">
        <v>6193.0</v>
      </c>
      <c r="J424" s="5">
        <v>8682.0</v>
      </c>
      <c r="K424" s="5">
        <v>12.0</v>
      </c>
      <c r="L424" s="9">
        <v>4594.604003</v>
      </c>
      <c r="M424" s="15">
        <f t="shared" si="1"/>
        <v>382.8836669</v>
      </c>
      <c r="N424" s="16">
        <f t="shared" si="2"/>
        <v>0.003219229531</v>
      </c>
    </row>
    <row r="425">
      <c r="A425" s="5" t="s">
        <v>22</v>
      </c>
      <c r="B425" s="5" t="s">
        <v>31</v>
      </c>
      <c r="C425" s="5" t="s">
        <v>35</v>
      </c>
      <c r="D425" s="6" t="s">
        <v>778</v>
      </c>
      <c r="E425" s="5" t="s">
        <v>80</v>
      </c>
      <c r="F425" s="5" t="s">
        <v>27</v>
      </c>
      <c r="G425" s="5">
        <v>16791.0</v>
      </c>
      <c r="H425" s="5">
        <v>40.0</v>
      </c>
      <c r="I425" s="5">
        <v>11402.0</v>
      </c>
      <c r="J425" s="5">
        <v>14231.0</v>
      </c>
      <c r="K425" s="5">
        <v>3.0</v>
      </c>
      <c r="L425" s="9">
        <v>1522.512272</v>
      </c>
      <c r="M425" s="15">
        <f t="shared" si="1"/>
        <v>507.5040907</v>
      </c>
      <c r="N425" s="16">
        <f t="shared" si="2"/>
        <v>0.002382228575</v>
      </c>
    </row>
    <row r="426">
      <c r="A426" s="5" t="s">
        <v>22</v>
      </c>
      <c r="B426" s="5" t="s">
        <v>31</v>
      </c>
      <c r="C426" s="5" t="s">
        <v>78</v>
      </c>
      <c r="D426" s="6" t="s">
        <v>781</v>
      </c>
      <c r="E426" s="5" t="s">
        <v>136</v>
      </c>
      <c r="F426" s="5" t="s">
        <v>27</v>
      </c>
      <c r="G426" s="5">
        <v>19334.0</v>
      </c>
      <c r="H426" s="5">
        <v>40.0</v>
      </c>
      <c r="I426" s="5">
        <v>8673.0</v>
      </c>
      <c r="J426" s="5">
        <v>18578.0</v>
      </c>
      <c r="K426" s="5">
        <v>11.0</v>
      </c>
      <c r="L426" s="9">
        <v>7292.135059</v>
      </c>
      <c r="M426" s="15">
        <f t="shared" si="1"/>
        <v>662.921369</v>
      </c>
      <c r="N426" s="16">
        <f t="shared" si="2"/>
        <v>0.002068894176</v>
      </c>
    </row>
    <row r="427">
      <c r="A427" s="5" t="s">
        <v>22</v>
      </c>
      <c r="B427" s="5" t="s">
        <v>23</v>
      </c>
      <c r="C427" s="5" t="s">
        <v>78</v>
      </c>
      <c r="D427" s="6" t="s">
        <v>781</v>
      </c>
      <c r="E427" s="5" t="s">
        <v>19</v>
      </c>
      <c r="F427" s="5" t="s">
        <v>27</v>
      </c>
      <c r="G427" s="5">
        <v>25835.0</v>
      </c>
      <c r="H427" s="5">
        <v>69.0</v>
      </c>
      <c r="I427" s="5">
        <v>3753.0</v>
      </c>
      <c r="J427" s="5">
        <v>20808.0</v>
      </c>
      <c r="K427" s="5">
        <v>11.0</v>
      </c>
      <c r="L427" s="9">
        <v>5751.912297</v>
      </c>
      <c r="M427" s="15">
        <f t="shared" si="1"/>
        <v>522.9011179</v>
      </c>
      <c r="N427" s="16">
        <f t="shared" si="2"/>
        <v>0.002670795433</v>
      </c>
    </row>
    <row r="428">
      <c r="A428" s="5" t="s">
        <v>22</v>
      </c>
      <c r="B428" s="5" t="s">
        <v>16</v>
      </c>
      <c r="C428" s="5" t="s">
        <v>147</v>
      </c>
      <c r="D428" s="6" t="s">
        <v>785</v>
      </c>
      <c r="E428" s="5" t="s">
        <v>19</v>
      </c>
      <c r="F428" s="5" t="s">
        <v>27</v>
      </c>
      <c r="G428" s="5">
        <v>13168.0</v>
      </c>
      <c r="H428" s="5">
        <v>84.0</v>
      </c>
      <c r="I428" s="5">
        <v>8527.0</v>
      </c>
      <c r="J428" s="5">
        <v>12625.0</v>
      </c>
      <c r="K428" s="5">
        <v>4.0</v>
      </c>
      <c r="L428" s="9">
        <v>1639.72335</v>
      </c>
      <c r="M428" s="15">
        <f t="shared" si="1"/>
        <v>409.9308375</v>
      </c>
      <c r="N428" s="16">
        <f t="shared" si="2"/>
        <v>0.006379100851</v>
      </c>
    </row>
    <row r="429">
      <c r="A429" s="5" t="s">
        <v>15</v>
      </c>
      <c r="B429" s="5" t="s">
        <v>23</v>
      </c>
      <c r="C429" s="5" t="s">
        <v>32</v>
      </c>
      <c r="D429" s="6" t="s">
        <v>789</v>
      </c>
      <c r="E429" s="5" t="s">
        <v>46</v>
      </c>
      <c r="F429" s="5" t="s">
        <v>27</v>
      </c>
      <c r="G429" s="5">
        <v>13347.0</v>
      </c>
      <c r="H429" s="5">
        <v>80.0</v>
      </c>
      <c r="I429" s="5">
        <v>8357.0</v>
      </c>
      <c r="J429" s="5">
        <v>11461.0</v>
      </c>
      <c r="K429" s="5">
        <v>10.0</v>
      </c>
      <c r="L429" s="9">
        <v>1543.66142</v>
      </c>
      <c r="M429" s="15">
        <f t="shared" si="1"/>
        <v>154.366142</v>
      </c>
      <c r="N429" s="16">
        <f t="shared" si="2"/>
        <v>0.005993856297</v>
      </c>
    </row>
    <row r="430">
      <c r="A430" s="5" t="s">
        <v>22</v>
      </c>
      <c r="B430" s="5" t="s">
        <v>31</v>
      </c>
      <c r="C430" s="5" t="s">
        <v>78</v>
      </c>
      <c r="D430" s="6" t="s">
        <v>791</v>
      </c>
      <c r="E430" s="5" t="s">
        <v>48</v>
      </c>
      <c r="F430" s="5" t="s">
        <v>27</v>
      </c>
      <c r="G430" s="5">
        <v>20885.0</v>
      </c>
      <c r="H430" s="5">
        <v>99.0</v>
      </c>
      <c r="I430" s="5">
        <v>9901.0</v>
      </c>
      <c r="J430" s="5">
        <v>16266.0</v>
      </c>
      <c r="K430" s="5">
        <v>15.0</v>
      </c>
      <c r="L430" s="9">
        <v>2496.785436</v>
      </c>
      <c r="M430" s="15">
        <f t="shared" si="1"/>
        <v>166.4523624</v>
      </c>
      <c r="N430" s="16">
        <f t="shared" si="2"/>
        <v>0.004740244194</v>
      </c>
    </row>
    <row r="431">
      <c r="A431" s="5" t="s">
        <v>15</v>
      </c>
      <c r="B431" s="5" t="s">
        <v>42</v>
      </c>
      <c r="C431" s="5" t="s">
        <v>35</v>
      </c>
      <c r="D431" s="6" t="s">
        <v>793</v>
      </c>
      <c r="E431" s="5" t="s">
        <v>117</v>
      </c>
      <c r="F431" s="5" t="s">
        <v>27</v>
      </c>
      <c r="G431" s="5">
        <v>11289.0</v>
      </c>
      <c r="H431" s="5">
        <v>97.0</v>
      </c>
      <c r="I431" s="5">
        <v>1345.0</v>
      </c>
      <c r="J431" s="5">
        <v>8187.0</v>
      </c>
      <c r="K431" s="5">
        <v>3.0</v>
      </c>
      <c r="L431" s="9">
        <v>1665.160445</v>
      </c>
      <c r="M431" s="15">
        <f t="shared" si="1"/>
        <v>555.0534817</v>
      </c>
      <c r="N431" s="16">
        <f t="shared" si="2"/>
        <v>0.008592435114</v>
      </c>
    </row>
    <row r="432">
      <c r="A432" s="5" t="s">
        <v>15</v>
      </c>
      <c r="B432" s="5" t="s">
        <v>31</v>
      </c>
      <c r="C432" s="5" t="s">
        <v>24</v>
      </c>
      <c r="D432" s="6" t="s">
        <v>795</v>
      </c>
      <c r="E432" s="5" t="s">
        <v>36</v>
      </c>
      <c r="F432" s="5" t="s">
        <v>27</v>
      </c>
      <c r="G432" s="5">
        <v>10389.0</v>
      </c>
      <c r="H432" s="5">
        <v>55.0</v>
      </c>
      <c r="I432" s="5">
        <v>8161.0</v>
      </c>
      <c r="J432" s="5">
        <v>9951.0</v>
      </c>
      <c r="K432" s="5">
        <v>2.0</v>
      </c>
      <c r="L432" s="9">
        <v>2582.493847</v>
      </c>
      <c r="M432" s="15">
        <f t="shared" si="1"/>
        <v>1291.246924</v>
      </c>
      <c r="N432" s="16">
        <f t="shared" si="2"/>
        <v>0.005294061026</v>
      </c>
    </row>
    <row r="433">
      <c r="A433" s="5" t="s">
        <v>15</v>
      </c>
      <c r="B433" s="5" t="s">
        <v>42</v>
      </c>
      <c r="C433" s="5" t="s">
        <v>78</v>
      </c>
      <c r="D433" s="6" t="s">
        <v>795</v>
      </c>
      <c r="E433" s="5" t="s">
        <v>46</v>
      </c>
      <c r="F433" s="5" t="s">
        <v>27</v>
      </c>
      <c r="G433" s="5">
        <v>83537.0</v>
      </c>
      <c r="H433" s="5">
        <v>222.0</v>
      </c>
      <c r="I433" s="5">
        <v>67987.0</v>
      </c>
      <c r="J433" s="5">
        <v>79409.0</v>
      </c>
      <c r="K433" s="5">
        <v>4.0</v>
      </c>
      <c r="L433" s="9">
        <v>1761.079323</v>
      </c>
      <c r="M433" s="15">
        <f t="shared" si="1"/>
        <v>440.2698308</v>
      </c>
      <c r="N433" s="16">
        <f t="shared" si="2"/>
        <v>0.002657505058</v>
      </c>
    </row>
    <row r="434">
      <c r="A434" s="5" t="s">
        <v>61</v>
      </c>
      <c r="B434" s="5" t="s">
        <v>23</v>
      </c>
      <c r="C434" s="5" t="s">
        <v>45</v>
      </c>
      <c r="D434" s="6" t="s">
        <v>795</v>
      </c>
      <c r="E434" s="5" t="s">
        <v>19</v>
      </c>
      <c r="F434" s="5" t="s">
        <v>27</v>
      </c>
      <c r="G434" s="5">
        <v>81054.0</v>
      </c>
      <c r="H434" s="5">
        <v>265.0</v>
      </c>
      <c r="I434" s="5">
        <v>56762.0</v>
      </c>
      <c r="J434" s="5">
        <v>76198.0</v>
      </c>
      <c r="K434" s="5">
        <v>16.0</v>
      </c>
      <c r="L434" s="9">
        <v>1532.357841</v>
      </c>
      <c r="M434" s="15">
        <f t="shared" si="1"/>
        <v>95.77236506</v>
      </c>
      <c r="N434" s="16">
        <f t="shared" si="2"/>
        <v>0.003269425321</v>
      </c>
    </row>
    <row r="435">
      <c r="A435" s="5" t="s">
        <v>22</v>
      </c>
      <c r="B435" s="5" t="s">
        <v>23</v>
      </c>
      <c r="C435" s="5" t="s">
        <v>181</v>
      </c>
      <c r="D435" s="6" t="s">
        <v>801</v>
      </c>
      <c r="E435" s="5" t="s">
        <v>19</v>
      </c>
      <c r="F435" s="5" t="s">
        <v>27</v>
      </c>
      <c r="G435" s="5">
        <v>14509.0</v>
      </c>
      <c r="H435" s="5">
        <v>90.0</v>
      </c>
      <c r="I435" s="5">
        <v>866.0</v>
      </c>
      <c r="J435" s="5">
        <v>13268.0</v>
      </c>
      <c r="K435" s="5">
        <v>8.0</v>
      </c>
      <c r="L435" s="9">
        <v>5521.18913</v>
      </c>
      <c r="M435" s="15">
        <f t="shared" si="1"/>
        <v>690.1486413</v>
      </c>
      <c r="N435" s="16">
        <f t="shared" si="2"/>
        <v>0.006203046385</v>
      </c>
    </row>
    <row r="436">
      <c r="A436" s="5" t="s">
        <v>15</v>
      </c>
      <c r="B436" s="5" t="s">
        <v>23</v>
      </c>
      <c r="C436" s="5" t="s">
        <v>183</v>
      </c>
      <c r="D436" s="6" t="s">
        <v>805</v>
      </c>
      <c r="E436" s="5" t="s">
        <v>19</v>
      </c>
      <c r="F436" s="5" t="s">
        <v>27</v>
      </c>
      <c r="G436" s="5">
        <v>10485.0</v>
      </c>
      <c r="H436" s="5">
        <v>84.0</v>
      </c>
      <c r="I436" s="5">
        <v>4255.0</v>
      </c>
      <c r="J436" s="5">
        <v>7669.0</v>
      </c>
      <c r="K436" s="5">
        <v>2.0</v>
      </c>
      <c r="L436" s="9">
        <v>2239.262819</v>
      </c>
      <c r="M436" s="15">
        <f t="shared" si="1"/>
        <v>1119.63141</v>
      </c>
      <c r="N436" s="16">
        <f t="shared" si="2"/>
        <v>0.008011444921</v>
      </c>
    </row>
    <row r="437">
      <c r="A437" s="5" t="s">
        <v>22</v>
      </c>
      <c r="B437" s="5" t="s">
        <v>16</v>
      </c>
      <c r="C437" s="5" t="s">
        <v>17</v>
      </c>
      <c r="D437" s="6" t="s">
        <v>807</v>
      </c>
      <c r="E437" s="5" t="s">
        <v>161</v>
      </c>
      <c r="F437" s="5" t="s">
        <v>27</v>
      </c>
      <c r="G437" s="5">
        <v>11561.0</v>
      </c>
      <c r="H437" s="5">
        <v>87.0</v>
      </c>
      <c r="I437" s="5">
        <v>4063.0</v>
      </c>
      <c r="J437" s="5">
        <v>9941.0</v>
      </c>
      <c r="K437" s="5">
        <v>5.0</v>
      </c>
      <c r="L437" s="9">
        <v>1911.931953</v>
      </c>
      <c r="M437" s="15">
        <f t="shared" si="1"/>
        <v>382.3863906</v>
      </c>
      <c r="N437" s="16">
        <f t="shared" si="2"/>
        <v>0.00752530058</v>
      </c>
    </row>
    <row r="438">
      <c r="A438" s="5" t="s">
        <v>22</v>
      </c>
      <c r="B438" s="5" t="s">
        <v>31</v>
      </c>
      <c r="C438" s="5" t="s">
        <v>84</v>
      </c>
      <c r="D438" s="6" t="s">
        <v>809</v>
      </c>
      <c r="E438" s="5" t="s">
        <v>50</v>
      </c>
      <c r="F438" s="5" t="s">
        <v>27</v>
      </c>
      <c r="G438" s="5">
        <v>18136.0</v>
      </c>
      <c r="H438" s="5">
        <v>69.0</v>
      </c>
      <c r="I438" s="5">
        <v>10842.0</v>
      </c>
      <c r="J438" s="5">
        <v>14953.0</v>
      </c>
      <c r="K438" s="5">
        <v>9.0</v>
      </c>
      <c r="L438" s="9">
        <v>6860.359597</v>
      </c>
      <c r="M438" s="15">
        <f t="shared" si="1"/>
        <v>762.2621774</v>
      </c>
      <c r="N438" s="16">
        <f t="shared" si="2"/>
        <v>0.003804587561</v>
      </c>
    </row>
    <row r="439">
      <c r="A439" s="5" t="s">
        <v>15</v>
      </c>
      <c r="B439" s="5" t="s">
        <v>23</v>
      </c>
      <c r="C439" s="5" t="s">
        <v>17</v>
      </c>
      <c r="D439" s="6" t="s">
        <v>809</v>
      </c>
      <c r="E439" s="5" t="s">
        <v>161</v>
      </c>
      <c r="F439" s="5" t="s">
        <v>27</v>
      </c>
      <c r="G439" s="5">
        <v>8437.0</v>
      </c>
      <c r="H439" s="5">
        <v>63.0</v>
      </c>
      <c r="I439" s="5">
        <v>5271.0</v>
      </c>
      <c r="J439" s="5">
        <v>7065.0</v>
      </c>
      <c r="K439" s="5">
        <v>2.0</v>
      </c>
      <c r="L439" s="9">
        <v>1880.533168</v>
      </c>
      <c r="M439" s="15">
        <f t="shared" si="1"/>
        <v>940.266584</v>
      </c>
      <c r="N439" s="16">
        <f t="shared" si="2"/>
        <v>0.007467109162</v>
      </c>
    </row>
    <row r="440">
      <c r="A440" s="5" t="s">
        <v>15</v>
      </c>
      <c r="B440" s="5" t="s">
        <v>16</v>
      </c>
      <c r="C440" s="5" t="s">
        <v>84</v>
      </c>
      <c r="D440" s="13" t="s">
        <v>1552</v>
      </c>
      <c r="E440" s="5" t="s">
        <v>46</v>
      </c>
      <c r="F440" s="5" t="s">
        <v>27</v>
      </c>
      <c r="G440" s="5">
        <v>14350.0</v>
      </c>
      <c r="H440" s="5">
        <v>60.0</v>
      </c>
      <c r="I440" s="5">
        <v>8228.0</v>
      </c>
      <c r="J440" s="5">
        <v>13396.0</v>
      </c>
      <c r="K440" s="5">
        <v>6.0</v>
      </c>
      <c r="L440" s="9">
        <v>6114.034936</v>
      </c>
      <c r="M440" s="15">
        <f t="shared" si="1"/>
        <v>1019.005823</v>
      </c>
      <c r="N440" s="16">
        <f t="shared" si="2"/>
        <v>0.004181184669</v>
      </c>
    </row>
    <row r="441">
      <c r="A441" s="5" t="s">
        <v>22</v>
      </c>
      <c r="B441" s="5" t="s">
        <v>16</v>
      </c>
      <c r="C441" s="5" t="s">
        <v>131</v>
      </c>
      <c r="D441" s="13" t="s">
        <v>1552</v>
      </c>
      <c r="E441" s="5" t="s">
        <v>26</v>
      </c>
      <c r="F441" s="5" t="s">
        <v>27</v>
      </c>
      <c r="G441" s="5">
        <v>24100.0</v>
      </c>
      <c r="H441" s="5">
        <v>110.0</v>
      </c>
      <c r="I441" s="5">
        <v>11355.0</v>
      </c>
      <c r="J441" s="5">
        <v>21740.0</v>
      </c>
      <c r="K441" s="5">
        <v>5.0</v>
      </c>
      <c r="L441" s="9">
        <v>5912.260975</v>
      </c>
      <c r="M441" s="15">
        <f t="shared" si="1"/>
        <v>1182.452195</v>
      </c>
      <c r="N441" s="16">
        <f t="shared" si="2"/>
        <v>0.004564315353</v>
      </c>
    </row>
    <row r="442">
      <c r="A442" s="5" t="s">
        <v>15</v>
      </c>
      <c r="B442" s="5" t="s">
        <v>42</v>
      </c>
      <c r="C442" s="5" t="s">
        <v>29</v>
      </c>
      <c r="D442" s="13" t="s">
        <v>1552</v>
      </c>
      <c r="E442" s="5" t="s">
        <v>19</v>
      </c>
      <c r="F442" s="5" t="s">
        <v>27</v>
      </c>
      <c r="G442" s="5">
        <v>14763.0</v>
      </c>
      <c r="H442" s="5">
        <v>40.0</v>
      </c>
      <c r="I442" s="5">
        <v>8955.0</v>
      </c>
      <c r="J442" s="5">
        <v>13829.0</v>
      </c>
      <c r="K442" s="5">
        <v>2.0</v>
      </c>
      <c r="L442" s="9">
        <v>1531.926885</v>
      </c>
      <c r="M442" s="15">
        <f t="shared" si="1"/>
        <v>765.9634425</v>
      </c>
      <c r="N442" s="16">
        <f t="shared" si="2"/>
        <v>0.002709476394</v>
      </c>
    </row>
    <row r="443">
      <c r="A443" s="5" t="s">
        <v>22</v>
      </c>
      <c r="B443" s="5" t="s">
        <v>42</v>
      </c>
      <c r="C443" s="5" t="s">
        <v>29</v>
      </c>
      <c r="D443" s="6" t="s">
        <v>819</v>
      </c>
      <c r="E443" s="5" t="s">
        <v>117</v>
      </c>
      <c r="F443" s="5" t="s">
        <v>27</v>
      </c>
      <c r="G443" s="5">
        <v>47360.0</v>
      </c>
      <c r="H443" s="5">
        <v>126.0</v>
      </c>
      <c r="I443" s="5">
        <v>8047.0</v>
      </c>
      <c r="J443" s="5">
        <v>33641.0</v>
      </c>
      <c r="K443" s="5">
        <v>9.0</v>
      </c>
      <c r="L443" s="9">
        <v>6502.274933</v>
      </c>
      <c r="M443" s="15">
        <f t="shared" si="1"/>
        <v>722.4749926</v>
      </c>
      <c r="N443" s="16">
        <f t="shared" si="2"/>
        <v>0.002660472973</v>
      </c>
    </row>
    <row r="444">
      <c r="A444" s="5" t="s">
        <v>61</v>
      </c>
      <c r="B444" s="5" t="s">
        <v>23</v>
      </c>
      <c r="C444" s="5" t="s">
        <v>84</v>
      </c>
      <c r="D444" s="6" t="s">
        <v>819</v>
      </c>
      <c r="E444" s="5" t="s">
        <v>36</v>
      </c>
      <c r="F444" s="5" t="s">
        <v>27</v>
      </c>
      <c r="G444" s="5">
        <v>19408.0</v>
      </c>
      <c r="H444" s="5">
        <v>58.0</v>
      </c>
      <c r="I444" s="5">
        <v>6596.0</v>
      </c>
      <c r="J444" s="5">
        <v>13880.0</v>
      </c>
      <c r="K444" s="5">
        <v>2.0</v>
      </c>
      <c r="L444" s="9">
        <v>5492.821648</v>
      </c>
      <c r="M444" s="15">
        <f t="shared" si="1"/>
        <v>2746.410824</v>
      </c>
      <c r="N444" s="16">
        <f t="shared" si="2"/>
        <v>0.002988458368</v>
      </c>
    </row>
    <row r="445">
      <c r="A445" s="5" t="s">
        <v>61</v>
      </c>
      <c r="B445" s="5" t="s">
        <v>23</v>
      </c>
      <c r="C445" s="5" t="s">
        <v>55</v>
      </c>
      <c r="D445" s="6" t="s">
        <v>819</v>
      </c>
      <c r="E445" s="5" t="s">
        <v>26</v>
      </c>
      <c r="F445" s="5" t="s">
        <v>27</v>
      </c>
      <c r="G445" s="5">
        <v>46190.0</v>
      </c>
      <c r="H445" s="5">
        <v>130.0</v>
      </c>
      <c r="I445" s="5">
        <v>8618.0</v>
      </c>
      <c r="J445" s="5">
        <v>41618.0</v>
      </c>
      <c r="K445" s="5">
        <v>1.0</v>
      </c>
      <c r="L445" s="9">
        <v>5464.109817</v>
      </c>
      <c r="M445" s="15">
        <f t="shared" si="1"/>
        <v>5464.109817</v>
      </c>
      <c r="N445" s="16">
        <f t="shared" si="2"/>
        <v>0.002814462005</v>
      </c>
    </row>
    <row r="446">
      <c r="A446" s="5" t="s">
        <v>22</v>
      </c>
      <c r="B446" s="5" t="s">
        <v>16</v>
      </c>
      <c r="C446" s="5" t="s">
        <v>39</v>
      </c>
      <c r="D446" s="6" t="s">
        <v>819</v>
      </c>
      <c r="E446" s="5" t="s">
        <v>26</v>
      </c>
      <c r="F446" s="5" t="s">
        <v>27</v>
      </c>
      <c r="G446" s="5">
        <v>12488.0</v>
      </c>
      <c r="H446" s="5">
        <v>99.0</v>
      </c>
      <c r="I446" s="5">
        <v>4021.0</v>
      </c>
      <c r="J446" s="5">
        <v>11403.0</v>
      </c>
      <c r="K446" s="5">
        <v>4.0</v>
      </c>
      <c r="L446" s="9">
        <v>2176.657469</v>
      </c>
      <c r="M446" s="15">
        <f t="shared" si="1"/>
        <v>544.1643673</v>
      </c>
      <c r="N446" s="16">
        <f t="shared" si="2"/>
        <v>0.007927610506</v>
      </c>
    </row>
    <row r="447">
      <c r="A447" s="5" t="s">
        <v>22</v>
      </c>
      <c r="B447" s="5" t="s">
        <v>42</v>
      </c>
      <c r="C447" s="5" t="s">
        <v>35</v>
      </c>
      <c r="D447" s="6" t="s">
        <v>819</v>
      </c>
      <c r="E447" s="5" t="s">
        <v>19</v>
      </c>
      <c r="F447" s="5" t="s">
        <v>27</v>
      </c>
      <c r="G447" s="5">
        <v>19212.0</v>
      </c>
      <c r="H447" s="5">
        <v>54.0</v>
      </c>
      <c r="I447" s="5">
        <v>6872.0</v>
      </c>
      <c r="J447" s="5">
        <v>14248.0</v>
      </c>
      <c r="K447" s="5">
        <v>10.0</v>
      </c>
      <c r="L447" s="9">
        <v>2133.077113</v>
      </c>
      <c r="M447" s="15">
        <f t="shared" si="1"/>
        <v>213.3077113</v>
      </c>
      <c r="N447" s="16">
        <f t="shared" si="2"/>
        <v>0.002810743285</v>
      </c>
    </row>
    <row r="448">
      <c r="A448" s="5" t="s">
        <v>15</v>
      </c>
      <c r="B448" s="5" t="s">
        <v>42</v>
      </c>
      <c r="C448" s="5" t="s">
        <v>183</v>
      </c>
      <c r="D448" s="6" t="s">
        <v>819</v>
      </c>
      <c r="E448" s="5" t="s">
        <v>19</v>
      </c>
      <c r="F448" s="5" t="s">
        <v>27</v>
      </c>
      <c r="G448" s="5">
        <v>37554.0</v>
      </c>
      <c r="H448" s="5">
        <v>92.0</v>
      </c>
      <c r="I448" s="5">
        <v>13128.0</v>
      </c>
      <c r="J448" s="5">
        <v>27596.0</v>
      </c>
      <c r="K448" s="5">
        <v>8.0</v>
      </c>
      <c r="L448" s="9">
        <v>1737.843485</v>
      </c>
      <c r="M448" s="15">
        <f t="shared" si="1"/>
        <v>217.2304356</v>
      </c>
      <c r="N448" s="16">
        <f t="shared" si="2"/>
        <v>0.002449805613</v>
      </c>
    </row>
    <row r="449">
      <c r="A449" s="5" t="s">
        <v>22</v>
      </c>
      <c r="B449" s="5" t="s">
        <v>31</v>
      </c>
      <c r="C449" s="5" t="s">
        <v>55</v>
      </c>
      <c r="D449" s="6" t="s">
        <v>819</v>
      </c>
      <c r="E449" s="5" t="s">
        <v>46</v>
      </c>
      <c r="F449" s="5" t="s">
        <v>27</v>
      </c>
      <c r="G449" s="5">
        <v>12510.0</v>
      </c>
      <c r="H449" s="5">
        <v>74.0</v>
      </c>
      <c r="I449" s="5">
        <v>4391.0</v>
      </c>
      <c r="J449" s="5">
        <v>9098.0</v>
      </c>
      <c r="K449" s="5">
        <v>6.0</v>
      </c>
      <c r="L449" s="9">
        <v>1524.470523</v>
      </c>
      <c r="M449" s="15">
        <f t="shared" si="1"/>
        <v>254.0784205</v>
      </c>
      <c r="N449" s="16">
        <f t="shared" si="2"/>
        <v>0.005915267786</v>
      </c>
    </row>
    <row r="450">
      <c r="A450" s="5" t="s">
        <v>61</v>
      </c>
      <c r="B450" s="5" t="s">
        <v>16</v>
      </c>
      <c r="C450" s="5" t="s">
        <v>29</v>
      </c>
      <c r="D450" s="6" t="s">
        <v>828</v>
      </c>
      <c r="E450" s="5" t="s">
        <v>26</v>
      </c>
      <c r="F450" s="5" t="s">
        <v>27</v>
      </c>
      <c r="G450" s="5">
        <v>15475.0</v>
      </c>
      <c r="H450" s="5">
        <v>110.0</v>
      </c>
      <c r="I450" s="5">
        <v>6019.0</v>
      </c>
      <c r="J450" s="5">
        <v>10952.0</v>
      </c>
      <c r="K450" s="5">
        <v>9.0</v>
      </c>
      <c r="L450" s="9">
        <v>4156.713383</v>
      </c>
      <c r="M450" s="15">
        <f t="shared" si="1"/>
        <v>461.8570426</v>
      </c>
      <c r="N450" s="16">
        <f t="shared" si="2"/>
        <v>0.007108239095</v>
      </c>
    </row>
    <row r="451">
      <c r="A451" s="5" t="s">
        <v>22</v>
      </c>
      <c r="B451" s="5" t="s">
        <v>23</v>
      </c>
      <c r="C451" s="5" t="s">
        <v>95</v>
      </c>
      <c r="D451" s="6" t="s">
        <v>830</v>
      </c>
      <c r="E451" s="5" t="s">
        <v>19</v>
      </c>
      <c r="F451" s="5" t="s">
        <v>27</v>
      </c>
      <c r="G451" s="5">
        <v>20572.0</v>
      </c>
      <c r="H451" s="5">
        <v>90.0</v>
      </c>
      <c r="I451" s="5">
        <v>2226.0</v>
      </c>
      <c r="J451" s="5">
        <v>16510.0</v>
      </c>
      <c r="K451" s="5">
        <v>10.0</v>
      </c>
      <c r="L451" s="9">
        <v>1529.307229</v>
      </c>
      <c r="M451" s="15">
        <f t="shared" si="1"/>
        <v>152.9307229</v>
      </c>
      <c r="N451" s="16">
        <f t="shared" si="2"/>
        <v>0.004374878476</v>
      </c>
    </row>
    <row r="452">
      <c r="A452" s="5" t="s">
        <v>22</v>
      </c>
      <c r="B452" s="5" t="s">
        <v>23</v>
      </c>
      <c r="C452" s="5" t="s">
        <v>84</v>
      </c>
      <c r="D452" s="6" t="s">
        <v>832</v>
      </c>
      <c r="E452" s="5" t="s">
        <v>327</v>
      </c>
      <c r="F452" s="5" t="s">
        <v>27</v>
      </c>
      <c r="G452" s="5">
        <v>16956.0</v>
      </c>
      <c r="H452" s="5">
        <v>65.0</v>
      </c>
      <c r="I452" s="5">
        <v>7553.0</v>
      </c>
      <c r="J452" s="5">
        <v>15201.0</v>
      </c>
      <c r="K452" s="5">
        <v>3.0</v>
      </c>
      <c r="L452" s="9">
        <v>1502.680139</v>
      </c>
      <c r="M452" s="15">
        <f t="shared" si="1"/>
        <v>500.8933797</v>
      </c>
      <c r="N452" s="16">
        <f t="shared" si="2"/>
        <v>0.003833451286</v>
      </c>
    </row>
    <row r="453">
      <c r="A453" s="5" t="s">
        <v>22</v>
      </c>
      <c r="B453" s="5" t="s">
        <v>23</v>
      </c>
      <c r="C453" s="5" t="s">
        <v>84</v>
      </c>
      <c r="D453" s="6" t="s">
        <v>836</v>
      </c>
      <c r="E453" s="5" t="s">
        <v>19</v>
      </c>
      <c r="F453" s="5" t="s">
        <v>27</v>
      </c>
      <c r="G453" s="5">
        <v>9709.0</v>
      </c>
      <c r="H453" s="5">
        <v>58.0</v>
      </c>
      <c r="I453" s="5">
        <v>3339.0</v>
      </c>
      <c r="J453" s="5">
        <v>7891.0</v>
      </c>
      <c r="K453" s="5">
        <v>3.0</v>
      </c>
      <c r="L453" s="9">
        <v>6994.085353</v>
      </c>
      <c r="M453" s="15">
        <f t="shared" si="1"/>
        <v>2331.361784</v>
      </c>
      <c r="N453" s="16">
        <f t="shared" si="2"/>
        <v>0.005973838706</v>
      </c>
    </row>
    <row r="454">
      <c r="A454" s="5" t="s">
        <v>22</v>
      </c>
      <c r="B454" s="5" t="s">
        <v>16</v>
      </c>
      <c r="C454" s="5" t="s">
        <v>29</v>
      </c>
      <c r="D454" s="6" t="s">
        <v>836</v>
      </c>
      <c r="E454" s="5" t="s">
        <v>46</v>
      </c>
      <c r="F454" s="5" t="s">
        <v>27</v>
      </c>
      <c r="G454" s="5">
        <v>7769.0</v>
      </c>
      <c r="H454" s="5">
        <v>10.0</v>
      </c>
      <c r="I454" s="5">
        <v>3152.0</v>
      </c>
      <c r="J454" s="5">
        <v>6464.0</v>
      </c>
      <c r="K454" s="5">
        <v>1.0</v>
      </c>
      <c r="L454" s="9">
        <v>5603.048132</v>
      </c>
      <c r="M454" s="15">
        <f t="shared" si="1"/>
        <v>5603.048132</v>
      </c>
      <c r="N454" s="16">
        <f t="shared" si="2"/>
        <v>0.001287166946</v>
      </c>
    </row>
    <row r="455">
      <c r="A455" s="5" t="s">
        <v>15</v>
      </c>
      <c r="B455" s="5" t="s">
        <v>23</v>
      </c>
      <c r="C455" s="5" t="s">
        <v>35</v>
      </c>
      <c r="D455" s="6" t="s">
        <v>839</v>
      </c>
      <c r="E455" s="5" t="s">
        <v>19</v>
      </c>
      <c r="F455" s="5" t="s">
        <v>27</v>
      </c>
      <c r="G455" s="5">
        <v>756687.0</v>
      </c>
      <c r="H455" s="5">
        <v>1984.0</v>
      </c>
      <c r="I455" s="5">
        <v>442979.0</v>
      </c>
      <c r="J455" s="5">
        <v>611813.0</v>
      </c>
      <c r="K455" s="5">
        <v>14.0</v>
      </c>
      <c r="L455" s="9">
        <v>2452.997504</v>
      </c>
      <c r="M455" s="15">
        <f t="shared" si="1"/>
        <v>175.2141074</v>
      </c>
      <c r="N455" s="16">
        <f t="shared" si="2"/>
        <v>0.002621955974</v>
      </c>
    </row>
    <row r="456">
      <c r="A456" s="5" t="s">
        <v>15</v>
      </c>
      <c r="B456" s="5" t="s">
        <v>42</v>
      </c>
      <c r="C456" s="5" t="s">
        <v>95</v>
      </c>
      <c r="D456" s="6" t="s">
        <v>843</v>
      </c>
      <c r="E456" s="5" t="s">
        <v>161</v>
      </c>
      <c r="F456" s="5" t="s">
        <v>27</v>
      </c>
      <c r="G456" s="5">
        <v>217824.0</v>
      </c>
      <c r="H456" s="5">
        <v>560.0</v>
      </c>
      <c r="I456" s="5">
        <v>75089.0</v>
      </c>
      <c r="J456" s="5">
        <v>179723.0</v>
      </c>
      <c r="K456" s="5">
        <v>16.0</v>
      </c>
      <c r="L456" s="9">
        <v>1451.808544</v>
      </c>
      <c r="M456" s="15">
        <f t="shared" si="1"/>
        <v>90.738034</v>
      </c>
      <c r="N456" s="16">
        <f t="shared" si="2"/>
        <v>0.002570882915</v>
      </c>
    </row>
    <row r="457">
      <c r="A457" s="5" t="s">
        <v>22</v>
      </c>
      <c r="B457" s="5" t="s">
        <v>23</v>
      </c>
      <c r="C457" s="5" t="s">
        <v>35</v>
      </c>
      <c r="D457" s="6" t="s">
        <v>845</v>
      </c>
      <c r="E457" s="5" t="s">
        <v>19</v>
      </c>
      <c r="F457" s="5" t="s">
        <v>27</v>
      </c>
      <c r="G457" s="5">
        <v>9153.0</v>
      </c>
      <c r="H457" s="5">
        <v>23.0</v>
      </c>
      <c r="I457" s="5">
        <v>4345.0</v>
      </c>
      <c r="J457" s="5">
        <v>8376.0</v>
      </c>
      <c r="K457" s="5">
        <v>14.0</v>
      </c>
      <c r="L457" s="9">
        <v>5007.525805</v>
      </c>
      <c r="M457" s="15">
        <f t="shared" si="1"/>
        <v>357.6804146</v>
      </c>
      <c r="N457" s="16">
        <f t="shared" si="2"/>
        <v>0.002512837321</v>
      </c>
    </row>
    <row r="458">
      <c r="A458" s="5" t="s">
        <v>22</v>
      </c>
      <c r="B458" s="5" t="s">
        <v>31</v>
      </c>
      <c r="C458" s="5" t="s">
        <v>43</v>
      </c>
      <c r="D458" s="6" t="s">
        <v>847</v>
      </c>
      <c r="E458" s="5" t="s">
        <v>46</v>
      </c>
      <c r="F458" s="5" t="s">
        <v>27</v>
      </c>
      <c r="G458" s="5">
        <v>21962.0</v>
      </c>
      <c r="H458" s="5">
        <v>120.0</v>
      </c>
      <c r="I458" s="5">
        <v>10702.0</v>
      </c>
      <c r="J458" s="5">
        <v>21034.0</v>
      </c>
      <c r="K458" s="5">
        <v>11.0</v>
      </c>
      <c r="L458" s="9">
        <v>6404.003128</v>
      </c>
      <c r="M458" s="15">
        <f t="shared" si="1"/>
        <v>582.1821025</v>
      </c>
      <c r="N458" s="16">
        <f t="shared" si="2"/>
        <v>0.005463983244</v>
      </c>
    </row>
    <row r="459">
      <c r="A459" s="5" t="s">
        <v>22</v>
      </c>
      <c r="B459" s="5" t="s">
        <v>23</v>
      </c>
      <c r="C459" s="5" t="s">
        <v>32</v>
      </c>
      <c r="D459" s="6" t="s">
        <v>849</v>
      </c>
      <c r="E459" s="5" t="s">
        <v>19</v>
      </c>
      <c r="F459" s="5" t="s">
        <v>27</v>
      </c>
      <c r="G459" s="5">
        <v>12161.0</v>
      </c>
      <c r="H459" s="5">
        <v>20.0</v>
      </c>
      <c r="I459" s="5">
        <v>6284.0</v>
      </c>
      <c r="J459" s="5">
        <v>10919.0</v>
      </c>
      <c r="K459" s="5">
        <v>4.0</v>
      </c>
      <c r="L459" s="9">
        <v>7273.265988</v>
      </c>
      <c r="M459" s="15">
        <f t="shared" si="1"/>
        <v>1818.316497</v>
      </c>
      <c r="N459" s="16">
        <f t="shared" si="2"/>
        <v>0.001644601595</v>
      </c>
    </row>
    <row r="460">
      <c r="A460" s="5" t="s">
        <v>15</v>
      </c>
      <c r="B460" s="5" t="s">
        <v>16</v>
      </c>
      <c r="C460" s="5" t="s">
        <v>29</v>
      </c>
      <c r="D460" s="6" t="s">
        <v>851</v>
      </c>
      <c r="E460" s="5" t="s">
        <v>46</v>
      </c>
      <c r="F460" s="5" t="s">
        <v>27</v>
      </c>
      <c r="G460" s="5">
        <v>10653.0</v>
      </c>
      <c r="H460" s="5">
        <v>68.0</v>
      </c>
      <c r="I460" s="5">
        <v>5263.0</v>
      </c>
      <c r="J460" s="5">
        <v>9921.0</v>
      </c>
      <c r="K460" s="5">
        <v>11.0</v>
      </c>
      <c r="L460" s="9">
        <v>2641.478397</v>
      </c>
      <c r="M460" s="15">
        <f t="shared" si="1"/>
        <v>240.1343997</v>
      </c>
      <c r="N460" s="16">
        <f t="shared" si="2"/>
        <v>0.006383178447</v>
      </c>
    </row>
    <row r="461">
      <c r="A461" s="5" t="s">
        <v>15</v>
      </c>
      <c r="B461" s="5" t="s">
        <v>23</v>
      </c>
      <c r="C461" s="5" t="s">
        <v>35</v>
      </c>
      <c r="D461" s="6" t="s">
        <v>853</v>
      </c>
      <c r="E461" s="5" t="s">
        <v>46</v>
      </c>
      <c r="F461" s="5" t="s">
        <v>27</v>
      </c>
      <c r="G461" s="5">
        <v>7691.0</v>
      </c>
      <c r="H461" s="5">
        <v>0.0</v>
      </c>
      <c r="I461" s="5">
        <v>3890.0</v>
      </c>
      <c r="J461" s="5">
        <v>5905.0</v>
      </c>
      <c r="K461" s="5">
        <v>1.0</v>
      </c>
      <c r="L461" s="9">
        <v>5927.806788</v>
      </c>
      <c r="M461" s="15">
        <f t="shared" si="1"/>
        <v>5927.806788</v>
      </c>
      <c r="N461" s="16">
        <f t="shared" si="2"/>
        <v>0</v>
      </c>
    </row>
    <row r="462">
      <c r="A462" s="5" t="s">
        <v>15</v>
      </c>
      <c r="B462" s="5" t="s">
        <v>16</v>
      </c>
      <c r="C462" s="5" t="s">
        <v>35</v>
      </c>
      <c r="D462" s="6" t="s">
        <v>855</v>
      </c>
      <c r="E462" s="5" t="s">
        <v>46</v>
      </c>
      <c r="F462" s="5" t="s">
        <v>27</v>
      </c>
      <c r="G462" s="5">
        <v>8362.0</v>
      </c>
      <c r="H462" s="5">
        <v>31.0</v>
      </c>
      <c r="I462" s="5">
        <v>5959.0</v>
      </c>
      <c r="J462" s="5">
        <v>7947.0</v>
      </c>
      <c r="K462" s="5">
        <v>7.0</v>
      </c>
      <c r="L462" s="9">
        <v>6997.468963</v>
      </c>
      <c r="M462" s="15">
        <f t="shared" si="1"/>
        <v>999.6384233</v>
      </c>
      <c r="N462" s="16">
        <f t="shared" si="2"/>
        <v>0.00370724707</v>
      </c>
    </row>
    <row r="463">
      <c r="A463" s="5" t="s">
        <v>61</v>
      </c>
      <c r="B463" s="5" t="s">
        <v>16</v>
      </c>
      <c r="C463" s="5" t="s">
        <v>66</v>
      </c>
      <c r="D463" s="6" t="s">
        <v>857</v>
      </c>
      <c r="E463" s="5" t="s">
        <v>26</v>
      </c>
      <c r="F463" s="5" t="s">
        <v>27</v>
      </c>
      <c r="G463" s="5">
        <v>7531.0</v>
      </c>
      <c r="H463" s="5">
        <v>10.0</v>
      </c>
      <c r="I463" s="5">
        <v>3059.0</v>
      </c>
      <c r="J463" s="5">
        <v>6523.0</v>
      </c>
      <c r="K463" s="5">
        <v>1.0</v>
      </c>
      <c r="L463" s="9">
        <v>1937.058388</v>
      </c>
      <c r="M463" s="15">
        <f t="shared" si="1"/>
        <v>1937.058388</v>
      </c>
      <c r="N463" s="16">
        <f t="shared" si="2"/>
        <v>0.001327844908</v>
      </c>
    </row>
    <row r="464">
      <c r="A464" s="5" t="s">
        <v>15</v>
      </c>
      <c r="B464" s="5" t="s">
        <v>42</v>
      </c>
      <c r="C464" s="5" t="s">
        <v>35</v>
      </c>
      <c r="D464" s="6" t="s">
        <v>859</v>
      </c>
      <c r="E464" s="5" t="s">
        <v>36</v>
      </c>
      <c r="F464" s="5" t="s">
        <v>27</v>
      </c>
      <c r="G464" s="5">
        <v>11417.0</v>
      </c>
      <c r="H464" s="5">
        <v>78.0</v>
      </c>
      <c r="I464" s="5">
        <v>1387.0</v>
      </c>
      <c r="J464" s="5">
        <v>9924.0</v>
      </c>
      <c r="K464" s="5">
        <v>9.0</v>
      </c>
      <c r="L464" s="9">
        <v>6206.637108</v>
      </c>
      <c r="M464" s="15">
        <f t="shared" si="1"/>
        <v>689.6263453</v>
      </c>
      <c r="N464" s="16">
        <f t="shared" si="2"/>
        <v>0.006831917316</v>
      </c>
    </row>
    <row r="465">
      <c r="A465" s="5" t="s">
        <v>22</v>
      </c>
      <c r="B465" s="5" t="s">
        <v>16</v>
      </c>
      <c r="C465" s="5" t="s">
        <v>29</v>
      </c>
      <c r="D465" s="6" t="s">
        <v>861</v>
      </c>
      <c r="E465" s="5" t="s">
        <v>117</v>
      </c>
      <c r="F465" s="5" t="s">
        <v>27</v>
      </c>
      <c r="G465" s="5">
        <v>9157.0</v>
      </c>
      <c r="H465" s="5">
        <v>60.0</v>
      </c>
      <c r="I465" s="5">
        <v>4520.0</v>
      </c>
      <c r="J465" s="5">
        <v>8037.0</v>
      </c>
      <c r="K465" s="5">
        <v>2.0</v>
      </c>
      <c r="L465" s="9">
        <v>1449.177804</v>
      </c>
      <c r="M465" s="15">
        <f t="shared" si="1"/>
        <v>724.588902</v>
      </c>
      <c r="N465" s="16">
        <f t="shared" si="2"/>
        <v>0.006552364311</v>
      </c>
    </row>
    <row r="466">
      <c r="A466" s="5" t="s">
        <v>15</v>
      </c>
      <c r="B466" s="5" t="s">
        <v>31</v>
      </c>
      <c r="C466" s="5" t="s">
        <v>35</v>
      </c>
      <c r="D466" s="6" t="s">
        <v>863</v>
      </c>
      <c r="E466" s="5" t="s">
        <v>19</v>
      </c>
      <c r="F466" s="5" t="s">
        <v>27</v>
      </c>
      <c r="G466" s="5">
        <v>15547.0</v>
      </c>
      <c r="H466" s="5">
        <v>70.0</v>
      </c>
      <c r="I466" s="5">
        <v>7615.0</v>
      </c>
      <c r="J466" s="5">
        <v>14939.0</v>
      </c>
      <c r="K466" s="5">
        <v>3.0</v>
      </c>
      <c r="L466" s="9">
        <v>1767.464456</v>
      </c>
      <c r="M466" s="15">
        <f t="shared" si="1"/>
        <v>589.1548187</v>
      </c>
      <c r="N466" s="16">
        <f t="shared" si="2"/>
        <v>0.004502476362</v>
      </c>
    </row>
    <row r="467">
      <c r="A467" s="5" t="s">
        <v>22</v>
      </c>
      <c r="B467" s="5" t="s">
        <v>23</v>
      </c>
      <c r="C467" s="5" t="s">
        <v>78</v>
      </c>
      <c r="D467" s="13" t="s">
        <v>1580</v>
      </c>
      <c r="E467" s="5" t="s">
        <v>19</v>
      </c>
      <c r="F467" s="5" t="s">
        <v>27</v>
      </c>
      <c r="G467" s="5">
        <v>55445.0</v>
      </c>
      <c r="H467" s="5">
        <v>155.0</v>
      </c>
      <c r="I467" s="5">
        <v>4565.0</v>
      </c>
      <c r="J467" s="5">
        <v>53407.0</v>
      </c>
      <c r="K467" s="5">
        <v>36.0</v>
      </c>
      <c r="L467" s="9">
        <v>7948.480752</v>
      </c>
      <c r="M467" s="15">
        <f t="shared" si="1"/>
        <v>220.791132</v>
      </c>
      <c r="N467" s="16">
        <f t="shared" si="2"/>
        <v>0.002795563171</v>
      </c>
    </row>
    <row r="468">
      <c r="A468" s="5" t="s">
        <v>22</v>
      </c>
      <c r="B468" s="5" t="s">
        <v>42</v>
      </c>
      <c r="C468" s="5" t="s">
        <v>78</v>
      </c>
      <c r="D468" s="13" t="s">
        <v>1580</v>
      </c>
      <c r="E468" s="5" t="s">
        <v>19</v>
      </c>
      <c r="F468" s="5" t="s">
        <v>27</v>
      </c>
      <c r="G468" s="5">
        <v>18081.0</v>
      </c>
      <c r="H468" s="5">
        <v>44.0</v>
      </c>
      <c r="I468" s="5">
        <v>4545.0</v>
      </c>
      <c r="J468" s="5">
        <v>15617.0</v>
      </c>
      <c r="K468" s="5">
        <v>15.0</v>
      </c>
      <c r="L468" s="9">
        <v>6522.637526</v>
      </c>
      <c r="M468" s="15">
        <f t="shared" si="1"/>
        <v>434.8425017</v>
      </c>
      <c r="N468" s="16">
        <f t="shared" si="2"/>
        <v>0.002433493723</v>
      </c>
    </row>
    <row r="469">
      <c r="A469" s="5" t="s">
        <v>61</v>
      </c>
      <c r="B469" s="5" t="s">
        <v>42</v>
      </c>
      <c r="C469" s="5" t="s">
        <v>39</v>
      </c>
      <c r="D469" s="13" t="s">
        <v>1580</v>
      </c>
      <c r="E469" s="5" t="s">
        <v>36</v>
      </c>
      <c r="F469" s="5" t="s">
        <v>27</v>
      </c>
      <c r="G469" s="5">
        <v>20417.0</v>
      </c>
      <c r="H469" s="5">
        <v>86.0</v>
      </c>
      <c r="I469" s="5">
        <v>1016.0</v>
      </c>
      <c r="J469" s="5">
        <v>13468.0</v>
      </c>
      <c r="K469" s="5">
        <v>5.0</v>
      </c>
      <c r="L469" s="9">
        <v>1805.600513</v>
      </c>
      <c r="M469" s="15">
        <f t="shared" si="1"/>
        <v>361.1201026</v>
      </c>
      <c r="N469" s="16">
        <f t="shared" si="2"/>
        <v>0.004212176128</v>
      </c>
    </row>
    <row r="470">
      <c r="A470" s="5" t="s">
        <v>15</v>
      </c>
      <c r="B470" s="5" t="s">
        <v>23</v>
      </c>
      <c r="C470" s="5" t="s">
        <v>35</v>
      </c>
      <c r="D470" s="13" t="s">
        <v>1580</v>
      </c>
      <c r="E470" s="5" t="s">
        <v>46</v>
      </c>
      <c r="F470" s="5" t="s">
        <v>27</v>
      </c>
      <c r="G470" s="5">
        <v>57917.0</v>
      </c>
      <c r="H470" s="5">
        <v>212.0</v>
      </c>
      <c r="I470" s="5">
        <v>3650.0</v>
      </c>
      <c r="J470" s="5">
        <v>55128.0</v>
      </c>
      <c r="K470" s="5">
        <v>5.0</v>
      </c>
      <c r="L470" s="9">
        <v>1669.728905</v>
      </c>
      <c r="M470" s="15">
        <f t="shared" si="1"/>
        <v>333.945781</v>
      </c>
      <c r="N470" s="16">
        <f t="shared" si="2"/>
        <v>0.003660410588</v>
      </c>
    </row>
    <row r="471">
      <c r="A471" s="5" t="s">
        <v>15</v>
      </c>
      <c r="B471" s="5" t="s">
        <v>16</v>
      </c>
      <c r="C471" s="5" t="s">
        <v>29</v>
      </c>
      <c r="D471" s="13" t="s">
        <v>1580</v>
      </c>
      <c r="E471" s="5" t="s">
        <v>19</v>
      </c>
      <c r="F471" s="5" t="s">
        <v>27</v>
      </c>
      <c r="G471" s="5">
        <v>141157.0</v>
      </c>
      <c r="H471" s="5">
        <v>420.0</v>
      </c>
      <c r="I471" s="5">
        <v>8280.0</v>
      </c>
      <c r="J471" s="5">
        <v>107935.0</v>
      </c>
      <c r="K471" s="5">
        <v>4.0</v>
      </c>
      <c r="L471" s="9">
        <v>1631.782949</v>
      </c>
      <c r="M471" s="15">
        <f t="shared" si="1"/>
        <v>407.9457373</v>
      </c>
      <c r="N471" s="16">
        <f t="shared" si="2"/>
        <v>0.002975410359</v>
      </c>
    </row>
    <row r="472">
      <c r="A472" s="5" t="s">
        <v>15</v>
      </c>
      <c r="B472" s="5" t="s">
        <v>31</v>
      </c>
      <c r="C472" s="5" t="s">
        <v>35</v>
      </c>
      <c r="D472" s="6" t="s">
        <v>873</v>
      </c>
      <c r="E472" s="5" t="s">
        <v>48</v>
      </c>
      <c r="F472" s="5" t="s">
        <v>27</v>
      </c>
      <c r="G472" s="5">
        <v>247106.0</v>
      </c>
      <c r="H472" s="5">
        <v>750.0</v>
      </c>
      <c r="I472" s="5">
        <v>159618.0</v>
      </c>
      <c r="J472" s="5">
        <v>233150.0</v>
      </c>
      <c r="K472" s="5">
        <v>32.0</v>
      </c>
      <c r="L472" s="9">
        <v>7629.94427</v>
      </c>
      <c r="M472" s="15">
        <f t="shared" si="1"/>
        <v>238.4357584</v>
      </c>
      <c r="N472" s="16">
        <f t="shared" si="2"/>
        <v>0.00303513472</v>
      </c>
    </row>
    <row r="473">
      <c r="A473" s="5" t="s">
        <v>15</v>
      </c>
      <c r="B473" s="5" t="s">
        <v>16</v>
      </c>
      <c r="C473" s="5" t="s">
        <v>35</v>
      </c>
      <c r="D473" s="6" t="s">
        <v>873</v>
      </c>
      <c r="E473" s="5" t="s">
        <v>19</v>
      </c>
      <c r="F473" s="5" t="s">
        <v>27</v>
      </c>
      <c r="G473" s="5">
        <v>357707.0</v>
      </c>
      <c r="H473" s="5">
        <v>951.0</v>
      </c>
      <c r="I473" s="5">
        <v>203987.0</v>
      </c>
      <c r="J473" s="5">
        <v>338107.0</v>
      </c>
      <c r="K473" s="5">
        <v>74.0</v>
      </c>
      <c r="L473" s="9">
        <v>6749.202353</v>
      </c>
      <c r="M473" s="15">
        <f t="shared" si="1"/>
        <v>91.2054372</v>
      </c>
      <c r="N473" s="16">
        <f t="shared" si="2"/>
        <v>0.002658600475</v>
      </c>
    </row>
    <row r="474">
      <c r="A474" s="5" t="s">
        <v>22</v>
      </c>
      <c r="B474" s="5" t="s">
        <v>16</v>
      </c>
      <c r="C474" s="5" t="s">
        <v>155</v>
      </c>
      <c r="D474" s="6" t="s">
        <v>873</v>
      </c>
      <c r="E474" s="5" t="s">
        <v>36</v>
      </c>
      <c r="F474" s="5" t="s">
        <v>27</v>
      </c>
      <c r="G474" s="5">
        <v>16372.0</v>
      </c>
      <c r="H474" s="5">
        <v>90.0</v>
      </c>
      <c r="I474" s="5">
        <v>4731.0</v>
      </c>
      <c r="J474" s="5">
        <v>15332.0</v>
      </c>
      <c r="K474" s="5">
        <v>9.0</v>
      </c>
      <c r="L474" s="9">
        <v>1704.511123</v>
      </c>
      <c r="M474" s="15">
        <f t="shared" si="1"/>
        <v>189.3901248</v>
      </c>
      <c r="N474" s="16">
        <f t="shared" si="2"/>
        <v>0.005497190325</v>
      </c>
    </row>
    <row r="475">
      <c r="A475" s="5" t="s">
        <v>15</v>
      </c>
      <c r="B475" s="5" t="s">
        <v>16</v>
      </c>
      <c r="C475" s="5" t="s">
        <v>55</v>
      </c>
      <c r="D475" s="6" t="s">
        <v>873</v>
      </c>
      <c r="E475" s="5" t="s">
        <v>19</v>
      </c>
      <c r="F475" s="5" t="s">
        <v>27</v>
      </c>
      <c r="G475" s="5">
        <v>14799.0</v>
      </c>
      <c r="H475" s="5">
        <v>59.0</v>
      </c>
      <c r="I475" s="5">
        <v>1403.0</v>
      </c>
      <c r="J475" s="5">
        <v>13410.0</v>
      </c>
      <c r="K475" s="5">
        <v>9.0</v>
      </c>
      <c r="L475" s="9">
        <v>1693.760435</v>
      </c>
      <c r="M475" s="15">
        <f t="shared" si="1"/>
        <v>188.1956039</v>
      </c>
      <c r="N475" s="16">
        <f t="shared" si="2"/>
        <v>0.003986755862</v>
      </c>
    </row>
    <row r="476">
      <c r="A476" s="5" t="s">
        <v>22</v>
      </c>
      <c r="B476" s="5" t="s">
        <v>42</v>
      </c>
      <c r="C476" s="5" t="s">
        <v>45</v>
      </c>
      <c r="D476" s="6" t="s">
        <v>873</v>
      </c>
      <c r="E476" s="5" t="s">
        <v>19</v>
      </c>
      <c r="F476" s="5" t="s">
        <v>27</v>
      </c>
      <c r="G476" s="5">
        <v>97346.0</v>
      </c>
      <c r="H476" s="5">
        <v>790.0</v>
      </c>
      <c r="I476" s="5">
        <v>44118.0</v>
      </c>
      <c r="J476" s="5">
        <v>91080.0</v>
      </c>
      <c r="K476" s="5">
        <v>19.0</v>
      </c>
      <c r="L476" s="9">
        <v>1657.56487</v>
      </c>
      <c r="M476" s="15">
        <f t="shared" si="1"/>
        <v>87.24025632</v>
      </c>
      <c r="N476" s="16">
        <f t="shared" si="2"/>
        <v>0.008115382245</v>
      </c>
    </row>
    <row r="477">
      <c r="A477" s="5" t="s">
        <v>22</v>
      </c>
      <c r="B477" s="5" t="s">
        <v>23</v>
      </c>
      <c r="C477" s="5" t="s">
        <v>78</v>
      </c>
      <c r="D477" s="6" t="s">
        <v>880</v>
      </c>
      <c r="E477" s="5" t="s">
        <v>50</v>
      </c>
      <c r="F477" s="5" t="s">
        <v>27</v>
      </c>
      <c r="G477" s="5">
        <v>44361.0</v>
      </c>
      <c r="H477" s="5">
        <v>166.0</v>
      </c>
      <c r="I477" s="5">
        <v>36040.0</v>
      </c>
      <c r="J477" s="5">
        <v>40684.0</v>
      </c>
      <c r="K477" s="5">
        <v>17.0</v>
      </c>
      <c r="L477" s="9">
        <v>5048.852553</v>
      </c>
      <c r="M477" s="15">
        <f t="shared" si="1"/>
        <v>296.9913266</v>
      </c>
      <c r="N477" s="16">
        <f t="shared" si="2"/>
        <v>0.003742025653</v>
      </c>
    </row>
    <row r="478">
      <c r="A478" s="5" t="s">
        <v>15</v>
      </c>
      <c r="B478" s="5" t="s">
        <v>42</v>
      </c>
      <c r="C478" s="5" t="s">
        <v>39</v>
      </c>
      <c r="D478" s="6" t="s">
        <v>880</v>
      </c>
      <c r="E478" s="5" t="s">
        <v>19</v>
      </c>
      <c r="F478" s="5" t="s">
        <v>27</v>
      </c>
      <c r="G478" s="5">
        <v>12280.0</v>
      </c>
      <c r="H478" s="5">
        <v>40.0</v>
      </c>
      <c r="I478" s="5">
        <v>9613.0</v>
      </c>
      <c r="J478" s="5">
        <v>11247.0</v>
      </c>
      <c r="K478" s="5">
        <v>4.0</v>
      </c>
      <c r="L478" s="9">
        <v>1765.39871</v>
      </c>
      <c r="M478" s="15">
        <f t="shared" si="1"/>
        <v>441.3496775</v>
      </c>
      <c r="N478" s="16">
        <f t="shared" si="2"/>
        <v>0.00325732899</v>
      </c>
    </row>
    <row r="479">
      <c r="A479" s="5" t="s">
        <v>22</v>
      </c>
      <c r="B479" s="5" t="s">
        <v>42</v>
      </c>
      <c r="C479" s="5" t="s">
        <v>35</v>
      </c>
      <c r="D479" s="6" t="s">
        <v>884</v>
      </c>
      <c r="E479" s="5" t="s">
        <v>19</v>
      </c>
      <c r="F479" s="5" t="s">
        <v>27</v>
      </c>
      <c r="G479" s="5">
        <v>17317.0</v>
      </c>
      <c r="H479" s="5">
        <v>68.0</v>
      </c>
      <c r="I479" s="5">
        <v>8055.0</v>
      </c>
      <c r="J479" s="5">
        <v>12724.0</v>
      </c>
      <c r="K479" s="5">
        <v>12.0</v>
      </c>
      <c r="L479" s="9">
        <v>5668.857079</v>
      </c>
      <c r="M479" s="15">
        <f t="shared" si="1"/>
        <v>472.4047566</v>
      </c>
      <c r="N479" s="16">
        <f t="shared" si="2"/>
        <v>0.003926777155</v>
      </c>
    </row>
    <row r="480">
      <c r="A480" s="5" t="s">
        <v>15</v>
      </c>
      <c r="B480" s="5" t="s">
        <v>23</v>
      </c>
      <c r="C480" s="5" t="s">
        <v>78</v>
      </c>
      <c r="D480" s="6" t="s">
        <v>886</v>
      </c>
      <c r="E480" s="5" t="s">
        <v>36</v>
      </c>
      <c r="F480" s="5" t="s">
        <v>27</v>
      </c>
      <c r="G480" s="5">
        <v>11343.0</v>
      </c>
      <c r="H480" s="5">
        <v>69.0</v>
      </c>
      <c r="I480" s="5">
        <v>5900.0</v>
      </c>
      <c r="J480" s="5">
        <v>10175.0</v>
      </c>
      <c r="K480" s="5">
        <v>3.0</v>
      </c>
      <c r="L480" s="9">
        <v>2178.153775</v>
      </c>
      <c r="M480" s="15">
        <f t="shared" si="1"/>
        <v>726.0512583</v>
      </c>
      <c r="N480" s="16">
        <f t="shared" si="2"/>
        <v>0.006083046813</v>
      </c>
    </row>
    <row r="481">
      <c r="A481" s="5" t="s">
        <v>22</v>
      </c>
      <c r="B481" s="5" t="s">
        <v>31</v>
      </c>
      <c r="C481" s="5" t="s">
        <v>17</v>
      </c>
      <c r="D481" s="6" t="s">
        <v>886</v>
      </c>
      <c r="E481" s="5" t="s">
        <v>48</v>
      </c>
      <c r="F481" s="5" t="s">
        <v>27</v>
      </c>
      <c r="G481" s="5">
        <v>21737.0</v>
      </c>
      <c r="H481" s="5">
        <v>80.0</v>
      </c>
      <c r="I481" s="5">
        <v>11206.0</v>
      </c>
      <c r="J481" s="5">
        <v>19459.0</v>
      </c>
      <c r="K481" s="5">
        <v>4.0</v>
      </c>
      <c r="L481" s="9">
        <v>1521.576648</v>
      </c>
      <c r="M481" s="15">
        <f t="shared" si="1"/>
        <v>380.394162</v>
      </c>
      <c r="N481" s="16">
        <f t="shared" si="2"/>
        <v>0.003680360675</v>
      </c>
    </row>
    <row r="482">
      <c r="A482" s="5" t="s">
        <v>15</v>
      </c>
      <c r="B482" s="5" t="s">
        <v>16</v>
      </c>
      <c r="C482" s="5" t="s">
        <v>78</v>
      </c>
      <c r="D482" s="6" t="s">
        <v>890</v>
      </c>
      <c r="E482" s="5" t="s">
        <v>26</v>
      </c>
      <c r="F482" s="5" t="s">
        <v>27</v>
      </c>
      <c r="G482" s="5">
        <v>9362.0</v>
      </c>
      <c r="H482" s="5">
        <v>39.0</v>
      </c>
      <c r="I482" s="5">
        <v>5202.0</v>
      </c>
      <c r="J482" s="5">
        <v>8928.0</v>
      </c>
      <c r="K482" s="5">
        <v>6.0</v>
      </c>
      <c r="L482" s="9">
        <v>7312.492757</v>
      </c>
      <c r="M482" s="15">
        <f t="shared" si="1"/>
        <v>1218.748793</v>
      </c>
      <c r="N482" s="16">
        <f t="shared" si="2"/>
        <v>0.004165776543</v>
      </c>
    </row>
    <row r="483">
      <c r="A483" s="5" t="s">
        <v>22</v>
      </c>
      <c r="B483" s="5" t="s">
        <v>31</v>
      </c>
      <c r="C483" s="5" t="s">
        <v>32</v>
      </c>
      <c r="D483" s="6" t="s">
        <v>893</v>
      </c>
      <c r="E483" s="5" t="s">
        <v>46</v>
      </c>
      <c r="F483" s="5" t="s">
        <v>27</v>
      </c>
      <c r="G483" s="5">
        <v>10707.0</v>
      </c>
      <c r="H483" s="5">
        <v>57.0</v>
      </c>
      <c r="I483" s="5">
        <v>6300.0</v>
      </c>
      <c r="J483" s="5">
        <v>10089.0</v>
      </c>
      <c r="K483" s="5">
        <v>3.0</v>
      </c>
      <c r="L483" s="9">
        <v>1603.859264</v>
      </c>
      <c r="M483" s="15">
        <f t="shared" si="1"/>
        <v>534.6197547</v>
      </c>
      <c r="N483" s="16">
        <f t="shared" si="2"/>
        <v>0.005323620062</v>
      </c>
    </row>
    <row r="484">
      <c r="A484" s="5" t="s">
        <v>22</v>
      </c>
      <c r="B484" s="5" t="s">
        <v>42</v>
      </c>
      <c r="C484" s="5" t="s">
        <v>39</v>
      </c>
      <c r="D484" s="6" t="s">
        <v>896</v>
      </c>
      <c r="E484" s="5" t="s">
        <v>167</v>
      </c>
      <c r="F484" s="5" t="s">
        <v>27</v>
      </c>
      <c r="G484" s="5">
        <v>10386.0</v>
      </c>
      <c r="H484" s="5">
        <v>65.0</v>
      </c>
      <c r="I484" s="5">
        <v>5876.0</v>
      </c>
      <c r="J484" s="5">
        <v>10048.0</v>
      </c>
      <c r="K484" s="5">
        <v>15.0</v>
      </c>
      <c r="L484" s="9">
        <v>4439.838064</v>
      </c>
      <c r="M484" s="15">
        <f t="shared" si="1"/>
        <v>295.9892043</v>
      </c>
      <c r="N484" s="16">
        <f t="shared" si="2"/>
        <v>0.006258424803</v>
      </c>
    </row>
    <row r="485">
      <c r="A485" s="5" t="s">
        <v>22</v>
      </c>
      <c r="B485" s="5" t="s">
        <v>31</v>
      </c>
      <c r="C485" s="5" t="s">
        <v>78</v>
      </c>
      <c r="D485" s="6" t="s">
        <v>898</v>
      </c>
      <c r="E485" s="5" t="s">
        <v>26</v>
      </c>
      <c r="F485" s="5" t="s">
        <v>27</v>
      </c>
      <c r="G485" s="5">
        <v>16137.0</v>
      </c>
      <c r="H485" s="5">
        <v>40.0</v>
      </c>
      <c r="I485" s="5">
        <v>7938.0</v>
      </c>
      <c r="J485" s="5">
        <v>14030.0</v>
      </c>
      <c r="K485" s="5">
        <v>4.0</v>
      </c>
      <c r="L485" s="9">
        <v>1835.048738</v>
      </c>
      <c r="M485" s="15">
        <f t="shared" si="1"/>
        <v>458.7621845</v>
      </c>
      <c r="N485" s="16">
        <f t="shared" si="2"/>
        <v>0.002478775485</v>
      </c>
    </row>
    <row r="486">
      <c r="A486" s="5" t="s">
        <v>61</v>
      </c>
      <c r="B486" s="5" t="s">
        <v>16</v>
      </c>
      <c r="C486" s="5" t="s">
        <v>78</v>
      </c>
      <c r="D486" s="13" t="s">
        <v>1604</v>
      </c>
      <c r="E486" s="5" t="s">
        <v>19</v>
      </c>
      <c r="F486" s="5" t="s">
        <v>27</v>
      </c>
      <c r="G486" s="5">
        <v>39373.0</v>
      </c>
      <c r="H486" s="5">
        <v>99.0</v>
      </c>
      <c r="I486" s="5">
        <v>23152.0</v>
      </c>
      <c r="J486" s="5">
        <v>35857.0</v>
      </c>
      <c r="K486" s="5">
        <v>17.0</v>
      </c>
      <c r="L486" s="9">
        <v>6342.885786</v>
      </c>
      <c r="M486" s="15">
        <f t="shared" si="1"/>
        <v>373.1109286</v>
      </c>
      <c r="N486" s="16">
        <f t="shared" si="2"/>
        <v>0.002514413431</v>
      </c>
    </row>
    <row r="487">
      <c r="A487" s="5" t="s">
        <v>22</v>
      </c>
      <c r="B487" s="5" t="s">
        <v>16</v>
      </c>
      <c r="C487" s="5" t="s">
        <v>35</v>
      </c>
      <c r="D487" s="13" t="s">
        <v>1604</v>
      </c>
      <c r="E487" s="5" t="s">
        <v>48</v>
      </c>
      <c r="F487" s="5" t="s">
        <v>27</v>
      </c>
      <c r="G487" s="5">
        <v>47016.0</v>
      </c>
      <c r="H487" s="5">
        <v>199.0</v>
      </c>
      <c r="I487" s="5">
        <v>12210.0</v>
      </c>
      <c r="J487" s="5">
        <v>38039.0</v>
      </c>
      <c r="K487" s="5">
        <v>13.0</v>
      </c>
      <c r="L487" s="9">
        <v>5974.87508</v>
      </c>
      <c r="M487" s="15">
        <f t="shared" si="1"/>
        <v>459.6057754</v>
      </c>
      <c r="N487" s="16">
        <f t="shared" si="2"/>
        <v>0.004232601668</v>
      </c>
    </row>
    <row r="488">
      <c r="A488" s="5" t="s">
        <v>22</v>
      </c>
      <c r="B488" s="5" t="s">
        <v>31</v>
      </c>
      <c r="C488" s="5" t="s">
        <v>35</v>
      </c>
      <c r="D488" s="13" t="s">
        <v>1604</v>
      </c>
      <c r="E488" s="5" t="s">
        <v>19</v>
      </c>
      <c r="F488" s="5" t="s">
        <v>27</v>
      </c>
      <c r="G488" s="5">
        <v>25539.0</v>
      </c>
      <c r="H488" s="5">
        <v>78.0</v>
      </c>
      <c r="I488" s="5">
        <v>12130.0</v>
      </c>
      <c r="J488" s="5">
        <v>24129.0</v>
      </c>
      <c r="K488" s="5">
        <v>15.0</v>
      </c>
      <c r="L488" s="9">
        <v>4804.493233</v>
      </c>
      <c r="M488" s="15">
        <f t="shared" si="1"/>
        <v>320.2995489</v>
      </c>
      <c r="N488" s="16">
        <f t="shared" si="2"/>
        <v>0.003054152473</v>
      </c>
    </row>
    <row r="489">
      <c r="A489" s="5" t="s">
        <v>15</v>
      </c>
      <c r="B489" s="5" t="s">
        <v>23</v>
      </c>
      <c r="C489" s="5" t="s">
        <v>78</v>
      </c>
      <c r="D489" s="13" t="s">
        <v>1604</v>
      </c>
      <c r="E489" s="5" t="s">
        <v>19</v>
      </c>
      <c r="F489" s="5" t="s">
        <v>27</v>
      </c>
      <c r="G489" s="5">
        <v>186404.0</v>
      </c>
      <c r="H489" s="5">
        <v>940.0</v>
      </c>
      <c r="I489" s="5">
        <v>30885.0</v>
      </c>
      <c r="J489" s="5">
        <v>151358.0</v>
      </c>
      <c r="K489" s="5">
        <v>3.0</v>
      </c>
      <c r="L489" s="9">
        <v>4702.027505</v>
      </c>
      <c r="M489" s="15">
        <f t="shared" si="1"/>
        <v>1567.342502</v>
      </c>
      <c r="N489" s="16">
        <f t="shared" si="2"/>
        <v>0.00504281024</v>
      </c>
    </row>
    <row r="490">
      <c r="A490" s="5" t="s">
        <v>22</v>
      </c>
      <c r="B490" s="5" t="s">
        <v>16</v>
      </c>
      <c r="C490" s="5" t="s">
        <v>433</v>
      </c>
      <c r="D490" s="13" t="s">
        <v>1604</v>
      </c>
      <c r="E490" s="5" t="s">
        <v>46</v>
      </c>
      <c r="F490" s="5" t="s">
        <v>27</v>
      </c>
      <c r="G490" s="5">
        <v>19549.0</v>
      </c>
      <c r="H490" s="5">
        <v>84.0</v>
      </c>
      <c r="I490" s="5">
        <v>6187.0</v>
      </c>
      <c r="J490" s="5">
        <v>17166.0</v>
      </c>
      <c r="K490" s="5">
        <v>2.0</v>
      </c>
      <c r="L490" s="9">
        <v>1844.986921</v>
      </c>
      <c r="M490" s="15">
        <f t="shared" si="1"/>
        <v>922.4934605</v>
      </c>
      <c r="N490" s="16">
        <f t="shared" si="2"/>
        <v>0.004296894982</v>
      </c>
    </row>
    <row r="491">
      <c r="A491" s="5" t="s">
        <v>22</v>
      </c>
      <c r="B491" s="5" t="s">
        <v>42</v>
      </c>
      <c r="C491" s="5" t="s">
        <v>39</v>
      </c>
      <c r="D491" s="13" t="s">
        <v>1610</v>
      </c>
      <c r="E491" s="5" t="s">
        <v>46</v>
      </c>
      <c r="F491" s="5" t="s">
        <v>27</v>
      </c>
      <c r="G491" s="5">
        <v>17561.0</v>
      </c>
      <c r="H491" s="5">
        <v>50.0</v>
      </c>
      <c r="I491" s="5">
        <v>2960.0</v>
      </c>
      <c r="J491" s="5">
        <v>9953.0</v>
      </c>
      <c r="K491" s="5">
        <v>10.0</v>
      </c>
      <c r="L491" s="9">
        <v>1519.90401</v>
      </c>
      <c r="M491" s="15">
        <f t="shared" si="1"/>
        <v>151.990401</v>
      </c>
      <c r="N491" s="16">
        <f t="shared" si="2"/>
        <v>0.002847218268</v>
      </c>
    </row>
    <row r="492">
      <c r="A492" s="5" t="s">
        <v>61</v>
      </c>
      <c r="B492" s="5" t="s">
        <v>42</v>
      </c>
      <c r="C492" s="5" t="s">
        <v>32</v>
      </c>
      <c r="D492" s="13" t="s">
        <v>1612</v>
      </c>
      <c r="E492" s="5" t="s">
        <v>26</v>
      </c>
      <c r="F492" s="5" t="s">
        <v>27</v>
      </c>
      <c r="G492" s="5">
        <v>13608.0</v>
      </c>
      <c r="H492" s="5">
        <v>66.0</v>
      </c>
      <c r="I492" s="5">
        <v>2714.0</v>
      </c>
      <c r="J492" s="5">
        <v>9332.0</v>
      </c>
      <c r="K492" s="5">
        <v>1.0</v>
      </c>
      <c r="L492" s="9">
        <v>1762.663235</v>
      </c>
      <c r="M492" s="15">
        <f t="shared" si="1"/>
        <v>1762.663235</v>
      </c>
      <c r="N492" s="16">
        <f t="shared" si="2"/>
        <v>0.004850088183</v>
      </c>
    </row>
    <row r="493">
      <c r="A493" s="5" t="s">
        <v>61</v>
      </c>
      <c r="B493" s="5" t="s">
        <v>23</v>
      </c>
      <c r="C493" s="5" t="s">
        <v>35</v>
      </c>
      <c r="D493" s="13" t="s">
        <v>1614</v>
      </c>
      <c r="E493" s="5" t="s">
        <v>19</v>
      </c>
      <c r="F493" s="5" t="s">
        <v>27</v>
      </c>
      <c r="G493" s="7">
        <v>446774.0</v>
      </c>
      <c r="H493" s="5">
        <v>951.0</v>
      </c>
      <c r="I493" s="7">
        <v>196581.0</v>
      </c>
      <c r="J493" s="7">
        <v>379758.0</v>
      </c>
      <c r="K493" s="5">
        <v>33.0</v>
      </c>
      <c r="L493" s="9">
        <v>6956.627366</v>
      </c>
      <c r="M493" s="15">
        <f t="shared" si="1"/>
        <v>210.8068899</v>
      </c>
      <c r="N493" s="16">
        <f t="shared" si="2"/>
        <v>0.00212859298</v>
      </c>
    </row>
    <row r="494">
      <c r="A494" s="5" t="s">
        <v>15</v>
      </c>
      <c r="B494" s="5" t="s">
        <v>16</v>
      </c>
      <c r="C494" s="5" t="s">
        <v>17</v>
      </c>
      <c r="D494" s="6" t="s">
        <v>912</v>
      </c>
      <c r="E494" s="5" t="s">
        <v>117</v>
      </c>
      <c r="F494" s="5" t="s">
        <v>27</v>
      </c>
      <c r="G494" s="5">
        <v>11607.0</v>
      </c>
      <c r="H494" s="5">
        <v>184.0</v>
      </c>
      <c r="I494" s="5">
        <v>5218.0</v>
      </c>
      <c r="J494" s="5">
        <v>10763.0</v>
      </c>
      <c r="K494" s="5">
        <v>12.0</v>
      </c>
      <c r="L494" s="9">
        <v>6909.732318</v>
      </c>
      <c r="M494" s="15">
        <f t="shared" si="1"/>
        <v>575.8110265</v>
      </c>
      <c r="N494" s="16">
        <f t="shared" si="2"/>
        <v>0.0158525028</v>
      </c>
    </row>
    <row r="495">
      <c r="A495" s="5" t="s">
        <v>61</v>
      </c>
      <c r="B495" s="5" t="s">
        <v>16</v>
      </c>
      <c r="C495" s="5" t="s">
        <v>78</v>
      </c>
      <c r="D495" s="6" t="s">
        <v>912</v>
      </c>
      <c r="E495" s="5" t="s">
        <v>117</v>
      </c>
      <c r="F495" s="5" t="s">
        <v>27</v>
      </c>
      <c r="G495" s="5">
        <v>72117.0</v>
      </c>
      <c r="H495" s="5">
        <v>187.0</v>
      </c>
      <c r="I495" s="5">
        <v>9807.0</v>
      </c>
      <c r="J495" s="5">
        <v>68568.0</v>
      </c>
      <c r="K495" s="5">
        <v>16.0</v>
      </c>
      <c r="L495" s="9">
        <v>1702.317206</v>
      </c>
      <c r="M495" s="15">
        <f t="shared" si="1"/>
        <v>106.3948254</v>
      </c>
      <c r="N495" s="16">
        <f t="shared" si="2"/>
        <v>0.002593008583</v>
      </c>
    </row>
    <row r="496">
      <c r="A496" s="5" t="s">
        <v>61</v>
      </c>
      <c r="B496" s="5" t="s">
        <v>16</v>
      </c>
      <c r="C496" s="5" t="s">
        <v>78</v>
      </c>
      <c r="D496" s="6" t="s">
        <v>912</v>
      </c>
      <c r="E496" s="5" t="s">
        <v>46</v>
      </c>
      <c r="F496" s="5" t="s">
        <v>27</v>
      </c>
      <c r="G496" s="5">
        <v>32400.0</v>
      </c>
      <c r="H496" s="5">
        <v>87.0</v>
      </c>
      <c r="I496" s="5">
        <v>5152.0</v>
      </c>
      <c r="J496" s="5">
        <v>30383.0</v>
      </c>
      <c r="K496" s="5">
        <v>9.0</v>
      </c>
      <c r="L496" s="9">
        <v>1522.352623</v>
      </c>
      <c r="M496" s="15">
        <f t="shared" si="1"/>
        <v>169.1502914</v>
      </c>
      <c r="N496" s="16">
        <f t="shared" si="2"/>
        <v>0.002685185185</v>
      </c>
    </row>
    <row r="497">
      <c r="A497" s="5" t="s">
        <v>22</v>
      </c>
      <c r="B497" s="5" t="s">
        <v>42</v>
      </c>
      <c r="C497" s="5" t="s">
        <v>35</v>
      </c>
      <c r="D497" s="6" t="s">
        <v>917</v>
      </c>
      <c r="E497" s="5" t="s">
        <v>1046</v>
      </c>
      <c r="F497" s="5" t="s">
        <v>27</v>
      </c>
      <c r="G497" s="5">
        <v>9867.0</v>
      </c>
      <c r="H497" s="5">
        <v>30.0</v>
      </c>
      <c r="I497" s="5">
        <v>6867.0</v>
      </c>
      <c r="J497" s="5">
        <v>9347.0</v>
      </c>
      <c r="K497" s="5">
        <v>12.0</v>
      </c>
      <c r="L497" s="9">
        <v>6839.569086</v>
      </c>
      <c r="M497" s="15">
        <f t="shared" si="1"/>
        <v>569.9640905</v>
      </c>
      <c r="N497" s="16">
        <f t="shared" si="2"/>
        <v>0.003040437823</v>
      </c>
    </row>
    <row r="498">
      <c r="A498" s="5" t="s">
        <v>15</v>
      </c>
      <c r="B498" s="5" t="s">
        <v>31</v>
      </c>
      <c r="C498" s="5" t="s">
        <v>17</v>
      </c>
      <c r="D498" s="6" t="s">
        <v>919</v>
      </c>
      <c r="E498" s="5" t="s">
        <v>36</v>
      </c>
      <c r="F498" s="5" t="s">
        <v>27</v>
      </c>
      <c r="G498" s="5">
        <v>1109184.0</v>
      </c>
      <c r="H498" s="5">
        <v>3142.0</v>
      </c>
      <c r="I498" s="5">
        <v>83035.0</v>
      </c>
      <c r="J498" s="5">
        <v>782482.0</v>
      </c>
      <c r="K498" s="5">
        <v>25.0</v>
      </c>
      <c r="L498" s="9">
        <v>7490.860779</v>
      </c>
      <c r="M498" s="15">
        <f t="shared" si="1"/>
        <v>299.6344312</v>
      </c>
      <c r="N498" s="16">
        <f t="shared" si="2"/>
        <v>0.002832713058</v>
      </c>
    </row>
    <row r="499">
      <c r="A499" s="5" t="s">
        <v>22</v>
      </c>
      <c r="B499" s="5" t="s">
        <v>42</v>
      </c>
      <c r="C499" s="5" t="s">
        <v>29</v>
      </c>
      <c r="D499" s="6" t="s">
        <v>919</v>
      </c>
      <c r="E499" s="5" t="s">
        <v>26</v>
      </c>
      <c r="F499" s="5" t="s">
        <v>27</v>
      </c>
      <c r="G499" s="5">
        <v>686858.0</v>
      </c>
      <c r="H499" s="5">
        <v>2085.0</v>
      </c>
      <c r="I499" s="5">
        <v>81956.0</v>
      </c>
      <c r="J499" s="5">
        <v>624118.0</v>
      </c>
      <c r="K499" s="5">
        <v>19.0</v>
      </c>
      <c r="L499" s="9">
        <v>7467.081487</v>
      </c>
      <c r="M499" s="15">
        <f t="shared" si="1"/>
        <v>393.0042888</v>
      </c>
      <c r="N499" s="16">
        <f t="shared" si="2"/>
        <v>0.003035561936</v>
      </c>
    </row>
    <row r="500">
      <c r="A500" s="5" t="s">
        <v>61</v>
      </c>
      <c r="B500" s="5" t="s">
        <v>23</v>
      </c>
      <c r="C500" s="5" t="s">
        <v>35</v>
      </c>
      <c r="D500" s="6" t="s">
        <v>919</v>
      </c>
      <c r="E500" s="5" t="s">
        <v>46</v>
      </c>
      <c r="F500" s="5" t="s">
        <v>27</v>
      </c>
      <c r="G500" s="5">
        <v>40929.0</v>
      </c>
      <c r="H500" s="5">
        <v>142.0</v>
      </c>
      <c r="I500" s="5">
        <v>9249.0</v>
      </c>
      <c r="J500" s="5">
        <v>31564.0</v>
      </c>
      <c r="K500" s="5">
        <v>8.0</v>
      </c>
      <c r="L500" s="9">
        <v>6764.520637</v>
      </c>
      <c r="M500" s="15">
        <f t="shared" si="1"/>
        <v>845.5650796</v>
      </c>
      <c r="N500" s="16">
        <f t="shared" si="2"/>
        <v>0.003469422659</v>
      </c>
    </row>
    <row r="501">
      <c r="A501" s="5" t="s">
        <v>22</v>
      </c>
      <c r="B501" s="5" t="s">
        <v>23</v>
      </c>
      <c r="C501" s="5" t="s">
        <v>39</v>
      </c>
      <c r="D501" s="6" t="s">
        <v>919</v>
      </c>
      <c r="E501" s="5" t="s">
        <v>19</v>
      </c>
      <c r="F501" s="5" t="s">
        <v>27</v>
      </c>
      <c r="G501" s="5">
        <v>39844.0</v>
      </c>
      <c r="H501" s="5">
        <v>99.0</v>
      </c>
      <c r="I501" s="5">
        <v>11077.0</v>
      </c>
      <c r="J501" s="5">
        <v>30190.0</v>
      </c>
      <c r="K501" s="5">
        <v>9.0</v>
      </c>
      <c r="L501" s="9">
        <v>6367.869929</v>
      </c>
      <c r="M501" s="15">
        <f t="shared" si="1"/>
        <v>707.5411032</v>
      </c>
      <c r="N501" s="16">
        <f t="shared" si="2"/>
        <v>0.002484690292</v>
      </c>
    </row>
    <row r="502">
      <c r="A502" s="5" t="s">
        <v>22</v>
      </c>
      <c r="B502" s="5" t="s">
        <v>16</v>
      </c>
      <c r="C502" s="5" t="s">
        <v>66</v>
      </c>
      <c r="D502" s="6" t="s">
        <v>919</v>
      </c>
      <c r="E502" s="5" t="s">
        <v>19</v>
      </c>
      <c r="F502" s="5" t="s">
        <v>27</v>
      </c>
      <c r="G502" s="5">
        <v>210700.0</v>
      </c>
      <c r="H502" s="5">
        <v>704.0</v>
      </c>
      <c r="I502" s="5">
        <v>94625.0</v>
      </c>
      <c r="J502" s="5">
        <v>180681.0</v>
      </c>
      <c r="K502" s="5">
        <v>3.0</v>
      </c>
      <c r="L502" s="9">
        <v>6341.879301</v>
      </c>
      <c r="M502" s="15">
        <f t="shared" si="1"/>
        <v>2113.959767</v>
      </c>
      <c r="N502" s="16">
        <f t="shared" si="2"/>
        <v>0.003341243474</v>
      </c>
    </row>
    <row r="503">
      <c r="A503" s="5" t="s">
        <v>22</v>
      </c>
      <c r="B503" s="5" t="s">
        <v>23</v>
      </c>
      <c r="C503" s="5" t="s">
        <v>142</v>
      </c>
      <c r="D503" s="6" t="s">
        <v>919</v>
      </c>
      <c r="E503" s="5" t="s">
        <v>26</v>
      </c>
      <c r="F503" s="5" t="s">
        <v>27</v>
      </c>
      <c r="G503" s="5">
        <v>42884.0</v>
      </c>
      <c r="H503" s="5">
        <v>104.0</v>
      </c>
      <c r="I503" s="5">
        <v>4345.0</v>
      </c>
      <c r="J503" s="5">
        <v>25153.0</v>
      </c>
      <c r="K503" s="5">
        <v>9.0</v>
      </c>
      <c r="L503" s="9">
        <v>6322.152655</v>
      </c>
      <c r="M503" s="15">
        <f t="shared" si="1"/>
        <v>702.4614061</v>
      </c>
      <c r="N503" s="16">
        <f t="shared" si="2"/>
        <v>0.002425146908</v>
      </c>
    </row>
    <row r="504">
      <c r="A504" s="5" t="s">
        <v>15</v>
      </c>
      <c r="B504" s="5" t="s">
        <v>23</v>
      </c>
      <c r="C504" s="5" t="s">
        <v>35</v>
      </c>
      <c r="D504" s="6" t="s">
        <v>919</v>
      </c>
      <c r="E504" s="5" t="s">
        <v>19</v>
      </c>
      <c r="F504" s="5" t="s">
        <v>27</v>
      </c>
      <c r="G504" s="5">
        <v>182114.0</v>
      </c>
      <c r="H504" s="5">
        <v>500.0</v>
      </c>
      <c r="I504" s="5">
        <v>14477.0</v>
      </c>
      <c r="J504" s="5">
        <v>139167.0</v>
      </c>
      <c r="K504" s="5">
        <v>29.0</v>
      </c>
      <c r="L504" s="9">
        <v>6307.900751</v>
      </c>
      <c r="M504" s="15">
        <f t="shared" si="1"/>
        <v>217.513819</v>
      </c>
      <c r="N504" s="16">
        <f t="shared" si="2"/>
        <v>0.002745533018</v>
      </c>
    </row>
    <row r="505">
      <c r="A505" s="5" t="s">
        <v>61</v>
      </c>
      <c r="B505" s="5" t="s">
        <v>16</v>
      </c>
      <c r="C505" s="5" t="s">
        <v>35</v>
      </c>
      <c r="D505" s="6" t="s">
        <v>919</v>
      </c>
      <c r="E505" s="5" t="s">
        <v>19</v>
      </c>
      <c r="F505" s="5" t="s">
        <v>27</v>
      </c>
      <c r="G505" s="5">
        <v>207823.0</v>
      </c>
      <c r="H505" s="5">
        <v>600.0</v>
      </c>
      <c r="I505" s="5">
        <v>33602.0</v>
      </c>
      <c r="J505" s="5">
        <v>167814.0</v>
      </c>
      <c r="K505" s="5">
        <v>13.0</v>
      </c>
      <c r="L505" s="9">
        <v>6048.955611</v>
      </c>
      <c r="M505" s="15">
        <f t="shared" si="1"/>
        <v>465.3042778</v>
      </c>
      <c r="N505" s="16">
        <f t="shared" si="2"/>
        <v>0.002887072172</v>
      </c>
    </row>
    <row r="506">
      <c r="A506" s="5" t="s">
        <v>61</v>
      </c>
      <c r="B506" s="5" t="s">
        <v>16</v>
      </c>
      <c r="C506" s="5" t="s">
        <v>29</v>
      </c>
      <c r="D506" s="6" t="s">
        <v>919</v>
      </c>
      <c r="E506" s="5" t="s">
        <v>19</v>
      </c>
      <c r="F506" s="5" t="s">
        <v>27</v>
      </c>
      <c r="G506" s="5">
        <v>257862.0</v>
      </c>
      <c r="H506" s="5">
        <v>700.0</v>
      </c>
      <c r="I506" s="5">
        <v>105048.0</v>
      </c>
      <c r="J506" s="5">
        <v>238629.0</v>
      </c>
      <c r="K506" s="5">
        <v>21.0</v>
      </c>
      <c r="L506" s="9">
        <v>5899.429483</v>
      </c>
      <c r="M506" s="15">
        <f t="shared" si="1"/>
        <v>280.9252135</v>
      </c>
      <c r="N506" s="16">
        <f t="shared" si="2"/>
        <v>0.002714630306</v>
      </c>
    </row>
    <row r="507">
      <c r="A507" s="5" t="s">
        <v>22</v>
      </c>
      <c r="B507" s="5" t="s">
        <v>42</v>
      </c>
      <c r="C507" s="5" t="s">
        <v>204</v>
      </c>
      <c r="D507" s="6" t="s">
        <v>919</v>
      </c>
      <c r="E507" s="5" t="s">
        <v>19</v>
      </c>
      <c r="F507" s="5" t="s">
        <v>27</v>
      </c>
      <c r="G507" s="5">
        <v>96508.0</v>
      </c>
      <c r="H507" s="5">
        <v>351.0</v>
      </c>
      <c r="I507" s="5">
        <v>47065.0</v>
      </c>
      <c r="J507" s="5">
        <v>73640.0</v>
      </c>
      <c r="K507" s="5">
        <v>15.0</v>
      </c>
      <c r="L507" s="9">
        <v>5310.769572</v>
      </c>
      <c r="M507" s="15">
        <f t="shared" si="1"/>
        <v>354.0513048</v>
      </c>
      <c r="N507" s="16">
        <f t="shared" si="2"/>
        <v>0.003637004186</v>
      </c>
    </row>
    <row r="508">
      <c r="A508" s="5" t="s">
        <v>15</v>
      </c>
      <c r="B508" s="5" t="s">
        <v>16</v>
      </c>
      <c r="C508" s="5" t="s">
        <v>78</v>
      </c>
      <c r="D508" s="6" t="s">
        <v>919</v>
      </c>
      <c r="E508" s="5" t="s">
        <v>19</v>
      </c>
      <c r="F508" s="5" t="s">
        <v>27</v>
      </c>
      <c r="G508" s="5">
        <v>198163.0</v>
      </c>
      <c r="H508" s="5">
        <v>469.0</v>
      </c>
      <c r="I508" s="5">
        <v>76695.0</v>
      </c>
      <c r="J508" s="5">
        <v>183585.0</v>
      </c>
      <c r="K508" s="5">
        <v>31.0</v>
      </c>
      <c r="L508" s="9">
        <v>5204.313768</v>
      </c>
      <c r="M508" s="15">
        <f t="shared" si="1"/>
        <v>167.8810893</v>
      </c>
      <c r="N508" s="16">
        <f t="shared" si="2"/>
        <v>0.002366738493</v>
      </c>
    </row>
    <row r="509">
      <c r="A509" s="5" t="s">
        <v>22</v>
      </c>
      <c r="B509" s="5" t="s">
        <v>31</v>
      </c>
      <c r="C509" s="5" t="s">
        <v>214</v>
      </c>
      <c r="D509" s="6" t="s">
        <v>919</v>
      </c>
      <c r="E509" s="5" t="s">
        <v>19</v>
      </c>
      <c r="F509" s="5" t="s">
        <v>27</v>
      </c>
      <c r="G509" s="5">
        <v>156427.0</v>
      </c>
      <c r="H509" s="5">
        <v>512.0</v>
      </c>
      <c r="I509" s="5">
        <v>61821.0</v>
      </c>
      <c r="J509" s="5">
        <v>145505.0</v>
      </c>
      <c r="K509" s="5">
        <v>3.0</v>
      </c>
      <c r="L509" s="9">
        <v>5159.747494</v>
      </c>
      <c r="M509" s="15">
        <f t="shared" si="1"/>
        <v>1719.915831</v>
      </c>
      <c r="N509" s="16">
        <f t="shared" si="2"/>
        <v>0.003273092241</v>
      </c>
    </row>
    <row r="510">
      <c r="A510" s="5" t="s">
        <v>15</v>
      </c>
      <c r="B510" s="5" t="s">
        <v>42</v>
      </c>
      <c r="C510" s="5" t="s">
        <v>39</v>
      </c>
      <c r="D510" s="6" t="s">
        <v>919</v>
      </c>
      <c r="E510" s="5" t="s">
        <v>36</v>
      </c>
      <c r="F510" s="5" t="s">
        <v>27</v>
      </c>
      <c r="G510" s="5">
        <v>61574.0</v>
      </c>
      <c r="H510" s="5">
        <v>280.0</v>
      </c>
      <c r="I510" s="5">
        <v>18717.0</v>
      </c>
      <c r="J510" s="5">
        <v>46367.0</v>
      </c>
      <c r="K510" s="5">
        <v>8.0</v>
      </c>
      <c r="L510" s="9">
        <v>4999.665205</v>
      </c>
      <c r="M510" s="15">
        <f t="shared" si="1"/>
        <v>624.9581506</v>
      </c>
      <c r="N510" s="16">
        <f t="shared" si="2"/>
        <v>0.004547373892</v>
      </c>
    </row>
    <row r="511">
      <c r="A511" s="5" t="s">
        <v>15</v>
      </c>
      <c r="B511" s="5" t="s">
        <v>31</v>
      </c>
      <c r="C511" s="5" t="s">
        <v>35</v>
      </c>
      <c r="D511" s="6" t="s">
        <v>919</v>
      </c>
      <c r="E511" s="5" t="s">
        <v>19</v>
      </c>
      <c r="F511" s="5" t="s">
        <v>27</v>
      </c>
      <c r="G511" s="5">
        <v>100991.0</v>
      </c>
      <c r="H511" s="5">
        <v>286.0</v>
      </c>
      <c r="I511" s="5">
        <v>56138.0</v>
      </c>
      <c r="J511" s="5">
        <v>88836.0</v>
      </c>
      <c r="K511" s="5">
        <v>9.0</v>
      </c>
      <c r="L511" s="9">
        <v>4652.367629</v>
      </c>
      <c r="M511" s="15">
        <f t="shared" si="1"/>
        <v>516.9297366</v>
      </c>
      <c r="N511" s="16">
        <f t="shared" si="2"/>
        <v>0.002831935519</v>
      </c>
    </row>
    <row r="512">
      <c r="A512" s="5" t="s">
        <v>22</v>
      </c>
      <c r="B512" s="5" t="s">
        <v>16</v>
      </c>
      <c r="C512" s="5" t="s">
        <v>35</v>
      </c>
      <c r="D512" s="6" t="s">
        <v>919</v>
      </c>
      <c r="E512" s="5" t="s">
        <v>19</v>
      </c>
      <c r="F512" s="5" t="s">
        <v>27</v>
      </c>
      <c r="G512" s="5">
        <v>43327.0</v>
      </c>
      <c r="H512" s="5">
        <v>140.0</v>
      </c>
      <c r="I512" s="5">
        <v>4689.0</v>
      </c>
      <c r="J512" s="5">
        <v>31363.0</v>
      </c>
      <c r="K512" s="5">
        <v>14.0</v>
      </c>
      <c r="L512" s="9">
        <v>4554.876884</v>
      </c>
      <c r="M512" s="15">
        <f t="shared" si="1"/>
        <v>325.3483489</v>
      </c>
      <c r="N512" s="16">
        <f t="shared" si="2"/>
        <v>0.003231241489</v>
      </c>
    </row>
    <row r="513">
      <c r="A513" s="5" t="s">
        <v>22</v>
      </c>
      <c r="B513" s="5" t="s">
        <v>16</v>
      </c>
      <c r="C513" s="5" t="s">
        <v>29</v>
      </c>
      <c r="D513" s="6" t="s">
        <v>919</v>
      </c>
      <c r="E513" s="5" t="s">
        <v>19</v>
      </c>
      <c r="F513" s="5" t="s">
        <v>27</v>
      </c>
      <c r="G513" s="5">
        <v>212009.0</v>
      </c>
      <c r="H513" s="5">
        <v>555.0</v>
      </c>
      <c r="I513" s="5">
        <v>16903.0</v>
      </c>
      <c r="J513" s="5">
        <v>149653.0</v>
      </c>
      <c r="K513" s="5">
        <v>15.0</v>
      </c>
      <c r="L513" s="9">
        <v>3983.621797</v>
      </c>
      <c r="M513" s="15">
        <f t="shared" si="1"/>
        <v>265.5747865</v>
      </c>
      <c r="N513" s="16">
        <f t="shared" si="2"/>
        <v>0.002617813395</v>
      </c>
    </row>
    <row r="514">
      <c r="A514" s="5" t="s">
        <v>22</v>
      </c>
      <c r="B514" s="5" t="s">
        <v>42</v>
      </c>
      <c r="C514" s="5" t="s">
        <v>78</v>
      </c>
      <c r="D514" s="6" t="s">
        <v>919</v>
      </c>
      <c r="E514" s="5" t="s">
        <v>19</v>
      </c>
      <c r="F514" s="5" t="s">
        <v>27</v>
      </c>
      <c r="G514" s="5">
        <v>654902.0</v>
      </c>
      <c r="H514" s="5">
        <v>1874.0</v>
      </c>
      <c r="I514" s="5">
        <v>40733.0</v>
      </c>
      <c r="J514" s="5">
        <v>477114.0</v>
      </c>
      <c r="K514" s="5">
        <v>14.0</v>
      </c>
      <c r="L514" s="9">
        <v>3178.610315</v>
      </c>
      <c r="M514" s="15">
        <f t="shared" si="1"/>
        <v>227.0435939</v>
      </c>
      <c r="N514" s="16">
        <f t="shared" si="2"/>
        <v>0.002861496835</v>
      </c>
    </row>
    <row r="515">
      <c r="A515" s="5" t="s">
        <v>22</v>
      </c>
      <c r="B515" s="5" t="s">
        <v>23</v>
      </c>
      <c r="C515" s="5" t="s">
        <v>150</v>
      </c>
      <c r="D515" s="6" t="s">
        <v>919</v>
      </c>
      <c r="E515" s="5" t="s">
        <v>26</v>
      </c>
      <c r="F515" s="5" t="s">
        <v>27</v>
      </c>
      <c r="G515" s="5">
        <v>239164.0</v>
      </c>
      <c r="H515" s="5">
        <v>699.0</v>
      </c>
      <c r="I515" s="5">
        <v>86250.0</v>
      </c>
      <c r="J515" s="5">
        <v>198209.0</v>
      </c>
      <c r="K515" s="5">
        <v>41.0</v>
      </c>
      <c r="L515" s="9">
        <v>2819.935266</v>
      </c>
      <c r="M515" s="15">
        <f t="shared" si="1"/>
        <v>68.77890893</v>
      </c>
      <c r="N515" s="16">
        <f t="shared" si="2"/>
        <v>0.002922680671</v>
      </c>
    </row>
    <row r="516">
      <c r="A516" s="5" t="s">
        <v>15</v>
      </c>
      <c r="B516" s="5" t="s">
        <v>16</v>
      </c>
      <c r="C516" s="5" t="s">
        <v>35</v>
      </c>
      <c r="D516" s="6" t="s">
        <v>919</v>
      </c>
      <c r="E516" s="5" t="s">
        <v>36</v>
      </c>
      <c r="F516" s="5" t="s">
        <v>27</v>
      </c>
      <c r="G516" s="5">
        <v>564387.0</v>
      </c>
      <c r="H516" s="5">
        <v>1984.0</v>
      </c>
      <c r="I516" s="5">
        <v>78234.0</v>
      </c>
      <c r="J516" s="5">
        <v>438695.0</v>
      </c>
      <c r="K516" s="5">
        <v>6.0</v>
      </c>
      <c r="L516" s="9">
        <v>2712.379678</v>
      </c>
      <c r="M516" s="15">
        <f t="shared" si="1"/>
        <v>452.0632797</v>
      </c>
      <c r="N516" s="16">
        <f t="shared" si="2"/>
        <v>0.00351531839</v>
      </c>
    </row>
    <row r="517">
      <c r="A517" s="5" t="s">
        <v>22</v>
      </c>
      <c r="B517" s="5" t="s">
        <v>42</v>
      </c>
      <c r="C517" s="5" t="s">
        <v>78</v>
      </c>
      <c r="D517" s="6" t="s">
        <v>919</v>
      </c>
      <c r="E517" s="5" t="s">
        <v>19</v>
      </c>
      <c r="F517" s="5" t="s">
        <v>27</v>
      </c>
      <c r="G517" s="5">
        <v>12512.0</v>
      </c>
      <c r="H517" s="5">
        <v>69.0</v>
      </c>
      <c r="I517" s="5">
        <v>6240.0</v>
      </c>
      <c r="J517" s="5">
        <v>9672.0</v>
      </c>
      <c r="K517" s="5">
        <v>1.0</v>
      </c>
      <c r="L517" s="9">
        <v>2298.888965</v>
      </c>
      <c r="M517" s="15">
        <f t="shared" si="1"/>
        <v>2298.888965</v>
      </c>
      <c r="N517" s="16">
        <f t="shared" si="2"/>
        <v>0.005514705882</v>
      </c>
    </row>
    <row r="518">
      <c r="A518" s="5" t="s">
        <v>22</v>
      </c>
      <c r="B518" s="5" t="s">
        <v>16</v>
      </c>
      <c r="C518" s="5" t="s">
        <v>17</v>
      </c>
      <c r="D518" s="6" t="s">
        <v>919</v>
      </c>
      <c r="E518" s="5" t="s">
        <v>19</v>
      </c>
      <c r="F518" s="5" t="s">
        <v>27</v>
      </c>
      <c r="G518" s="5">
        <v>68008.0</v>
      </c>
      <c r="H518" s="5">
        <v>204.0</v>
      </c>
      <c r="I518" s="5">
        <v>2996.0</v>
      </c>
      <c r="J518" s="5">
        <v>49686.0</v>
      </c>
      <c r="K518" s="5">
        <v>9.0</v>
      </c>
      <c r="L518" s="9">
        <v>1923.808141</v>
      </c>
      <c r="M518" s="15">
        <f t="shared" si="1"/>
        <v>213.7564601</v>
      </c>
      <c r="N518" s="16">
        <f t="shared" si="2"/>
        <v>0.0029996471</v>
      </c>
    </row>
    <row r="519">
      <c r="A519" s="5" t="s">
        <v>22</v>
      </c>
      <c r="B519" s="5" t="s">
        <v>23</v>
      </c>
      <c r="C519" s="5" t="s">
        <v>78</v>
      </c>
      <c r="D519" s="6" t="s">
        <v>919</v>
      </c>
      <c r="E519" s="5" t="s">
        <v>26</v>
      </c>
      <c r="F519" s="5" t="s">
        <v>27</v>
      </c>
      <c r="G519" s="5">
        <v>61848.0</v>
      </c>
      <c r="H519" s="5">
        <v>213.0</v>
      </c>
      <c r="I519" s="5">
        <v>6581.0</v>
      </c>
      <c r="J519" s="5">
        <v>44917.0</v>
      </c>
      <c r="K519" s="5">
        <v>15.0</v>
      </c>
      <c r="L519" s="9">
        <v>1819.893602</v>
      </c>
      <c r="M519" s="15">
        <f t="shared" si="1"/>
        <v>121.3262401</v>
      </c>
      <c r="N519" s="16">
        <f t="shared" si="2"/>
        <v>0.003443927047</v>
      </c>
    </row>
    <row r="520">
      <c r="A520" s="5" t="s">
        <v>15</v>
      </c>
      <c r="B520" s="5" t="s">
        <v>31</v>
      </c>
      <c r="C520" s="5" t="s">
        <v>78</v>
      </c>
      <c r="D520" s="6" t="s">
        <v>919</v>
      </c>
      <c r="E520" s="5" t="s">
        <v>36</v>
      </c>
      <c r="F520" s="5" t="s">
        <v>27</v>
      </c>
      <c r="G520" s="5">
        <v>232635.0</v>
      </c>
      <c r="H520" s="5">
        <v>666.0</v>
      </c>
      <c r="I520" s="5">
        <v>34008.0</v>
      </c>
      <c r="J520" s="5">
        <v>195803.0</v>
      </c>
      <c r="K520" s="5">
        <v>39.0</v>
      </c>
      <c r="L520" s="9">
        <v>1773.991882</v>
      </c>
      <c r="M520" s="15">
        <f t="shared" si="1"/>
        <v>45.48697133</v>
      </c>
      <c r="N520" s="16">
        <f t="shared" si="2"/>
        <v>0.002862853827</v>
      </c>
    </row>
    <row r="521">
      <c r="A521" s="5" t="s">
        <v>15</v>
      </c>
      <c r="B521" s="5" t="s">
        <v>16</v>
      </c>
      <c r="C521" s="5" t="s">
        <v>35</v>
      </c>
      <c r="D521" s="6" t="s">
        <v>919</v>
      </c>
      <c r="E521" s="5" t="s">
        <v>26</v>
      </c>
      <c r="F521" s="5" t="s">
        <v>27</v>
      </c>
      <c r="G521" s="5">
        <v>180353.0</v>
      </c>
      <c r="H521" s="5">
        <v>471.0</v>
      </c>
      <c r="I521" s="5">
        <v>67637.0</v>
      </c>
      <c r="J521" s="5">
        <v>145416.0</v>
      </c>
      <c r="K521" s="5">
        <v>8.0</v>
      </c>
      <c r="L521" s="9">
        <v>1720.881985</v>
      </c>
      <c r="M521" s="15">
        <f t="shared" si="1"/>
        <v>215.1102481</v>
      </c>
      <c r="N521" s="16">
        <f t="shared" si="2"/>
        <v>0.002611545136</v>
      </c>
    </row>
    <row r="522">
      <c r="A522" s="5" t="s">
        <v>22</v>
      </c>
      <c r="B522" s="5" t="s">
        <v>16</v>
      </c>
      <c r="C522" s="5" t="s">
        <v>78</v>
      </c>
      <c r="D522" s="6" t="s">
        <v>919</v>
      </c>
      <c r="E522" s="5" t="s">
        <v>19</v>
      </c>
      <c r="F522" s="5" t="s">
        <v>27</v>
      </c>
      <c r="G522" s="5">
        <v>78433.0</v>
      </c>
      <c r="H522" s="5">
        <v>204.0</v>
      </c>
      <c r="I522" s="5">
        <v>24067.0</v>
      </c>
      <c r="J522" s="5">
        <v>58308.0</v>
      </c>
      <c r="K522" s="5">
        <v>16.0</v>
      </c>
      <c r="L522" s="9">
        <v>1612.549327</v>
      </c>
      <c r="M522" s="15">
        <f t="shared" si="1"/>
        <v>100.7843329</v>
      </c>
      <c r="N522" s="16">
        <f t="shared" si="2"/>
        <v>0.00260094603</v>
      </c>
    </row>
    <row r="523">
      <c r="A523" s="5" t="s">
        <v>22</v>
      </c>
      <c r="B523" s="5" t="s">
        <v>23</v>
      </c>
      <c r="C523" s="5" t="s">
        <v>35</v>
      </c>
      <c r="D523" s="6" t="s">
        <v>919</v>
      </c>
      <c r="E523" s="5" t="s">
        <v>117</v>
      </c>
      <c r="F523" s="5" t="s">
        <v>27</v>
      </c>
      <c r="G523" s="5">
        <v>194833.0</v>
      </c>
      <c r="H523" s="5">
        <v>499.0</v>
      </c>
      <c r="I523" s="5">
        <v>29091.0</v>
      </c>
      <c r="J523" s="5">
        <v>143813.0</v>
      </c>
      <c r="K523" s="5">
        <v>4.0</v>
      </c>
      <c r="L523" s="9">
        <v>1586.314519</v>
      </c>
      <c r="M523" s="15">
        <f t="shared" si="1"/>
        <v>396.5786298</v>
      </c>
      <c r="N523" s="16">
        <f t="shared" si="2"/>
        <v>0.002561167769</v>
      </c>
    </row>
    <row r="524">
      <c r="A524" s="5" t="s">
        <v>15</v>
      </c>
      <c r="B524" s="5" t="s">
        <v>31</v>
      </c>
      <c r="C524" s="5" t="s">
        <v>142</v>
      </c>
      <c r="D524" s="6" t="s">
        <v>919</v>
      </c>
      <c r="E524" s="5" t="s">
        <v>117</v>
      </c>
      <c r="F524" s="5" t="s">
        <v>27</v>
      </c>
      <c r="G524" s="5">
        <v>197192.0</v>
      </c>
      <c r="H524" s="5">
        <v>519.0</v>
      </c>
      <c r="I524" s="5">
        <v>80623.0</v>
      </c>
      <c r="J524" s="5">
        <v>181763.0</v>
      </c>
      <c r="K524" s="5">
        <v>5.0</v>
      </c>
      <c r="L524" s="9">
        <v>1584.731757</v>
      </c>
      <c r="M524" s="15">
        <f t="shared" si="1"/>
        <v>316.9463514</v>
      </c>
      <c r="N524" s="16">
        <f t="shared" si="2"/>
        <v>0.002631952615</v>
      </c>
    </row>
    <row r="525">
      <c r="A525" s="5" t="s">
        <v>15</v>
      </c>
      <c r="B525" s="5" t="s">
        <v>42</v>
      </c>
      <c r="C525" s="5" t="s">
        <v>55</v>
      </c>
      <c r="D525" s="6" t="s">
        <v>919</v>
      </c>
      <c r="E525" s="5" t="s">
        <v>26</v>
      </c>
      <c r="F525" s="5" t="s">
        <v>27</v>
      </c>
      <c r="G525" s="5">
        <v>40519.0</v>
      </c>
      <c r="H525" s="5">
        <v>111.0</v>
      </c>
      <c r="I525" s="5">
        <v>6105.0</v>
      </c>
      <c r="J525" s="5">
        <v>26283.0</v>
      </c>
      <c r="K525" s="5">
        <v>10.0</v>
      </c>
      <c r="L525" s="9">
        <v>1582.410977</v>
      </c>
      <c r="M525" s="15">
        <f t="shared" si="1"/>
        <v>158.2410977</v>
      </c>
      <c r="N525" s="16">
        <f t="shared" si="2"/>
        <v>0.002739455564</v>
      </c>
    </row>
    <row r="526">
      <c r="A526" s="5" t="s">
        <v>22</v>
      </c>
      <c r="B526" s="5" t="s">
        <v>23</v>
      </c>
      <c r="C526" s="5" t="s">
        <v>173</v>
      </c>
      <c r="D526" s="6" t="s">
        <v>919</v>
      </c>
      <c r="E526" s="5" t="s">
        <v>19</v>
      </c>
      <c r="F526" s="5" t="s">
        <v>27</v>
      </c>
      <c r="G526" s="5">
        <v>254780.0</v>
      </c>
      <c r="H526" s="5">
        <v>699.0</v>
      </c>
      <c r="I526" s="5">
        <v>19169.0</v>
      </c>
      <c r="J526" s="5">
        <v>182583.0</v>
      </c>
      <c r="K526" s="5">
        <v>4.0</v>
      </c>
      <c r="L526" s="9">
        <v>1561.021915</v>
      </c>
      <c r="M526" s="15">
        <f t="shared" si="1"/>
        <v>390.2554788</v>
      </c>
      <c r="N526" s="16">
        <f t="shared" si="2"/>
        <v>0.002743543449</v>
      </c>
    </row>
    <row r="527">
      <c r="A527" s="5" t="s">
        <v>22</v>
      </c>
      <c r="B527" s="5" t="s">
        <v>31</v>
      </c>
      <c r="C527" s="5" t="s">
        <v>953</v>
      </c>
      <c r="D527" s="6" t="s">
        <v>919</v>
      </c>
      <c r="E527" s="5" t="s">
        <v>19</v>
      </c>
      <c r="F527" s="5" t="s">
        <v>27</v>
      </c>
      <c r="G527" s="5">
        <v>36543.0</v>
      </c>
      <c r="H527" s="5">
        <v>147.0</v>
      </c>
      <c r="I527" s="5">
        <v>18046.0</v>
      </c>
      <c r="J527" s="5">
        <v>27358.0</v>
      </c>
      <c r="K527" s="5">
        <v>6.0</v>
      </c>
      <c r="L527" s="9">
        <v>1513.088728</v>
      </c>
      <c r="M527" s="15">
        <f t="shared" si="1"/>
        <v>252.1814547</v>
      </c>
      <c r="N527" s="16">
        <f t="shared" si="2"/>
        <v>0.004022658238</v>
      </c>
    </row>
    <row r="528">
      <c r="A528" s="5" t="s">
        <v>22</v>
      </c>
      <c r="B528" s="5" t="s">
        <v>23</v>
      </c>
      <c r="C528" s="5" t="s">
        <v>29</v>
      </c>
      <c r="D528" s="6" t="s">
        <v>919</v>
      </c>
      <c r="E528" s="5" t="s">
        <v>19</v>
      </c>
      <c r="F528" s="5" t="s">
        <v>27</v>
      </c>
      <c r="G528" s="5">
        <v>292885.0</v>
      </c>
      <c r="H528" s="5">
        <v>796.0</v>
      </c>
      <c r="I528" s="5">
        <v>12733.0</v>
      </c>
      <c r="J528" s="5">
        <v>203986.0</v>
      </c>
      <c r="K528" s="5">
        <v>4.0</v>
      </c>
      <c r="L528" s="9">
        <v>1503.913054</v>
      </c>
      <c r="M528" s="15">
        <f t="shared" si="1"/>
        <v>375.9782635</v>
      </c>
      <c r="N528" s="16">
        <f t="shared" si="2"/>
        <v>0.002717790259</v>
      </c>
    </row>
    <row r="529">
      <c r="A529" s="5" t="s">
        <v>15</v>
      </c>
      <c r="B529" s="5" t="s">
        <v>16</v>
      </c>
      <c r="C529" s="5" t="s">
        <v>55</v>
      </c>
      <c r="D529" s="6" t="s">
        <v>919</v>
      </c>
      <c r="E529" s="5" t="s">
        <v>136</v>
      </c>
      <c r="F529" s="5" t="s">
        <v>27</v>
      </c>
      <c r="G529" s="5">
        <v>253577.0</v>
      </c>
      <c r="H529" s="5">
        <v>890.0</v>
      </c>
      <c r="I529" s="5">
        <v>66972.0</v>
      </c>
      <c r="J529" s="5">
        <v>191183.0</v>
      </c>
      <c r="K529" s="5">
        <v>44.0</v>
      </c>
      <c r="L529" s="9">
        <v>1493.074494</v>
      </c>
      <c r="M529" s="15">
        <f t="shared" si="1"/>
        <v>33.93351123</v>
      </c>
      <c r="N529" s="16">
        <f t="shared" si="2"/>
        <v>0.003509782039</v>
      </c>
    </row>
    <row r="530">
      <c r="A530" s="5" t="s">
        <v>15</v>
      </c>
      <c r="B530" s="5" t="s">
        <v>16</v>
      </c>
      <c r="C530" s="5" t="s">
        <v>35</v>
      </c>
      <c r="D530" s="6" t="s">
        <v>919</v>
      </c>
      <c r="E530" s="5" t="s">
        <v>184</v>
      </c>
      <c r="F530" s="5" t="s">
        <v>27</v>
      </c>
      <c r="G530" s="5">
        <v>12280.0</v>
      </c>
      <c r="H530" s="5">
        <v>90.0</v>
      </c>
      <c r="I530" s="5">
        <v>7633.0</v>
      </c>
      <c r="J530" s="5">
        <v>11053.0</v>
      </c>
      <c r="K530" s="5">
        <v>5.0</v>
      </c>
      <c r="L530" s="9">
        <v>1452.207361</v>
      </c>
      <c r="M530" s="15">
        <f t="shared" si="1"/>
        <v>290.4414722</v>
      </c>
      <c r="N530" s="16">
        <f t="shared" si="2"/>
        <v>0.007328990228</v>
      </c>
    </row>
    <row r="531">
      <c r="A531" s="5" t="s">
        <v>15</v>
      </c>
      <c r="B531" s="5" t="s">
        <v>16</v>
      </c>
      <c r="C531" s="5" t="s">
        <v>55</v>
      </c>
      <c r="D531" s="6" t="s">
        <v>958</v>
      </c>
      <c r="E531" s="5" t="s">
        <v>50</v>
      </c>
      <c r="F531" s="5" t="s">
        <v>27</v>
      </c>
      <c r="G531" s="5">
        <v>14599.0</v>
      </c>
      <c r="H531" s="5">
        <v>33.0</v>
      </c>
      <c r="I531" s="5">
        <v>1779.0</v>
      </c>
      <c r="J531" s="5">
        <v>12458.0</v>
      </c>
      <c r="K531" s="5">
        <v>4.0</v>
      </c>
      <c r="L531" s="9">
        <v>5092.559215</v>
      </c>
      <c r="M531" s="15">
        <f t="shared" si="1"/>
        <v>1273.139804</v>
      </c>
      <c r="N531" s="16">
        <f t="shared" si="2"/>
        <v>0.002260428796</v>
      </c>
    </row>
    <row r="532">
      <c r="A532" s="5" t="s">
        <v>22</v>
      </c>
      <c r="B532" s="5" t="s">
        <v>31</v>
      </c>
      <c r="C532" s="5" t="s">
        <v>17</v>
      </c>
      <c r="D532" s="6" t="s">
        <v>961</v>
      </c>
      <c r="E532" s="5" t="s">
        <v>19</v>
      </c>
      <c r="F532" s="5" t="s">
        <v>27</v>
      </c>
      <c r="G532" s="5">
        <v>42830.0</v>
      </c>
      <c r="H532" s="5">
        <v>160.0</v>
      </c>
      <c r="I532" s="5">
        <v>24499.0</v>
      </c>
      <c r="J532" s="5">
        <v>34496.0</v>
      </c>
      <c r="K532" s="5">
        <v>5.0</v>
      </c>
      <c r="L532" s="9">
        <v>6261.575724</v>
      </c>
      <c r="M532" s="15">
        <f t="shared" si="1"/>
        <v>1252.315145</v>
      </c>
      <c r="N532" s="16">
        <f t="shared" si="2"/>
        <v>0.003735699276</v>
      </c>
    </row>
    <row r="533">
      <c r="A533" s="5" t="s">
        <v>22</v>
      </c>
      <c r="B533" s="5" t="s">
        <v>31</v>
      </c>
      <c r="C533" s="5" t="s">
        <v>35</v>
      </c>
      <c r="D533" s="6" t="s">
        <v>961</v>
      </c>
      <c r="E533" s="5" t="s">
        <v>19</v>
      </c>
      <c r="F533" s="5" t="s">
        <v>27</v>
      </c>
      <c r="G533" s="5">
        <v>12209.0</v>
      </c>
      <c r="H533" s="5">
        <v>147.0</v>
      </c>
      <c r="I533" s="5">
        <v>3976.0</v>
      </c>
      <c r="J533" s="5">
        <v>5219.0</v>
      </c>
      <c r="K533" s="5">
        <v>4.0</v>
      </c>
      <c r="L533" s="9">
        <v>3818.955182</v>
      </c>
      <c r="M533" s="15">
        <f t="shared" si="1"/>
        <v>954.7387955</v>
      </c>
      <c r="N533" s="16">
        <f t="shared" si="2"/>
        <v>0.01204029814</v>
      </c>
    </row>
    <row r="534">
      <c r="A534" s="5" t="s">
        <v>15</v>
      </c>
      <c r="B534" s="5" t="s">
        <v>42</v>
      </c>
      <c r="C534" s="5" t="s">
        <v>84</v>
      </c>
      <c r="D534" s="6" t="s">
        <v>961</v>
      </c>
      <c r="E534" s="5" t="s">
        <v>36</v>
      </c>
      <c r="F534" s="5" t="s">
        <v>27</v>
      </c>
      <c r="G534" s="5">
        <v>8545.0</v>
      </c>
      <c r="H534" s="5">
        <v>20.0</v>
      </c>
      <c r="I534" s="5">
        <v>3454.0</v>
      </c>
      <c r="J534" s="5">
        <v>5510.0</v>
      </c>
      <c r="K534" s="5">
        <v>2.0</v>
      </c>
      <c r="L534" s="9">
        <v>2181.247949</v>
      </c>
      <c r="M534" s="15">
        <f t="shared" si="1"/>
        <v>1090.623975</v>
      </c>
      <c r="N534" s="16">
        <f t="shared" si="2"/>
        <v>0.002340550029</v>
      </c>
    </row>
    <row r="535">
      <c r="A535" s="5" t="s">
        <v>15</v>
      </c>
      <c r="B535" s="5" t="s">
        <v>23</v>
      </c>
      <c r="C535" s="5" t="s">
        <v>55</v>
      </c>
      <c r="D535" s="6" t="s">
        <v>961</v>
      </c>
      <c r="E535" s="5" t="s">
        <v>46</v>
      </c>
      <c r="F535" s="5" t="s">
        <v>27</v>
      </c>
      <c r="G535" s="5">
        <v>12319.0</v>
      </c>
      <c r="H535" s="5">
        <v>40.0</v>
      </c>
      <c r="I535" s="5">
        <v>7028.0</v>
      </c>
      <c r="J535" s="5">
        <v>10191.0</v>
      </c>
      <c r="K535" s="5">
        <v>7.0</v>
      </c>
      <c r="L535" s="9">
        <v>1668.016</v>
      </c>
      <c r="M535" s="15">
        <f t="shared" si="1"/>
        <v>238.288</v>
      </c>
      <c r="N535" s="16">
        <f t="shared" si="2"/>
        <v>0.003247016803</v>
      </c>
    </row>
    <row r="536">
      <c r="A536" s="5" t="s">
        <v>22</v>
      </c>
      <c r="B536" s="5" t="s">
        <v>16</v>
      </c>
      <c r="C536" s="5" t="s">
        <v>32</v>
      </c>
      <c r="D536" s="6" t="s">
        <v>961</v>
      </c>
      <c r="E536" s="5" t="s">
        <v>117</v>
      </c>
      <c r="F536" s="5" t="s">
        <v>27</v>
      </c>
      <c r="G536" s="5">
        <v>31359.0</v>
      </c>
      <c r="H536" s="5">
        <v>66.0</v>
      </c>
      <c r="I536" s="5">
        <v>18348.0</v>
      </c>
      <c r="J536" s="5">
        <v>25950.0</v>
      </c>
      <c r="K536" s="5">
        <v>24.0</v>
      </c>
      <c r="L536" s="9">
        <v>1623.614838</v>
      </c>
      <c r="M536" s="15">
        <f t="shared" si="1"/>
        <v>67.65061825</v>
      </c>
      <c r="N536" s="16">
        <f t="shared" si="2"/>
        <v>0.00210465895</v>
      </c>
    </row>
    <row r="537">
      <c r="A537" s="5" t="s">
        <v>22</v>
      </c>
      <c r="B537" s="5" t="s">
        <v>16</v>
      </c>
      <c r="C537" s="5" t="s">
        <v>29</v>
      </c>
      <c r="D537" s="6" t="s">
        <v>961</v>
      </c>
      <c r="E537" s="5" t="s">
        <v>36</v>
      </c>
      <c r="F537" s="5" t="s">
        <v>27</v>
      </c>
      <c r="G537" s="5">
        <v>15311.0</v>
      </c>
      <c r="H537" s="5">
        <v>10.0</v>
      </c>
      <c r="I537" s="5">
        <v>7757.0</v>
      </c>
      <c r="J537" s="5">
        <v>12630.0</v>
      </c>
      <c r="K537" s="5">
        <v>19.0</v>
      </c>
      <c r="L537" s="9">
        <v>1471.187144</v>
      </c>
      <c r="M537" s="15">
        <f t="shared" si="1"/>
        <v>77.43090232</v>
      </c>
      <c r="N537" s="16">
        <f t="shared" si="2"/>
        <v>0.0006531252041</v>
      </c>
    </row>
    <row r="538">
      <c r="A538" s="5" t="s">
        <v>61</v>
      </c>
      <c r="B538" s="5" t="s">
        <v>23</v>
      </c>
      <c r="C538" s="5" t="s">
        <v>39</v>
      </c>
      <c r="D538" s="6" t="s">
        <v>969</v>
      </c>
      <c r="E538" s="5" t="s">
        <v>36</v>
      </c>
      <c r="F538" s="5" t="s">
        <v>27</v>
      </c>
      <c r="G538" s="5">
        <v>23488.0</v>
      </c>
      <c r="H538" s="5">
        <v>75.0</v>
      </c>
      <c r="I538" s="5">
        <v>4620.0</v>
      </c>
      <c r="J538" s="5">
        <v>22254.0</v>
      </c>
      <c r="K538" s="5">
        <v>9.0</v>
      </c>
      <c r="L538" s="9">
        <v>6667.727715</v>
      </c>
      <c r="M538" s="15">
        <f t="shared" si="1"/>
        <v>740.858635</v>
      </c>
      <c r="N538" s="16">
        <f t="shared" si="2"/>
        <v>0.003193119891</v>
      </c>
    </row>
    <row r="539">
      <c r="A539" s="5" t="s">
        <v>61</v>
      </c>
      <c r="B539" s="5" t="s">
        <v>16</v>
      </c>
      <c r="C539" s="5" t="s">
        <v>78</v>
      </c>
      <c r="D539" s="6" t="s">
        <v>969</v>
      </c>
      <c r="E539" s="5" t="s">
        <v>26</v>
      </c>
      <c r="F539" s="5" t="s">
        <v>27</v>
      </c>
      <c r="G539" s="5">
        <v>11789.0</v>
      </c>
      <c r="H539" s="5">
        <v>20.0</v>
      </c>
      <c r="I539" s="5">
        <v>6187.0</v>
      </c>
      <c r="J539" s="5">
        <v>10028.0</v>
      </c>
      <c r="K539" s="5">
        <v>3.0</v>
      </c>
      <c r="L539" s="9">
        <v>6505.526456</v>
      </c>
      <c r="M539" s="15">
        <f t="shared" si="1"/>
        <v>2168.508819</v>
      </c>
      <c r="N539" s="16">
        <f t="shared" si="2"/>
        <v>0.001696496734</v>
      </c>
    </row>
    <row r="540">
      <c r="A540" s="5" t="s">
        <v>15</v>
      </c>
      <c r="B540" s="5" t="s">
        <v>16</v>
      </c>
      <c r="C540" s="5" t="s">
        <v>39</v>
      </c>
      <c r="D540" s="6" t="s">
        <v>969</v>
      </c>
      <c r="E540" s="5" t="s">
        <v>46</v>
      </c>
      <c r="F540" s="5" t="s">
        <v>27</v>
      </c>
      <c r="G540" s="5">
        <v>37355.0</v>
      </c>
      <c r="H540" s="5">
        <v>145.0</v>
      </c>
      <c r="I540" s="5">
        <v>17138.0</v>
      </c>
      <c r="J540" s="5">
        <v>35689.0</v>
      </c>
      <c r="K540" s="5">
        <v>3.0</v>
      </c>
      <c r="L540" s="9">
        <v>1577.366086</v>
      </c>
      <c r="M540" s="15">
        <f t="shared" si="1"/>
        <v>525.7886953</v>
      </c>
      <c r="N540" s="16">
        <f t="shared" si="2"/>
        <v>0.003881675813</v>
      </c>
    </row>
    <row r="541">
      <c r="A541" s="5" t="s">
        <v>15</v>
      </c>
      <c r="B541" s="5" t="s">
        <v>31</v>
      </c>
      <c r="C541" s="5" t="s">
        <v>78</v>
      </c>
      <c r="D541" s="6" t="s">
        <v>969</v>
      </c>
      <c r="E541" s="5" t="s">
        <v>19</v>
      </c>
      <c r="F541" s="5" t="s">
        <v>27</v>
      </c>
      <c r="G541" s="5">
        <v>9404.0</v>
      </c>
      <c r="H541" s="5">
        <v>30.0</v>
      </c>
      <c r="I541" s="5">
        <v>4781.0</v>
      </c>
      <c r="J541" s="5">
        <v>7943.0</v>
      </c>
      <c r="K541" s="5">
        <v>4.0</v>
      </c>
      <c r="L541" s="9">
        <v>1345.369</v>
      </c>
      <c r="M541" s="15">
        <f t="shared" si="1"/>
        <v>336.34225</v>
      </c>
      <c r="N541" s="16">
        <f t="shared" si="2"/>
        <v>0.003190131859</v>
      </c>
    </row>
    <row r="542">
      <c r="A542" s="5" t="s">
        <v>15</v>
      </c>
      <c r="B542" s="5" t="s">
        <v>16</v>
      </c>
      <c r="C542" s="5" t="s">
        <v>78</v>
      </c>
      <c r="D542" s="6" t="s">
        <v>975</v>
      </c>
      <c r="E542" s="5" t="s">
        <v>36</v>
      </c>
      <c r="F542" s="5" t="s">
        <v>27</v>
      </c>
      <c r="G542" s="5">
        <v>13642.0</v>
      </c>
      <c r="H542" s="5">
        <v>40.0</v>
      </c>
      <c r="I542" s="5">
        <v>9830.0</v>
      </c>
      <c r="J542" s="5">
        <v>11658.0</v>
      </c>
      <c r="K542" s="5">
        <v>3.0</v>
      </c>
      <c r="L542" s="9">
        <v>1731.271848</v>
      </c>
      <c r="M542" s="15">
        <f t="shared" si="1"/>
        <v>577.090616</v>
      </c>
      <c r="N542" s="16">
        <f t="shared" si="2"/>
        <v>0.00293212139</v>
      </c>
    </row>
    <row r="543">
      <c r="A543" s="5" t="s">
        <v>15</v>
      </c>
      <c r="B543" s="5" t="s">
        <v>23</v>
      </c>
      <c r="C543" s="5" t="s">
        <v>78</v>
      </c>
      <c r="D543" s="6" t="s">
        <v>977</v>
      </c>
      <c r="E543" s="5" t="s">
        <v>46</v>
      </c>
      <c r="F543" s="5" t="s">
        <v>27</v>
      </c>
      <c r="G543" s="5">
        <v>14693.0</v>
      </c>
      <c r="H543" s="5">
        <v>70.0</v>
      </c>
      <c r="I543" s="5">
        <v>6597.0</v>
      </c>
      <c r="J543" s="5">
        <v>13508.0</v>
      </c>
      <c r="K543" s="5">
        <v>4.0</v>
      </c>
      <c r="L543" s="9">
        <v>2047.348924</v>
      </c>
      <c r="M543" s="15">
        <f t="shared" si="1"/>
        <v>511.837231</v>
      </c>
      <c r="N543" s="16">
        <f t="shared" si="2"/>
        <v>0.004764173416</v>
      </c>
    </row>
    <row r="544">
      <c r="A544" s="5" t="s">
        <v>22</v>
      </c>
      <c r="B544" s="5" t="s">
        <v>16</v>
      </c>
      <c r="C544" s="5" t="s">
        <v>24</v>
      </c>
      <c r="D544" s="6" t="s">
        <v>979</v>
      </c>
      <c r="E544" s="5" t="s">
        <v>19</v>
      </c>
      <c r="F544" s="5" t="s">
        <v>27</v>
      </c>
      <c r="G544" s="5">
        <v>9357.0</v>
      </c>
      <c r="H544" s="5">
        <v>60.0</v>
      </c>
      <c r="I544" s="5">
        <v>1754.0</v>
      </c>
      <c r="J544" s="5">
        <v>8343.0</v>
      </c>
      <c r="K544" s="5">
        <v>10.0</v>
      </c>
      <c r="L544" s="9">
        <v>6559.477756</v>
      </c>
      <c r="M544" s="15">
        <f t="shared" si="1"/>
        <v>655.9477756</v>
      </c>
      <c r="N544" s="16">
        <f t="shared" si="2"/>
        <v>0.006412311638</v>
      </c>
    </row>
    <row r="545">
      <c r="A545" s="5" t="s">
        <v>61</v>
      </c>
      <c r="B545" s="5" t="s">
        <v>23</v>
      </c>
      <c r="C545" s="5" t="s">
        <v>17</v>
      </c>
      <c r="D545" s="6" t="s">
        <v>983</v>
      </c>
      <c r="E545" s="5" t="s">
        <v>19</v>
      </c>
      <c r="F545" s="5" t="s">
        <v>27</v>
      </c>
      <c r="G545" s="5">
        <v>17382.0</v>
      </c>
      <c r="H545" s="5">
        <v>100.0</v>
      </c>
      <c r="I545" s="5">
        <v>7411.0</v>
      </c>
      <c r="J545" s="5">
        <v>16576.0</v>
      </c>
      <c r="K545" s="5">
        <v>8.0</v>
      </c>
      <c r="L545" s="9">
        <v>5797.219977</v>
      </c>
      <c r="M545" s="15">
        <f t="shared" si="1"/>
        <v>724.6524971</v>
      </c>
      <c r="N545" s="16">
        <f t="shared" si="2"/>
        <v>0.005753077897</v>
      </c>
    </row>
    <row r="546">
      <c r="A546" s="5" t="s">
        <v>22</v>
      </c>
      <c r="B546" s="5" t="s">
        <v>16</v>
      </c>
      <c r="C546" s="5" t="s">
        <v>84</v>
      </c>
      <c r="D546" s="6" t="s">
        <v>985</v>
      </c>
      <c r="E546" s="5" t="s">
        <v>46</v>
      </c>
      <c r="F546" s="5" t="s">
        <v>27</v>
      </c>
      <c r="G546" s="5">
        <v>13466.0</v>
      </c>
      <c r="H546" s="5">
        <v>150.0</v>
      </c>
      <c r="I546" s="5">
        <v>8684.0</v>
      </c>
      <c r="J546" s="5">
        <v>11766.0</v>
      </c>
      <c r="K546" s="5">
        <v>1.0</v>
      </c>
      <c r="L546" s="9">
        <v>1527.176274</v>
      </c>
      <c r="M546" s="15">
        <f t="shared" si="1"/>
        <v>1527.176274</v>
      </c>
      <c r="N546" s="16">
        <f t="shared" si="2"/>
        <v>0.01113916531</v>
      </c>
    </row>
    <row r="547">
      <c r="A547" s="5" t="s">
        <v>61</v>
      </c>
      <c r="B547" s="5" t="s">
        <v>42</v>
      </c>
      <c r="C547" s="5" t="s">
        <v>131</v>
      </c>
      <c r="D547" s="6" t="s">
        <v>987</v>
      </c>
      <c r="E547" s="5" t="s">
        <v>26</v>
      </c>
      <c r="F547" s="5" t="s">
        <v>27</v>
      </c>
      <c r="G547" s="5">
        <v>23410.0</v>
      </c>
      <c r="H547" s="5">
        <v>66.0</v>
      </c>
      <c r="I547" s="5">
        <v>13626.0</v>
      </c>
      <c r="J547" s="5">
        <v>22109.0</v>
      </c>
      <c r="K547" s="5">
        <v>6.0</v>
      </c>
      <c r="L547" s="9">
        <v>1930.180523</v>
      </c>
      <c r="M547" s="15">
        <f t="shared" si="1"/>
        <v>321.6967538</v>
      </c>
      <c r="N547" s="16">
        <f t="shared" si="2"/>
        <v>0.002819307988</v>
      </c>
    </row>
    <row r="548">
      <c r="A548" s="5" t="s">
        <v>22</v>
      </c>
      <c r="B548" s="5" t="s">
        <v>16</v>
      </c>
      <c r="C548" s="5" t="s">
        <v>32</v>
      </c>
      <c r="D548" s="6" t="s">
        <v>987</v>
      </c>
      <c r="E548" s="5" t="s">
        <v>48</v>
      </c>
      <c r="F548" s="5" t="s">
        <v>27</v>
      </c>
      <c r="G548" s="5">
        <v>13713.0</v>
      </c>
      <c r="H548" s="5">
        <v>151.0</v>
      </c>
      <c r="I548" s="5">
        <v>8339.0</v>
      </c>
      <c r="J548" s="5">
        <v>13051.0</v>
      </c>
      <c r="K548" s="5">
        <v>5.0</v>
      </c>
      <c r="L548" s="9">
        <v>1490.006197</v>
      </c>
      <c r="M548" s="15">
        <f t="shared" si="1"/>
        <v>298.0012394</v>
      </c>
      <c r="N548" s="16">
        <f t="shared" si="2"/>
        <v>0.01101144899</v>
      </c>
    </row>
    <row r="549">
      <c r="A549" s="5" t="s">
        <v>61</v>
      </c>
      <c r="B549" s="5" t="s">
        <v>16</v>
      </c>
      <c r="C549" s="5" t="s">
        <v>17</v>
      </c>
      <c r="D549" s="6" t="s">
        <v>990</v>
      </c>
      <c r="E549" s="5" t="s">
        <v>26</v>
      </c>
      <c r="F549" s="5" t="s">
        <v>27</v>
      </c>
      <c r="G549" s="5">
        <v>10565.0</v>
      </c>
      <c r="H549" s="5">
        <v>66.0</v>
      </c>
      <c r="I549" s="5">
        <v>6248.0</v>
      </c>
      <c r="J549" s="5">
        <v>10141.0</v>
      </c>
      <c r="K549" s="5">
        <v>9.0</v>
      </c>
      <c r="L549" s="9">
        <v>6236.113094</v>
      </c>
      <c r="M549" s="15">
        <f t="shared" si="1"/>
        <v>692.9014549</v>
      </c>
      <c r="N549" s="16">
        <f t="shared" si="2"/>
        <v>0.00624704212</v>
      </c>
    </row>
    <row r="550">
      <c r="A550" s="5" t="s">
        <v>22</v>
      </c>
      <c r="B550" s="5" t="s">
        <v>23</v>
      </c>
      <c r="C550" s="5" t="s">
        <v>35</v>
      </c>
      <c r="D550" s="6" t="s">
        <v>992</v>
      </c>
      <c r="E550" s="5" t="s">
        <v>26</v>
      </c>
      <c r="F550" s="5" t="s">
        <v>27</v>
      </c>
      <c r="G550" s="5">
        <v>888037.0</v>
      </c>
      <c r="H550" s="5">
        <v>2841.0</v>
      </c>
      <c r="I550" s="5">
        <v>370429.0</v>
      </c>
      <c r="J550" s="5">
        <v>820340.0</v>
      </c>
      <c r="K550" s="5">
        <v>42.0</v>
      </c>
      <c r="L550" s="9">
        <v>8134.350524</v>
      </c>
      <c r="M550" s="15">
        <f t="shared" si="1"/>
        <v>193.6750125</v>
      </c>
      <c r="N550" s="16">
        <f t="shared" si="2"/>
        <v>0.003199191025</v>
      </c>
    </row>
    <row r="551">
      <c r="A551" s="5" t="s">
        <v>15</v>
      </c>
      <c r="B551" s="5" t="s">
        <v>16</v>
      </c>
      <c r="C551" s="5" t="s">
        <v>35</v>
      </c>
      <c r="D551" s="6" t="s">
        <v>992</v>
      </c>
      <c r="E551" s="5" t="s">
        <v>50</v>
      </c>
      <c r="F551" s="5" t="s">
        <v>27</v>
      </c>
      <c r="G551" s="5">
        <v>1767940.0</v>
      </c>
      <c r="H551" s="5">
        <v>4852.0</v>
      </c>
      <c r="I551" s="5">
        <v>881525.0</v>
      </c>
      <c r="J551" s="5">
        <v>1550866.0</v>
      </c>
      <c r="K551" s="5">
        <v>78.0</v>
      </c>
      <c r="L551" s="9">
        <v>7511.656191</v>
      </c>
      <c r="M551" s="15">
        <f t="shared" si="1"/>
        <v>96.3032845</v>
      </c>
      <c r="N551" s="16">
        <f t="shared" si="2"/>
        <v>0.002744437028</v>
      </c>
    </row>
    <row r="552">
      <c r="A552" s="5" t="s">
        <v>15</v>
      </c>
      <c r="B552" s="5" t="s">
        <v>23</v>
      </c>
      <c r="C552" s="5" t="s">
        <v>78</v>
      </c>
      <c r="D552" s="6" t="s">
        <v>992</v>
      </c>
      <c r="E552" s="5" t="s">
        <v>19</v>
      </c>
      <c r="F552" s="5" t="s">
        <v>27</v>
      </c>
      <c r="G552" s="5">
        <v>1221746.0</v>
      </c>
      <c r="H552" s="5">
        <v>3874.0</v>
      </c>
      <c r="I552" s="5">
        <v>512107.0</v>
      </c>
      <c r="J552" s="5">
        <v>1088748.0</v>
      </c>
      <c r="K552" s="5">
        <v>19.0</v>
      </c>
      <c r="L552" s="9">
        <v>7483.887187</v>
      </c>
      <c r="M552" s="15">
        <f t="shared" si="1"/>
        <v>393.8887993</v>
      </c>
      <c r="N552" s="16">
        <f t="shared" si="2"/>
        <v>0.003170871851</v>
      </c>
    </row>
    <row r="553">
      <c r="A553" s="5" t="s">
        <v>22</v>
      </c>
      <c r="B553" s="5" t="s">
        <v>16</v>
      </c>
      <c r="C553" s="5" t="s">
        <v>35</v>
      </c>
      <c r="D553" s="6" t="s">
        <v>992</v>
      </c>
      <c r="E553" s="5" t="s">
        <v>1046</v>
      </c>
      <c r="F553" s="5" t="s">
        <v>27</v>
      </c>
      <c r="G553" s="5">
        <v>446774.0</v>
      </c>
      <c r="H553" s="5">
        <v>1245.0</v>
      </c>
      <c r="I553" s="5">
        <v>163786.0</v>
      </c>
      <c r="J553" s="5">
        <v>374116.0</v>
      </c>
      <c r="K553" s="5">
        <v>12.0</v>
      </c>
      <c r="L553" s="9">
        <v>7248.231612</v>
      </c>
      <c r="M553" s="15">
        <f t="shared" si="1"/>
        <v>604.019301</v>
      </c>
      <c r="N553" s="16">
        <f t="shared" si="2"/>
        <v>0.002786643806</v>
      </c>
    </row>
    <row r="554">
      <c r="A554" s="5" t="s">
        <v>22</v>
      </c>
      <c r="B554" s="5" t="s">
        <v>23</v>
      </c>
      <c r="C554" s="5" t="s">
        <v>45</v>
      </c>
      <c r="D554" s="6" t="s">
        <v>992</v>
      </c>
      <c r="E554" s="5" t="s">
        <v>46</v>
      </c>
      <c r="F554" s="5" t="s">
        <v>27</v>
      </c>
      <c r="G554" s="5">
        <v>120603.0</v>
      </c>
      <c r="H554" s="5">
        <v>298.0</v>
      </c>
      <c r="I554" s="5">
        <v>47405.0</v>
      </c>
      <c r="J554" s="5">
        <v>100881.0</v>
      </c>
      <c r="K554" s="5">
        <v>10.0</v>
      </c>
      <c r="L554" s="9">
        <v>6633.532635</v>
      </c>
      <c r="M554" s="15">
        <f t="shared" si="1"/>
        <v>663.3532635</v>
      </c>
      <c r="N554" s="16">
        <f t="shared" si="2"/>
        <v>0.002470916976</v>
      </c>
    </row>
    <row r="555">
      <c r="A555" s="5" t="s">
        <v>15</v>
      </c>
      <c r="B555" s="5" t="s">
        <v>16</v>
      </c>
      <c r="C555" s="5" t="s">
        <v>32</v>
      </c>
      <c r="D555" s="6" t="s">
        <v>992</v>
      </c>
      <c r="E555" s="5" t="s">
        <v>19</v>
      </c>
      <c r="F555" s="5" t="s">
        <v>27</v>
      </c>
      <c r="G555" s="5">
        <v>310255.0</v>
      </c>
      <c r="H555" s="5">
        <v>970.0</v>
      </c>
      <c r="I555" s="5">
        <v>105054.0</v>
      </c>
      <c r="J555" s="5">
        <v>260998.0</v>
      </c>
      <c r="K555" s="5">
        <v>14.0</v>
      </c>
      <c r="L555" s="9">
        <v>6057.856722</v>
      </c>
      <c r="M555" s="15">
        <f t="shared" si="1"/>
        <v>432.7040516</v>
      </c>
      <c r="N555" s="16">
        <f t="shared" si="2"/>
        <v>0.003126460492</v>
      </c>
    </row>
    <row r="556">
      <c r="A556" s="5" t="s">
        <v>15</v>
      </c>
      <c r="B556" s="5" t="s">
        <v>31</v>
      </c>
      <c r="C556" s="5" t="s">
        <v>183</v>
      </c>
      <c r="D556" s="6" t="s">
        <v>992</v>
      </c>
      <c r="E556" s="5" t="s">
        <v>36</v>
      </c>
      <c r="F556" s="5" t="s">
        <v>27</v>
      </c>
      <c r="G556" s="5">
        <v>818919.0</v>
      </c>
      <c r="H556" s="5">
        <v>1987.0</v>
      </c>
      <c r="I556" s="5">
        <v>395852.0</v>
      </c>
      <c r="J556" s="5">
        <v>699064.0</v>
      </c>
      <c r="K556" s="5">
        <v>22.0</v>
      </c>
      <c r="L556" s="9">
        <v>6012.102465</v>
      </c>
      <c r="M556" s="15">
        <f t="shared" si="1"/>
        <v>273.2773848</v>
      </c>
      <c r="N556" s="16">
        <f t="shared" si="2"/>
        <v>0.002426369397</v>
      </c>
    </row>
    <row r="557">
      <c r="A557" s="5" t="s">
        <v>22</v>
      </c>
      <c r="B557" s="5" t="s">
        <v>16</v>
      </c>
      <c r="C557" s="5" t="s">
        <v>78</v>
      </c>
      <c r="D557" s="6" t="s">
        <v>992</v>
      </c>
      <c r="E557" s="5" t="s">
        <v>327</v>
      </c>
      <c r="F557" s="5" t="s">
        <v>27</v>
      </c>
      <c r="G557" s="5">
        <v>760502.0</v>
      </c>
      <c r="H557" s="5">
        <v>2140.0</v>
      </c>
      <c r="I557" s="5">
        <v>326721.0</v>
      </c>
      <c r="J557" s="5">
        <v>700814.0</v>
      </c>
      <c r="K557" s="5">
        <v>17.0</v>
      </c>
      <c r="L557" s="9">
        <v>5179.041532</v>
      </c>
      <c r="M557" s="15">
        <f t="shared" si="1"/>
        <v>304.6495019</v>
      </c>
      <c r="N557" s="16">
        <f t="shared" si="2"/>
        <v>0.002813930798</v>
      </c>
    </row>
    <row r="558">
      <c r="A558" s="5" t="s">
        <v>22</v>
      </c>
      <c r="B558" s="5" t="s">
        <v>42</v>
      </c>
      <c r="C558" s="5" t="s">
        <v>55</v>
      </c>
      <c r="D558" s="6" t="s">
        <v>992</v>
      </c>
      <c r="E558" s="5" t="s">
        <v>19</v>
      </c>
      <c r="F558" s="5" t="s">
        <v>27</v>
      </c>
      <c r="G558" s="5">
        <v>571090.0</v>
      </c>
      <c r="H558" s="5">
        <v>1541.0</v>
      </c>
      <c r="I558" s="5">
        <v>246243.0</v>
      </c>
      <c r="J558" s="5">
        <v>532325.0</v>
      </c>
      <c r="K558" s="5">
        <v>11.0</v>
      </c>
      <c r="L558" s="9">
        <v>4733.618783</v>
      </c>
      <c r="M558" s="15">
        <f t="shared" si="1"/>
        <v>430.3289803</v>
      </c>
      <c r="N558" s="16">
        <f t="shared" si="2"/>
        <v>0.002698348772</v>
      </c>
    </row>
    <row r="559">
      <c r="A559" s="5" t="s">
        <v>15</v>
      </c>
      <c r="B559" s="5" t="s">
        <v>42</v>
      </c>
      <c r="C559" s="5" t="s">
        <v>214</v>
      </c>
      <c r="D559" s="6" t="s">
        <v>992</v>
      </c>
      <c r="E559" s="5" t="s">
        <v>36</v>
      </c>
      <c r="F559" s="5" t="s">
        <v>27</v>
      </c>
      <c r="G559" s="5">
        <v>90123.0</v>
      </c>
      <c r="H559" s="5">
        <v>60.0</v>
      </c>
      <c r="I559" s="5">
        <v>33421.0</v>
      </c>
      <c r="J559" s="5">
        <v>66729.0</v>
      </c>
      <c r="K559" s="5">
        <v>9.0</v>
      </c>
      <c r="L559" s="9">
        <v>3433.914287</v>
      </c>
      <c r="M559" s="15">
        <f t="shared" si="1"/>
        <v>381.5460319</v>
      </c>
      <c r="N559" s="16">
        <f t="shared" si="2"/>
        <v>0.000665756799</v>
      </c>
    </row>
    <row r="560">
      <c r="A560" s="5" t="s">
        <v>15</v>
      </c>
      <c r="B560" s="5" t="s">
        <v>16</v>
      </c>
      <c r="C560" s="5" t="s">
        <v>78</v>
      </c>
      <c r="D560" s="6" t="s">
        <v>992</v>
      </c>
      <c r="E560" s="5" t="s">
        <v>19</v>
      </c>
      <c r="F560" s="5" t="s">
        <v>27</v>
      </c>
      <c r="G560" s="5">
        <v>1116343.0</v>
      </c>
      <c r="H560" s="5">
        <v>3104.0</v>
      </c>
      <c r="I560" s="5">
        <v>550519.0</v>
      </c>
      <c r="J560" s="5">
        <v>977978.0</v>
      </c>
      <c r="K560" s="5">
        <v>9.0</v>
      </c>
      <c r="L560" s="9">
        <v>2494.217596</v>
      </c>
      <c r="M560" s="15">
        <f t="shared" si="1"/>
        <v>277.1352884</v>
      </c>
      <c r="N560" s="16">
        <f t="shared" si="2"/>
        <v>0.002780507425</v>
      </c>
    </row>
    <row r="561">
      <c r="A561" s="5" t="s">
        <v>15</v>
      </c>
      <c r="B561" s="5" t="s">
        <v>16</v>
      </c>
      <c r="C561" s="5" t="s">
        <v>273</v>
      </c>
      <c r="D561" s="6" t="s">
        <v>992</v>
      </c>
      <c r="E561" s="5" t="s">
        <v>26</v>
      </c>
      <c r="F561" s="5" t="s">
        <v>27</v>
      </c>
      <c r="G561" s="5">
        <v>276716.0</v>
      </c>
      <c r="H561" s="5">
        <v>799.0</v>
      </c>
      <c r="I561" s="5">
        <v>114927.0</v>
      </c>
      <c r="J561" s="5">
        <v>255481.0</v>
      </c>
      <c r="K561" s="5">
        <v>49.0</v>
      </c>
      <c r="L561" s="9">
        <v>2276.277471</v>
      </c>
      <c r="M561" s="15">
        <f t="shared" si="1"/>
        <v>46.45464227</v>
      </c>
      <c r="N561" s="16">
        <f t="shared" si="2"/>
        <v>0.002887436939</v>
      </c>
    </row>
    <row r="562">
      <c r="A562" s="5" t="s">
        <v>22</v>
      </c>
      <c r="B562" s="5" t="s">
        <v>16</v>
      </c>
      <c r="C562" s="5" t="s">
        <v>35</v>
      </c>
      <c r="D562" s="6" t="s">
        <v>992</v>
      </c>
      <c r="E562" s="5" t="s">
        <v>161</v>
      </c>
      <c r="F562" s="5" t="s">
        <v>27</v>
      </c>
      <c r="G562" s="5">
        <v>37227.0</v>
      </c>
      <c r="H562" s="5">
        <v>130.0</v>
      </c>
      <c r="I562" s="5">
        <v>13542.0</v>
      </c>
      <c r="J562" s="5">
        <v>32456.0</v>
      </c>
      <c r="K562" s="5">
        <v>4.0</v>
      </c>
      <c r="L562" s="9">
        <v>1901.094691</v>
      </c>
      <c r="M562" s="15">
        <f t="shared" si="1"/>
        <v>475.2736728</v>
      </c>
      <c r="N562" s="16">
        <f t="shared" si="2"/>
        <v>0.003492089075</v>
      </c>
    </row>
    <row r="563">
      <c r="A563" s="5" t="s">
        <v>15</v>
      </c>
      <c r="B563" s="5" t="s">
        <v>42</v>
      </c>
      <c r="C563" s="5" t="s">
        <v>17</v>
      </c>
      <c r="D563" s="6" t="s">
        <v>992</v>
      </c>
      <c r="E563" s="5" t="s">
        <v>26</v>
      </c>
      <c r="F563" s="5" t="s">
        <v>27</v>
      </c>
      <c r="G563" s="5">
        <v>556152.0</v>
      </c>
      <c r="H563" s="5">
        <v>1867.0</v>
      </c>
      <c r="I563" s="5">
        <v>221833.0</v>
      </c>
      <c r="J563" s="5">
        <v>480882.0</v>
      </c>
      <c r="K563" s="5">
        <v>7.0</v>
      </c>
      <c r="L563" s="9">
        <v>1818.100044</v>
      </c>
      <c r="M563" s="15">
        <f t="shared" si="1"/>
        <v>259.7285777</v>
      </c>
      <c r="N563" s="16">
        <f t="shared" si="2"/>
        <v>0.003356995929</v>
      </c>
    </row>
    <row r="564">
      <c r="A564" s="5" t="s">
        <v>15</v>
      </c>
      <c r="B564" s="5" t="s">
        <v>16</v>
      </c>
      <c r="C564" s="5" t="s">
        <v>35</v>
      </c>
      <c r="D564" s="6" t="s">
        <v>992</v>
      </c>
      <c r="E564" s="5" t="s">
        <v>19</v>
      </c>
      <c r="F564" s="5" t="s">
        <v>27</v>
      </c>
      <c r="G564" s="5">
        <v>421110.0</v>
      </c>
      <c r="H564" s="5">
        <v>984.0</v>
      </c>
      <c r="I564" s="5">
        <v>212140.0</v>
      </c>
      <c r="J564" s="5">
        <v>389474.0</v>
      </c>
      <c r="K564" s="5">
        <v>4.0</v>
      </c>
      <c r="L564" s="9">
        <v>1635.920216</v>
      </c>
      <c r="M564" s="15">
        <f t="shared" si="1"/>
        <v>408.980054</v>
      </c>
      <c r="N564" s="16">
        <f t="shared" si="2"/>
        <v>0.002336681627</v>
      </c>
    </row>
    <row r="565">
      <c r="A565" s="5" t="s">
        <v>15</v>
      </c>
      <c r="B565" s="5" t="s">
        <v>23</v>
      </c>
      <c r="C565" s="5" t="s">
        <v>24</v>
      </c>
      <c r="D565" s="6" t="s">
        <v>992</v>
      </c>
      <c r="E565" s="5" t="s">
        <v>46</v>
      </c>
      <c r="F565" s="5" t="s">
        <v>27</v>
      </c>
      <c r="G565" s="5">
        <v>85965.0</v>
      </c>
      <c r="H565" s="5">
        <v>233.0</v>
      </c>
      <c r="I565" s="5">
        <v>33865.0</v>
      </c>
      <c r="J565" s="5">
        <v>78662.0</v>
      </c>
      <c r="K565" s="5">
        <v>3.0</v>
      </c>
      <c r="L565" s="9">
        <v>1555.534812</v>
      </c>
      <c r="M565" s="15">
        <f t="shared" si="1"/>
        <v>518.511604</v>
      </c>
      <c r="N565" s="16">
        <f t="shared" si="2"/>
        <v>0.002710405398</v>
      </c>
    </row>
    <row r="566">
      <c r="A566" s="5" t="s">
        <v>15</v>
      </c>
      <c r="B566" s="5" t="s">
        <v>31</v>
      </c>
      <c r="C566" s="5" t="s">
        <v>55</v>
      </c>
      <c r="D566" s="6" t="s">
        <v>992</v>
      </c>
      <c r="E566" s="5" t="s">
        <v>46</v>
      </c>
      <c r="F566" s="5" t="s">
        <v>27</v>
      </c>
      <c r="G566" s="5">
        <v>335664.0</v>
      </c>
      <c r="H566" s="5">
        <v>852.0</v>
      </c>
      <c r="I566" s="5">
        <v>148742.0</v>
      </c>
      <c r="J566" s="5">
        <v>313071.0</v>
      </c>
      <c r="K566" s="5">
        <v>25.0</v>
      </c>
      <c r="L566" s="9">
        <v>1542.500216</v>
      </c>
      <c r="M566" s="15">
        <f t="shared" si="1"/>
        <v>61.70000864</v>
      </c>
      <c r="N566" s="16">
        <f t="shared" si="2"/>
        <v>0.002538252538</v>
      </c>
    </row>
    <row r="567">
      <c r="A567" s="5" t="s">
        <v>22</v>
      </c>
      <c r="B567" s="5" t="s">
        <v>31</v>
      </c>
      <c r="C567" s="5" t="s">
        <v>273</v>
      </c>
      <c r="D567" s="6" t="s">
        <v>992</v>
      </c>
      <c r="E567" s="5" t="s">
        <v>19</v>
      </c>
      <c r="F567" s="5" t="s">
        <v>27</v>
      </c>
      <c r="G567" s="5">
        <v>74516.0</v>
      </c>
      <c r="H567" s="5">
        <v>200.0</v>
      </c>
      <c r="I567" s="5">
        <v>23985.0</v>
      </c>
      <c r="J567" s="5">
        <v>63853.0</v>
      </c>
      <c r="K567" s="5">
        <v>24.0</v>
      </c>
      <c r="L567" s="9">
        <v>1523.783909</v>
      </c>
      <c r="M567" s="15">
        <f t="shared" si="1"/>
        <v>63.49099621</v>
      </c>
      <c r="N567" s="16">
        <f t="shared" si="2"/>
        <v>0.002683987332</v>
      </c>
    </row>
    <row r="568">
      <c r="A568" s="5" t="s">
        <v>22</v>
      </c>
      <c r="B568" s="5" t="s">
        <v>42</v>
      </c>
      <c r="C568" s="5" t="s">
        <v>55</v>
      </c>
      <c r="D568" s="6" t="s">
        <v>992</v>
      </c>
      <c r="E568" s="5" t="s">
        <v>19</v>
      </c>
      <c r="F568" s="5" t="s">
        <v>27</v>
      </c>
      <c r="G568" s="5">
        <v>263752.0</v>
      </c>
      <c r="H568" s="5">
        <v>702.0</v>
      </c>
      <c r="I568" s="5">
        <v>127042.0</v>
      </c>
      <c r="J568" s="5">
        <v>225121.0</v>
      </c>
      <c r="K568" s="5">
        <v>4.0</v>
      </c>
      <c r="L568" s="9">
        <v>1465.51471</v>
      </c>
      <c r="M568" s="15">
        <f t="shared" si="1"/>
        <v>366.3786775</v>
      </c>
      <c r="N568" s="16">
        <f t="shared" si="2"/>
        <v>0.002661591192</v>
      </c>
    </row>
    <row r="569">
      <c r="A569" s="5" t="s">
        <v>22</v>
      </c>
      <c r="B569" s="5" t="s">
        <v>42</v>
      </c>
      <c r="C569" s="5" t="s">
        <v>398</v>
      </c>
      <c r="D569" s="6" t="s">
        <v>992</v>
      </c>
      <c r="E569" s="5" t="s">
        <v>46</v>
      </c>
      <c r="F569" s="5" t="s">
        <v>27</v>
      </c>
      <c r="G569" s="5">
        <v>507889.0</v>
      </c>
      <c r="H569" s="5">
        <v>823.0</v>
      </c>
      <c r="I569" s="5">
        <v>176329.0</v>
      </c>
      <c r="J569" s="5">
        <v>450103.0</v>
      </c>
      <c r="K569" s="5">
        <v>78.0</v>
      </c>
      <c r="L569" s="9">
        <v>1440.745362</v>
      </c>
      <c r="M569" s="15">
        <f t="shared" si="1"/>
        <v>18.47109438</v>
      </c>
      <c r="N569" s="16">
        <f t="shared" si="2"/>
        <v>0.001620432811</v>
      </c>
    </row>
    <row r="570">
      <c r="A570" s="5" t="s">
        <v>22</v>
      </c>
      <c r="B570" s="5" t="s">
        <v>23</v>
      </c>
      <c r="C570" s="5" t="s">
        <v>84</v>
      </c>
      <c r="D570" s="6" t="s">
        <v>1020</v>
      </c>
      <c r="E570" s="5" t="s">
        <v>19</v>
      </c>
      <c r="F570" s="5" t="s">
        <v>27</v>
      </c>
      <c r="G570" s="5">
        <v>61474.0</v>
      </c>
      <c r="H570" s="5">
        <v>250.0</v>
      </c>
      <c r="I570" s="5">
        <v>31245.0</v>
      </c>
      <c r="J570" s="5">
        <v>49089.0</v>
      </c>
      <c r="K570" s="5">
        <v>15.0</v>
      </c>
      <c r="L570" s="9">
        <v>2189.341349</v>
      </c>
      <c r="M570" s="15">
        <f t="shared" si="1"/>
        <v>145.9560899</v>
      </c>
      <c r="N570" s="16">
        <f t="shared" si="2"/>
        <v>0.004066759931</v>
      </c>
    </row>
    <row r="571">
      <c r="A571" s="5" t="s">
        <v>22</v>
      </c>
      <c r="B571" s="5" t="s">
        <v>16</v>
      </c>
      <c r="C571" s="5" t="s">
        <v>29</v>
      </c>
      <c r="D571" s="6" t="s">
        <v>1020</v>
      </c>
      <c r="E571" s="5" t="s">
        <v>19</v>
      </c>
      <c r="F571" s="5" t="s">
        <v>27</v>
      </c>
      <c r="G571" s="5">
        <v>14890.0</v>
      </c>
      <c r="H571" s="5">
        <v>60.0</v>
      </c>
      <c r="I571" s="5">
        <v>6248.0</v>
      </c>
      <c r="J571" s="5">
        <v>11493.0</v>
      </c>
      <c r="K571" s="5">
        <v>6.0</v>
      </c>
      <c r="L571" s="9">
        <v>1982.416484</v>
      </c>
      <c r="M571" s="15">
        <f t="shared" si="1"/>
        <v>330.4027473</v>
      </c>
      <c r="N571" s="16">
        <f t="shared" si="2"/>
        <v>0.004029550034</v>
      </c>
    </row>
    <row r="572">
      <c r="A572" s="5" t="s">
        <v>15</v>
      </c>
      <c r="B572" s="5" t="s">
        <v>42</v>
      </c>
      <c r="C572" s="5" t="s">
        <v>35</v>
      </c>
      <c r="D572" s="6" t="s">
        <v>1020</v>
      </c>
      <c r="E572" s="5" t="s">
        <v>117</v>
      </c>
      <c r="F572" s="5" t="s">
        <v>27</v>
      </c>
      <c r="G572" s="5">
        <v>61227.0</v>
      </c>
      <c r="H572" s="5">
        <v>174.0</v>
      </c>
      <c r="I572" s="5">
        <v>10434.0</v>
      </c>
      <c r="J572" s="5">
        <v>53104.0</v>
      </c>
      <c r="K572" s="5">
        <v>8.0</v>
      </c>
      <c r="L572" s="9">
        <v>1919.553678</v>
      </c>
      <c r="M572" s="15">
        <f t="shared" si="1"/>
        <v>239.9442098</v>
      </c>
      <c r="N572" s="16">
        <f t="shared" si="2"/>
        <v>0.002841883483</v>
      </c>
    </row>
    <row r="573">
      <c r="A573" s="5" t="s">
        <v>22</v>
      </c>
      <c r="B573" s="5" t="s">
        <v>16</v>
      </c>
      <c r="C573" s="5" t="s">
        <v>35</v>
      </c>
      <c r="D573" s="6" t="s">
        <v>1024</v>
      </c>
      <c r="E573" s="5" t="s">
        <v>19</v>
      </c>
      <c r="F573" s="5" t="s">
        <v>27</v>
      </c>
      <c r="G573" s="5">
        <v>18516.0</v>
      </c>
      <c r="H573" s="5">
        <v>68.0</v>
      </c>
      <c r="I573" s="5">
        <v>8191.0</v>
      </c>
      <c r="J573" s="5">
        <v>13641.0</v>
      </c>
      <c r="K573" s="5">
        <v>13.0</v>
      </c>
      <c r="L573" s="9">
        <v>5087.561715</v>
      </c>
      <c r="M573" s="15">
        <f t="shared" si="1"/>
        <v>391.3509012</v>
      </c>
      <c r="N573" s="16">
        <f t="shared" si="2"/>
        <v>0.00367249946</v>
      </c>
    </row>
    <row r="574">
      <c r="A574" s="5" t="s">
        <v>15</v>
      </c>
      <c r="B574" s="5" t="s">
        <v>16</v>
      </c>
      <c r="C574" s="5" t="s">
        <v>55</v>
      </c>
      <c r="D574" s="6" t="s">
        <v>1024</v>
      </c>
      <c r="E574" s="5" t="s">
        <v>19</v>
      </c>
      <c r="F574" s="5" t="s">
        <v>27</v>
      </c>
      <c r="G574" s="5">
        <v>11420.0</v>
      </c>
      <c r="H574" s="5">
        <v>67.0</v>
      </c>
      <c r="I574" s="5">
        <v>4647.0</v>
      </c>
      <c r="J574" s="5">
        <v>9909.0</v>
      </c>
      <c r="K574" s="5">
        <v>9.0</v>
      </c>
      <c r="L574" s="9">
        <v>3804.64417</v>
      </c>
      <c r="M574" s="15">
        <f t="shared" si="1"/>
        <v>422.7382411</v>
      </c>
      <c r="N574" s="16">
        <f t="shared" si="2"/>
        <v>0.005866900175</v>
      </c>
    </row>
    <row r="575">
      <c r="A575" s="5" t="s">
        <v>61</v>
      </c>
      <c r="B575" s="5" t="s">
        <v>16</v>
      </c>
      <c r="C575" s="5" t="s">
        <v>55</v>
      </c>
      <c r="D575" s="6" t="s">
        <v>1027</v>
      </c>
      <c r="E575" s="5" t="s">
        <v>19</v>
      </c>
      <c r="F575" s="5" t="s">
        <v>27</v>
      </c>
      <c r="G575" s="5">
        <v>10906.0</v>
      </c>
      <c r="H575" s="5">
        <v>46.0</v>
      </c>
      <c r="I575" s="5">
        <v>4735.0</v>
      </c>
      <c r="J575" s="5">
        <v>6390.0</v>
      </c>
      <c r="K575" s="5">
        <v>3.0</v>
      </c>
      <c r="L575" s="9">
        <v>5694.27094</v>
      </c>
      <c r="M575" s="15">
        <f t="shared" si="1"/>
        <v>1898.090313</v>
      </c>
      <c r="N575" s="16">
        <f t="shared" si="2"/>
        <v>0.004217861727</v>
      </c>
    </row>
    <row r="576">
      <c r="A576" s="5" t="s">
        <v>22</v>
      </c>
      <c r="B576" s="5" t="s">
        <v>16</v>
      </c>
      <c r="C576" s="5" t="s">
        <v>55</v>
      </c>
      <c r="D576" s="6" t="s">
        <v>1029</v>
      </c>
      <c r="E576" s="5" t="s">
        <v>117</v>
      </c>
      <c r="F576" s="5" t="s">
        <v>27</v>
      </c>
      <c r="G576" s="5">
        <v>12692.0</v>
      </c>
      <c r="H576" s="5">
        <v>105.0</v>
      </c>
      <c r="I576" s="5">
        <v>9048.0</v>
      </c>
      <c r="J576" s="5">
        <v>12326.0</v>
      </c>
      <c r="K576" s="5">
        <v>14.0</v>
      </c>
      <c r="L576" s="9">
        <v>1541.719598</v>
      </c>
      <c r="M576" s="15">
        <f t="shared" si="1"/>
        <v>110.1228284</v>
      </c>
      <c r="N576" s="16">
        <f t="shared" si="2"/>
        <v>0.008272927829</v>
      </c>
    </row>
    <row r="577">
      <c r="A577" s="5" t="s">
        <v>22</v>
      </c>
      <c r="B577" s="5" t="s">
        <v>31</v>
      </c>
      <c r="C577" s="5" t="s">
        <v>17</v>
      </c>
      <c r="D577" s="6" t="s">
        <v>1032</v>
      </c>
      <c r="E577" s="5" t="s">
        <v>19</v>
      </c>
      <c r="F577" s="5" t="s">
        <v>27</v>
      </c>
      <c r="G577" s="5">
        <v>318269.0</v>
      </c>
      <c r="H577" s="5">
        <v>914.0</v>
      </c>
      <c r="I577" s="5">
        <v>33355.0</v>
      </c>
      <c r="J577" s="5">
        <v>295405.0</v>
      </c>
      <c r="K577" s="5">
        <v>44.0</v>
      </c>
      <c r="L577" s="9">
        <v>7854.731991</v>
      </c>
      <c r="M577" s="15">
        <f t="shared" si="1"/>
        <v>178.5166362</v>
      </c>
      <c r="N577" s="16">
        <f t="shared" si="2"/>
        <v>0.00287178456</v>
      </c>
    </row>
    <row r="578">
      <c r="A578" s="5" t="s">
        <v>22</v>
      </c>
      <c r="B578" s="5" t="s">
        <v>31</v>
      </c>
      <c r="C578" s="5" t="s">
        <v>150</v>
      </c>
      <c r="D578" s="6" t="s">
        <v>1032</v>
      </c>
      <c r="E578" s="5" t="s">
        <v>26</v>
      </c>
      <c r="F578" s="5" t="s">
        <v>27</v>
      </c>
      <c r="G578" s="5">
        <v>14181.0</v>
      </c>
      <c r="H578" s="5">
        <v>65.0</v>
      </c>
      <c r="I578" s="5">
        <v>7106.0</v>
      </c>
      <c r="J578" s="5">
        <v>13189.0</v>
      </c>
      <c r="K578" s="5">
        <v>17.0</v>
      </c>
      <c r="L578" s="9">
        <v>2912.467156</v>
      </c>
      <c r="M578" s="15">
        <f t="shared" si="1"/>
        <v>171.3215974</v>
      </c>
      <c r="N578" s="16">
        <f t="shared" si="2"/>
        <v>0.004583597772</v>
      </c>
    </row>
    <row r="579">
      <c r="A579" s="5" t="s">
        <v>22</v>
      </c>
      <c r="B579" s="5" t="s">
        <v>16</v>
      </c>
      <c r="C579" s="5" t="s">
        <v>84</v>
      </c>
      <c r="D579" s="6" t="s">
        <v>1032</v>
      </c>
      <c r="E579" s="5" t="s">
        <v>19</v>
      </c>
      <c r="F579" s="5" t="s">
        <v>27</v>
      </c>
      <c r="G579" s="5">
        <v>304377.0</v>
      </c>
      <c r="H579" s="5">
        <v>801.0</v>
      </c>
      <c r="I579" s="5">
        <v>27519.0</v>
      </c>
      <c r="J579" s="5">
        <v>270098.0</v>
      </c>
      <c r="K579" s="5">
        <v>63.0</v>
      </c>
      <c r="L579" s="9">
        <v>1595.48714</v>
      </c>
      <c r="M579" s="15">
        <f t="shared" si="1"/>
        <v>25.3251927</v>
      </c>
      <c r="N579" s="16">
        <f t="shared" si="2"/>
        <v>0.002631604885</v>
      </c>
    </row>
    <row r="580">
      <c r="A580" s="5" t="s">
        <v>15</v>
      </c>
      <c r="B580" s="5" t="s">
        <v>42</v>
      </c>
      <c r="C580" s="5" t="s">
        <v>78</v>
      </c>
      <c r="D580" s="6" t="s">
        <v>1032</v>
      </c>
      <c r="E580" s="5" t="s">
        <v>19</v>
      </c>
      <c r="F580" s="5" t="s">
        <v>27</v>
      </c>
      <c r="G580" s="5">
        <v>312206.0</v>
      </c>
      <c r="H580" s="5">
        <v>841.0</v>
      </c>
      <c r="I580" s="5">
        <v>35661.0</v>
      </c>
      <c r="J580" s="5">
        <v>292992.0</v>
      </c>
      <c r="K580" s="5">
        <v>5.0</v>
      </c>
      <c r="L580" s="9">
        <v>1550.938318</v>
      </c>
      <c r="M580" s="15">
        <f t="shared" si="1"/>
        <v>310.1876636</v>
      </c>
      <c r="N580" s="16">
        <f t="shared" si="2"/>
        <v>0.002693734265</v>
      </c>
    </row>
    <row r="581">
      <c r="A581" s="5" t="s">
        <v>15</v>
      </c>
      <c r="B581" s="5" t="s">
        <v>42</v>
      </c>
      <c r="C581" s="5" t="s">
        <v>84</v>
      </c>
      <c r="D581" s="6" t="s">
        <v>1032</v>
      </c>
      <c r="E581" s="5" t="s">
        <v>46</v>
      </c>
      <c r="F581" s="5" t="s">
        <v>27</v>
      </c>
      <c r="G581" s="5">
        <v>9790.0</v>
      </c>
      <c r="H581" s="5">
        <v>24.0</v>
      </c>
      <c r="I581" s="5">
        <v>1295.0</v>
      </c>
      <c r="J581" s="5">
        <v>9196.0</v>
      </c>
      <c r="K581" s="5">
        <v>2.0</v>
      </c>
      <c r="L581" s="9">
        <v>1532.148881</v>
      </c>
      <c r="M581" s="15">
        <f t="shared" si="1"/>
        <v>766.0744405</v>
      </c>
      <c r="N581" s="16">
        <f t="shared" si="2"/>
        <v>0.002451481103</v>
      </c>
    </row>
    <row r="582">
      <c r="A582" s="5" t="s">
        <v>61</v>
      </c>
      <c r="B582" s="5" t="s">
        <v>23</v>
      </c>
      <c r="C582" s="5" t="s">
        <v>131</v>
      </c>
      <c r="D582" s="6" t="s">
        <v>1032</v>
      </c>
      <c r="E582" s="5" t="s">
        <v>80</v>
      </c>
      <c r="F582" s="5" t="s">
        <v>27</v>
      </c>
      <c r="G582" s="5">
        <v>130602.0</v>
      </c>
      <c r="H582" s="5">
        <v>269.0</v>
      </c>
      <c r="I582" s="5">
        <v>11736.0</v>
      </c>
      <c r="J582" s="5">
        <v>113735.0</v>
      </c>
      <c r="K582" s="5">
        <v>4.0</v>
      </c>
      <c r="L582" s="9">
        <v>1507.84712</v>
      </c>
      <c r="M582" s="15">
        <f t="shared" si="1"/>
        <v>376.96178</v>
      </c>
      <c r="N582" s="16">
        <f t="shared" si="2"/>
        <v>0.002059692807</v>
      </c>
    </row>
    <row r="583">
      <c r="A583" s="5" t="s">
        <v>22</v>
      </c>
      <c r="B583" s="5" t="s">
        <v>23</v>
      </c>
      <c r="C583" s="5" t="s">
        <v>35</v>
      </c>
      <c r="D583" s="6" t="s">
        <v>1041</v>
      </c>
      <c r="E583" s="5" t="s">
        <v>26</v>
      </c>
      <c r="F583" s="5" t="s">
        <v>27</v>
      </c>
      <c r="G583" s="5">
        <v>10903.0</v>
      </c>
      <c r="H583" s="5">
        <v>35.0</v>
      </c>
      <c r="I583" s="5">
        <v>3776.0</v>
      </c>
      <c r="J583" s="5">
        <v>9581.0</v>
      </c>
      <c r="K583" s="5">
        <v>2.0</v>
      </c>
      <c r="L583" s="9">
        <v>1460.009754</v>
      </c>
      <c r="M583" s="15">
        <f t="shared" si="1"/>
        <v>730.004877</v>
      </c>
      <c r="N583" s="16">
        <f t="shared" si="2"/>
        <v>0.003210125653</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s>
  <drawing r:id="rId58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34.25"/>
    <col customWidth="1" min="3" max="4" width="49.25"/>
    <col customWidth="1" min="5" max="5" width="35.5"/>
    <col customWidth="1" min="6" max="6" width="19.63"/>
    <col customWidth="1" min="7" max="7" width="23.0"/>
    <col customWidth="1" min="8" max="8" width="15.63"/>
    <col customWidth="1" min="9" max="9" width="18.38"/>
    <col customWidth="1" min="10" max="10" width="29.13"/>
    <col customWidth="1" min="11" max="11" width="28.5"/>
    <col customWidth="1" min="12" max="12" width="22.0"/>
    <col customWidth="1" min="13" max="25" width="49.25"/>
  </cols>
  <sheetData>
    <row r="1" ht="54.0" customHeight="1">
      <c r="A1" s="2" t="s">
        <v>1</v>
      </c>
      <c r="B1" s="2" t="s">
        <v>2</v>
      </c>
      <c r="C1" s="2" t="s">
        <v>3</v>
      </c>
      <c r="D1" s="2" t="s">
        <v>4</v>
      </c>
      <c r="E1" s="2" t="s">
        <v>5</v>
      </c>
      <c r="F1" s="2" t="s">
        <v>6</v>
      </c>
      <c r="G1" s="2" t="s">
        <v>7</v>
      </c>
      <c r="H1" s="2" t="s">
        <v>8</v>
      </c>
      <c r="I1" s="2" t="s">
        <v>9</v>
      </c>
      <c r="J1" s="2" t="s">
        <v>10</v>
      </c>
      <c r="K1" s="2" t="s">
        <v>11</v>
      </c>
      <c r="L1" s="2" t="s">
        <v>12</v>
      </c>
      <c r="M1" s="2" t="s">
        <v>1698</v>
      </c>
      <c r="N1" s="2" t="s">
        <v>1699</v>
      </c>
      <c r="O1" s="3"/>
      <c r="P1" s="3"/>
      <c r="Q1" s="3"/>
      <c r="R1" s="3"/>
      <c r="S1" s="3"/>
      <c r="T1" s="3"/>
      <c r="U1" s="3"/>
      <c r="V1" s="3"/>
      <c r="W1" s="3"/>
      <c r="X1" s="3"/>
      <c r="Y1" s="3"/>
    </row>
    <row r="2">
      <c r="A2" s="5" t="s">
        <v>15</v>
      </c>
      <c r="B2" s="5" t="s">
        <v>16</v>
      </c>
      <c r="C2" s="5" t="s">
        <v>17</v>
      </c>
      <c r="D2" s="6" t="s">
        <v>18</v>
      </c>
      <c r="E2" s="5" t="s">
        <v>19</v>
      </c>
      <c r="F2" s="5" t="s">
        <v>20</v>
      </c>
      <c r="G2" s="5">
        <v>10524.0</v>
      </c>
      <c r="H2" s="5">
        <v>55.0</v>
      </c>
      <c r="I2" s="5">
        <v>7601.0</v>
      </c>
      <c r="J2" s="5">
        <v>10242.0</v>
      </c>
      <c r="K2" s="5">
        <v>11.0</v>
      </c>
      <c r="L2" s="9">
        <v>6136.133902</v>
      </c>
      <c r="M2" s="15">
        <f t="shared" ref="M2:M146" si="1">L2/K2</f>
        <v>557.8303547</v>
      </c>
      <c r="N2" s="16">
        <f t="shared" ref="N2:N146" si="2">H2/G2</f>
        <v>0.005226149753</v>
      </c>
    </row>
    <row r="3">
      <c r="A3" s="5" t="s">
        <v>15</v>
      </c>
      <c r="B3" s="5" t="s">
        <v>31</v>
      </c>
      <c r="C3" s="5" t="s">
        <v>35</v>
      </c>
      <c r="D3" s="6" t="s">
        <v>25</v>
      </c>
      <c r="E3" s="5" t="s">
        <v>36</v>
      </c>
      <c r="F3" s="5" t="s">
        <v>20</v>
      </c>
      <c r="G3" s="5">
        <v>23156.0</v>
      </c>
      <c r="H3" s="5">
        <v>73.0</v>
      </c>
      <c r="I3" s="5">
        <v>4468.0</v>
      </c>
      <c r="J3" s="5">
        <v>18821.0</v>
      </c>
      <c r="K3" s="5">
        <v>15.0</v>
      </c>
      <c r="L3" s="9">
        <v>6173.41289</v>
      </c>
      <c r="M3" s="15">
        <f t="shared" si="1"/>
        <v>411.5608593</v>
      </c>
      <c r="N3" s="16">
        <f t="shared" si="2"/>
        <v>0.003152530662</v>
      </c>
      <c r="P3" s="17" t="s">
        <v>1702</v>
      </c>
      <c r="Q3" s="18">
        <f>AVERAGE(M2:M146)</f>
        <v>557.1122273</v>
      </c>
    </row>
    <row r="4">
      <c r="A4" s="5" t="s">
        <v>15</v>
      </c>
      <c r="B4" s="5" t="s">
        <v>31</v>
      </c>
      <c r="C4" s="5" t="s">
        <v>35</v>
      </c>
      <c r="D4" s="6" t="s">
        <v>25</v>
      </c>
      <c r="E4" s="5" t="s">
        <v>19</v>
      </c>
      <c r="F4" s="5" t="s">
        <v>52</v>
      </c>
      <c r="G4" s="5">
        <v>49250.0</v>
      </c>
      <c r="H4" s="5">
        <v>220.0</v>
      </c>
      <c r="I4" s="5">
        <v>9205.0</v>
      </c>
      <c r="J4" s="5">
        <v>43535.0</v>
      </c>
      <c r="K4" s="5">
        <v>15.0</v>
      </c>
      <c r="L4" s="9">
        <v>1694.470977</v>
      </c>
      <c r="M4" s="15">
        <f t="shared" si="1"/>
        <v>112.9647318</v>
      </c>
      <c r="N4" s="16">
        <f t="shared" si="2"/>
        <v>0.004467005076</v>
      </c>
      <c r="P4" s="17" t="s">
        <v>1703</v>
      </c>
      <c r="Q4" s="19">
        <f>AVERAGE(N2:N146)</f>
        <v>0.00329543747</v>
      </c>
    </row>
    <row r="5">
      <c r="A5" s="5" t="s">
        <v>15</v>
      </c>
      <c r="B5" s="5" t="s">
        <v>42</v>
      </c>
      <c r="C5" s="5" t="s">
        <v>35</v>
      </c>
      <c r="D5" s="6" t="s">
        <v>58</v>
      </c>
      <c r="E5" s="5" t="s">
        <v>36</v>
      </c>
      <c r="F5" s="5" t="s">
        <v>52</v>
      </c>
      <c r="G5" s="5">
        <v>81905.0</v>
      </c>
      <c r="H5" s="5">
        <v>220.0</v>
      </c>
      <c r="I5" s="5">
        <v>61995.0</v>
      </c>
      <c r="J5" s="5">
        <v>71110.0</v>
      </c>
      <c r="K5" s="5">
        <v>24.0</v>
      </c>
      <c r="L5" s="9">
        <v>7065.66928</v>
      </c>
      <c r="M5" s="15">
        <f t="shared" si="1"/>
        <v>294.4028867</v>
      </c>
      <c r="N5" s="16">
        <f t="shared" si="2"/>
        <v>0.002686038703</v>
      </c>
    </row>
    <row r="6">
      <c r="A6" s="5" t="s">
        <v>15</v>
      </c>
      <c r="B6" s="5" t="s">
        <v>23</v>
      </c>
      <c r="C6" s="5" t="s">
        <v>29</v>
      </c>
      <c r="D6" s="6" t="s">
        <v>58</v>
      </c>
      <c r="E6" s="5" t="s">
        <v>19</v>
      </c>
      <c r="F6" s="5" t="s">
        <v>52</v>
      </c>
      <c r="G6" s="5">
        <v>76439.0</v>
      </c>
      <c r="H6" s="5">
        <v>100.0</v>
      </c>
      <c r="I6" s="5">
        <v>58269.0</v>
      </c>
      <c r="J6" s="5">
        <v>66924.0</v>
      </c>
      <c r="K6" s="5">
        <v>8.0</v>
      </c>
      <c r="L6" s="9">
        <v>1524.810224</v>
      </c>
      <c r="M6" s="15">
        <f t="shared" si="1"/>
        <v>190.601278</v>
      </c>
      <c r="N6" s="16">
        <f t="shared" si="2"/>
        <v>0.001308232708</v>
      </c>
    </row>
    <row r="7">
      <c r="A7" s="5" t="s">
        <v>15</v>
      </c>
      <c r="B7" s="5" t="s">
        <v>16</v>
      </c>
      <c r="C7" s="5" t="s">
        <v>35</v>
      </c>
      <c r="D7" s="6" t="s">
        <v>64</v>
      </c>
      <c r="E7" s="5" t="s">
        <v>1046</v>
      </c>
      <c r="F7" s="5" t="s">
        <v>52</v>
      </c>
      <c r="G7" s="5">
        <v>17833.0</v>
      </c>
      <c r="H7" s="5">
        <v>61.0</v>
      </c>
      <c r="I7" s="5">
        <v>8670.0</v>
      </c>
      <c r="J7" s="5">
        <v>16871.0</v>
      </c>
      <c r="K7" s="5">
        <v>10.0</v>
      </c>
      <c r="L7" s="9">
        <v>4899.155955</v>
      </c>
      <c r="M7" s="15">
        <f t="shared" si="1"/>
        <v>489.9155955</v>
      </c>
      <c r="N7" s="16">
        <f t="shared" si="2"/>
        <v>0.003420624685</v>
      </c>
    </row>
    <row r="8">
      <c r="A8" s="5" t="s">
        <v>15</v>
      </c>
      <c r="B8" s="5" t="s">
        <v>31</v>
      </c>
      <c r="C8" s="5" t="s">
        <v>66</v>
      </c>
      <c r="D8" s="6" t="s">
        <v>64</v>
      </c>
      <c r="E8" s="5" t="s">
        <v>19</v>
      </c>
      <c r="F8" s="5" t="s">
        <v>20</v>
      </c>
      <c r="G8" s="5">
        <v>16719.0</v>
      </c>
      <c r="H8" s="5">
        <v>35.0</v>
      </c>
      <c r="I8" s="5">
        <v>9944.0</v>
      </c>
      <c r="J8" s="5">
        <v>15714.0</v>
      </c>
      <c r="K8" s="5">
        <v>13.0</v>
      </c>
      <c r="L8" s="9">
        <v>1588.6475</v>
      </c>
      <c r="M8" s="15">
        <f t="shared" si="1"/>
        <v>122.2036538</v>
      </c>
      <c r="N8" s="16">
        <f t="shared" si="2"/>
        <v>0.00209342664</v>
      </c>
    </row>
    <row r="9">
      <c r="A9" s="5" t="s">
        <v>15</v>
      </c>
      <c r="B9" s="5" t="s">
        <v>31</v>
      </c>
      <c r="C9" s="5" t="s">
        <v>45</v>
      </c>
      <c r="D9" s="6" t="s">
        <v>72</v>
      </c>
      <c r="E9" s="5" t="s">
        <v>19</v>
      </c>
      <c r="F9" s="5" t="s">
        <v>52</v>
      </c>
      <c r="G9" s="5">
        <v>20348.0</v>
      </c>
      <c r="H9" s="5">
        <v>101.0</v>
      </c>
      <c r="I9" s="5">
        <v>14945.0</v>
      </c>
      <c r="J9" s="5">
        <v>19548.0</v>
      </c>
      <c r="K9" s="5">
        <v>6.0</v>
      </c>
      <c r="L9" s="9">
        <v>1596.552373</v>
      </c>
      <c r="M9" s="15">
        <f t="shared" si="1"/>
        <v>266.0920622</v>
      </c>
      <c r="N9" s="16">
        <f t="shared" si="2"/>
        <v>0.004963632789</v>
      </c>
    </row>
    <row r="10">
      <c r="A10" s="5" t="s">
        <v>15</v>
      </c>
      <c r="B10" s="5" t="s">
        <v>31</v>
      </c>
      <c r="C10" s="5" t="s">
        <v>78</v>
      </c>
      <c r="D10" s="6" t="s">
        <v>79</v>
      </c>
      <c r="E10" s="5" t="s">
        <v>80</v>
      </c>
      <c r="F10" s="5" t="s">
        <v>20</v>
      </c>
      <c r="G10" s="5">
        <v>11668.0</v>
      </c>
      <c r="H10" s="5">
        <v>110.0</v>
      </c>
      <c r="I10" s="5">
        <v>7860.0</v>
      </c>
      <c r="J10" s="5">
        <v>11009.0</v>
      </c>
      <c r="K10" s="5">
        <v>5.0</v>
      </c>
      <c r="L10" s="9">
        <v>2653.981579</v>
      </c>
      <c r="M10" s="15">
        <f t="shared" si="1"/>
        <v>530.7963158</v>
      </c>
      <c r="N10" s="16">
        <f t="shared" si="2"/>
        <v>0.009427494001</v>
      </c>
    </row>
    <row r="11">
      <c r="A11" s="5" t="s">
        <v>15</v>
      </c>
      <c r="B11" s="5" t="s">
        <v>23</v>
      </c>
      <c r="C11" s="5" t="s">
        <v>78</v>
      </c>
      <c r="D11" s="6" t="s">
        <v>82</v>
      </c>
      <c r="E11" s="5" t="s">
        <v>26</v>
      </c>
      <c r="F11" s="5" t="s">
        <v>52</v>
      </c>
      <c r="G11" s="5">
        <v>19379.0</v>
      </c>
      <c r="H11" s="5">
        <v>49.0</v>
      </c>
      <c r="I11" s="5">
        <v>12168.0</v>
      </c>
      <c r="J11" s="5">
        <v>16616.0</v>
      </c>
      <c r="K11" s="5">
        <v>97.0</v>
      </c>
      <c r="L11" s="9">
        <v>7294.100001</v>
      </c>
      <c r="M11" s="15">
        <f t="shared" si="1"/>
        <v>75.19690723</v>
      </c>
      <c r="N11" s="16">
        <f t="shared" si="2"/>
        <v>0.002528510243</v>
      </c>
    </row>
    <row r="12">
      <c r="A12" s="5" t="s">
        <v>15</v>
      </c>
      <c r="B12" s="5" t="s">
        <v>16</v>
      </c>
      <c r="C12" s="5" t="s">
        <v>78</v>
      </c>
      <c r="D12" s="6" t="s">
        <v>101</v>
      </c>
      <c r="E12" s="5" t="s">
        <v>46</v>
      </c>
      <c r="F12" s="5" t="s">
        <v>20</v>
      </c>
      <c r="G12" s="5">
        <v>12770.0</v>
      </c>
      <c r="H12" s="5">
        <v>84.0</v>
      </c>
      <c r="I12" s="5">
        <v>6224.0</v>
      </c>
      <c r="J12" s="5">
        <v>11110.0</v>
      </c>
      <c r="K12" s="5">
        <v>21.0</v>
      </c>
      <c r="L12" s="9">
        <v>2087.509827</v>
      </c>
      <c r="M12" s="15">
        <f t="shared" si="1"/>
        <v>99.40522986</v>
      </c>
      <c r="N12" s="16">
        <f t="shared" si="2"/>
        <v>0.006577916993</v>
      </c>
    </row>
    <row r="13">
      <c r="A13" s="5" t="s">
        <v>15</v>
      </c>
      <c r="B13" s="5" t="s">
        <v>16</v>
      </c>
      <c r="C13" s="5" t="s">
        <v>35</v>
      </c>
      <c r="D13" s="6" t="s">
        <v>105</v>
      </c>
      <c r="E13" s="5" t="s">
        <v>26</v>
      </c>
      <c r="F13" s="5" t="s">
        <v>20</v>
      </c>
      <c r="G13" s="5">
        <v>26558.0</v>
      </c>
      <c r="H13" s="5">
        <v>111.0</v>
      </c>
      <c r="I13" s="5">
        <v>15761.0</v>
      </c>
      <c r="J13" s="5">
        <v>23532.0</v>
      </c>
      <c r="K13" s="5">
        <v>14.0</v>
      </c>
      <c r="L13" s="9">
        <v>6751.558981</v>
      </c>
      <c r="M13" s="15">
        <f t="shared" si="1"/>
        <v>482.2542129</v>
      </c>
      <c r="N13" s="16">
        <f t="shared" si="2"/>
        <v>0.004179531591</v>
      </c>
    </row>
    <row r="14">
      <c r="A14" s="5" t="s">
        <v>15</v>
      </c>
      <c r="B14" s="5" t="s">
        <v>42</v>
      </c>
      <c r="C14" s="5" t="s">
        <v>78</v>
      </c>
      <c r="D14" s="6" t="s">
        <v>105</v>
      </c>
      <c r="E14" s="5" t="s">
        <v>19</v>
      </c>
      <c r="F14" s="5" t="s">
        <v>52</v>
      </c>
      <c r="G14" s="5">
        <v>32845.0</v>
      </c>
      <c r="H14" s="5">
        <v>164.0</v>
      </c>
      <c r="I14" s="5">
        <v>16163.0</v>
      </c>
      <c r="J14" s="5">
        <v>30368.0</v>
      </c>
      <c r="K14" s="5">
        <v>5.0</v>
      </c>
      <c r="L14" s="9">
        <v>1910.436686</v>
      </c>
      <c r="M14" s="15">
        <f t="shared" si="1"/>
        <v>382.0873372</v>
      </c>
      <c r="N14" s="16">
        <f t="shared" si="2"/>
        <v>0.004993149642</v>
      </c>
    </row>
    <row r="15">
      <c r="A15" s="5" t="s">
        <v>15</v>
      </c>
      <c r="B15" s="5" t="s">
        <v>31</v>
      </c>
      <c r="C15" s="5" t="s">
        <v>35</v>
      </c>
      <c r="D15" s="6" t="s">
        <v>115</v>
      </c>
      <c r="E15" s="5" t="s">
        <v>19</v>
      </c>
      <c r="F15" s="5" t="s">
        <v>52</v>
      </c>
      <c r="G15" s="5">
        <v>113420.0</v>
      </c>
      <c r="H15" s="5">
        <v>333.0</v>
      </c>
      <c r="I15" s="5">
        <v>33557.0</v>
      </c>
      <c r="J15" s="5">
        <v>104929.0</v>
      </c>
      <c r="K15" s="5">
        <v>11.0</v>
      </c>
      <c r="L15" s="9">
        <v>5124.435934</v>
      </c>
      <c r="M15" s="15">
        <f t="shared" si="1"/>
        <v>465.8578122</v>
      </c>
      <c r="N15" s="16">
        <f t="shared" si="2"/>
        <v>0.002935990125</v>
      </c>
    </row>
    <row r="16">
      <c r="A16" s="5" t="s">
        <v>15</v>
      </c>
      <c r="B16" s="5" t="s">
        <v>23</v>
      </c>
      <c r="C16" s="5" t="s">
        <v>55</v>
      </c>
      <c r="D16" s="6" t="s">
        <v>115</v>
      </c>
      <c r="E16" s="5" t="s">
        <v>19</v>
      </c>
      <c r="F16" s="5" t="s">
        <v>52</v>
      </c>
      <c r="G16" s="5">
        <v>88293.0</v>
      </c>
      <c r="H16" s="5">
        <v>255.0</v>
      </c>
      <c r="I16" s="5">
        <v>24101.0</v>
      </c>
      <c r="J16" s="5">
        <v>75557.0</v>
      </c>
      <c r="K16" s="5">
        <v>19.0</v>
      </c>
      <c r="L16" s="9">
        <v>5054.481581</v>
      </c>
      <c r="M16" s="15">
        <f t="shared" si="1"/>
        <v>266.0253464</v>
      </c>
      <c r="N16" s="16">
        <f t="shared" si="2"/>
        <v>0.002888111175</v>
      </c>
    </row>
    <row r="17">
      <c r="A17" s="5" t="s">
        <v>15</v>
      </c>
      <c r="B17" s="5" t="s">
        <v>16</v>
      </c>
      <c r="C17" s="5" t="s">
        <v>39</v>
      </c>
      <c r="D17" s="6" t="s">
        <v>115</v>
      </c>
      <c r="E17" s="5" t="s">
        <v>19</v>
      </c>
      <c r="F17" s="5" t="s">
        <v>52</v>
      </c>
      <c r="G17" s="5">
        <v>64892.0</v>
      </c>
      <c r="H17" s="5">
        <v>214.0</v>
      </c>
      <c r="I17" s="5">
        <v>34731.0</v>
      </c>
      <c r="J17" s="5">
        <v>59369.0</v>
      </c>
      <c r="K17" s="5">
        <v>24.0</v>
      </c>
      <c r="L17" s="9">
        <v>2096.285549</v>
      </c>
      <c r="M17" s="15">
        <f t="shared" si="1"/>
        <v>87.34523121</v>
      </c>
      <c r="N17" s="16">
        <f t="shared" si="2"/>
        <v>0.003297787092</v>
      </c>
    </row>
    <row r="18">
      <c r="A18" s="5" t="s">
        <v>15</v>
      </c>
      <c r="B18" s="5" t="s">
        <v>23</v>
      </c>
      <c r="C18" s="5" t="s">
        <v>17</v>
      </c>
      <c r="D18" s="6" t="s">
        <v>115</v>
      </c>
      <c r="E18" s="5" t="s">
        <v>19</v>
      </c>
      <c r="F18" s="5" t="s">
        <v>52</v>
      </c>
      <c r="G18" s="5">
        <v>16808.0</v>
      </c>
      <c r="H18" s="5">
        <v>43.0</v>
      </c>
      <c r="I18" s="5">
        <v>9211.0</v>
      </c>
      <c r="J18" s="5">
        <v>13372.0</v>
      </c>
      <c r="K18" s="5">
        <v>3.0</v>
      </c>
      <c r="L18" s="9">
        <v>1574.79128</v>
      </c>
      <c r="M18" s="15">
        <f t="shared" si="1"/>
        <v>524.9304267</v>
      </c>
      <c r="N18" s="16">
        <f t="shared" si="2"/>
        <v>0.002558305569</v>
      </c>
    </row>
    <row r="19">
      <c r="A19" s="5" t="s">
        <v>15</v>
      </c>
      <c r="B19" s="5" t="s">
        <v>16</v>
      </c>
      <c r="C19" s="5" t="s">
        <v>39</v>
      </c>
      <c r="D19" s="6" t="s">
        <v>115</v>
      </c>
      <c r="E19" s="5" t="s">
        <v>19</v>
      </c>
      <c r="F19" s="5" t="s">
        <v>52</v>
      </c>
      <c r="G19" s="5">
        <v>21531.0</v>
      </c>
      <c r="H19" s="5">
        <v>55.0</v>
      </c>
      <c r="I19" s="5">
        <v>15593.0</v>
      </c>
      <c r="J19" s="5">
        <v>18617.0</v>
      </c>
      <c r="K19" s="5">
        <v>6.0</v>
      </c>
      <c r="L19" s="9">
        <v>1470.971925</v>
      </c>
      <c r="M19" s="15">
        <f t="shared" si="1"/>
        <v>245.1619875</v>
      </c>
      <c r="N19" s="16">
        <f t="shared" si="2"/>
        <v>0.002554456365</v>
      </c>
    </row>
    <row r="20">
      <c r="A20" s="5" t="s">
        <v>15</v>
      </c>
      <c r="B20" s="5" t="s">
        <v>23</v>
      </c>
      <c r="C20" s="5" t="s">
        <v>78</v>
      </c>
      <c r="D20" s="6" t="s">
        <v>115</v>
      </c>
      <c r="E20" s="5" t="s">
        <v>136</v>
      </c>
      <c r="F20" s="5" t="s">
        <v>20</v>
      </c>
      <c r="G20" s="5">
        <v>18313.0</v>
      </c>
      <c r="H20" s="5">
        <v>60.0</v>
      </c>
      <c r="I20" s="5">
        <v>9481.0</v>
      </c>
      <c r="J20" s="5">
        <v>16300.0</v>
      </c>
      <c r="K20" s="5">
        <v>4.0</v>
      </c>
      <c r="L20" s="9">
        <v>1456.934187</v>
      </c>
      <c r="M20" s="15">
        <f t="shared" si="1"/>
        <v>364.2335468</v>
      </c>
      <c r="N20" s="16">
        <f t="shared" si="2"/>
        <v>0.003276361055</v>
      </c>
    </row>
    <row r="21">
      <c r="A21" s="5" t="s">
        <v>15</v>
      </c>
      <c r="B21" s="5" t="s">
        <v>42</v>
      </c>
      <c r="C21" s="5" t="s">
        <v>35</v>
      </c>
      <c r="D21" s="13" t="s">
        <v>1132</v>
      </c>
      <c r="E21" s="5" t="s">
        <v>19</v>
      </c>
      <c r="F21" s="5" t="s">
        <v>52</v>
      </c>
      <c r="G21" s="5">
        <v>27202.0</v>
      </c>
      <c r="H21" s="5">
        <v>70.0</v>
      </c>
      <c r="I21" s="5">
        <v>5202.0</v>
      </c>
      <c r="J21" s="5">
        <v>23474.0</v>
      </c>
      <c r="K21" s="5">
        <v>11.0</v>
      </c>
      <c r="L21" s="9">
        <v>4253.979116</v>
      </c>
      <c r="M21" s="15">
        <f t="shared" si="1"/>
        <v>386.7253742</v>
      </c>
      <c r="N21" s="16">
        <f t="shared" si="2"/>
        <v>0.002573340196</v>
      </c>
    </row>
    <row r="22">
      <c r="A22" s="5" t="s">
        <v>15</v>
      </c>
      <c r="B22" s="5" t="s">
        <v>16</v>
      </c>
      <c r="C22" s="5" t="s">
        <v>39</v>
      </c>
      <c r="D22" s="6" t="s">
        <v>166</v>
      </c>
      <c r="E22" s="5" t="s">
        <v>167</v>
      </c>
      <c r="F22" s="5" t="s">
        <v>20</v>
      </c>
      <c r="G22" s="5">
        <v>10066.0</v>
      </c>
      <c r="H22" s="5">
        <v>63.0</v>
      </c>
      <c r="I22" s="5">
        <v>6978.0</v>
      </c>
      <c r="J22" s="5">
        <v>9369.0</v>
      </c>
      <c r="K22" s="5">
        <v>19.0</v>
      </c>
      <c r="L22" s="9">
        <v>6879.587097</v>
      </c>
      <c r="M22" s="15">
        <f t="shared" si="1"/>
        <v>362.0835314</v>
      </c>
      <c r="N22" s="16">
        <f t="shared" si="2"/>
        <v>0.006258692629</v>
      </c>
    </row>
    <row r="23">
      <c r="A23" s="5" t="s">
        <v>15</v>
      </c>
      <c r="B23" s="5" t="s">
        <v>31</v>
      </c>
      <c r="C23" s="5" t="s">
        <v>78</v>
      </c>
      <c r="D23" s="6" t="s">
        <v>186</v>
      </c>
      <c r="E23" s="5" t="s">
        <v>46</v>
      </c>
      <c r="F23" s="5" t="s">
        <v>52</v>
      </c>
      <c r="G23" s="5">
        <v>45711.0</v>
      </c>
      <c r="H23" s="5">
        <v>130.0</v>
      </c>
      <c r="I23" s="5">
        <v>23052.0</v>
      </c>
      <c r="J23" s="5">
        <v>42375.0</v>
      </c>
      <c r="K23" s="5">
        <v>11.0</v>
      </c>
      <c r="L23" s="9">
        <v>6417.876169</v>
      </c>
      <c r="M23" s="15">
        <f t="shared" si="1"/>
        <v>583.4432881</v>
      </c>
      <c r="N23" s="16">
        <f t="shared" si="2"/>
        <v>0.002843954409</v>
      </c>
    </row>
    <row r="24">
      <c r="A24" s="5" t="s">
        <v>15</v>
      </c>
      <c r="B24" s="5" t="s">
        <v>42</v>
      </c>
      <c r="C24" s="5" t="s">
        <v>32</v>
      </c>
      <c r="D24" s="6" t="s">
        <v>186</v>
      </c>
      <c r="E24" s="5" t="s">
        <v>26</v>
      </c>
      <c r="F24" s="5" t="s">
        <v>52</v>
      </c>
      <c r="G24" s="5">
        <v>48562.0</v>
      </c>
      <c r="H24" s="5">
        <v>150.0</v>
      </c>
      <c r="I24" s="5">
        <v>29108.0</v>
      </c>
      <c r="J24" s="5">
        <v>45570.0</v>
      </c>
      <c r="K24" s="5">
        <v>11.0</v>
      </c>
      <c r="L24" s="9">
        <v>6346.633024</v>
      </c>
      <c r="M24" s="15">
        <f t="shared" si="1"/>
        <v>576.9666385</v>
      </c>
      <c r="N24" s="16">
        <f t="shared" si="2"/>
        <v>0.003088834891</v>
      </c>
    </row>
    <row r="25">
      <c r="A25" s="5" t="s">
        <v>15</v>
      </c>
      <c r="B25" s="5" t="s">
        <v>31</v>
      </c>
      <c r="C25" s="5" t="s">
        <v>39</v>
      </c>
      <c r="D25" s="6" t="s">
        <v>186</v>
      </c>
      <c r="E25" s="5" t="s">
        <v>19</v>
      </c>
      <c r="F25" s="5" t="s">
        <v>20</v>
      </c>
      <c r="G25" s="5">
        <v>47394.0</v>
      </c>
      <c r="H25" s="5">
        <v>184.0</v>
      </c>
      <c r="I25" s="5">
        <v>22712.0</v>
      </c>
      <c r="J25" s="5">
        <v>41918.0</v>
      </c>
      <c r="K25" s="5">
        <v>24.0</v>
      </c>
      <c r="L25" s="9">
        <v>4701.496237</v>
      </c>
      <c r="M25" s="15">
        <f t="shared" si="1"/>
        <v>195.8956765</v>
      </c>
      <c r="N25" s="16">
        <f t="shared" si="2"/>
        <v>0.003882347977</v>
      </c>
    </row>
    <row r="26">
      <c r="A26" s="5" t="s">
        <v>15</v>
      </c>
      <c r="B26" s="5" t="s">
        <v>31</v>
      </c>
      <c r="C26" s="5" t="s">
        <v>35</v>
      </c>
      <c r="D26" s="6" t="s">
        <v>186</v>
      </c>
      <c r="E26" s="5" t="s">
        <v>46</v>
      </c>
      <c r="F26" s="5" t="s">
        <v>52</v>
      </c>
      <c r="G26" s="5">
        <v>69757.0</v>
      </c>
      <c r="H26" s="5">
        <v>199.0</v>
      </c>
      <c r="I26" s="5">
        <v>41258.0</v>
      </c>
      <c r="J26" s="5">
        <v>65374.0</v>
      </c>
      <c r="K26" s="5">
        <v>20.0</v>
      </c>
      <c r="L26" s="9">
        <v>1510.61532</v>
      </c>
      <c r="M26" s="15">
        <f t="shared" si="1"/>
        <v>75.530766</v>
      </c>
      <c r="N26" s="16">
        <f t="shared" si="2"/>
        <v>0.002852760296</v>
      </c>
    </row>
    <row r="27">
      <c r="A27" s="5" t="s">
        <v>15</v>
      </c>
      <c r="B27" s="5" t="s">
        <v>16</v>
      </c>
      <c r="C27" s="5" t="s">
        <v>17</v>
      </c>
      <c r="D27" s="6" t="s">
        <v>197</v>
      </c>
      <c r="E27" s="5" t="s">
        <v>19</v>
      </c>
      <c r="F27" s="5" t="s">
        <v>52</v>
      </c>
      <c r="G27" s="5">
        <v>48211.0</v>
      </c>
      <c r="H27" s="5">
        <v>160.0</v>
      </c>
      <c r="I27" s="5">
        <v>30157.0</v>
      </c>
      <c r="J27" s="5">
        <v>43810.0</v>
      </c>
      <c r="K27" s="5">
        <v>14.0</v>
      </c>
      <c r="L27" s="9">
        <v>6708.463351</v>
      </c>
      <c r="M27" s="15">
        <f t="shared" si="1"/>
        <v>479.1759536</v>
      </c>
      <c r="N27" s="16">
        <f t="shared" si="2"/>
        <v>0.003318744685</v>
      </c>
    </row>
    <row r="28">
      <c r="A28" s="5" t="s">
        <v>15</v>
      </c>
      <c r="B28" s="5" t="s">
        <v>31</v>
      </c>
      <c r="C28" s="5" t="s">
        <v>55</v>
      </c>
      <c r="D28" s="6" t="s">
        <v>197</v>
      </c>
      <c r="E28" s="5" t="s">
        <v>117</v>
      </c>
      <c r="F28" s="5" t="s">
        <v>20</v>
      </c>
      <c r="G28" s="5">
        <v>13075.0</v>
      </c>
      <c r="H28" s="5">
        <v>74.0</v>
      </c>
      <c r="I28" s="5">
        <v>5980.0</v>
      </c>
      <c r="J28" s="5">
        <v>12114.0</v>
      </c>
      <c r="K28" s="5">
        <v>15.0</v>
      </c>
      <c r="L28" s="9">
        <v>1936.130798</v>
      </c>
      <c r="M28" s="15">
        <f t="shared" si="1"/>
        <v>129.0753865</v>
      </c>
      <c r="N28" s="16">
        <f t="shared" si="2"/>
        <v>0.005659655832</v>
      </c>
    </row>
    <row r="29">
      <c r="A29" s="5" t="s">
        <v>15</v>
      </c>
      <c r="B29" s="5" t="s">
        <v>23</v>
      </c>
      <c r="C29" s="5" t="s">
        <v>78</v>
      </c>
      <c r="D29" s="6" t="s">
        <v>197</v>
      </c>
      <c r="E29" s="5" t="s">
        <v>19</v>
      </c>
      <c r="F29" s="5" t="s">
        <v>52</v>
      </c>
      <c r="G29" s="5">
        <v>65983.0</v>
      </c>
      <c r="H29" s="5">
        <v>212.0</v>
      </c>
      <c r="I29" s="5">
        <v>8536.0</v>
      </c>
      <c r="J29" s="5">
        <v>57434.0</v>
      </c>
      <c r="K29" s="5">
        <v>3.0</v>
      </c>
      <c r="L29" s="9">
        <v>1599.076249</v>
      </c>
      <c r="M29" s="15">
        <f t="shared" si="1"/>
        <v>533.0254163</v>
      </c>
      <c r="N29" s="16">
        <f t="shared" si="2"/>
        <v>0.00321294879</v>
      </c>
    </row>
    <row r="30">
      <c r="A30" s="5" t="s">
        <v>15</v>
      </c>
      <c r="B30" s="5" t="s">
        <v>42</v>
      </c>
      <c r="C30" s="5" t="s">
        <v>214</v>
      </c>
      <c r="D30" s="6" t="s">
        <v>211</v>
      </c>
      <c r="E30" s="5" t="s">
        <v>36</v>
      </c>
      <c r="F30" s="5" t="s">
        <v>20</v>
      </c>
      <c r="G30" s="5">
        <v>94340.0</v>
      </c>
      <c r="H30" s="5">
        <v>250.0</v>
      </c>
      <c r="I30" s="5">
        <v>16955.0</v>
      </c>
      <c r="J30" s="5">
        <v>76971.0</v>
      </c>
      <c r="K30" s="5">
        <v>13.0</v>
      </c>
      <c r="L30" s="9">
        <v>1517.244377</v>
      </c>
      <c r="M30" s="15">
        <f t="shared" si="1"/>
        <v>116.7111059</v>
      </c>
      <c r="N30" s="16">
        <f t="shared" si="2"/>
        <v>0.0026499894</v>
      </c>
    </row>
    <row r="31">
      <c r="A31" s="5" t="s">
        <v>15</v>
      </c>
      <c r="B31" s="5" t="s">
        <v>42</v>
      </c>
      <c r="C31" s="5" t="s">
        <v>55</v>
      </c>
      <c r="D31" s="6" t="s">
        <v>226</v>
      </c>
      <c r="E31" s="5" t="s">
        <v>19</v>
      </c>
      <c r="F31" s="5" t="s">
        <v>52</v>
      </c>
      <c r="G31" s="5">
        <v>31443.0</v>
      </c>
      <c r="H31" s="5">
        <v>70.0</v>
      </c>
      <c r="I31" s="5">
        <v>19134.0</v>
      </c>
      <c r="J31" s="5">
        <v>28059.0</v>
      </c>
      <c r="K31" s="5">
        <v>9.0</v>
      </c>
      <c r="L31" s="9">
        <v>2122.765888</v>
      </c>
      <c r="M31" s="15">
        <f t="shared" si="1"/>
        <v>235.8628764</v>
      </c>
      <c r="N31" s="16">
        <f t="shared" si="2"/>
        <v>0.002226250676</v>
      </c>
    </row>
    <row r="32">
      <c r="A32" s="5" t="s">
        <v>15</v>
      </c>
      <c r="B32" s="5" t="s">
        <v>16</v>
      </c>
      <c r="C32" s="5" t="s">
        <v>78</v>
      </c>
      <c r="D32" s="6" t="s">
        <v>228</v>
      </c>
      <c r="E32" s="5" t="s">
        <v>231</v>
      </c>
      <c r="F32" s="5" t="s">
        <v>20</v>
      </c>
      <c r="G32" s="5">
        <v>12176.0</v>
      </c>
      <c r="H32" s="5">
        <v>10.0</v>
      </c>
      <c r="I32" s="5">
        <v>5460.0</v>
      </c>
      <c r="J32" s="5">
        <v>11154.0</v>
      </c>
      <c r="K32" s="5">
        <v>10.0</v>
      </c>
      <c r="L32" s="9">
        <v>1816.030806</v>
      </c>
      <c r="M32" s="15">
        <f t="shared" si="1"/>
        <v>181.6030806</v>
      </c>
      <c r="N32" s="16">
        <f t="shared" si="2"/>
        <v>0.0008212877792</v>
      </c>
    </row>
    <row r="33">
      <c r="A33" s="5" t="s">
        <v>15</v>
      </c>
      <c r="B33" s="5" t="s">
        <v>16</v>
      </c>
      <c r="C33" s="5" t="s">
        <v>55</v>
      </c>
      <c r="D33" s="6" t="s">
        <v>257</v>
      </c>
      <c r="E33" s="5" t="s">
        <v>46</v>
      </c>
      <c r="F33" s="5" t="s">
        <v>52</v>
      </c>
      <c r="G33" s="5">
        <v>24464.0</v>
      </c>
      <c r="H33" s="5">
        <v>0.0</v>
      </c>
      <c r="I33" s="5">
        <v>3275.0</v>
      </c>
      <c r="J33" s="5">
        <v>21993.0</v>
      </c>
      <c r="K33" s="5">
        <v>6.0</v>
      </c>
      <c r="L33" s="9">
        <v>2959.114973</v>
      </c>
      <c r="M33" s="15">
        <f t="shared" si="1"/>
        <v>493.1858288</v>
      </c>
      <c r="N33" s="16">
        <f t="shared" si="2"/>
        <v>0</v>
      </c>
    </row>
    <row r="34">
      <c r="A34" s="5" t="s">
        <v>15</v>
      </c>
      <c r="B34" s="5" t="s">
        <v>23</v>
      </c>
      <c r="C34" s="5" t="s">
        <v>78</v>
      </c>
      <c r="D34" s="6" t="s">
        <v>278</v>
      </c>
      <c r="E34" s="5" t="s">
        <v>46</v>
      </c>
      <c r="F34" s="5" t="s">
        <v>20</v>
      </c>
      <c r="G34" s="5">
        <v>18028.0</v>
      </c>
      <c r="H34" s="5">
        <v>89.0</v>
      </c>
      <c r="I34" s="5">
        <v>1851.0</v>
      </c>
      <c r="J34" s="5">
        <v>14926.0</v>
      </c>
      <c r="K34" s="5">
        <v>24.0</v>
      </c>
      <c r="L34" s="9">
        <v>1572.24171</v>
      </c>
      <c r="M34" s="15">
        <f t="shared" si="1"/>
        <v>65.51007125</v>
      </c>
      <c r="N34" s="16">
        <f t="shared" si="2"/>
        <v>0.004936765032</v>
      </c>
    </row>
    <row r="35">
      <c r="A35" s="5" t="s">
        <v>15</v>
      </c>
      <c r="B35" s="5" t="s">
        <v>42</v>
      </c>
      <c r="C35" s="5" t="s">
        <v>17</v>
      </c>
      <c r="D35" s="6" t="s">
        <v>291</v>
      </c>
      <c r="E35" s="5" t="s">
        <v>136</v>
      </c>
      <c r="F35" s="5" t="s">
        <v>52</v>
      </c>
      <c r="G35" s="5">
        <v>49415.0</v>
      </c>
      <c r="H35" s="5">
        <v>144.0</v>
      </c>
      <c r="I35" s="5">
        <v>24692.0</v>
      </c>
      <c r="J35" s="5">
        <v>45565.0</v>
      </c>
      <c r="K35" s="5">
        <v>3.0</v>
      </c>
      <c r="L35" s="9">
        <v>1471.175728</v>
      </c>
      <c r="M35" s="15">
        <f t="shared" si="1"/>
        <v>490.3919093</v>
      </c>
      <c r="N35" s="16">
        <f t="shared" si="2"/>
        <v>0.00291409491</v>
      </c>
    </row>
    <row r="36">
      <c r="A36" s="5" t="s">
        <v>15</v>
      </c>
      <c r="B36" s="5" t="s">
        <v>42</v>
      </c>
      <c r="C36" s="5" t="s">
        <v>35</v>
      </c>
      <c r="D36" s="6" t="s">
        <v>297</v>
      </c>
      <c r="E36" s="5" t="s">
        <v>36</v>
      </c>
      <c r="F36" s="5" t="s">
        <v>20</v>
      </c>
      <c r="G36" s="5">
        <v>27592.0</v>
      </c>
      <c r="H36" s="5">
        <v>80.0</v>
      </c>
      <c r="I36" s="5">
        <v>10901.0</v>
      </c>
      <c r="J36" s="5">
        <v>24980.0</v>
      </c>
      <c r="K36" s="5">
        <v>17.0</v>
      </c>
      <c r="L36" s="9">
        <v>6809.356022</v>
      </c>
      <c r="M36" s="15">
        <f t="shared" si="1"/>
        <v>400.5503542</v>
      </c>
      <c r="N36" s="16">
        <f t="shared" si="2"/>
        <v>0.002899391128</v>
      </c>
    </row>
    <row r="37">
      <c r="A37" s="5" t="s">
        <v>15</v>
      </c>
      <c r="B37" s="5" t="s">
        <v>31</v>
      </c>
      <c r="C37" s="5" t="s">
        <v>17</v>
      </c>
      <c r="D37" s="6" t="s">
        <v>297</v>
      </c>
      <c r="E37" s="5" t="s">
        <v>36</v>
      </c>
      <c r="F37" s="5" t="s">
        <v>20</v>
      </c>
      <c r="G37" s="5">
        <v>161222.0</v>
      </c>
      <c r="H37" s="5">
        <v>500.0</v>
      </c>
      <c r="I37" s="5">
        <v>66740.0</v>
      </c>
      <c r="J37" s="5">
        <v>149743.0</v>
      </c>
      <c r="K37" s="5">
        <v>19.0</v>
      </c>
      <c r="L37" s="9">
        <v>5767.797381</v>
      </c>
      <c r="M37" s="15">
        <f t="shared" si="1"/>
        <v>303.5682832</v>
      </c>
      <c r="N37" s="16">
        <f t="shared" si="2"/>
        <v>0.003101313716</v>
      </c>
    </row>
    <row r="38">
      <c r="A38" s="5" t="s">
        <v>15</v>
      </c>
      <c r="B38" s="5" t="s">
        <v>42</v>
      </c>
      <c r="C38" s="5" t="s">
        <v>29</v>
      </c>
      <c r="D38" s="6" t="s">
        <v>297</v>
      </c>
      <c r="E38" s="5" t="s">
        <v>19</v>
      </c>
      <c r="F38" s="5" t="s">
        <v>52</v>
      </c>
      <c r="G38" s="5">
        <v>39163.0</v>
      </c>
      <c r="H38" s="5">
        <v>113.0</v>
      </c>
      <c r="I38" s="5">
        <v>16254.0</v>
      </c>
      <c r="J38" s="5">
        <v>36526.0</v>
      </c>
      <c r="K38" s="5">
        <v>15.0</v>
      </c>
      <c r="L38" s="9">
        <v>5692.765813</v>
      </c>
      <c r="M38" s="15">
        <f t="shared" si="1"/>
        <v>379.5177209</v>
      </c>
      <c r="N38" s="16">
        <f t="shared" si="2"/>
        <v>0.002885376503</v>
      </c>
    </row>
    <row r="39">
      <c r="A39" s="5" t="s">
        <v>15</v>
      </c>
      <c r="B39" s="5" t="s">
        <v>31</v>
      </c>
      <c r="C39" s="5" t="s">
        <v>84</v>
      </c>
      <c r="D39" s="6" t="s">
        <v>297</v>
      </c>
      <c r="E39" s="5" t="s">
        <v>19</v>
      </c>
      <c r="F39" s="5" t="s">
        <v>20</v>
      </c>
      <c r="G39" s="5">
        <v>104538.0</v>
      </c>
      <c r="H39" s="5">
        <v>347.0</v>
      </c>
      <c r="I39" s="5">
        <v>49049.0</v>
      </c>
      <c r="J39" s="5">
        <v>97093.0</v>
      </c>
      <c r="K39" s="5">
        <v>2.0</v>
      </c>
      <c r="L39" s="9">
        <v>5266.424233</v>
      </c>
      <c r="M39" s="15">
        <f t="shared" si="1"/>
        <v>2633.212117</v>
      </c>
      <c r="N39" s="16">
        <f t="shared" si="2"/>
        <v>0.00331936712</v>
      </c>
    </row>
    <row r="40">
      <c r="A40" s="5" t="s">
        <v>15</v>
      </c>
      <c r="B40" s="5" t="s">
        <v>23</v>
      </c>
      <c r="C40" s="5" t="s">
        <v>17</v>
      </c>
      <c r="D40" s="6" t="s">
        <v>297</v>
      </c>
      <c r="E40" s="5" t="s">
        <v>19</v>
      </c>
      <c r="F40" s="5" t="s">
        <v>52</v>
      </c>
      <c r="G40" s="5">
        <v>55692.0</v>
      </c>
      <c r="H40" s="5">
        <v>184.0</v>
      </c>
      <c r="I40" s="5">
        <v>3596.0</v>
      </c>
      <c r="J40" s="5">
        <v>51209.0</v>
      </c>
      <c r="K40" s="5">
        <v>9.0</v>
      </c>
      <c r="L40" s="9">
        <v>1981.050288</v>
      </c>
      <c r="M40" s="15">
        <f t="shared" si="1"/>
        <v>220.1166987</v>
      </c>
      <c r="N40" s="16">
        <f t="shared" si="2"/>
        <v>0.003303885657</v>
      </c>
    </row>
    <row r="41">
      <c r="A41" s="5" t="s">
        <v>15</v>
      </c>
      <c r="B41" s="5" t="s">
        <v>23</v>
      </c>
      <c r="C41" s="5" t="s">
        <v>17</v>
      </c>
      <c r="D41" s="6" t="s">
        <v>297</v>
      </c>
      <c r="E41" s="5" t="s">
        <v>46</v>
      </c>
      <c r="F41" s="5" t="s">
        <v>20</v>
      </c>
      <c r="G41" s="5">
        <v>63460.0</v>
      </c>
      <c r="H41" s="5">
        <v>212.0</v>
      </c>
      <c r="I41" s="5">
        <v>26978.0</v>
      </c>
      <c r="J41" s="5">
        <v>59516.0</v>
      </c>
      <c r="K41" s="5">
        <v>4.0</v>
      </c>
      <c r="L41" s="9">
        <v>1945.433188</v>
      </c>
      <c r="M41" s="15">
        <f t="shared" si="1"/>
        <v>486.358297</v>
      </c>
      <c r="N41" s="16">
        <f t="shared" si="2"/>
        <v>0.003340687047</v>
      </c>
    </row>
    <row r="42">
      <c r="A42" s="5" t="s">
        <v>15</v>
      </c>
      <c r="B42" s="5" t="s">
        <v>31</v>
      </c>
      <c r="C42" s="5" t="s">
        <v>95</v>
      </c>
      <c r="D42" s="6" t="s">
        <v>297</v>
      </c>
      <c r="E42" s="5" t="s">
        <v>26</v>
      </c>
      <c r="F42" s="5" t="s">
        <v>52</v>
      </c>
      <c r="G42" s="5">
        <v>61442.0</v>
      </c>
      <c r="H42" s="5">
        <v>190.0</v>
      </c>
      <c r="I42" s="5">
        <v>17048.0</v>
      </c>
      <c r="J42" s="5">
        <v>54166.0</v>
      </c>
      <c r="K42" s="5">
        <v>1.0</v>
      </c>
      <c r="L42" s="9">
        <v>1609.149933</v>
      </c>
      <c r="M42" s="15">
        <f t="shared" si="1"/>
        <v>1609.149933</v>
      </c>
      <c r="N42" s="16">
        <f t="shared" si="2"/>
        <v>0.003092347254</v>
      </c>
    </row>
    <row r="43">
      <c r="A43" s="5" t="s">
        <v>15</v>
      </c>
      <c r="B43" s="5" t="s">
        <v>42</v>
      </c>
      <c r="C43" s="5" t="s">
        <v>84</v>
      </c>
      <c r="D43" s="6" t="s">
        <v>297</v>
      </c>
      <c r="E43" s="5" t="s">
        <v>46</v>
      </c>
      <c r="F43" s="5" t="s">
        <v>52</v>
      </c>
      <c r="G43" s="5">
        <v>74436.0</v>
      </c>
      <c r="H43" s="5">
        <v>175.0</v>
      </c>
      <c r="I43" s="5">
        <v>30158.0</v>
      </c>
      <c r="J43" s="5">
        <v>69150.0</v>
      </c>
      <c r="K43" s="5">
        <v>21.0</v>
      </c>
      <c r="L43" s="9">
        <v>1558.549138</v>
      </c>
      <c r="M43" s="15">
        <f t="shared" si="1"/>
        <v>74.21662562</v>
      </c>
      <c r="N43" s="16">
        <f t="shared" si="2"/>
        <v>0.002351012951</v>
      </c>
    </row>
    <row r="44">
      <c r="A44" s="5" t="s">
        <v>15</v>
      </c>
      <c r="B44" s="5" t="s">
        <v>16</v>
      </c>
      <c r="C44" s="5" t="s">
        <v>29</v>
      </c>
      <c r="D44" s="6" t="s">
        <v>344</v>
      </c>
      <c r="E44" s="5" t="s">
        <v>19</v>
      </c>
      <c r="F44" s="5" t="s">
        <v>52</v>
      </c>
      <c r="G44" s="5">
        <v>16354.0</v>
      </c>
      <c r="H44" s="5">
        <v>40.0</v>
      </c>
      <c r="I44" s="5">
        <v>8061.0</v>
      </c>
      <c r="J44" s="5">
        <v>15667.0</v>
      </c>
      <c r="K44" s="5">
        <v>4.0</v>
      </c>
      <c r="L44" s="9">
        <v>1610.319977</v>
      </c>
      <c r="M44" s="15">
        <f t="shared" si="1"/>
        <v>402.5799943</v>
      </c>
      <c r="N44" s="16">
        <f t="shared" si="2"/>
        <v>0.002445884799</v>
      </c>
    </row>
    <row r="45">
      <c r="A45" s="5" t="s">
        <v>15</v>
      </c>
      <c r="B45" s="5" t="s">
        <v>42</v>
      </c>
      <c r="C45" s="5" t="s">
        <v>35</v>
      </c>
      <c r="D45" s="6" t="s">
        <v>350</v>
      </c>
      <c r="E45" s="5" t="s">
        <v>36</v>
      </c>
      <c r="F45" s="5" t="s">
        <v>20</v>
      </c>
      <c r="G45" s="5">
        <v>39314.0</v>
      </c>
      <c r="H45" s="5">
        <v>100.0</v>
      </c>
      <c r="I45" s="5">
        <v>27671.0</v>
      </c>
      <c r="J45" s="5">
        <v>35488.0</v>
      </c>
      <c r="K45" s="5">
        <v>8.0</v>
      </c>
      <c r="L45" s="9">
        <v>5530.800458</v>
      </c>
      <c r="M45" s="15">
        <f t="shared" si="1"/>
        <v>691.3500573</v>
      </c>
      <c r="N45" s="16">
        <f t="shared" si="2"/>
        <v>0.002543623137</v>
      </c>
    </row>
    <row r="46">
      <c r="A46" s="5" t="s">
        <v>15</v>
      </c>
      <c r="B46" s="5" t="s">
        <v>16</v>
      </c>
      <c r="C46" s="5" t="s">
        <v>356</v>
      </c>
      <c r="D46" s="6" t="s">
        <v>352</v>
      </c>
      <c r="E46" s="5" t="s">
        <v>48</v>
      </c>
      <c r="F46" s="5" t="s">
        <v>52</v>
      </c>
      <c r="G46" s="5">
        <v>21143.0</v>
      </c>
      <c r="H46" s="5">
        <v>56.0</v>
      </c>
      <c r="I46" s="5">
        <v>3798.0</v>
      </c>
      <c r="J46" s="5">
        <v>19588.0</v>
      </c>
      <c r="K46" s="5">
        <v>3.0</v>
      </c>
      <c r="L46" s="9">
        <v>1500.41822</v>
      </c>
      <c r="M46" s="15">
        <f t="shared" si="1"/>
        <v>500.1394067</v>
      </c>
      <c r="N46" s="16">
        <f t="shared" si="2"/>
        <v>0.002648630752</v>
      </c>
    </row>
    <row r="47">
      <c r="A47" s="5" t="s">
        <v>15</v>
      </c>
      <c r="B47" s="5" t="s">
        <v>42</v>
      </c>
      <c r="C47" s="5" t="s">
        <v>78</v>
      </c>
      <c r="D47" s="6" t="s">
        <v>358</v>
      </c>
      <c r="E47" s="5" t="s">
        <v>26</v>
      </c>
      <c r="F47" s="5" t="s">
        <v>52</v>
      </c>
      <c r="G47" s="5">
        <v>95644.0</v>
      </c>
      <c r="H47" s="5">
        <v>240.0</v>
      </c>
      <c r="I47" s="5">
        <v>13294.0</v>
      </c>
      <c r="J47" s="5">
        <v>86775.0</v>
      </c>
      <c r="K47" s="5">
        <v>9.0</v>
      </c>
      <c r="L47" s="9">
        <v>5587.763675</v>
      </c>
      <c r="M47" s="15">
        <f t="shared" si="1"/>
        <v>620.8626306</v>
      </c>
      <c r="N47" s="16">
        <f t="shared" si="2"/>
        <v>0.002509305341</v>
      </c>
    </row>
    <row r="48">
      <c r="A48" s="5" t="s">
        <v>15</v>
      </c>
      <c r="B48" s="5" t="s">
        <v>42</v>
      </c>
      <c r="C48" s="5" t="s">
        <v>35</v>
      </c>
      <c r="D48" s="6" t="s">
        <v>358</v>
      </c>
      <c r="E48" s="5" t="s">
        <v>19</v>
      </c>
      <c r="F48" s="5" t="s">
        <v>52</v>
      </c>
      <c r="G48" s="5">
        <v>65238.0</v>
      </c>
      <c r="H48" s="5">
        <v>240.0</v>
      </c>
      <c r="I48" s="5">
        <v>23741.0</v>
      </c>
      <c r="J48" s="5">
        <v>59893.0</v>
      </c>
      <c r="K48" s="5">
        <v>15.0</v>
      </c>
      <c r="L48" s="9">
        <v>3132.519209</v>
      </c>
      <c r="M48" s="15">
        <f t="shared" si="1"/>
        <v>208.8346139</v>
      </c>
      <c r="N48" s="16">
        <f t="shared" si="2"/>
        <v>0.003678837487</v>
      </c>
    </row>
    <row r="49">
      <c r="A49" s="5" t="s">
        <v>15</v>
      </c>
      <c r="B49" s="5" t="s">
        <v>31</v>
      </c>
      <c r="C49" s="5" t="s">
        <v>35</v>
      </c>
      <c r="D49" s="6" t="s">
        <v>365</v>
      </c>
      <c r="E49" s="5" t="s">
        <v>19</v>
      </c>
      <c r="F49" s="5" t="s">
        <v>52</v>
      </c>
      <c r="G49" s="5">
        <v>27394.0</v>
      </c>
      <c r="H49" s="5">
        <v>74.0</v>
      </c>
      <c r="I49" s="5">
        <v>16144.0</v>
      </c>
      <c r="J49" s="5">
        <v>24752.0</v>
      </c>
      <c r="K49" s="5">
        <v>78.0</v>
      </c>
      <c r="L49" s="9">
        <v>7264.58761</v>
      </c>
      <c r="M49" s="15">
        <f t="shared" si="1"/>
        <v>93.13573859</v>
      </c>
      <c r="N49" s="16">
        <f t="shared" si="2"/>
        <v>0.002701321457</v>
      </c>
    </row>
    <row r="50">
      <c r="A50" s="5" t="s">
        <v>15</v>
      </c>
      <c r="B50" s="5" t="s">
        <v>23</v>
      </c>
      <c r="C50" s="5" t="s">
        <v>29</v>
      </c>
      <c r="D50" s="6" t="s">
        <v>365</v>
      </c>
      <c r="E50" s="5" t="s">
        <v>19</v>
      </c>
      <c r="F50" s="5" t="s">
        <v>52</v>
      </c>
      <c r="G50" s="5">
        <v>127090.0</v>
      </c>
      <c r="H50" s="5">
        <v>299.0</v>
      </c>
      <c r="I50" s="5">
        <v>30178.0</v>
      </c>
      <c r="J50" s="5">
        <v>113438.0</v>
      </c>
      <c r="K50" s="5">
        <v>24.0</v>
      </c>
      <c r="L50" s="9">
        <v>5808.911254</v>
      </c>
      <c r="M50" s="15">
        <f t="shared" si="1"/>
        <v>242.0379689</v>
      </c>
      <c r="N50" s="16">
        <f t="shared" si="2"/>
        <v>0.002352663467</v>
      </c>
    </row>
    <row r="51">
      <c r="A51" s="5" t="s">
        <v>15</v>
      </c>
      <c r="B51" s="5" t="s">
        <v>31</v>
      </c>
      <c r="C51" s="5" t="s">
        <v>24</v>
      </c>
      <c r="D51" s="6" t="s">
        <v>365</v>
      </c>
      <c r="E51" s="5" t="s">
        <v>80</v>
      </c>
      <c r="F51" s="5" t="s">
        <v>52</v>
      </c>
      <c r="G51" s="5">
        <v>74426.0</v>
      </c>
      <c r="H51" s="5">
        <v>150.0</v>
      </c>
      <c r="I51" s="5">
        <v>39257.0</v>
      </c>
      <c r="J51" s="5">
        <v>67151.0</v>
      </c>
      <c r="K51" s="5">
        <v>15.0</v>
      </c>
      <c r="L51" s="9">
        <v>1519.596552</v>
      </c>
      <c r="M51" s="15">
        <f t="shared" si="1"/>
        <v>101.3064368</v>
      </c>
      <c r="N51" s="16">
        <f t="shared" si="2"/>
        <v>0.002015424717</v>
      </c>
    </row>
    <row r="52">
      <c r="A52" s="5" t="s">
        <v>15</v>
      </c>
      <c r="B52" s="5" t="s">
        <v>31</v>
      </c>
      <c r="C52" s="5" t="s">
        <v>17</v>
      </c>
      <c r="D52" s="6" t="s">
        <v>378</v>
      </c>
      <c r="E52" s="5" t="s">
        <v>46</v>
      </c>
      <c r="F52" s="5" t="s">
        <v>52</v>
      </c>
      <c r="G52" s="5">
        <v>25021.0</v>
      </c>
      <c r="H52" s="5">
        <v>50.0</v>
      </c>
      <c r="I52" s="5">
        <v>11084.0</v>
      </c>
      <c r="J52" s="5">
        <v>18079.0</v>
      </c>
      <c r="K52" s="5">
        <v>9.0</v>
      </c>
      <c r="L52" s="9">
        <v>4961.478884</v>
      </c>
      <c r="M52" s="15">
        <f t="shared" si="1"/>
        <v>551.2754316</v>
      </c>
      <c r="N52" s="16">
        <f t="shared" si="2"/>
        <v>0.00199832141</v>
      </c>
    </row>
    <row r="53">
      <c r="A53" s="5" t="s">
        <v>15</v>
      </c>
      <c r="B53" s="5" t="s">
        <v>16</v>
      </c>
      <c r="C53" s="5" t="s">
        <v>39</v>
      </c>
      <c r="D53" s="6" t="s">
        <v>390</v>
      </c>
      <c r="E53" s="5" t="s">
        <v>19</v>
      </c>
      <c r="F53" s="5" t="s">
        <v>52</v>
      </c>
      <c r="G53" s="5">
        <v>69239.0</v>
      </c>
      <c r="H53" s="5">
        <v>160.0</v>
      </c>
      <c r="I53" s="5">
        <v>23112.0</v>
      </c>
      <c r="J53" s="5">
        <v>65390.0</v>
      </c>
      <c r="K53" s="5">
        <v>1.0</v>
      </c>
      <c r="L53" s="9">
        <v>4514.952724</v>
      </c>
      <c r="M53" s="15">
        <f t="shared" si="1"/>
        <v>4514.952724</v>
      </c>
      <c r="N53" s="16">
        <f t="shared" si="2"/>
        <v>0.002310836378</v>
      </c>
    </row>
    <row r="54">
      <c r="A54" s="5" t="s">
        <v>15</v>
      </c>
      <c r="B54" s="5" t="s">
        <v>42</v>
      </c>
      <c r="C54" s="5" t="s">
        <v>1095</v>
      </c>
      <c r="D54" s="6" t="s">
        <v>390</v>
      </c>
      <c r="E54" s="5" t="s">
        <v>19</v>
      </c>
      <c r="F54" s="5" t="s">
        <v>52</v>
      </c>
      <c r="G54" s="5">
        <v>22800.0</v>
      </c>
      <c r="H54" s="5">
        <v>79.0</v>
      </c>
      <c r="I54" s="5">
        <v>8298.0</v>
      </c>
      <c r="J54" s="5">
        <v>21161.0</v>
      </c>
      <c r="K54" s="5">
        <v>24.0</v>
      </c>
      <c r="L54" s="9">
        <v>1620.1655</v>
      </c>
      <c r="M54" s="15">
        <f t="shared" si="1"/>
        <v>67.50689583</v>
      </c>
      <c r="N54" s="16">
        <f t="shared" si="2"/>
        <v>0.003464912281</v>
      </c>
    </row>
    <row r="55">
      <c r="A55" s="5" t="s">
        <v>15</v>
      </c>
      <c r="B55" s="5" t="s">
        <v>42</v>
      </c>
      <c r="C55" s="5" t="s">
        <v>39</v>
      </c>
      <c r="D55" s="13" t="s">
        <v>1290</v>
      </c>
      <c r="E55" s="5" t="s">
        <v>19</v>
      </c>
      <c r="F55" s="5" t="s">
        <v>20</v>
      </c>
      <c r="G55" s="5">
        <v>12436.0</v>
      </c>
      <c r="H55" s="5">
        <v>84.0</v>
      </c>
      <c r="I55" s="5">
        <v>7055.0</v>
      </c>
      <c r="J55" s="5">
        <v>11497.0</v>
      </c>
      <c r="K55" s="5">
        <v>9.0</v>
      </c>
      <c r="L55" s="9">
        <v>1720.870126</v>
      </c>
      <c r="M55" s="15">
        <f t="shared" si="1"/>
        <v>191.2077918</v>
      </c>
      <c r="N55" s="16">
        <f t="shared" si="2"/>
        <v>0.006754583467</v>
      </c>
    </row>
    <row r="56">
      <c r="A56" s="5" t="s">
        <v>15</v>
      </c>
      <c r="B56" s="5" t="s">
        <v>42</v>
      </c>
      <c r="C56" s="5" t="s">
        <v>39</v>
      </c>
      <c r="D56" s="6" t="s">
        <v>410</v>
      </c>
      <c r="E56" s="5" t="s">
        <v>46</v>
      </c>
      <c r="F56" s="5" t="s">
        <v>20</v>
      </c>
      <c r="G56" s="5">
        <v>29323.0</v>
      </c>
      <c r="H56" s="5">
        <v>88.0</v>
      </c>
      <c r="I56" s="5">
        <v>13822.0</v>
      </c>
      <c r="J56" s="5">
        <v>26934.0</v>
      </c>
      <c r="K56" s="5">
        <v>9.0</v>
      </c>
      <c r="L56" s="9">
        <v>6096.045521</v>
      </c>
      <c r="M56" s="15">
        <f t="shared" si="1"/>
        <v>677.3383912</v>
      </c>
      <c r="N56" s="16">
        <f t="shared" si="2"/>
        <v>0.003001057191</v>
      </c>
    </row>
    <row r="57">
      <c r="A57" s="5" t="s">
        <v>15</v>
      </c>
      <c r="B57" s="5" t="s">
        <v>23</v>
      </c>
      <c r="C57" s="5" t="s">
        <v>17</v>
      </c>
      <c r="D57" s="6" t="s">
        <v>410</v>
      </c>
      <c r="E57" s="5" t="s">
        <v>19</v>
      </c>
      <c r="F57" s="5" t="s">
        <v>52</v>
      </c>
      <c r="G57" s="5">
        <v>51889.0</v>
      </c>
      <c r="H57" s="5">
        <v>174.0</v>
      </c>
      <c r="I57" s="5">
        <v>33879.0</v>
      </c>
      <c r="J57" s="5">
        <v>49382.0</v>
      </c>
      <c r="K57" s="5">
        <v>5.0</v>
      </c>
      <c r="L57" s="9">
        <v>2172.841747</v>
      </c>
      <c r="M57" s="15">
        <f t="shared" si="1"/>
        <v>434.5683494</v>
      </c>
      <c r="N57" s="16">
        <f t="shared" si="2"/>
        <v>0.003353311877</v>
      </c>
    </row>
    <row r="58">
      <c r="A58" s="5" t="s">
        <v>15</v>
      </c>
      <c r="B58" s="5" t="s">
        <v>23</v>
      </c>
      <c r="C58" s="5" t="s">
        <v>66</v>
      </c>
      <c r="D58" s="6" t="s">
        <v>410</v>
      </c>
      <c r="E58" s="5" t="s">
        <v>19</v>
      </c>
      <c r="F58" s="5" t="s">
        <v>52</v>
      </c>
      <c r="G58" s="5">
        <v>19951.0</v>
      </c>
      <c r="H58" s="5">
        <v>81.0</v>
      </c>
      <c r="I58" s="5">
        <v>10511.0</v>
      </c>
      <c r="J58" s="5">
        <v>18132.0</v>
      </c>
      <c r="K58" s="5">
        <v>15.0</v>
      </c>
      <c r="L58" s="9">
        <v>1801.14885</v>
      </c>
      <c r="M58" s="15">
        <f t="shared" si="1"/>
        <v>120.07659</v>
      </c>
      <c r="N58" s="16">
        <f t="shared" si="2"/>
        <v>0.00405994687</v>
      </c>
    </row>
    <row r="59">
      <c r="A59" s="5" t="s">
        <v>15</v>
      </c>
      <c r="B59" s="5" t="s">
        <v>23</v>
      </c>
      <c r="C59" s="5" t="s">
        <v>95</v>
      </c>
      <c r="D59" s="6" t="s">
        <v>410</v>
      </c>
      <c r="E59" s="5" t="s">
        <v>48</v>
      </c>
      <c r="F59" s="5" t="s">
        <v>52</v>
      </c>
      <c r="G59" s="5">
        <v>76724.0</v>
      </c>
      <c r="H59" s="5">
        <v>187.0</v>
      </c>
      <c r="I59" s="5">
        <v>43209.0</v>
      </c>
      <c r="J59" s="5">
        <v>69530.0</v>
      </c>
      <c r="K59" s="5">
        <v>9.0</v>
      </c>
      <c r="L59" s="9">
        <v>1493.204528</v>
      </c>
      <c r="M59" s="15">
        <f t="shared" si="1"/>
        <v>165.9116142</v>
      </c>
      <c r="N59" s="16">
        <f t="shared" si="2"/>
        <v>0.002437307752</v>
      </c>
    </row>
    <row r="60">
      <c r="A60" s="5" t="s">
        <v>15</v>
      </c>
      <c r="B60" s="5" t="s">
        <v>42</v>
      </c>
      <c r="C60" s="5" t="s">
        <v>35</v>
      </c>
      <c r="D60" s="6" t="s">
        <v>426</v>
      </c>
      <c r="E60" s="5" t="s">
        <v>19</v>
      </c>
      <c r="F60" s="5" t="s">
        <v>52</v>
      </c>
      <c r="G60" s="5">
        <v>16202.0</v>
      </c>
      <c r="H60" s="5">
        <v>80.0</v>
      </c>
      <c r="I60" s="5">
        <v>11786.0</v>
      </c>
      <c r="J60" s="5">
        <v>15365.0</v>
      </c>
      <c r="K60" s="5">
        <v>2.0</v>
      </c>
      <c r="L60" s="9">
        <v>1570.34276</v>
      </c>
      <c r="M60" s="15">
        <f t="shared" si="1"/>
        <v>785.17138</v>
      </c>
      <c r="N60" s="16">
        <f t="shared" si="2"/>
        <v>0.004937662017</v>
      </c>
    </row>
    <row r="61">
      <c r="A61" s="5" t="s">
        <v>15</v>
      </c>
      <c r="B61" s="5" t="s">
        <v>16</v>
      </c>
      <c r="C61" s="5" t="s">
        <v>17</v>
      </c>
      <c r="D61" s="6" t="s">
        <v>434</v>
      </c>
      <c r="E61" s="5" t="s">
        <v>46</v>
      </c>
      <c r="F61" s="5" t="s">
        <v>20</v>
      </c>
      <c r="G61" s="5">
        <v>120902.0</v>
      </c>
      <c r="H61" s="5">
        <v>333.0</v>
      </c>
      <c r="I61" s="5">
        <v>9964.0</v>
      </c>
      <c r="J61" s="5">
        <v>70015.0</v>
      </c>
      <c r="K61" s="5">
        <v>15.0</v>
      </c>
      <c r="L61" s="9">
        <v>4669.013669</v>
      </c>
      <c r="M61" s="15">
        <f t="shared" si="1"/>
        <v>311.2675779</v>
      </c>
      <c r="N61" s="16">
        <f t="shared" si="2"/>
        <v>0.002754296869</v>
      </c>
    </row>
    <row r="62">
      <c r="A62" s="5" t="s">
        <v>15</v>
      </c>
      <c r="B62" s="5" t="s">
        <v>42</v>
      </c>
      <c r="C62" s="5" t="s">
        <v>17</v>
      </c>
      <c r="D62" s="6" t="s">
        <v>439</v>
      </c>
      <c r="E62" s="5" t="s">
        <v>46</v>
      </c>
      <c r="F62" s="5" t="s">
        <v>20</v>
      </c>
      <c r="G62" s="5">
        <v>12001.0</v>
      </c>
      <c r="H62" s="5">
        <v>40.0</v>
      </c>
      <c r="I62" s="5">
        <v>7173.0</v>
      </c>
      <c r="J62" s="5">
        <v>11432.0</v>
      </c>
      <c r="K62" s="5">
        <v>2.0</v>
      </c>
      <c r="L62" s="9">
        <v>1659.932713</v>
      </c>
      <c r="M62" s="15">
        <f t="shared" si="1"/>
        <v>829.9663565</v>
      </c>
      <c r="N62" s="16">
        <f t="shared" si="2"/>
        <v>0.003333055579</v>
      </c>
    </row>
    <row r="63">
      <c r="A63" s="5" t="s">
        <v>15</v>
      </c>
      <c r="B63" s="5" t="s">
        <v>23</v>
      </c>
      <c r="C63" s="5" t="s">
        <v>78</v>
      </c>
      <c r="D63" s="6" t="s">
        <v>458</v>
      </c>
      <c r="E63" s="5" t="s">
        <v>46</v>
      </c>
      <c r="F63" s="5" t="s">
        <v>52</v>
      </c>
      <c r="G63" s="5">
        <v>99205.0</v>
      </c>
      <c r="H63" s="5">
        <v>230.0</v>
      </c>
      <c r="I63" s="5">
        <v>49240.0</v>
      </c>
      <c r="J63" s="5">
        <v>72687.0</v>
      </c>
      <c r="K63" s="5">
        <v>21.0</v>
      </c>
      <c r="L63" s="9">
        <v>6185.002486</v>
      </c>
      <c r="M63" s="15">
        <f t="shared" si="1"/>
        <v>294.5239279</v>
      </c>
      <c r="N63" s="16">
        <f t="shared" si="2"/>
        <v>0.002318431531</v>
      </c>
    </row>
    <row r="64">
      <c r="A64" s="5" t="s">
        <v>15</v>
      </c>
      <c r="B64" s="5" t="s">
        <v>42</v>
      </c>
      <c r="C64" s="5" t="s">
        <v>29</v>
      </c>
      <c r="D64" s="6" t="s">
        <v>460</v>
      </c>
      <c r="E64" s="5" t="s">
        <v>19</v>
      </c>
      <c r="F64" s="5" t="s">
        <v>52</v>
      </c>
      <c r="G64" s="5">
        <v>27473.0</v>
      </c>
      <c r="H64" s="5">
        <v>69.0</v>
      </c>
      <c r="I64" s="5">
        <v>11306.0</v>
      </c>
      <c r="J64" s="5">
        <v>20625.0</v>
      </c>
      <c r="K64" s="5">
        <v>2.0</v>
      </c>
      <c r="L64" s="9">
        <v>2922.286102</v>
      </c>
      <c r="M64" s="15">
        <f t="shared" si="1"/>
        <v>1461.143051</v>
      </c>
      <c r="N64" s="16">
        <f t="shared" si="2"/>
        <v>0.002511556801</v>
      </c>
    </row>
    <row r="65">
      <c r="A65" s="5" t="s">
        <v>15</v>
      </c>
      <c r="B65" s="5" t="s">
        <v>31</v>
      </c>
      <c r="C65" s="5" t="s">
        <v>29</v>
      </c>
      <c r="D65" s="6" t="s">
        <v>480</v>
      </c>
      <c r="E65" s="5" t="s">
        <v>36</v>
      </c>
      <c r="F65" s="5" t="s">
        <v>20</v>
      </c>
      <c r="G65" s="5">
        <v>81486.0</v>
      </c>
      <c r="H65" s="5">
        <v>193.0</v>
      </c>
      <c r="I65" s="5">
        <v>57653.0</v>
      </c>
      <c r="J65" s="5">
        <v>76803.0</v>
      </c>
      <c r="K65" s="5">
        <v>6.0</v>
      </c>
      <c r="L65" s="9">
        <v>1463.842874</v>
      </c>
      <c r="M65" s="15">
        <f t="shared" si="1"/>
        <v>243.9738123</v>
      </c>
      <c r="N65" s="16">
        <f t="shared" si="2"/>
        <v>0.002368505019</v>
      </c>
    </row>
    <row r="66">
      <c r="A66" s="5" t="s">
        <v>15</v>
      </c>
      <c r="B66" s="5" t="s">
        <v>31</v>
      </c>
      <c r="C66" s="5" t="s">
        <v>55</v>
      </c>
      <c r="D66" s="6" t="s">
        <v>484</v>
      </c>
      <c r="E66" s="5" t="s">
        <v>48</v>
      </c>
      <c r="F66" s="5" t="s">
        <v>52</v>
      </c>
      <c r="G66" s="5">
        <v>31813.0</v>
      </c>
      <c r="H66" s="5">
        <v>84.0</v>
      </c>
      <c r="I66" s="5">
        <v>14149.0</v>
      </c>
      <c r="J66" s="5">
        <v>21281.0</v>
      </c>
      <c r="K66" s="5">
        <v>13.0</v>
      </c>
      <c r="L66" s="9">
        <v>2060.993882</v>
      </c>
      <c r="M66" s="15">
        <f t="shared" si="1"/>
        <v>158.5379909</v>
      </c>
      <c r="N66" s="16">
        <f t="shared" si="2"/>
        <v>0.002640430013</v>
      </c>
    </row>
    <row r="67">
      <c r="A67" s="5" t="s">
        <v>15</v>
      </c>
      <c r="B67" s="5" t="s">
        <v>31</v>
      </c>
      <c r="C67" s="5" t="s">
        <v>24</v>
      </c>
      <c r="D67" s="6" t="s">
        <v>486</v>
      </c>
      <c r="E67" s="5" t="s">
        <v>46</v>
      </c>
      <c r="F67" s="5" t="s">
        <v>20</v>
      </c>
      <c r="G67" s="5">
        <v>17228.0</v>
      </c>
      <c r="H67" s="5">
        <v>30.0</v>
      </c>
      <c r="I67" s="5">
        <v>11116.0</v>
      </c>
      <c r="J67" s="5">
        <v>16044.0</v>
      </c>
      <c r="K67" s="5">
        <v>3.0</v>
      </c>
      <c r="L67" s="9">
        <v>1547.513459</v>
      </c>
      <c r="M67" s="15">
        <f t="shared" si="1"/>
        <v>515.8378197</v>
      </c>
      <c r="N67" s="16">
        <f t="shared" si="2"/>
        <v>0.001741351289</v>
      </c>
    </row>
    <row r="68">
      <c r="A68" s="5" t="s">
        <v>15</v>
      </c>
      <c r="B68" s="5" t="s">
        <v>42</v>
      </c>
      <c r="C68" s="5" t="s">
        <v>131</v>
      </c>
      <c r="D68" s="6" t="s">
        <v>493</v>
      </c>
      <c r="E68" s="5" t="s">
        <v>19</v>
      </c>
      <c r="F68" s="5" t="s">
        <v>20</v>
      </c>
      <c r="G68" s="5">
        <v>16236.0</v>
      </c>
      <c r="H68" s="5">
        <v>50.0</v>
      </c>
      <c r="I68" s="5">
        <v>8669.0</v>
      </c>
      <c r="J68" s="5">
        <v>15208.0</v>
      </c>
      <c r="K68" s="5">
        <v>11.0</v>
      </c>
      <c r="L68" s="9">
        <v>1639.813696</v>
      </c>
      <c r="M68" s="15">
        <f t="shared" si="1"/>
        <v>149.0739724</v>
      </c>
      <c r="N68" s="16">
        <f t="shared" si="2"/>
        <v>0.00307957625</v>
      </c>
    </row>
    <row r="69">
      <c r="A69" s="5" t="s">
        <v>15</v>
      </c>
      <c r="B69" s="5" t="s">
        <v>23</v>
      </c>
      <c r="C69" s="5" t="s">
        <v>45</v>
      </c>
      <c r="D69" s="6" t="s">
        <v>511</v>
      </c>
      <c r="E69" s="5" t="s">
        <v>191</v>
      </c>
      <c r="F69" s="5" t="s">
        <v>52</v>
      </c>
      <c r="G69" s="5">
        <v>15904.0</v>
      </c>
      <c r="H69" s="5">
        <v>190.0</v>
      </c>
      <c r="I69" s="5">
        <v>7523.0</v>
      </c>
      <c r="J69" s="5">
        <v>14815.0</v>
      </c>
      <c r="K69" s="5">
        <v>2.0</v>
      </c>
      <c r="L69" s="9">
        <v>1825.725708</v>
      </c>
      <c r="M69" s="15">
        <f t="shared" si="1"/>
        <v>912.862854</v>
      </c>
      <c r="N69" s="16">
        <f t="shared" si="2"/>
        <v>0.01194668008</v>
      </c>
    </row>
    <row r="70">
      <c r="A70" s="5" t="s">
        <v>15</v>
      </c>
      <c r="B70" s="5" t="s">
        <v>16</v>
      </c>
      <c r="C70" s="5" t="s">
        <v>55</v>
      </c>
      <c r="D70" s="6" t="s">
        <v>518</v>
      </c>
      <c r="E70" s="5" t="s">
        <v>19</v>
      </c>
      <c r="F70" s="5" t="s">
        <v>52</v>
      </c>
      <c r="G70" s="5">
        <v>141165.0</v>
      </c>
      <c r="H70" s="5">
        <v>250.0</v>
      </c>
      <c r="I70" s="5">
        <v>102776.0</v>
      </c>
      <c r="J70" s="5">
        <v>128004.0</v>
      </c>
      <c r="K70" s="5">
        <v>28.0</v>
      </c>
      <c r="L70" s="9">
        <v>7222.211408</v>
      </c>
      <c r="M70" s="15">
        <f t="shared" si="1"/>
        <v>257.9361217</v>
      </c>
      <c r="N70" s="16">
        <f t="shared" si="2"/>
        <v>0.001770977225</v>
      </c>
    </row>
    <row r="71">
      <c r="A71" s="5" t="s">
        <v>15</v>
      </c>
      <c r="B71" s="5" t="s">
        <v>23</v>
      </c>
      <c r="C71" s="5" t="s">
        <v>32</v>
      </c>
      <c r="D71" s="6" t="s">
        <v>518</v>
      </c>
      <c r="E71" s="5" t="s">
        <v>136</v>
      </c>
      <c r="F71" s="5" t="s">
        <v>52</v>
      </c>
      <c r="G71" s="5">
        <v>30460.0</v>
      </c>
      <c r="H71" s="5">
        <v>95.0</v>
      </c>
      <c r="I71" s="5">
        <v>21830.0</v>
      </c>
      <c r="J71" s="5">
        <v>27750.0</v>
      </c>
      <c r="K71" s="5">
        <v>25.0</v>
      </c>
      <c r="L71" s="9">
        <v>6643.966542</v>
      </c>
      <c r="M71" s="15">
        <f t="shared" si="1"/>
        <v>265.7586617</v>
      </c>
      <c r="N71" s="16">
        <f t="shared" si="2"/>
        <v>0.003118844386</v>
      </c>
    </row>
    <row r="72">
      <c r="A72" s="5" t="s">
        <v>15</v>
      </c>
      <c r="B72" s="5" t="s">
        <v>16</v>
      </c>
      <c r="C72" s="5" t="s">
        <v>78</v>
      </c>
      <c r="D72" s="6" t="s">
        <v>518</v>
      </c>
      <c r="E72" s="5" t="s">
        <v>19</v>
      </c>
      <c r="F72" s="5" t="s">
        <v>52</v>
      </c>
      <c r="G72" s="5">
        <v>83854.0</v>
      </c>
      <c r="H72" s="5">
        <v>197.0</v>
      </c>
      <c r="I72" s="5">
        <v>60626.0</v>
      </c>
      <c r="J72" s="5">
        <v>76071.0</v>
      </c>
      <c r="K72" s="5">
        <v>15.0</v>
      </c>
      <c r="L72" s="9">
        <v>5783.843758</v>
      </c>
      <c r="M72" s="15">
        <f t="shared" si="1"/>
        <v>385.5895839</v>
      </c>
      <c r="N72" s="16">
        <f t="shared" si="2"/>
        <v>0.00234932144</v>
      </c>
    </row>
    <row r="73">
      <c r="A73" s="5" t="s">
        <v>15</v>
      </c>
      <c r="B73" s="5" t="s">
        <v>23</v>
      </c>
      <c r="C73" s="5" t="s">
        <v>35</v>
      </c>
      <c r="D73" s="6" t="s">
        <v>518</v>
      </c>
      <c r="E73" s="5" t="s">
        <v>117</v>
      </c>
      <c r="F73" s="5" t="s">
        <v>52</v>
      </c>
      <c r="G73" s="5">
        <v>25889.0</v>
      </c>
      <c r="H73" s="5">
        <v>110.0</v>
      </c>
      <c r="I73" s="5">
        <v>18382.0</v>
      </c>
      <c r="J73" s="5">
        <v>23328.0</v>
      </c>
      <c r="K73" s="5">
        <v>15.0</v>
      </c>
      <c r="L73" s="9">
        <v>4977.784794</v>
      </c>
      <c r="M73" s="15">
        <f t="shared" si="1"/>
        <v>331.8523196</v>
      </c>
      <c r="N73" s="16">
        <f t="shared" si="2"/>
        <v>0.004248908803</v>
      </c>
    </row>
    <row r="74">
      <c r="A74" s="5" t="s">
        <v>15</v>
      </c>
      <c r="B74" s="5" t="s">
        <v>42</v>
      </c>
      <c r="C74" s="5" t="s">
        <v>95</v>
      </c>
      <c r="D74" s="6" t="s">
        <v>518</v>
      </c>
      <c r="E74" s="5" t="s">
        <v>26</v>
      </c>
      <c r="F74" s="5" t="s">
        <v>52</v>
      </c>
      <c r="G74" s="5">
        <v>32173.0</v>
      </c>
      <c r="H74" s="5">
        <v>104.0</v>
      </c>
      <c r="I74" s="5">
        <v>24427.0</v>
      </c>
      <c r="J74" s="5">
        <v>30084.0</v>
      </c>
      <c r="K74" s="5">
        <v>11.0</v>
      </c>
      <c r="L74" s="9">
        <v>1498.29154</v>
      </c>
      <c r="M74" s="15">
        <f t="shared" si="1"/>
        <v>136.2083218</v>
      </c>
      <c r="N74" s="16">
        <f t="shared" si="2"/>
        <v>0.003232524166</v>
      </c>
    </row>
    <row r="75">
      <c r="A75" s="5" t="s">
        <v>15</v>
      </c>
      <c r="B75" s="5" t="s">
        <v>42</v>
      </c>
      <c r="C75" s="5" t="s">
        <v>29</v>
      </c>
      <c r="D75" s="6" t="s">
        <v>539</v>
      </c>
      <c r="E75" s="5" t="s">
        <v>19</v>
      </c>
      <c r="F75" s="5" t="s">
        <v>52</v>
      </c>
      <c r="G75" s="5">
        <v>32436.0</v>
      </c>
      <c r="H75" s="5">
        <v>56.0</v>
      </c>
      <c r="I75" s="5">
        <v>17531.0</v>
      </c>
      <c r="J75" s="5">
        <v>28429.0</v>
      </c>
      <c r="K75" s="5">
        <v>6.0</v>
      </c>
      <c r="L75" s="9">
        <v>1470.670167</v>
      </c>
      <c r="M75" s="15">
        <f t="shared" si="1"/>
        <v>245.1116945</v>
      </c>
      <c r="N75" s="16">
        <f t="shared" si="2"/>
        <v>0.001726476754</v>
      </c>
    </row>
    <row r="76">
      <c r="A76" s="5" t="s">
        <v>15</v>
      </c>
      <c r="B76" s="5" t="s">
        <v>31</v>
      </c>
      <c r="C76" s="5" t="s">
        <v>173</v>
      </c>
      <c r="D76" s="6" t="s">
        <v>578</v>
      </c>
      <c r="E76" s="5" t="s">
        <v>46</v>
      </c>
      <c r="F76" s="5" t="s">
        <v>20</v>
      </c>
      <c r="G76" s="5">
        <v>17645.0</v>
      </c>
      <c r="H76" s="5">
        <v>40.0</v>
      </c>
      <c r="I76" s="5">
        <v>9673.0</v>
      </c>
      <c r="J76" s="5">
        <v>15088.0</v>
      </c>
      <c r="K76" s="5">
        <v>15.0</v>
      </c>
      <c r="L76" s="9">
        <v>1591.772246</v>
      </c>
      <c r="M76" s="15">
        <f t="shared" si="1"/>
        <v>106.1181497</v>
      </c>
      <c r="N76" s="16">
        <f t="shared" si="2"/>
        <v>0.002266931142</v>
      </c>
    </row>
    <row r="77">
      <c r="A77" s="5" t="s">
        <v>15</v>
      </c>
      <c r="B77" s="5" t="s">
        <v>42</v>
      </c>
      <c r="C77" s="5" t="s">
        <v>17</v>
      </c>
      <c r="D77" s="6" t="s">
        <v>596</v>
      </c>
      <c r="E77" s="5" t="s">
        <v>19</v>
      </c>
      <c r="F77" s="5" t="s">
        <v>20</v>
      </c>
      <c r="G77" s="5">
        <v>39725.0</v>
      </c>
      <c r="H77" s="5">
        <v>144.0</v>
      </c>
      <c r="I77" s="5">
        <v>5402.0</v>
      </c>
      <c r="J77" s="5">
        <v>36080.0</v>
      </c>
      <c r="K77" s="5">
        <v>12.0</v>
      </c>
      <c r="L77" s="9">
        <v>6431.555152</v>
      </c>
      <c r="M77" s="15">
        <f t="shared" si="1"/>
        <v>535.9629293</v>
      </c>
      <c r="N77" s="16">
        <f t="shared" si="2"/>
        <v>0.003624921334</v>
      </c>
    </row>
    <row r="78">
      <c r="A78" s="5" t="s">
        <v>15</v>
      </c>
      <c r="B78" s="5" t="s">
        <v>23</v>
      </c>
      <c r="C78" s="5" t="s">
        <v>78</v>
      </c>
      <c r="D78" s="6" t="s">
        <v>598</v>
      </c>
      <c r="E78" s="5" t="s">
        <v>26</v>
      </c>
      <c r="F78" s="5" t="s">
        <v>52</v>
      </c>
      <c r="G78" s="5">
        <v>25206.0</v>
      </c>
      <c r="H78" s="5">
        <v>75.0</v>
      </c>
      <c r="I78" s="5">
        <v>3588.0</v>
      </c>
      <c r="J78" s="5">
        <v>23556.0</v>
      </c>
      <c r="K78" s="5">
        <v>19.0</v>
      </c>
      <c r="L78" s="9">
        <v>6846.356434</v>
      </c>
      <c r="M78" s="15">
        <f t="shared" si="1"/>
        <v>360.3345492</v>
      </c>
      <c r="N78" s="16">
        <f t="shared" si="2"/>
        <v>0.002975482028</v>
      </c>
    </row>
    <row r="79">
      <c r="A79" s="5" t="s">
        <v>15</v>
      </c>
      <c r="B79" s="5" t="s">
        <v>23</v>
      </c>
      <c r="C79" s="5" t="s">
        <v>29</v>
      </c>
      <c r="D79" s="6" t="s">
        <v>608</v>
      </c>
      <c r="E79" s="5" t="s">
        <v>1046</v>
      </c>
      <c r="F79" s="5" t="s">
        <v>52</v>
      </c>
      <c r="G79" s="5">
        <v>37076.0</v>
      </c>
      <c r="H79" s="5">
        <v>113.0</v>
      </c>
      <c r="I79" s="5">
        <v>9246.0</v>
      </c>
      <c r="J79" s="5">
        <v>22565.0</v>
      </c>
      <c r="K79" s="5">
        <v>12.0</v>
      </c>
      <c r="L79" s="9">
        <v>1487.996078</v>
      </c>
      <c r="M79" s="15">
        <f t="shared" si="1"/>
        <v>123.9996732</v>
      </c>
      <c r="N79" s="16">
        <f t="shared" si="2"/>
        <v>0.003047793721</v>
      </c>
    </row>
    <row r="80">
      <c r="A80" s="5" t="s">
        <v>15</v>
      </c>
      <c r="B80" s="5" t="s">
        <v>42</v>
      </c>
      <c r="C80" s="5" t="s">
        <v>131</v>
      </c>
      <c r="D80" s="6" t="s">
        <v>610</v>
      </c>
      <c r="E80" s="5" t="s">
        <v>26</v>
      </c>
      <c r="F80" s="5" t="s">
        <v>52</v>
      </c>
      <c r="G80" s="5">
        <v>70506.0</v>
      </c>
      <c r="H80" s="5">
        <v>270.0</v>
      </c>
      <c r="I80" s="5">
        <v>26779.0</v>
      </c>
      <c r="J80" s="5">
        <v>48902.0</v>
      </c>
      <c r="K80" s="5">
        <v>3.0</v>
      </c>
      <c r="L80" s="9">
        <v>1912.966882</v>
      </c>
      <c r="M80" s="15">
        <f t="shared" si="1"/>
        <v>637.6556273</v>
      </c>
      <c r="N80" s="16">
        <f t="shared" si="2"/>
        <v>0.003829461322</v>
      </c>
    </row>
    <row r="81">
      <c r="A81" s="5" t="s">
        <v>15</v>
      </c>
      <c r="B81" s="5" t="s">
        <v>23</v>
      </c>
      <c r="C81" s="5" t="s">
        <v>35</v>
      </c>
      <c r="D81" s="6" t="s">
        <v>612</v>
      </c>
      <c r="E81" s="5" t="s">
        <v>19</v>
      </c>
      <c r="F81" s="5" t="s">
        <v>20</v>
      </c>
      <c r="G81" s="5">
        <v>29834.0</v>
      </c>
      <c r="H81" s="5">
        <v>99.0</v>
      </c>
      <c r="I81" s="5">
        <v>14599.0</v>
      </c>
      <c r="J81" s="5">
        <v>24656.0</v>
      </c>
      <c r="K81" s="5">
        <v>14.0</v>
      </c>
      <c r="L81" s="9">
        <v>6032.837114</v>
      </c>
      <c r="M81" s="15">
        <f t="shared" si="1"/>
        <v>430.9169367</v>
      </c>
      <c r="N81" s="16">
        <f t="shared" si="2"/>
        <v>0.003318361601</v>
      </c>
    </row>
    <row r="82">
      <c r="A82" s="5" t="s">
        <v>15</v>
      </c>
      <c r="B82" s="5" t="s">
        <v>42</v>
      </c>
      <c r="C82" s="5" t="s">
        <v>183</v>
      </c>
      <c r="D82" s="6" t="s">
        <v>612</v>
      </c>
      <c r="E82" s="5" t="s">
        <v>161</v>
      </c>
      <c r="F82" s="5" t="s">
        <v>52</v>
      </c>
      <c r="G82" s="5">
        <v>117518.0</v>
      </c>
      <c r="H82" s="5">
        <v>299.0</v>
      </c>
      <c r="I82" s="5">
        <v>66458.0</v>
      </c>
      <c r="J82" s="5">
        <v>86571.0</v>
      </c>
      <c r="K82" s="5">
        <v>1.0</v>
      </c>
      <c r="L82" s="9">
        <v>5999.993781</v>
      </c>
      <c r="M82" s="15">
        <f t="shared" si="1"/>
        <v>5999.993781</v>
      </c>
      <c r="N82" s="16">
        <f t="shared" si="2"/>
        <v>0.002544291087</v>
      </c>
    </row>
    <row r="83">
      <c r="A83" s="5" t="s">
        <v>15</v>
      </c>
      <c r="B83" s="5" t="s">
        <v>42</v>
      </c>
      <c r="C83" s="5" t="s">
        <v>39</v>
      </c>
      <c r="D83" s="6" t="s">
        <v>612</v>
      </c>
      <c r="E83" s="5" t="s">
        <v>19</v>
      </c>
      <c r="F83" s="5" t="s">
        <v>52</v>
      </c>
      <c r="G83" s="5">
        <v>60412.0</v>
      </c>
      <c r="H83" s="5">
        <v>169.0</v>
      </c>
      <c r="I83" s="5">
        <v>33457.0</v>
      </c>
      <c r="J83" s="5">
        <v>52172.0</v>
      </c>
      <c r="K83" s="5">
        <v>24.0</v>
      </c>
      <c r="L83" s="9">
        <v>1679.572708</v>
      </c>
      <c r="M83" s="15">
        <f t="shared" si="1"/>
        <v>69.98219617</v>
      </c>
      <c r="N83" s="16">
        <f t="shared" si="2"/>
        <v>0.002797457459</v>
      </c>
    </row>
    <row r="84">
      <c r="A84" s="5" t="s">
        <v>15</v>
      </c>
      <c r="B84" s="5" t="s">
        <v>16</v>
      </c>
      <c r="C84" s="5" t="s">
        <v>35</v>
      </c>
      <c r="D84" s="6" t="s">
        <v>612</v>
      </c>
      <c r="E84" s="5" t="s">
        <v>46</v>
      </c>
      <c r="F84" s="5" t="s">
        <v>20</v>
      </c>
      <c r="G84" s="5">
        <v>96031.0</v>
      </c>
      <c r="H84" s="5">
        <v>311.0</v>
      </c>
      <c r="I84" s="5">
        <v>57187.0</v>
      </c>
      <c r="J84" s="5">
        <v>78396.0</v>
      </c>
      <c r="K84" s="5">
        <v>21.0</v>
      </c>
      <c r="L84" s="9">
        <v>1508.90767</v>
      </c>
      <c r="M84" s="15">
        <f t="shared" si="1"/>
        <v>71.85274619</v>
      </c>
      <c r="N84" s="16">
        <f t="shared" si="2"/>
        <v>0.003238537556</v>
      </c>
    </row>
    <row r="85">
      <c r="A85" s="5" t="s">
        <v>15</v>
      </c>
      <c r="B85" s="5" t="s">
        <v>31</v>
      </c>
      <c r="C85" s="5" t="s">
        <v>84</v>
      </c>
      <c r="D85" s="6" t="s">
        <v>643</v>
      </c>
      <c r="E85" s="5" t="s">
        <v>19</v>
      </c>
      <c r="F85" s="5" t="s">
        <v>20</v>
      </c>
      <c r="G85" s="5">
        <v>7470.0</v>
      </c>
      <c r="H85" s="5">
        <v>0.0</v>
      </c>
      <c r="I85" s="5">
        <v>6753.0</v>
      </c>
      <c r="J85" s="5">
        <v>7229.0</v>
      </c>
      <c r="K85" s="5">
        <v>1.0</v>
      </c>
      <c r="L85" s="9">
        <v>1738.995282</v>
      </c>
      <c r="M85" s="15">
        <f t="shared" si="1"/>
        <v>1738.995282</v>
      </c>
      <c r="N85" s="16">
        <f t="shared" si="2"/>
        <v>0</v>
      </c>
    </row>
    <row r="86">
      <c r="A86" s="5" t="s">
        <v>15</v>
      </c>
      <c r="B86" s="5" t="s">
        <v>16</v>
      </c>
      <c r="C86" s="5" t="s">
        <v>78</v>
      </c>
      <c r="D86" s="6" t="s">
        <v>654</v>
      </c>
      <c r="E86" s="5" t="s">
        <v>19</v>
      </c>
      <c r="F86" s="5" t="s">
        <v>20</v>
      </c>
      <c r="G86" s="5">
        <v>50517.0</v>
      </c>
      <c r="H86" s="5">
        <v>270.0</v>
      </c>
      <c r="I86" s="5">
        <v>17179.0</v>
      </c>
      <c r="J86" s="5">
        <v>48389.0</v>
      </c>
      <c r="K86" s="5">
        <v>2.0</v>
      </c>
      <c r="L86" s="9">
        <v>1718.471077</v>
      </c>
      <c r="M86" s="15">
        <f t="shared" si="1"/>
        <v>859.2355385</v>
      </c>
      <c r="N86" s="16">
        <f t="shared" si="2"/>
        <v>0.005344735436</v>
      </c>
    </row>
    <row r="87">
      <c r="A87" s="5" t="s">
        <v>15</v>
      </c>
      <c r="B87" s="5" t="s">
        <v>42</v>
      </c>
      <c r="C87" s="5" t="s">
        <v>183</v>
      </c>
      <c r="D87" s="6" t="s">
        <v>678</v>
      </c>
      <c r="E87" s="5" t="s">
        <v>19</v>
      </c>
      <c r="F87" s="5" t="s">
        <v>20</v>
      </c>
      <c r="G87" s="5">
        <v>7695.0</v>
      </c>
      <c r="H87" s="5">
        <v>20.0</v>
      </c>
      <c r="I87" s="5">
        <v>3481.0</v>
      </c>
      <c r="J87" s="5">
        <v>7050.0</v>
      </c>
      <c r="K87" s="5">
        <v>14.0</v>
      </c>
      <c r="L87" s="9">
        <v>6727.440499</v>
      </c>
      <c r="M87" s="15">
        <f t="shared" si="1"/>
        <v>480.5314642</v>
      </c>
      <c r="N87" s="16">
        <f t="shared" si="2"/>
        <v>0.002599090318</v>
      </c>
    </row>
    <row r="88">
      <c r="A88" s="5" t="s">
        <v>15</v>
      </c>
      <c r="B88" s="5" t="s">
        <v>16</v>
      </c>
      <c r="C88" s="5" t="s">
        <v>95</v>
      </c>
      <c r="D88" s="6" t="s">
        <v>686</v>
      </c>
      <c r="E88" s="5" t="s">
        <v>26</v>
      </c>
      <c r="F88" s="5" t="s">
        <v>20</v>
      </c>
      <c r="G88" s="5">
        <v>73567.0</v>
      </c>
      <c r="H88" s="5">
        <v>197.0</v>
      </c>
      <c r="I88" s="5">
        <v>28800.0</v>
      </c>
      <c r="J88" s="5">
        <v>68566.0</v>
      </c>
      <c r="K88" s="5">
        <v>2.0</v>
      </c>
      <c r="L88" s="9">
        <v>1567.366071</v>
      </c>
      <c r="M88" s="15">
        <f t="shared" si="1"/>
        <v>783.6830355</v>
      </c>
      <c r="N88" s="16">
        <f t="shared" si="2"/>
        <v>0.002677831093</v>
      </c>
    </row>
    <row r="89">
      <c r="A89" s="5" t="s">
        <v>15</v>
      </c>
      <c r="B89" s="5" t="s">
        <v>42</v>
      </c>
      <c r="C89" s="5" t="s">
        <v>17</v>
      </c>
      <c r="D89" s="6" t="s">
        <v>702</v>
      </c>
      <c r="E89" s="5" t="s">
        <v>19</v>
      </c>
      <c r="F89" s="5" t="s">
        <v>52</v>
      </c>
      <c r="G89" s="5">
        <v>102958.0</v>
      </c>
      <c r="H89" s="5">
        <v>320.0</v>
      </c>
      <c r="I89" s="5">
        <v>86884.0</v>
      </c>
      <c r="J89" s="5">
        <v>94687.0</v>
      </c>
      <c r="K89" s="5">
        <v>12.0</v>
      </c>
      <c r="L89" s="9">
        <v>6624.221175</v>
      </c>
      <c r="M89" s="15">
        <f t="shared" si="1"/>
        <v>552.0184313</v>
      </c>
      <c r="N89" s="16">
        <f t="shared" si="2"/>
        <v>0.003108063482</v>
      </c>
    </row>
    <row r="90">
      <c r="A90" s="5" t="s">
        <v>15</v>
      </c>
      <c r="B90" s="5" t="s">
        <v>23</v>
      </c>
      <c r="C90" s="5" t="s">
        <v>35</v>
      </c>
      <c r="D90" s="6" t="s">
        <v>702</v>
      </c>
      <c r="E90" s="5" t="s">
        <v>50</v>
      </c>
      <c r="F90" s="5" t="s">
        <v>20</v>
      </c>
      <c r="G90" s="5">
        <v>42755.0</v>
      </c>
      <c r="H90" s="5">
        <v>117.0</v>
      </c>
      <c r="I90" s="5">
        <v>36503.0</v>
      </c>
      <c r="J90" s="5">
        <v>40051.0</v>
      </c>
      <c r="K90" s="5">
        <v>12.0</v>
      </c>
      <c r="L90" s="9">
        <v>6550.30297</v>
      </c>
      <c r="M90" s="15">
        <f t="shared" si="1"/>
        <v>545.8585808</v>
      </c>
      <c r="N90" s="16">
        <f t="shared" si="2"/>
        <v>0.002736522044</v>
      </c>
    </row>
    <row r="91">
      <c r="A91" s="5" t="s">
        <v>15</v>
      </c>
      <c r="B91" s="5" t="s">
        <v>42</v>
      </c>
      <c r="C91" s="5" t="s">
        <v>78</v>
      </c>
      <c r="D91" s="6" t="s">
        <v>702</v>
      </c>
      <c r="E91" s="5" t="s">
        <v>19</v>
      </c>
      <c r="F91" s="5" t="s">
        <v>20</v>
      </c>
      <c r="G91" s="5">
        <v>50183.0</v>
      </c>
      <c r="H91" s="5">
        <v>199.0</v>
      </c>
      <c r="I91" s="5">
        <v>41506.0</v>
      </c>
      <c r="J91" s="5">
        <v>46163.0</v>
      </c>
      <c r="K91" s="5">
        <v>15.0</v>
      </c>
      <c r="L91" s="9">
        <v>1628.882813</v>
      </c>
      <c r="M91" s="15">
        <f t="shared" si="1"/>
        <v>108.5921875</v>
      </c>
      <c r="N91" s="16">
        <f t="shared" si="2"/>
        <v>0.00396548632</v>
      </c>
    </row>
    <row r="92">
      <c r="A92" s="5" t="s">
        <v>15</v>
      </c>
      <c r="B92" s="5" t="s">
        <v>31</v>
      </c>
      <c r="C92" s="5" t="s">
        <v>29</v>
      </c>
      <c r="D92" s="6" t="s">
        <v>702</v>
      </c>
      <c r="E92" s="5" t="s">
        <v>46</v>
      </c>
      <c r="F92" s="5" t="s">
        <v>20</v>
      </c>
      <c r="G92" s="5">
        <v>87245.0</v>
      </c>
      <c r="H92" s="5">
        <v>350.0</v>
      </c>
      <c r="I92" s="5">
        <v>71903.0</v>
      </c>
      <c r="J92" s="5">
        <v>80390.0</v>
      </c>
      <c r="K92" s="5">
        <v>2.0</v>
      </c>
      <c r="L92" s="9">
        <v>1500.838771</v>
      </c>
      <c r="M92" s="15">
        <f t="shared" si="1"/>
        <v>750.4193855</v>
      </c>
      <c r="N92" s="16">
        <f t="shared" si="2"/>
        <v>0.004011691214</v>
      </c>
    </row>
    <row r="93">
      <c r="A93" s="5" t="s">
        <v>15</v>
      </c>
      <c r="B93" s="5" t="s">
        <v>42</v>
      </c>
      <c r="C93" s="5" t="s">
        <v>35</v>
      </c>
      <c r="D93" s="6" t="s">
        <v>718</v>
      </c>
      <c r="E93" s="5" t="s">
        <v>19</v>
      </c>
      <c r="F93" s="5" t="s">
        <v>52</v>
      </c>
      <c r="G93" s="5">
        <v>24962.0</v>
      </c>
      <c r="H93" s="5">
        <v>75.0</v>
      </c>
      <c r="I93" s="5">
        <v>18450.0</v>
      </c>
      <c r="J93" s="5">
        <v>24128.0</v>
      </c>
      <c r="K93" s="5">
        <v>16.0</v>
      </c>
      <c r="L93" s="9">
        <v>6809.056051</v>
      </c>
      <c r="M93" s="15">
        <f t="shared" si="1"/>
        <v>425.5660032</v>
      </c>
      <c r="N93" s="16">
        <f t="shared" si="2"/>
        <v>0.003004566942</v>
      </c>
    </row>
    <row r="94">
      <c r="A94" s="5" t="s">
        <v>15</v>
      </c>
      <c r="B94" s="5" t="s">
        <v>23</v>
      </c>
      <c r="C94" s="5" t="s">
        <v>17</v>
      </c>
      <c r="D94" s="6" t="s">
        <v>723</v>
      </c>
      <c r="E94" s="5" t="s">
        <v>19</v>
      </c>
      <c r="F94" s="5" t="s">
        <v>52</v>
      </c>
      <c r="G94" s="5">
        <v>31625.0</v>
      </c>
      <c r="H94" s="5">
        <v>99.0</v>
      </c>
      <c r="I94" s="5">
        <v>23764.0</v>
      </c>
      <c r="J94" s="5">
        <v>29364.0</v>
      </c>
      <c r="K94" s="5">
        <v>6.0</v>
      </c>
      <c r="L94" s="9">
        <v>2360.555244</v>
      </c>
      <c r="M94" s="15">
        <f t="shared" si="1"/>
        <v>393.425874</v>
      </c>
      <c r="N94" s="16">
        <f t="shared" si="2"/>
        <v>0.003130434783</v>
      </c>
    </row>
    <row r="95">
      <c r="A95" s="5" t="s">
        <v>15</v>
      </c>
      <c r="B95" s="5" t="s">
        <v>23</v>
      </c>
      <c r="C95" s="5" t="s">
        <v>55</v>
      </c>
      <c r="D95" s="6" t="s">
        <v>732</v>
      </c>
      <c r="E95" s="5" t="s">
        <v>19</v>
      </c>
      <c r="F95" s="5" t="s">
        <v>52</v>
      </c>
      <c r="G95" s="5">
        <v>22501.0</v>
      </c>
      <c r="H95" s="5">
        <v>120.0</v>
      </c>
      <c r="I95" s="5">
        <v>13003.0</v>
      </c>
      <c r="J95" s="5">
        <v>21286.0</v>
      </c>
      <c r="K95" s="5">
        <v>9.0</v>
      </c>
      <c r="L95" s="9">
        <v>1522.517949</v>
      </c>
      <c r="M95" s="15">
        <f t="shared" si="1"/>
        <v>169.168661</v>
      </c>
      <c r="N95" s="16">
        <f t="shared" si="2"/>
        <v>0.005333096307</v>
      </c>
    </row>
    <row r="96">
      <c r="A96" s="5" t="s">
        <v>15</v>
      </c>
      <c r="B96" s="5" t="s">
        <v>16</v>
      </c>
      <c r="C96" s="5" t="s">
        <v>32</v>
      </c>
      <c r="D96" s="6" t="s">
        <v>735</v>
      </c>
      <c r="E96" s="5" t="s">
        <v>117</v>
      </c>
      <c r="F96" s="5" t="s">
        <v>20</v>
      </c>
      <c r="G96" s="5">
        <v>123430.0</v>
      </c>
      <c r="H96" s="5">
        <v>360.0</v>
      </c>
      <c r="I96" s="5">
        <v>45294.0</v>
      </c>
      <c r="J96" s="5">
        <v>77646.0</v>
      </c>
      <c r="K96" s="5">
        <v>15.0</v>
      </c>
      <c r="L96" s="9">
        <v>6808.562584</v>
      </c>
      <c r="M96" s="15">
        <f t="shared" si="1"/>
        <v>453.9041723</v>
      </c>
      <c r="N96" s="16">
        <f t="shared" si="2"/>
        <v>0.002916632909</v>
      </c>
    </row>
    <row r="97">
      <c r="A97" s="5" t="s">
        <v>15</v>
      </c>
      <c r="B97" s="5" t="s">
        <v>42</v>
      </c>
      <c r="C97" s="5" t="s">
        <v>1095</v>
      </c>
      <c r="D97" s="6" t="s">
        <v>735</v>
      </c>
      <c r="E97" s="5" t="s">
        <v>36</v>
      </c>
      <c r="F97" s="5" t="s">
        <v>52</v>
      </c>
      <c r="G97" s="5">
        <v>16669.0</v>
      </c>
      <c r="H97" s="5">
        <v>26.0</v>
      </c>
      <c r="I97" s="5">
        <v>10961.0</v>
      </c>
      <c r="J97" s="5">
        <v>15451.0</v>
      </c>
      <c r="K97" s="5">
        <v>5.0</v>
      </c>
      <c r="L97" s="9">
        <v>1658.358536</v>
      </c>
      <c r="M97" s="15">
        <f t="shared" si="1"/>
        <v>331.6717072</v>
      </c>
      <c r="N97" s="16">
        <f t="shared" si="2"/>
        <v>0.001559781631</v>
      </c>
    </row>
    <row r="98">
      <c r="A98" s="5" t="s">
        <v>15</v>
      </c>
      <c r="B98" s="5" t="s">
        <v>23</v>
      </c>
      <c r="C98" s="5" t="s">
        <v>17</v>
      </c>
      <c r="D98" s="6" t="s">
        <v>740</v>
      </c>
      <c r="E98" s="5" t="s">
        <v>46</v>
      </c>
      <c r="F98" s="5" t="s">
        <v>52</v>
      </c>
      <c r="G98" s="5">
        <v>65243.0</v>
      </c>
      <c r="H98" s="5">
        <v>120.0</v>
      </c>
      <c r="I98" s="5">
        <v>39543.0</v>
      </c>
      <c r="J98" s="5">
        <v>54290.0</v>
      </c>
      <c r="K98" s="5">
        <v>4.0</v>
      </c>
      <c r="L98" s="9">
        <v>3754.685247</v>
      </c>
      <c r="M98" s="15">
        <f t="shared" si="1"/>
        <v>938.6713118</v>
      </c>
      <c r="N98" s="16">
        <f t="shared" si="2"/>
        <v>0.001839277777</v>
      </c>
    </row>
    <row r="99">
      <c r="A99" s="5" t="s">
        <v>15</v>
      </c>
      <c r="B99" s="5" t="s">
        <v>23</v>
      </c>
      <c r="C99" s="5" t="s">
        <v>78</v>
      </c>
      <c r="D99" s="6" t="s">
        <v>743</v>
      </c>
      <c r="E99" s="5" t="s">
        <v>46</v>
      </c>
      <c r="F99" s="5" t="s">
        <v>52</v>
      </c>
      <c r="G99" s="5">
        <v>109372.0</v>
      </c>
      <c r="H99" s="5">
        <v>364.0</v>
      </c>
      <c r="I99" s="5">
        <v>58336.0</v>
      </c>
      <c r="J99" s="5">
        <v>103569.0</v>
      </c>
      <c r="K99" s="5">
        <v>21.0</v>
      </c>
      <c r="L99" s="9">
        <v>6928.006202</v>
      </c>
      <c r="M99" s="15">
        <f t="shared" si="1"/>
        <v>329.9050572</v>
      </c>
      <c r="N99" s="16">
        <f t="shared" si="2"/>
        <v>0.003328091285</v>
      </c>
    </row>
    <row r="100">
      <c r="A100" s="5" t="s">
        <v>15</v>
      </c>
      <c r="B100" s="5" t="s">
        <v>42</v>
      </c>
      <c r="C100" s="5" t="s">
        <v>35</v>
      </c>
      <c r="D100" s="6" t="s">
        <v>743</v>
      </c>
      <c r="E100" s="5" t="s">
        <v>117</v>
      </c>
      <c r="F100" s="5" t="s">
        <v>52</v>
      </c>
      <c r="G100" s="5">
        <v>16978.0</v>
      </c>
      <c r="H100" s="5">
        <v>30.0</v>
      </c>
      <c r="I100" s="5">
        <v>8367.0</v>
      </c>
      <c r="J100" s="5">
        <v>15731.0</v>
      </c>
      <c r="K100" s="5">
        <v>9.0</v>
      </c>
      <c r="L100" s="9">
        <v>5886.071146</v>
      </c>
      <c r="M100" s="15">
        <f t="shared" si="1"/>
        <v>654.0079051</v>
      </c>
      <c r="N100" s="16">
        <f t="shared" si="2"/>
        <v>0.001766992579</v>
      </c>
    </row>
    <row r="101">
      <c r="A101" s="5" t="s">
        <v>15</v>
      </c>
      <c r="B101" s="5" t="s">
        <v>42</v>
      </c>
      <c r="C101" s="5" t="s">
        <v>35</v>
      </c>
      <c r="D101" s="6" t="s">
        <v>743</v>
      </c>
      <c r="E101" s="5" t="s">
        <v>46</v>
      </c>
      <c r="F101" s="5" t="s">
        <v>20</v>
      </c>
      <c r="G101" s="5">
        <v>10815.0</v>
      </c>
      <c r="H101" s="5">
        <v>25.0</v>
      </c>
      <c r="I101" s="5">
        <v>4321.0</v>
      </c>
      <c r="J101" s="5">
        <v>9646.0</v>
      </c>
      <c r="K101" s="5">
        <v>2.0</v>
      </c>
      <c r="L101" s="9">
        <v>4921.594843</v>
      </c>
      <c r="M101" s="15">
        <f t="shared" si="1"/>
        <v>2460.797422</v>
      </c>
      <c r="N101" s="16">
        <f t="shared" si="2"/>
        <v>0.002311604253</v>
      </c>
    </row>
    <row r="102">
      <c r="A102" s="5" t="s">
        <v>15</v>
      </c>
      <c r="B102" s="5" t="s">
        <v>42</v>
      </c>
      <c r="C102" s="5" t="s">
        <v>240</v>
      </c>
      <c r="D102" s="6" t="s">
        <v>743</v>
      </c>
      <c r="E102" s="5" t="s">
        <v>50</v>
      </c>
      <c r="F102" s="5" t="s">
        <v>20</v>
      </c>
      <c r="G102" s="5">
        <v>114194.0</v>
      </c>
      <c r="H102" s="5">
        <v>380.0</v>
      </c>
      <c r="I102" s="5">
        <v>50923.0</v>
      </c>
      <c r="J102" s="5">
        <v>104074.0</v>
      </c>
      <c r="K102" s="5">
        <v>2.0</v>
      </c>
      <c r="L102" s="9">
        <v>4036.089376</v>
      </c>
      <c r="M102" s="15">
        <f t="shared" si="1"/>
        <v>2018.044688</v>
      </c>
      <c r="N102" s="16">
        <f t="shared" si="2"/>
        <v>0.003327670456</v>
      </c>
    </row>
    <row r="103">
      <c r="A103" s="5" t="s">
        <v>15</v>
      </c>
      <c r="B103" s="5" t="s">
        <v>16</v>
      </c>
      <c r="C103" s="5" t="s">
        <v>173</v>
      </c>
      <c r="D103" s="6" t="s">
        <v>743</v>
      </c>
      <c r="E103" s="5" t="s">
        <v>26</v>
      </c>
      <c r="F103" s="5" t="s">
        <v>20</v>
      </c>
      <c r="G103" s="5">
        <v>65043.0</v>
      </c>
      <c r="H103" s="5">
        <v>160.0</v>
      </c>
      <c r="I103" s="5">
        <v>25871.0</v>
      </c>
      <c r="J103" s="5">
        <v>53969.0</v>
      </c>
      <c r="K103" s="5">
        <v>4.0</v>
      </c>
      <c r="L103" s="9">
        <v>2347.918531</v>
      </c>
      <c r="M103" s="15">
        <f t="shared" si="1"/>
        <v>586.9796328</v>
      </c>
      <c r="N103" s="16">
        <f t="shared" si="2"/>
        <v>0.002459911136</v>
      </c>
    </row>
    <row r="104">
      <c r="A104" s="5" t="s">
        <v>15</v>
      </c>
      <c r="B104" s="5" t="s">
        <v>31</v>
      </c>
      <c r="C104" s="5" t="s">
        <v>35</v>
      </c>
      <c r="D104" s="6" t="s">
        <v>743</v>
      </c>
      <c r="E104" s="5" t="s">
        <v>19</v>
      </c>
      <c r="F104" s="5" t="s">
        <v>20</v>
      </c>
      <c r="G104" s="5">
        <v>48892.0</v>
      </c>
      <c r="H104" s="5">
        <v>110.0</v>
      </c>
      <c r="I104" s="5">
        <v>32060.0</v>
      </c>
      <c r="J104" s="5">
        <v>45251.0</v>
      </c>
      <c r="K104" s="5">
        <v>9.0</v>
      </c>
      <c r="L104" s="9">
        <v>1978.609661</v>
      </c>
      <c r="M104" s="15">
        <f t="shared" si="1"/>
        <v>219.8455179</v>
      </c>
      <c r="N104" s="16">
        <f t="shared" si="2"/>
        <v>0.002249856827</v>
      </c>
    </row>
    <row r="105">
      <c r="A105" s="5" t="s">
        <v>15</v>
      </c>
      <c r="B105" s="5" t="s">
        <v>23</v>
      </c>
      <c r="C105" s="5" t="s">
        <v>39</v>
      </c>
      <c r="D105" s="6" t="s">
        <v>743</v>
      </c>
      <c r="E105" s="5" t="s">
        <v>46</v>
      </c>
      <c r="F105" s="5" t="s">
        <v>20</v>
      </c>
      <c r="G105" s="5">
        <v>49412.0</v>
      </c>
      <c r="H105" s="5">
        <v>170.0</v>
      </c>
      <c r="I105" s="5">
        <v>22155.0</v>
      </c>
      <c r="J105" s="5">
        <v>43802.0</v>
      </c>
      <c r="K105" s="5">
        <v>3.0</v>
      </c>
      <c r="L105" s="9">
        <v>1595.659466</v>
      </c>
      <c r="M105" s="15">
        <f t="shared" si="1"/>
        <v>531.8864887</v>
      </c>
      <c r="N105" s="16">
        <f t="shared" si="2"/>
        <v>0.003440459807</v>
      </c>
    </row>
    <row r="106">
      <c r="A106" s="5" t="s">
        <v>15</v>
      </c>
      <c r="B106" s="5" t="s">
        <v>16</v>
      </c>
      <c r="C106" s="5" t="s">
        <v>32</v>
      </c>
      <c r="D106" s="6" t="s">
        <v>743</v>
      </c>
      <c r="E106" s="5" t="s">
        <v>26</v>
      </c>
      <c r="F106" s="5" t="s">
        <v>20</v>
      </c>
      <c r="G106" s="5">
        <v>11269.0</v>
      </c>
      <c r="H106" s="5">
        <v>63.0</v>
      </c>
      <c r="I106" s="5">
        <v>4992.0</v>
      </c>
      <c r="J106" s="5">
        <v>10245.0</v>
      </c>
      <c r="K106" s="5">
        <v>3.0</v>
      </c>
      <c r="L106" s="9">
        <v>1576.38921</v>
      </c>
      <c r="M106" s="15">
        <f t="shared" si="1"/>
        <v>525.46307</v>
      </c>
      <c r="N106" s="16">
        <f t="shared" si="2"/>
        <v>0.005590558168</v>
      </c>
    </row>
    <row r="107">
      <c r="A107" s="5" t="s">
        <v>15</v>
      </c>
      <c r="B107" s="5" t="s">
        <v>23</v>
      </c>
      <c r="C107" s="5" t="s">
        <v>55</v>
      </c>
      <c r="D107" s="6" t="s">
        <v>770</v>
      </c>
      <c r="E107" s="5" t="s">
        <v>19</v>
      </c>
      <c r="F107" s="5" t="s">
        <v>52</v>
      </c>
      <c r="G107" s="5">
        <v>219088.0</v>
      </c>
      <c r="H107" s="5">
        <v>541.0</v>
      </c>
      <c r="I107" s="5">
        <v>75638.0</v>
      </c>
      <c r="J107" s="5">
        <v>153987.0</v>
      </c>
      <c r="K107" s="5">
        <v>17.0</v>
      </c>
      <c r="L107" s="9">
        <v>6761.073824</v>
      </c>
      <c r="M107" s="15">
        <f t="shared" si="1"/>
        <v>397.7102249</v>
      </c>
      <c r="N107" s="16">
        <f t="shared" si="2"/>
        <v>0.002469327394</v>
      </c>
    </row>
    <row r="108">
      <c r="A108" s="5" t="s">
        <v>15</v>
      </c>
      <c r="B108" s="5" t="s">
        <v>42</v>
      </c>
      <c r="C108" s="5" t="s">
        <v>204</v>
      </c>
      <c r="D108" s="6" t="s">
        <v>772</v>
      </c>
      <c r="E108" s="5" t="s">
        <v>19</v>
      </c>
      <c r="F108" s="5" t="s">
        <v>52</v>
      </c>
      <c r="G108" s="5">
        <v>34278.0</v>
      </c>
      <c r="H108" s="5">
        <v>100.0</v>
      </c>
      <c r="I108" s="5">
        <v>3704.0</v>
      </c>
      <c r="J108" s="5">
        <v>30227.0</v>
      </c>
      <c r="K108" s="5">
        <v>6.0</v>
      </c>
      <c r="L108" s="9">
        <v>1689.083186</v>
      </c>
      <c r="M108" s="15">
        <f t="shared" si="1"/>
        <v>281.5138643</v>
      </c>
      <c r="N108" s="16">
        <f t="shared" si="2"/>
        <v>0.002917323064</v>
      </c>
    </row>
    <row r="109">
      <c r="A109" s="5" t="s">
        <v>15</v>
      </c>
      <c r="B109" s="5" t="s">
        <v>31</v>
      </c>
      <c r="C109" s="5" t="s">
        <v>78</v>
      </c>
      <c r="D109" s="6" t="s">
        <v>781</v>
      </c>
      <c r="E109" s="5" t="s">
        <v>19</v>
      </c>
      <c r="F109" s="5" t="s">
        <v>52</v>
      </c>
      <c r="G109" s="5">
        <v>33650.0</v>
      </c>
      <c r="H109" s="5">
        <v>100.0</v>
      </c>
      <c r="I109" s="5">
        <v>15621.0</v>
      </c>
      <c r="J109" s="5">
        <v>32539.0</v>
      </c>
      <c r="K109" s="5">
        <v>9.0</v>
      </c>
      <c r="L109" s="9">
        <v>3844.991165</v>
      </c>
      <c r="M109" s="15">
        <f t="shared" si="1"/>
        <v>427.2212406</v>
      </c>
      <c r="N109" s="16">
        <f t="shared" si="2"/>
        <v>0.002971768202</v>
      </c>
    </row>
    <row r="110">
      <c r="A110" s="5" t="s">
        <v>15</v>
      </c>
      <c r="B110" s="5" t="s">
        <v>16</v>
      </c>
      <c r="C110" s="5" t="s">
        <v>35</v>
      </c>
      <c r="D110" s="6" t="s">
        <v>787</v>
      </c>
      <c r="E110" s="5" t="s">
        <v>19</v>
      </c>
      <c r="F110" s="5" t="s">
        <v>52</v>
      </c>
      <c r="G110" s="5">
        <v>26415.0</v>
      </c>
      <c r="H110" s="5">
        <v>60.0</v>
      </c>
      <c r="I110" s="5">
        <v>13791.0</v>
      </c>
      <c r="J110" s="5">
        <v>25315.0</v>
      </c>
      <c r="K110" s="5">
        <v>11.0</v>
      </c>
      <c r="L110" s="9">
        <v>6450.918637</v>
      </c>
      <c r="M110" s="15">
        <f t="shared" si="1"/>
        <v>586.4471488</v>
      </c>
      <c r="N110" s="16">
        <f t="shared" si="2"/>
        <v>0.002271436684</v>
      </c>
    </row>
    <row r="111">
      <c r="A111" s="5" t="s">
        <v>15</v>
      </c>
      <c r="B111" s="5" t="s">
        <v>42</v>
      </c>
      <c r="C111" s="5" t="s">
        <v>35</v>
      </c>
      <c r="D111" s="6" t="s">
        <v>795</v>
      </c>
      <c r="E111" s="5" t="s">
        <v>19</v>
      </c>
      <c r="F111" s="5" t="s">
        <v>52</v>
      </c>
      <c r="G111" s="5">
        <v>62040.0</v>
      </c>
      <c r="H111" s="5">
        <v>174.0</v>
      </c>
      <c r="I111" s="5">
        <v>43853.0</v>
      </c>
      <c r="J111" s="5">
        <v>58642.0</v>
      </c>
      <c r="K111" s="5">
        <v>15.0</v>
      </c>
      <c r="L111" s="9">
        <v>2139.065793</v>
      </c>
      <c r="M111" s="15">
        <f t="shared" si="1"/>
        <v>142.6043862</v>
      </c>
      <c r="N111" s="16">
        <f t="shared" si="2"/>
        <v>0.002804642166</v>
      </c>
    </row>
    <row r="112">
      <c r="A112" s="5" t="s">
        <v>15</v>
      </c>
      <c r="B112" s="5" t="s">
        <v>42</v>
      </c>
      <c r="C112" s="5" t="s">
        <v>173</v>
      </c>
      <c r="D112" s="6" t="s">
        <v>795</v>
      </c>
      <c r="E112" s="5" t="s">
        <v>191</v>
      </c>
      <c r="F112" s="5" t="s">
        <v>52</v>
      </c>
      <c r="G112" s="5">
        <v>35043.0</v>
      </c>
      <c r="H112" s="5">
        <v>140.0</v>
      </c>
      <c r="I112" s="5">
        <v>20942.0</v>
      </c>
      <c r="J112" s="5">
        <v>33479.0</v>
      </c>
      <c r="K112" s="5">
        <v>24.0</v>
      </c>
      <c r="L112" s="9">
        <v>1527.97628</v>
      </c>
      <c r="M112" s="15">
        <f t="shared" si="1"/>
        <v>63.66567833</v>
      </c>
      <c r="N112" s="16">
        <f t="shared" si="2"/>
        <v>0.003995091744</v>
      </c>
    </row>
    <row r="113">
      <c r="A113" s="5" t="s">
        <v>15</v>
      </c>
      <c r="B113" s="5" t="s">
        <v>23</v>
      </c>
      <c r="C113" s="5" t="s">
        <v>24</v>
      </c>
      <c r="D113" s="6" t="s">
        <v>803</v>
      </c>
      <c r="E113" s="5" t="s">
        <v>48</v>
      </c>
      <c r="F113" s="5" t="s">
        <v>52</v>
      </c>
      <c r="G113" s="5">
        <v>16325.0</v>
      </c>
      <c r="H113" s="5">
        <v>78.0</v>
      </c>
      <c r="I113" s="5">
        <v>9558.0</v>
      </c>
      <c r="J113" s="5">
        <v>15426.0</v>
      </c>
      <c r="K113" s="5">
        <v>21.0</v>
      </c>
      <c r="L113" s="9">
        <v>1814.098581</v>
      </c>
      <c r="M113" s="15">
        <f t="shared" si="1"/>
        <v>86.38564671</v>
      </c>
      <c r="N113" s="16">
        <f t="shared" si="2"/>
        <v>0.004777947933</v>
      </c>
    </row>
    <row r="114">
      <c r="A114" s="5" t="s">
        <v>15</v>
      </c>
      <c r="B114" s="5" t="s">
        <v>23</v>
      </c>
      <c r="C114" s="5" t="s">
        <v>17</v>
      </c>
      <c r="D114" s="13" t="s">
        <v>1552</v>
      </c>
      <c r="E114" s="5" t="s">
        <v>36</v>
      </c>
      <c r="F114" s="5" t="s">
        <v>20</v>
      </c>
      <c r="G114" s="5">
        <v>7965.0</v>
      </c>
      <c r="H114" s="5">
        <v>50.0</v>
      </c>
      <c r="I114" s="5">
        <v>5230.0</v>
      </c>
      <c r="J114" s="5">
        <v>6923.0</v>
      </c>
      <c r="K114" s="5">
        <v>10.0</v>
      </c>
      <c r="L114" s="9">
        <v>6298.513929</v>
      </c>
      <c r="M114" s="15">
        <f t="shared" si="1"/>
        <v>629.8513929</v>
      </c>
      <c r="N114" s="16">
        <f t="shared" si="2"/>
        <v>0.006277463905</v>
      </c>
    </row>
    <row r="115">
      <c r="A115" s="5" t="s">
        <v>15</v>
      </c>
      <c r="B115" s="5" t="s">
        <v>16</v>
      </c>
      <c r="C115" s="5" t="s">
        <v>150</v>
      </c>
      <c r="D115" s="13" t="s">
        <v>1552</v>
      </c>
      <c r="E115" s="5" t="s">
        <v>19</v>
      </c>
      <c r="F115" s="5" t="s">
        <v>20</v>
      </c>
      <c r="G115" s="5">
        <v>21599.0</v>
      </c>
      <c r="H115" s="5">
        <v>66.0</v>
      </c>
      <c r="I115" s="5">
        <v>13600.0</v>
      </c>
      <c r="J115" s="5">
        <v>20256.0</v>
      </c>
      <c r="K115" s="5">
        <v>9.0</v>
      </c>
      <c r="L115" s="9">
        <v>5551.387415</v>
      </c>
      <c r="M115" s="15">
        <f t="shared" si="1"/>
        <v>616.8208239</v>
      </c>
      <c r="N115" s="16">
        <f t="shared" si="2"/>
        <v>0.003055697023</v>
      </c>
    </row>
    <row r="116">
      <c r="A116" s="5" t="s">
        <v>15</v>
      </c>
      <c r="B116" s="5" t="s">
        <v>23</v>
      </c>
      <c r="C116" s="5" t="s">
        <v>35</v>
      </c>
      <c r="D116" s="13" t="s">
        <v>1552</v>
      </c>
      <c r="E116" s="5" t="s">
        <v>36</v>
      </c>
      <c r="F116" s="5" t="s">
        <v>52</v>
      </c>
      <c r="G116" s="5">
        <v>35335.0</v>
      </c>
      <c r="H116" s="5">
        <v>120.0</v>
      </c>
      <c r="I116" s="5">
        <v>22566.0</v>
      </c>
      <c r="J116" s="5">
        <v>30685.0</v>
      </c>
      <c r="K116" s="5">
        <v>15.0</v>
      </c>
      <c r="L116" s="9">
        <v>1866.34747</v>
      </c>
      <c r="M116" s="15">
        <f t="shared" si="1"/>
        <v>124.4231647</v>
      </c>
      <c r="N116" s="16">
        <f t="shared" si="2"/>
        <v>0.003396066223</v>
      </c>
    </row>
    <row r="117">
      <c r="A117" s="5" t="s">
        <v>15</v>
      </c>
      <c r="B117" s="5" t="s">
        <v>23</v>
      </c>
      <c r="C117" s="5" t="s">
        <v>35</v>
      </c>
      <c r="D117" s="6" t="s">
        <v>819</v>
      </c>
      <c r="E117" s="5" t="s">
        <v>48</v>
      </c>
      <c r="F117" s="5" t="s">
        <v>52</v>
      </c>
      <c r="G117" s="5">
        <v>18537.0</v>
      </c>
      <c r="H117" s="5">
        <v>95.0</v>
      </c>
      <c r="I117" s="5">
        <v>6473.0</v>
      </c>
      <c r="J117" s="5">
        <v>17081.0</v>
      </c>
      <c r="K117" s="5">
        <v>4.0</v>
      </c>
      <c r="L117" s="9">
        <v>5206.238968</v>
      </c>
      <c r="M117" s="15">
        <f t="shared" si="1"/>
        <v>1301.559742</v>
      </c>
      <c r="N117" s="16">
        <f t="shared" si="2"/>
        <v>0.005124885364</v>
      </c>
    </row>
    <row r="118">
      <c r="A118" s="5" t="s">
        <v>15</v>
      </c>
      <c r="B118" s="5" t="s">
        <v>16</v>
      </c>
      <c r="C118" s="5" t="s">
        <v>35</v>
      </c>
      <c r="D118" s="6" t="s">
        <v>834</v>
      </c>
      <c r="E118" s="5" t="s">
        <v>117</v>
      </c>
      <c r="F118" s="5" t="s">
        <v>52</v>
      </c>
      <c r="G118" s="5">
        <v>17075.0</v>
      </c>
      <c r="H118" s="5">
        <v>44.0</v>
      </c>
      <c r="I118" s="5">
        <v>5508.0</v>
      </c>
      <c r="J118" s="5">
        <v>11539.0</v>
      </c>
      <c r="K118" s="5">
        <v>10.0</v>
      </c>
      <c r="L118" s="9">
        <v>5086.08996</v>
      </c>
      <c r="M118" s="15">
        <f t="shared" si="1"/>
        <v>508.608996</v>
      </c>
      <c r="N118" s="16">
        <f t="shared" si="2"/>
        <v>0.002576866764</v>
      </c>
    </row>
    <row r="119">
      <c r="A119" s="5" t="s">
        <v>15</v>
      </c>
      <c r="B119" s="5" t="s">
        <v>42</v>
      </c>
      <c r="C119" s="5" t="s">
        <v>17</v>
      </c>
      <c r="D119" s="6" t="s">
        <v>839</v>
      </c>
      <c r="E119" s="5" t="s">
        <v>19</v>
      </c>
      <c r="F119" s="5" t="s">
        <v>20</v>
      </c>
      <c r="G119" s="5">
        <v>28888.0</v>
      </c>
      <c r="H119" s="5">
        <v>85.0</v>
      </c>
      <c r="I119" s="5">
        <v>21437.0</v>
      </c>
      <c r="J119" s="5">
        <v>27586.0</v>
      </c>
      <c r="K119" s="5">
        <v>19.0</v>
      </c>
      <c r="L119" s="9">
        <v>6858.578118</v>
      </c>
      <c r="M119" s="15">
        <f t="shared" si="1"/>
        <v>360.9777957</v>
      </c>
      <c r="N119" s="16">
        <f t="shared" si="2"/>
        <v>0.002942398228</v>
      </c>
    </row>
    <row r="120">
      <c r="A120" s="5" t="s">
        <v>15</v>
      </c>
      <c r="B120" s="5" t="s">
        <v>16</v>
      </c>
      <c r="C120" s="5" t="s">
        <v>84</v>
      </c>
      <c r="D120" s="6" t="s">
        <v>839</v>
      </c>
      <c r="E120" s="5" t="s">
        <v>19</v>
      </c>
      <c r="F120" s="5" t="s">
        <v>52</v>
      </c>
      <c r="G120" s="5">
        <v>56737.0</v>
      </c>
      <c r="H120" s="5">
        <v>145.0</v>
      </c>
      <c r="I120" s="5">
        <v>41296.0</v>
      </c>
      <c r="J120" s="5">
        <v>53472.0</v>
      </c>
      <c r="K120" s="5">
        <v>5.0</v>
      </c>
      <c r="L120" s="9">
        <v>2028.370144</v>
      </c>
      <c r="M120" s="15">
        <f t="shared" si="1"/>
        <v>405.6740288</v>
      </c>
      <c r="N120" s="16">
        <f t="shared" si="2"/>
        <v>0.002555651515</v>
      </c>
    </row>
    <row r="121">
      <c r="A121" s="5" t="s">
        <v>15</v>
      </c>
      <c r="B121" s="5" t="s">
        <v>31</v>
      </c>
      <c r="C121" s="5" t="s">
        <v>78</v>
      </c>
      <c r="D121" s="13" t="s">
        <v>1580</v>
      </c>
      <c r="E121" s="5" t="s">
        <v>19</v>
      </c>
      <c r="F121" s="5" t="s">
        <v>52</v>
      </c>
      <c r="G121" s="5">
        <v>95655.0</v>
      </c>
      <c r="H121" s="5">
        <v>275.0</v>
      </c>
      <c r="I121" s="5">
        <v>9202.0</v>
      </c>
      <c r="J121" s="5">
        <v>85273.0</v>
      </c>
      <c r="K121" s="5">
        <v>24.0</v>
      </c>
      <c r="L121" s="9">
        <v>6189.416082</v>
      </c>
      <c r="M121" s="15">
        <f t="shared" si="1"/>
        <v>257.8923368</v>
      </c>
      <c r="N121" s="16">
        <f t="shared" si="2"/>
        <v>0.002874915059</v>
      </c>
    </row>
    <row r="122">
      <c r="A122" s="5" t="s">
        <v>15</v>
      </c>
      <c r="B122" s="5" t="s">
        <v>16</v>
      </c>
      <c r="C122" s="5" t="s">
        <v>641</v>
      </c>
      <c r="D122" s="13" t="s">
        <v>1580</v>
      </c>
      <c r="E122" s="5" t="s">
        <v>26</v>
      </c>
      <c r="F122" s="5" t="s">
        <v>52</v>
      </c>
      <c r="G122" s="5">
        <v>57257.0</v>
      </c>
      <c r="H122" s="5">
        <v>167.0</v>
      </c>
      <c r="I122" s="5">
        <v>3797.0</v>
      </c>
      <c r="J122" s="5">
        <v>51520.0</v>
      </c>
      <c r="K122" s="5">
        <v>1.0</v>
      </c>
      <c r="L122" s="9">
        <v>1841.358126</v>
      </c>
      <c r="M122" s="15">
        <f t="shared" si="1"/>
        <v>1841.358126</v>
      </c>
      <c r="N122" s="16">
        <f t="shared" si="2"/>
        <v>0.002916673944</v>
      </c>
    </row>
    <row r="123">
      <c r="A123" s="5" t="s">
        <v>15</v>
      </c>
      <c r="B123" s="5" t="s">
        <v>42</v>
      </c>
      <c r="C123" s="5" t="s">
        <v>35</v>
      </c>
      <c r="D123" s="6" t="s">
        <v>873</v>
      </c>
      <c r="E123" s="5" t="s">
        <v>117</v>
      </c>
      <c r="F123" s="5" t="s">
        <v>20</v>
      </c>
      <c r="G123" s="5">
        <v>48707.0</v>
      </c>
      <c r="H123" s="5">
        <v>185.0</v>
      </c>
      <c r="I123" s="5">
        <v>25182.0</v>
      </c>
      <c r="J123" s="5">
        <v>44696.0</v>
      </c>
      <c r="K123" s="5">
        <v>13.0</v>
      </c>
      <c r="L123" s="9">
        <v>5600.355643</v>
      </c>
      <c r="M123" s="15">
        <f t="shared" si="1"/>
        <v>430.7965879</v>
      </c>
      <c r="N123" s="16">
        <f t="shared" si="2"/>
        <v>0.003798222021</v>
      </c>
    </row>
    <row r="124">
      <c r="A124" s="5" t="s">
        <v>15</v>
      </c>
      <c r="B124" s="5" t="s">
        <v>16</v>
      </c>
      <c r="C124" s="5" t="s">
        <v>17</v>
      </c>
      <c r="D124" s="6" t="s">
        <v>880</v>
      </c>
      <c r="E124" s="5" t="s">
        <v>36</v>
      </c>
      <c r="F124" s="5" t="s">
        <v>52</v>
      </c>
      <c r="G124" s="5">
        <v>22934.0</v>
      </c>
      <c r="H124" s="5">
        <v>81.0</v>
      </c>
      <c r="I124" s="5">
        <v>18536.0</v>
      </c>
      <c r="J124" s="5">
        <v>21019.0</v>
      </c>
      <c r="K124" s="5">
        <v>5.0</v>
      </c>
      <c r="L124" s="9">
        <v>1711.106338</v>
      </c>
      <c r="M124" s="15">
        <f t="shared" si="1"/>
        <v>342.2212676</v>
      </c>
      <c r="N124" s="16">
        <f t="shared" si="2"/>
        <v>0.003531874073</v>
      </c>
    </row>
    <row r="125">
      <c r="A125" s="5" t="s">
        <v>15</v>
      </c>
      <c r="B125" s="5" t="s">
        <v>42</v>
      </c>
      <c r="C125" s="5" t="s">
        <v>356</v>
      </c>
      <c r="D125" s="6" t="s">
        <v>886</v>
      </c>
      <c r="E125" s="5" t="s">
        <v>19</v>
      </c>
      <c r="F125" s="5" t="s">
        <v>20</v>
      </c>
      <c r="G125" s="5">
        <v>11043.0</v>
      </c>
      <c r="H125" s="5">
        <v>125.0</v>
      </c>
      <c r="I125" s="5">
        <v>4547.0</v>
      </c>
      <c r="J125" s="5">
        <v>9666.0</v>
      </c>
      <c r="K125" s="5">
        <v>13.0</v>
      </c>
      <c r="L125" s="9">
        <v>1858.132171</v>
      </c>
      <c r="M125" s="15">
        <f t="shared" si="1"/>
        <v>142.9332439</v>
      </c>
      <c r="N125" s="16">
        <f t="shared" si="2"/>
        <v>0.01131938785</v>
      </c>
    </row>
    <row r="126">
      <c r="A126" s="5" t="s">
        <v>15</v>
      </c>
      <c r="B126" s="5" t="s">
        <v>31</v>
      </c>
      <c r="C126" s="5" t="s">
        <v>183</v>
      </c>
      <c r="D126" s="6" t="s">
        <v>890</v>
      </c>
      <c r="E126" s="5" t="s">
        <v>117</v>
      </c>
      <c r="F126" s="5" t="s">
        <v>52</v>
      </c>
      <c r="G126" s="5">
        <v>16628.0</v>
      </c>
      <c r="H126" s="5">
        <v>70.0</v>
      </c>
      <c r="I126" s="5">
        <v>7974.0</v>
      </c>
      <c r="J126" s="5">
        <v>15969.0</v>
      </c>
      <c r="K126" s="5">
        <v>13.0</v>
      </c>
      <c r="L126" s="9">
        <v>1665.965851</v>
      </c>
      <c r="M126" s="15">
        <f t="shared" si="1"/>
        <v>128.1512193</v>
      </c>
      <c r="N126" s="16">
        <f t="shared" si="2"/>
        <v>0.004209766659</v>
      </c>
    </row>
    <row r="127">
      <c r="A127" s="5" t="s">
        <v>15</v>
      </c>
      <c r="B127" s="5" t="s">
        <v>31</v>
      </c>
      <c r="C127" s="5" t="s">
        <v>66</v>
      </c>
      <c r="D127" s="6" t="s">
        <v>893</v>
      </c>
      <c r="E127" s="5" t="s">
        <v>19</v>
      </c>
      <c r="F127" s="5" t="s">
        <v>52</v>
      </c>
      <c r="G127" s="5">
        <v>24875.0</v>
      </c>
      <c r="H127" s="5">
        <v>67.0</v>
      </c>
      <c r="I127" s="5">
        <v>14213.0</v>
      </c>
      <c r="J127" s="5">
        <v>23455.0</v>
      </c>
      <c r="K127" s="5">
        <v>8.0</v>
      </c>
      <c r="L127" s="9">
        <v>4652.242051</v>
      </c>
      <c r="M127" s="15">
        <f t="shared" si="1"/>
        <v>581.5302564</v>
      </c>
      <c r="N127" s="16">
        <f t="shared" si="2"/>
        <v>0.002693467337</v>
      </c>
    </row>
    <row r="128">
      <c r="A128" s="5" t="s">
        <v>15</v>
      </c>
      <c r="B128" s="5" t="s">
        <v>42</v>
      </c>
      <c r="C128" s="5" t="s">
        <v>126</v>
      </c>
      <c r="D128" s="6" t="s">
        <v>912</v>
      </c>
      <c r="E128" s="5" t="s">
        <v>19</v>
      </c>
      <c r="F128" s="5" t="s">
        <v>52</v>
      </c>
      <c r="G128" s="5">
        <v>38070.0</v>
      </c>
      <c r="H128" s="5">
        <v>146.0</v>
      </c>
      <c r="I128" s="5">
        <v>15253.0</v>
      </c>
      <c r="J128" s="5">
        <v>35453.0</v>
      </c>
      <c r="K128" s="5">
        <v>8.0</v>
      </c>
      <c r="L128" s="9">
        <v>1653.510777</v>
      </c>
      <c r="M128" s="15">
        <f t="shared" si="1"/>
        <v>206.6888471</v>
      </c>
      <c r="N128" s="16">
        <f t="shared" si="2"/>
        <v>0.003835040714</v>
      </c>
    </row>
    <row r="129">
      <c r="A129" s="5" t="s">
        <v>15</v>
      </c>
      <c r="B129" s="5" t="s">
        <v>23</v>
      </c>
      <c r="C129" s="5" t="s">
        <v>78</v>
      </c>
      <c r="D129" s="6" t="s">
        <v>919</v>
      </c>
      <c r="E129" s="5" t="s">
        <v>136</v>
      </c>
      <c r="F129" s="5" t="s">
        <v>52</v>
      </c>
      <c r="G129" s="5">
        <v>96779.0</v>
      </c>
      <c r="H129" s="5">
        <v>299.0</v>
      </c>
      <c r="I129" s="5">
        <v>9831.0</v>
      </c>
      <c r="J129" s="5">
        <v>63640.0</v>
      </c>
      <c r="K129" s="5">
        <v>12.0</v>
      </c>
      <c r="L129" s="9">
        <v>6317.510754</v>
      </c>
      <c r="M129" s="15">
        <f t="shared" si="1"/>
        <v>526.4592295</v>
      </c>
      <c r="N129" s="16">
        <f t="shared" si="2"/>
        <v>0.003089513221</v>
      </c>
    </row>
    <row r="130">
      <c r="A130" s="5" t="s">
        <v>15</v>
      </c>
      <c r="B130" s="5" t="s">
        <v>42</v>
      </c>
      <c r="C130" s="5" t="s">
        <v>35</v>
      </c>
      <c r="D130" s="6" t="s">
        <v>919</v>
      </c>
      <c r="E130" s="5" t="s">
        <v>26</v>
      </c>
      <c r="F130" s="5" t="s">
        <v>52</v>
      </c>
      <c r="G130" s="5">
        <v>26439.0</v>
      </c>
      <c r="H130" s="5">
        <v>95.0</v>
      </c>
      <c r="I130" s="5">
        <v>7093.0</v>
      </c>
      <c r="J130" s="5">
        <v>19681.0</v>
      </c>
      <c r="K130" s="5">
        <v>7.0</v>
      </c>
      <c r="L130" s="9">
        <v>5330.781969</v>
      </c>
      <c r="M130" s="15">
        <f t="shared" si="1"/>
        <v>761.5402813</v>
      </c>
      <c r="N130" s="16">
        <f t="shared" si="2"/>
        <v>0.003593176746</v>
      </c>
    </row>
    <row r="131">
      <c r="A131" s="5" t="s">
        <v>15</v>
      </c>
      <c r="B131" s="5" t="s">
        <v>31</v>
      </c>
      <c r="C131" s="5" t="s">
        <v>29</v>
      </c>
      <c r="D131" s="6" t="s">
        <v>919</v>
      </c>
      <c r="E131" s="5" t="s">
        <v>19</v>
      </c>
      <c r="F131" s="5" t="s">
        <v>20</v>
      </c>
      <c r="G131" s="5">
        <v>29856.0</v>
      </c>
      <c r="H131" s="5">
        <v>111.0</v>
      </c>
      <c r="I131" s="5">
        <v>7664.0</v>
      </c>
      <c r="J131" s="5">
        <v>21698.0</v>
      </c>
      <c r="K131" s="5">
        <v>9.0</v>
      </c>
      <c r="L131" s="9">
        <v>4851.394446</v>
      </c>
      <c r="M131" s="15">
        <f t="shared" si="1"/>
        <v>539.0438273</v>
      </c>
      <c r="N131" s="16">
        <f t="shared" si="2"/>
        <v>0.003717845659</v>
      </c>
    </row>
    <row r="132">
      <c r="A132" s="5" t="s">
        <v>15</v>
      </c>
      <c r="B132" s="5" t="s">
        <v>16</v>
      </c>
      <c r="C132" s="5" t="s">
        <v>66</v>
      </c>
      <c r="D132" s="6" t="s">
        <v>919</v>
      </c>
      <c r="E132" s="5" t="s">
        <v>19</v>
      </c>
      <c r="F132" s="5" t="s">
        <v>20</v>
      </c>
      <c r="G132" s="5">
        <v>45668.0</v>
      </c>
      <c r="H132" s="5">
        <v>130.0</v>
      </c>
      <c r="I132" s="5">
        <v>16872.0</v>
      </c>
      <c r="J132" s="5">
        <v>32085.0</v>
      </c>
      <c r="K132" s="5">
        <v>9.0</v>
      </c>
      <c r="L132" s="9">
        <v>3444.202946</v>
      </c>
      <c r="M132" s="15">
        <f t="shared" si="1"/>
        <v>382.6892162</v>
      </c>
      <c r="N132" s="16">
        <f t="shared" si="2"/>
        <v>0.002846632215</v>
      </c>
    </row>
    <row r="133">
      <c r="A133" s="5" t="s">
        <v>15</v>
      </c>
      <c r="B133" s="5" t="s">
        <v>16</v>
      </c>
      <c r="C133" s="5" t="s">
        <v>78</v>
      </c>
      <c r="D133" s="6" t="s">
        <v>958</v>
      </c>
      <c r="E133" s="5" t="s">
        <v>19</v>
      </c>
      <c r="F133" s="5" t="s">
        <v>52</v>
      </c>
      <c r="G133" s="5">
        <v>16175.0</v>
      </c>
      <c r="H133" s="5">
        <v>35.0</v>
      </c>
      <c r="I133" s="5">
        <v>1923.0</v>
      </c>
      <c r="J133" s="5">
        <v>15085.0</v>
      </c>
      <c r="K133" s="5">
        <v>2.0</v>
      </c>
      <c r="L133" s="9">
        <v>1649.069475</v>
      </c>
      <c r="M133" s="15">
        <f t="shared" si="1"/>
        <v>824.5347375</v>
      </c>
      <c r="N133" s="16">
        <f t="shared" si="2"/>
        <v>0.002163833076</v>
      </c>
    </row>
    <row r="134">
      <c r="A134" s="5" t="s">
        <v>15</v>
      </c>
      <c r="B134" s="5" t="s">
        <v>42</v>
      </c>
      <c r="C134" s="5" t="s">
        <v>35</v>
      </c>
      <c r="D134" s="6" t="s">
        <v>961</v>
      </c>
      <c r="E134" s="5" t="s">
        <v>19</v>
      </c>
      <c r="F134" s="5" t="s">
        <v>20</v>
      </c>
      <c r="G134" s="5">
        <v>7447.0</v>
      </c>
      <c r="H134" s="5">
        <v>10.0</v>
      </c>
      <c r="I134" s="5">
        <v>4163.0</v>
      </c>
      <c r="J134" s="5">
        <v>5586.0</v>
      </c>
      <c r="K134" s="5">
        <v>19.0</v>
      </c>
      <c r="L134" s="9">
        <v>3311.941246</v>
      </c>
      <c r="M134" s="15">
        <f t="shared" si="1"/>
        <v>174.3126972</v>
      </c>
      <c r="N134" s="16">
        <f t="shared" si="2"/>
        <v>0.001342822613</v>
      </c>
    </row>
    <row r="135">
      <c r="A135" s="5" t="s">
        <v>15</v>
      </c>
      <c r="B135" s="5" t="s">
        <v>42</v>
      </c>
      <c r="C135" s="5" t="s">
        <v>39</v>
      </c>
      <c r="D135" s="6" t="s">
        <v>969</v>
      </c>
      <c r="E135" s="5" t="s">
        <v>19</v>
      </c>
      <c r="F135" s="5" t="s">
        <v>52</v>
      </c>
      <c r="G135" s="5">
        <v>16142.0</v>
      </c>
      <c r="H135" s="5">
        <v>30.0</v>
      </c>
      <c r="I135" s="5">
        <v>7064.0</v>
      </c>
      <c r="J135" s="5">
        <v>15433.0</v>
      </c>
      <c r="K135" s="5">
        <v>5.0</v>
      </c>
      <c r="L135" s="9">
        <v>2209.650957</v>
      </c>
      <c r="M135" s="15">
        <f t="shared" si="1"/>
        <v>441.9301914</v>
      </c>
      <c r="N135" s="16">
        <f t="shared" si="2"/>
        <v>0.001858505761</v>
      </c>
    </row>
    <row r="136">
      <c r="A136" s="5" t="s">
        <v>15</v>
      </c>
      <c r="B136" s="5" t="s">
        <v>16</v>
      </c>
      <c r="C136" s="5" t="s">
        <v>78</v>
      </c>
      <c r="D136" s="6" t="s">
        <v>981</v>
      </c>
      <c r="E136" s="5" t="s">
        <v>19</v>
      </c>
      <c r="F136" s="5" t="s">
        <v>52</v>
      </c>
      <c r="G136" s="5">
        <v>20459.0</v>
      </c>
      <c r="H136" s="5">
        <v>40.0</v>
      </c>
      <c r="I136" s="5">
        <v>12668.0</v>
      </c>
      <c r="J136" s="5">
        <v>18613.0</v>
      </c>
      <c r="K136" s="5">
        <v>4.0</v>
      </c>
      <c r="L136" s="9">
        <v>1842.606513</v>
      </c>
      <c r="M136" s="15">
        <f t="shared" si="1"/>
        <v>460.6516283</v>
      </c>
      <c r="N136" s="16">
        <f t="shared" si="2"/>
        <v>0.001955129772</v>
      </c>
    </row>
    <row r="137">
      <c r="A137" s="5" t="s">
        <v>15</v>
      </c>
      <c r="B137" s="5" t="s">
        <v>23</v>
      </c>
      <c r="C137" s="5" t="s">
        <v>35</v>
      </c>
      <c r="D137" s="6" t="s">
        <v>992</v>
      </c>
      <c r="E137" s="5" t="s">
        <v>46</v>
      </c>
      <c r="F137" s="5" t="s">
        <v>20</v>
      </c>
      <c r="G137" s="5">
        <v>7584.0</v>
      </c>
      <c r="H137" s="5">
        <v>40.0</v>
      </c>
      <c r="I137" s="5">
        <v>3093.0</v>
      </c>
      <c r="J137" s="5">
        <v>6897.0</v>
      </c>
      <c r="K137" s="5">
        <v>2.0</v>
      </c>
      <c r="L137" s="9">
        <v>4467.080758</v>
      </c>
      <c r="M137" s="15">
        <f t="shared" si="1"/>
        <v>2233.540379</v>
      </c>
      <c r="N137" s="16">
        <f t="shared" si="2"/>
        <v>0.005274261603</v>
      </c>
    </row>
    <row r="138">
      <c r="A138" s="5" t="s">
        <v>15</v>
      </c>
      <c r="B138" s="5" t="s">
        <v>16</v>
      </c>
      <c r="C138" s="5" t="s">
        <v>24</v>
      </c>
      <c r="D138" s="6" t="s">
        <v>992</v>
      </c>
      <c r="E138" s="5" t="s">
        <v>19</v>
      </c>
      <c r="F138" s="5" t="s">
        <v>52</v>
      </c>
      <c r="G138" s="5">
        <v>84460.0</v>
      </c>
      <c r="H138" s="5">
        <v>209.0</v>
      </c>
      <c r="I138" s="5">
        <v>13169.0</v>
      </c>
      <c r="J138" s="5">
        <v>26688.0</v>
      </c>
      <c r="K138" s="5">
        <v>1.0</v>
      </c>
      <c r="L138" s="9">
        <v>4279.230955</v>
      </c>
      <c r="M138" s="15">
        <f t="shared" si="1"/>
        <v>4279.230955</v>
      </c>
      <c r="N138" s="16">
        <f t="shared" si="2"/>
        <v>0.002474544163</v>
      </c>
    </row>
    <row r="139">
      <c r="A139" s="5" t="s">
        <v>15</v>
      </c>
      <c r="B139" s="5" t="s">
        <v>23</v>
      </c>
      <c r="C139" s="5" t="s">
        <v>24</v>
      </c>
      <c r="D139" s="6" t="s">
        <v>992</v>
      </c>
      <c r="E139" s="5" t="s">
        <v>19</v>
      </c>
      <c r="F139" s="5" t="s">
        <v>20</v>
      </c>
      <c r="G139" s="5">
        <v>17049.0</v>
      </c>
      <c r="H139" s="5">
        <v>84.0</v>
      </c>
      <c r="I139" s="5">
        <v>191.0</v>
      </c>
      <c r="J139" s="5">
        <v>15564.0</v>
      </c>
      <c r="K139" s="5">
        <v>15.0</v>
      </c>
      <c r="L139" s="9">
        <v>2144.489587</v>
      </c>
      <c r="M139" s="15">
        <f t="shared" si="1"/>
        <v>142.9659725</v>
      </c>
      <c r="N139" s="16">
        <f t="shared" si="2"/>
        <v>0.004926975189</v>
      </c>
    </row>
    <row r="140">
      <c r="A140" s="5" t="s">
        <v>15</v>
      </c>
      <c r="B140" s="5" t="s">
        <v>23</v>
      </c>
      <c r="C140" s="5" t="s">
        <v>17</v>
      </c>
      <c r="D140" s="6" t="s">
        <v>992</v>
      </c>
      <c r="E140" s="5" t="s">
        <v>19</v>
      </c>
      <c r="F140" s="5" t="s">
        <v>52</v>
      </c>
      <c r="G140" s="5">
        <v>74164.0</v>
      </c>
      <c r="H140" s="5">
        <v>241.0</v>
      </c>
      <c r="I140" s="5">
        <v>25104.0</v>
      </c>
      <c r="J140" s="5">
        <v>61242.0</v>
      </c>
      <c r="K140" s="5">
        <v>19.0</v>
      </c>
      <c r="L140" s="9">
        <v>1902.301443</v>
      </c>
      <c r="M140" s="15">
        <f t="shared" si="1"/>
        <v>100.1211286</v>
      </c>
      <c r="N140" s="16">
        <f t="shared" si="2"/>
        <v>0.00324955504</v>
      </c>
    </row>
    <row r="141">
      <c r="A141" s="5" t="s">
        <v>15</v>
      </c>
      <c r="B141" s="5" t="s">
        <v>31</v>
      </c>
      <c r="C141" s="5" t="s">
        <v>35</v>
      </c>
      <c r="D141" s="6" t="s">
        <v>992</v>
      </c>
      <c r="E141" s="5" t="s">
        <v>19</v>
      </c>
      <c r="F141" s="5" t="s">
        <v>20</v>
      </c>
      <c r="G141" s="5">
        <v>598460.0</v>
      </c>
      <c r="H141" s="5">
        <v>1654.0</v>
      </c>
      <c r="I141" s="5">
        <v>201153.0</v>
      </c>
      <c r="J141" s="5">
        <v>557263.0</v>
      </c>
      <c r="K141" s="5">
        <v>13.0</v>
      </c>
      <c r="L141" s="9">
        <v>1689.744507</v>
      </c>
      <c r="M141" s="15">
        <f t="shared" si="1"/>
        <v>129.9803467</v>
      </c>
      <c r="N141" s="16">
        <f t="shared" si="2"/>
        <v>0.002763760318</v>
      </c>
    </row>
    <row r="142">
      <c r="A142" s="5" t="s">
        <v>15</v>
      </c>
      <c r="B142" s="5" t="s">
        <v>31</v>
      </c>
      <c r="C142" s="5" t="s">
        <v>45</v>
      </c>
      <c r="D142" s="6" t="s">
        <v>992</v>
      </c>
      <c r="E142" s="5" t="s">
        <v>46</v>
      </c>
      <c r="F142" s="5" t="s">
        <v>52</v>
      </c>
      <c r="G142" s="5">
        <v>59296.0</v>
      </c>
      <c r="H142" s="5">
        <v>170.0</v>
      </c>
      <c r="I142" s="5">
        <v>25482.0</v>
      </c>
      <c r="J142" s="5">
        <v>54149.0</v>
      </c>
      <c r="K142" s="5">
        <v>4.0</v>
      </c>
      <c r="L142" s="9">
        <v>1568.715259</v>
      </c>
      <c r="M142" s="15">
        <f t="shared" si="1"/>
        <v>392.1788148</v>
      </c>
      <c r="N142" s="16">
        <f t="shared" si="2"/>
        <v>0.002866972477</v>
      </c>
    </row>
    <row r="143">
      <c r="A143" s="5" t="s">
        <v>15</v>
      </c>
      <c r="B143" s="5" t="s">
        <v>42</v>
      </c>
      <c r="C143" s="5" t="s">
        <v>398</v>
      </c>
      <c r="D143" s="6" t="s">
        <v>992</v>
      </c>
      <c r="E143" s="5" t="s">
        <v>46</v>
      </c>
      <c r="F143" s="5" t="s">
        <v>52</v>
      </c>
      <c r="G143" s="5">
        <v>307888.0</v>
      </c>
      <c r="H143" s="5">
        <v>863.0</v>
      </c>
      <c r="I143" s="5">
        <v>134959.0</v>
      </c>
      <c r="J143" s="5">
        <v>274790.0</v>
      </c>
      <c r="K143" s="5">
        <v>11.0</v>
      </c>
      <c r="L143" s="9">
        <v>1559.643865</v>
      </c>
      <c r="M143" s="15">
        <f t="shared" si="1"/>
        <v>141.7858059</v>
      </c>
      <c r="N143" s="16">
        <f t="shared" si="2"/>
        <v>0.002802967313</v>
      </c>
    </row>
    <row r="144">
      <c r="A144" s="5" t="s">
        <v>15</v>
      </c>
      <c r="B144" s="5" t="s">
        <v>42</v>
      </c>
      <c r="C144" s="5" t="s">
        <v>29</v>
      </c>
      <c r="D144" s="6" t="s">
        <v>1029</v>
      </c>
      <c r="E144" s="5" t="s">
        <v>46</v>
      </c>
      <c r="F144" s="5" t="s">
        <v>20</v>
      </c>
      <c r="G144" s="5">
        <v>7585.0</v>
      </c>
      <c r="H144" s="5">
        <v>13.0</v>
      </c>
      <c r="I144" s="5">
        <v>5396.0</v>
      </c>
      <c r="J144" s="5">
        <v>7417.0</v>
      </c>
      <c r="K144" s="5">
        <v>24.0</v>
      </c>
      <c r="L144" s="9">
        <v>7082.653802</v>
      </c>
      <c r="M144" s="15">
        <f t="shared" si="1"/>
        <v>295.1105751</v>
      </c>
      <c r="N144" s="16">
        <f t="shared" si="2"/>
        <v>0.001713909031</v>
      </c>
    </row>
    <row r="145">
      <c r="A145" s="5" t="s">
        <v>15</v>
      </c>
      <c r="B145" s="5" t="s">
        <v>42</v>
      </c>
      <c r="C145" s="5" t="s">
        <v>35</v>
      </c>
      <c r="D145" s="6" t="s">
        <v>1032</v>
      </c>
      <c r="E145" s="5" t="s">
        <v>117</v>
      </c>
      <c r="F145" s="5" t="s">
        <v>20</v>
      </c>
      <c r="G145" s="5">
        <v>26212.0</v>
      </c>
      <c r="H145" s="5">
        <v>77.0</v>
      </c>
      <c r="I145" s="5">
        <v>12726.0</v>
      </c>
      <c r="J145" s="5">
        <v>24442.0</v>
      </c>
      <c r="K145" s="5">
        <v>15.0</v>
      </c>
      <c r="L145" s="9">
        <v>6452.93501</v>
      </c>
      <c r="M145" s="15">
        <f t="shared" si="1"/>
        <v>430.1956673</v>
      </c>
      <c r="N145" s="16">
        <f t="shared" si="2"/>
        <v>0.002937585839</v>
      </c>
    </row>
    <row r="146">
      <c r="A146" s="5" t="s">
        <v>15</v>
      </c>
      <c r="B146" s="5" t="s">
        <v>16</v>
      </c>
      <c r="C146" s="5" t="s">
        <v>17</v>
      </c>
      <c r="D146" s="6" t="s">
        <v>1032</v>
      </c>
      <c r="E146" s="5" t="s">
        <v>19</v>
      </c>
      <c r="F146" s="5" t="s">
        <v>20</v>
      </c>
      <c r="G146" s="5">
        <v>20833.0</v>
      </c>
      <c r="H146" s="5">
        <v>87.0</v>
      </c>
      <c r="I146" s="5">
        <v>1777.0</v>
      </c>
      <c r="J146" s="5">
        <v>17211.0</v>
      </c>
      <c r="K146" s="5">
        <v>9.0</v>
      </c>
      <c r="L146" s="9">
        <v>5542.512181</v>
      </c>
      <c r="M146" s="15">
        <f t="shared" si="1"/>
        <v>615.8346868</v>
      </c>
      <c r="N146" s="16">
        <f t="shared" si="2"/>
        <v>0.004176066817</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s>
  <drawing r:id="rId1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55.25"/>
    <col customWidth="1" min="9" max="9" width="13.25"/>
    <col customWidth="1" min="10" max="10" width="34.25"/>
    <col customWidth="1" min="11" max="12" width="49.25"/>
    <col customWidth="1" min="13" max="13" width="35.5"/>
    <col customWidth="1" min="14" max="14" width="19.63"/>
    <col customWidth="1" min="15" max="15" width="23.0"/>
    <col customWidth="1" min="16" max="16" width="15.63"/>
    <col customWidth="1" min="17" max="17" width="18.38"/>
    <col customWidth="1" min="18" max="18" width="29.13"/>
    <col customWidth="1" min="19" max="19" width="28.5"/>
    <col customWidth="1" min="20" max="20" width="22.0"/>
    <col customWidth="1" min="21" max="32" width="49.25"/>
  </cols>
  <sheetData>
    <row r="1" ht="54.0" customHeight="1">
      <c r="A1" s="1" t="s">
        <v>0</v>
      </c>
      <c r="B1" s="1"/>
      <c r="C1" s="1"/>
      <c r="D1" s="1"/>
      <c r="E1" s="1"/>
      <c r="F1" s="1"/>
      <c r="G1" s="1"/>
      <c r="H1" s="1"/>
      <c r="I1" s="2" t="s">
        <v>1</v>
      </c>
      <c r="J1" s="2" t="s">
        <v>2</v>
      </c>
      <c r="K1" s="2" t="s">
        <v>3</v>
      </c>
      <c r="L1" s="2" t="s">
        <v>4</v>
      </c>
      <c r="M1" s="2" t="s">
        <v>5</v>
      </c>
      <c r="N1" s="2" t="s">
        <v>6</v>
      </c>
      <c r="O1" s="2" t="s">
        <v>7</v>
      </c>
      <c r="P1" s="2" t="s">
        <v>8</v>
      </c>
      <c r="Q1" s="2" t="s">
        <v>9</v>
      </c>
      <c r="R1" s="2" t="s">
        <v>10</v>
      </c>
      <c r="S1" s="2" t="s">
        <v>11</v>
      </c>
      <c r="T1" s="2" t="s">
        <v>12</v>
      </c>
      <c r="U1" s="3"/>
      <c r="V1" s="3"/>
      <c r="W1" s="3"/>
      <c r="X1" s="3"/>
      <c r="Y1" s="3"/>
      <c r="Z1" s="3"/>
      <c r="AA1" s="3"/>
      <c r="AB1" s="3"/>
      <c r="AC1" s="3"/>
      <c r="AD1" s="3"/>
      <c r="AE1" s="3"/>
      <c r="AF1" s="3"/>
    </row>
    <row r="2">
      <c r="A2" s="4" t="s">
        <v>1704</v>
      </c>
      <c r="B2" s="4" t="str">
        <f>IFERROR(__xludf.DUMMYFUNCTION("SPLIT(A2:A728, ""&gt;"")"),"Online Behavior")</f>
        <v>Online Behavior</v>
      </c>
      <c r="C2" s="4" t="str">
        <f>IFERROR(__xludf.DUMMYFUNCTION("""COMPUTED_VALUE"""),"United States")</f>
        <v>United States</v>
      </c>
      <c r="D2" s="4" t="str">
        <f>IFERROR(__xludf.DUMMYFUNCTION("""COMPUTED_VALUE"""),"Validated Demographic ")</f>
        <v>Validated Demographic </v>
      </c>
      <c r="E2" s="4" t="str">
        <f>IFERROR(__xludf.DUMMYFUNCTION("""COMPUTED_VALUE""")," Gender and Age Combined")</f>
        <v> Gender and Age Combined</v>
      </c>
      <c r="F2" s="4" t="str">
        <f>IFERROR(__xludf.DUMMYFUNCTION("""COMPUTED_VALUE"""),"Females 25 or older")</f>
        <v>Females 25 or older</v>
      </c>
      <c r="G2" s="4"/>
      <c r="H2" s="4"/>
      <c r="I2" s="5" t="s">
        <v>15</v>
      </c>
      <c r="J2" s="5" t="s">
        <v>16</v>
      </c>
      <c r="K2" s="5" t="s">
        <v>17</v>
      </c>
      <c r="L2" s="6" t="s">
        <v>18</v>
      </c>
      <c r="M2" s="5" t="s">
        <v>19</v>
      </c>
      <c r="N2" s="5" t="s">
        <v>20</v>
      </c>
      <c r="O2" s="5">
        <v>10524.0</v>
      </c>
      <c r="P2" s="5">
        <v>55.0</v>
      </c>
      <c r="Q2" s="5">
        <v>7601.0</v>
      </c>
      <c r="R2" s="5">
        <v>10242.0</v>
      </c>
      <c r="S2" s="5">
        <v>11.0</v>
      </c>
      <c r="T2" s="5">
        <v>6136.133902</v>
      </c>
    </row>
    <row r="3">
      <c r="A3" s="4" t="s">
        <v>1705</v>
      </c>
      <c r="B3" s="4" t="str">
        <f>IFERROR(__xludf.DUMMYFUNCTION("SPLIT(A3:A729, ""&gt;"")"),"Online Behavior")</f>
        <v>Online Behavior</v>
      </c>
      <c r="C3" s="4" t="str">
        <f>IFERROR(__xludf.DUMMYFUNCTION("""COMPUTED_VALUE"""),"United States")</f>
        <v>United States</v>
      </c>
      <c r="D3" s="4" t="str">
        <f>IFERROR(__xludf.DUMMYFUNCTION("""COMPUTED_VALUE"""),"Finance ")</f>
        <v>Finance </v>
      </c>
      <c r="E3" s="4" t="str">
        <f>IFERROR(__xludf.DUMMYFUNCTION("""COMPUTED_VALUE""")," Financial Planning and Management")</f>
        <v> Financial Planning and Management</v>
      </c>
      <c r="F3" s="4" t="str">
        <f>IFERROR(__xludf.DUMMYFUNCTION("""COMPUTED_VALUE"""),"Retirement and Pension")</f>
        <v>Retirement and Pension</v>
      </c>
      <c r="G3" s="4"/>
      <c r="H3" s="4"/>
      <c r="I3" s="5" t="s">
        <v>22</v>
      </c>
      <c r="J3" s="5" t="s">
        <v>23</v>
      </c>
      <c r="K3" s="5" t="s">
        <v>24</v>
      </c>
      <c r="L3" s="6" t="s">
        <v>25</v>
      </c>
      <c r="M3" s="5" t="s">
        <v>26</v>
      </c>
      <c r="N3" s="5" t="s">
        <v>27</v>
      </c>
      <c r="O3" s="5">
        <v>18324.0</v>
      </c>
      <c r="P3" s="5">
        <v>60.0</v>
      </c>
      <c r="Q3" s="5">
        <v>3145.0</v>
      </c>
      <c r="R3" s="5">
        <v>13703.0</v>
      </c>
      <c r="S3" s="5">
        <v>8.0</v>
      </c>
      <c r="T3" s="5">
        <v>6996.231838</v>
      </c>
    </row>
    <row r="4">
      <c r="A4" s="4" t="s">
        <v>1706</v>
      </c>
      <c r="B4" s="4" t="str">
        <f>IFERROR(__xludf.DUMMYFUNCTION("SPLIT(A4:A730, ""&gt;"")"),"Online Behavior")</f>
        <v>Online Behavior</v>
      </c>
      <c r="C4" s="4" t="str">
        <f>IFERROR(__xludf.DUMMYFUNCTION("""COMPUTED_VALUE"""),"United States")</f>
        <v>United States</v>
      </c>
      <c r="D4" s="4" t="str">
        <f>IFERROR(__xludf.DUMMYFUNCTION("""COMPUTED_VALUE"""),"Hobbies and Leisure")</f>
        <v>Hobbies and Leisure</v>
      </c>
      <c r="E4" s="4" t="str">
        <f>IFERROR(__xludf.DUMMYFUNCTION("""COMPUTED_VALUE"""),"Outdoors ")</f>
        <v>Outdoors </v>
      </c>
      <c r="F4" s="4" t="str">
        <f>IFERROR(__xludf.DUMMYFUNCTION("""COMPUTED_VALUE""")," Equestrian")</f>
        <v> Equestrian</v>
      </c>
      <c r="G4" s="4"/>
      <c r="H4" s="4"/>
      <c r="I4" s="5" t="s">
        <v>15</v>
      </c>
      <c r="J4" s="5" t="s">
        <v>16</v>
      </c>
      <c r="K4" s="5" t="s">
        <v>29</v>
      </c>
      <c r="L4" s="6" t="s">
        <v>25</v>
      </c>
      <c r="M4" s="5" t="s">
        <v>19</v>
      </c>
      <c r="N4" s="5" t="s">
        <v>27</v>
      </c>
      <c r="O4" s="5">
        <v>7862.0</v>
      </c>
      <c r="P4" s="5">
        <v>20.0</v>
      </c>
      <c r="Q4" s="5">
        <v>2152.0</v>
      </c>
      <c r="R4" s="5">
        <v>6039.0</v>
      </c>
      <c r="S4" s="5">
        <v>2.0</v>
      </c>
      <c r="T4" s="5">
        <v>6506.433687</v>
      </c>
    </row>
    <row r="5">
      <c r="A5" s="4" t="s">
        <v>1707</v>
      </c>
      <c r="B5" s="4" t="str">
        <f>IFERROR(__xludf.DUMMYFUNCTION("SPLIT(A5:A731, ""&gt;"")"),"Online Behavior")</f>
        <v>Online Behavior</v>
      </c>
      <c r="C5" s="4" t="str">
        <f>IFERROR(__xludf.DUMMYFUNCTION("""COMPUTED_VALUE"""),"United States")</f>
        <v>United States</v>
      </c>
      <c r="D5" s="4" t="str">
        <f>IFERROR(__xludf.DUMMYFUNCTION("""COMPUTED_VALUE"""),"Intent ")</f>
        <v>Intent </v>
      </c>
      <c r="E5" s="4" t="str">
        <f>IFERROR(__xludf.DUMMYFUNCTION("""COMPUTED_VALUE""")," Auto Buyers ")</f>
        <v> Auto Buyers </v>
      </c>
      <c r="F5" s="4" t="str">
        <f>IFERROR(__xludf.DUMMYFUNCTION("""COMPUTED_VALUE""")," Car Make")</f>
        <v> Car Make</v>
      </c>
      <c r="G5" s="4" t="str">
        <f>IFERROR(__xludf.DUMMYFUNCTION("""COMPUTED_VALUE"""),"Audi Q")</f>
        <v>Audi Q</v>
      </c>
      <c r="H5" s="4"/>
      <c r="I5" s="5" t="s">
        <v>15</v>
      </c>
      <c r="J5" s="5" t="s">
        <v>31</v>
      </c>
      <c r="K5" s="5" t="s">
        <v>32</v>
      </c>
      <c r="L5" s="6" t="s">
        <v>25</v>
      </c>
      <c r="M5" s="5" t="s">
        <v>33</v>
      </c>
      <c r="N5" s="5" t="s">
        <v>27</v>
      </c>
      <c r="O5" s="5">
        <v>10501.0</v>
      </c>
      <c r="P5" s="5">
        <v>90.0</v>
      </c>
      <c r="Q5" s="5">
        <v>4126.0</v>
      </c>
      <c r="R5" s="5">
        <v>7654.0</v>
      </c>
      <c r="S5" s="5">
        <v>8.0</v>
      </c>
      <c r="T5" s="5">
        <v>6244.517921</v>
      </c>
    </row>
    <row r="6">
      <c r="A6" s="4" t="s">
        <v>1708</v>
      </c>
      <c r="B6" s="4" t="str">
        <f>IFERROR(__xludf.DUMMYFUNCTION("SPLIT(A6:A732, ""&gt;"")"),"Online Behavior")</f>
        <v>Online Behavior</v>
      </c>
      <c r="C6" s="4" t="str">
        <f>IFERROR(__xludf.DUMMYFUNCTION("""COMPUTED_VALUE"""),"United States")</f>
        <v>United States</v>
      </c>
      <c r="D6" s="4" t="str">
        <f>IFERROR(__xludf.DUMMYFUNCTION("""COMPUTED_VALUE"""),"Beauty and Fitness")</f>
        <v>Beauty and Fitness</v>
      </c>
      <c r="E6" s="4" t="str">
        <f>IFERROR(__xludf.DUMMYFUNCTION("""COMPUTED_VALUE"""),"Fitness ")</f>
        <v>Fitness </v>
      </c>
      <c r="F6" s="4" t="str">
        <f>IFERROR(__xludf.DUMMYFUNCTION("""COMPUTED_VALUE""")," Fitness Instruction and Personal Training")</f>
        <v> Fitness Instruction and Personal Training</v>
      </c>
      <c r="G6" s="4"/>
      <c r="H6" s="4"/>
      <c r="I6" s="5" t="s">
        <v>15</v>
      </c>
      <c r="J6" s="5" t="s">
        <v>31</v>
      </c>
      <c r="K6" s="5" t="s">
        <v>35</v>
      </c>
      <c r="L6" s="6" t="s">
        <v>25</v>
      </c>
      <c r="M6" s="5" t="s">
        <v>36</v>
      </c>
      <c r="N6" s="5" t="s">
        <v>20</v>
      </c>
      <c r="O6" s="5">
        <v>23156.0</v>
      </c>
      <c r="P6" s="5">
        <v>73.0</v>
      </c>
      <c r="Q6" s="5">
        <v>4468.0</v>
      </c>
      <c r="R6" s="5">
        <v>18821.0</v>
      </c>
      <c r="S6" s="5">
        <v>15.0</v>
      </c>
      <c r="T6" s="5">
        <v>6173.41289</v>
      </c>
    </row>
    <row r="7">
      <c r="A7" s="4" t="s">
        <v>1709</v>
      </c>
      <c r="B7" s="4" t="str">
        <f>IFERROR(__xludf.DUMMYFUNCTION("SPLIT(A7:A733, ""&gt;"")"),"Online Behavior")</f>
        <v>Online Behavior</v>
      </c>
      <c r="C7" s="4" t="str">
        <f>IFERROR(__xludf.DUMMYFUNCTION("""COMPUTED_VALUE"""),"United States")</f>
        <v>United States</v>
      </c>
      <c r="D7" s="4" t="str">
        <f>IFERROR(__xludf.DUMMYFUNCTION("""COMPUTED_VALUE"""),"Autos and Vehicles ")</f>
        <v>Autos and Vehicles </v>
      </c>
      <c r="E7" s="4" t="str">
        <f>IFERROR(__xludf.DUMMYFUNCTION("""COMPUTED_VALUE""")," Brands")</f>
        <v> Brands</v>
      </c>
      <c r="F7" s="4" t="str">
        <f>IFERROR(__xludf.DUMMYFUNCTION("""COMPUTED_VALUE"""),"Jeep")</f>
        <v>Jeep</v>
      </c>
      <c r="G7" s="4"/>
      <c r="H7" s="4"/>
      <c r="I7" s="5" t="s">
        <v>22</v>
      </c>
      <c r="J7" s="5" t="s">
        <v>31</v>
      </c>
      <c r="K7" s="5" t="s">
        <v>17</v>
      </c>
      <c r="L7" s="6" t="s">
        <v>25</v>
      </c>
      <c r="M7" s="5" t="s">
        <v>19</v>
      </c>
      <c r="N7" s="5" t="s">
        <v>27</v>
      </c>
      <c r="O7" s="5">
        <v>23711.0</v>
      </c>
      <c r="P7" s="5">
        <v>69.0</v>
      </c>
      <c r="Q7" s="5">
        <v>4337.0</v>
      </c>
      <c r="R7" s="5">
        <v>17211.0</v>
      </c>
      <c r="S7" s="5">
        <v>8.0</v>
      </c>
      <c r="T7" s="5">
        <v>5740.952219</v>
      </c>
    </row>
    <row r="8">
      <c r="A8" s="4" t="s">
        <v>1710</v>
      </c>
      <c r="B8" s="4" t="str">
        <f>IFERROR(__xludf.DUMMYFUNCTION("SPLIT(A8:A734, ""&gt;"")"),"Online Behavior")</f>
        <v>Online Behavior</v>
      </c>
      <c r="C8" s="4" t="str">
        <f>IFERROR(__xludf.DUMMYFUNCTION("""COMPUTED_VALUE"""),"United States")</f>
        <v>United States</v>
      </c>
      <c r="D8" s="4" t="str">
        <f>IFERROR(__xludf.DUMMYFUNCTION("""COMPUTED_VALUE"""),"Autos and Vehicles ")</f>
        <v>Autos and Vehicles </v>
      </c>
      <c r="E8" s="4" t="str">
        <f>IFERROR(__xludf.DUMMYFUNCTION("""COMPUTED_VALUE""")," Brands")</f>
        <v> Brands</v>
      </c>
      <c r="F8" s="4" t="str">
        <f>IFERROR(__xludf.DUMMYFUNCTION("""COMPUTED_VALUE"""),"Mercedes-Benz")</f>
        <v>Mercedes-Benz</v>
      </c>
      <c r="G8" s="4"/>
      <c r="H8" s="4"/>
      <c r="I8" s="5" t="s">
        <v>22</v>
      </c>
      <c r="J8" s="5" t="s">
        <v>16</v>
      </c>
      <c r="K8" s="5" t="s">
        <v>39</v>
      </c>
      <c r="L8" s="6" t="s">
        <v>25</v>
      </c>
      <c r="M8" s="5" t="s">
        <v>26</v>
      </c>
      <c r="N8" s="5" t="s">
        <v>27</v>
      </c>
      <c r="O8" s="5">
        <v>23965.0</v>
      </c>
      <c r="P8" s="5">
        <v>270.0</v>
      </c>
      <c r="Q8" s="5">
        <v>13608.0</v>
      </c>
      <c r="R8" s="5">
        <v>21704.0</v>
      </c>
      <c r="S8" s="5">
        <v>12.0</v>
      </c>
      <c r="T8" s="5">
        <v>5706.864417</v>
      </c>
    </row>
    <row r="9">
      <c r="A9" s="4" t="s">
        <v>1711</v>
      </c>
      <c r="B9" s="4" t="str">
        <f>IFERROR(__xludf.DUMMYFUNCTION("SPLIT(A9:A735, ""&gt;"")"),"Online Behavior")</f>
        <v>Online Behavior</v>
      </c>
      <c r="C9" s="4" t="str">
        <f>IFERROR(__xludf.DUMMYFUNCTION("""COMPUTED_VALUE"""),"United States")</f>
        <v>United States</v>
      </c>
      <c r="D9" s="4" t="str">
        <f>IFERROR(__xludf.DUMMYFUNCTION("""COMPUTED_VALUE"""),"Validated Demographic ")</f>
        <v>Validated Demographic </v>
      </c>
      <c r="E9" s="4" t="str">
        <f>IFERROR(__xludf.DUMMYFUNCTION("""COMPUTED_VALUE""")," Gender and Age Combined")</f>
        <v> Gender and Age Combined</v>
      </c>
      <c r="F9" s="4" t="str">
        <f>IFERROR(__xludf.DUMMYFUNCTION("""COMPUTED_VALUE"""),"Males 18-54")</f>
        <v>Males 18-54</v>
      </c>
      <c r="G9" s="4"/>
      <c r="H9" s="4"/>
      <c r="I9" s="5" t="s">
        <v>15</v>
      </c>
      <c r="J9" s="5" t="s">
        <v>31</v>
      </c>
      <c r="K9" s="5" t="s">
        <v>39</v>
      </c>
      <c r="L9" s="6" t="s">
        <v>25</v>
      </c>
      <c r="M9" s="5" t="s">
        <v>19</v>
      </c>
      <c r="N9" s="5" t="s">
        <v>27</v>
      </c>
      <c r="O9" s="5">
        <v>14730.0</v>
      </c>
      <c r="P9" s="5">
        <v>88.0</v>
      </c>
      <c r="Q9" s="5">
        <v>1272.0</v>
      </c>
      <c r="R9" s="5">
        <v>12427.0</v>
      </c>
      <c r="S9" s="5">
        <v>3.0</v>
      </c>
      <c r="T9" s="5">
        <v>5190.535998</v>
      </c>
    </row>
    <row r="10">
      <c r="A10" s="4" t="s">
        <v>1712</v>
      </c>
      <c r="B10" s="4" t="str">
        <f>IFERROR(__xludf.DUMMYFUNCTION("SPLIT(A10:A736, ""&gt;"")"),"Online Behavior")</f>
        <v>Online Behavior</v>
      </c>
      <c r="C10" s="4" t="str">
        <f>IFERROR(__xludf.DUMMYFUNCTION("""COMPUTED_VALUE"""),"United States")</f>
        <v>United States</v>
      </c>
      <c r="D10" s="4" t="str">
        <f>IFERROR(__xludf.DUMMYFUNCTION("""COMPUTED_VALUE"""),"Validated Demographic ")</f>
        <v>Validated Demographic </v>
      </c>
      <c r="E10" s="4" t="str">
        <f>IFERROR(__xludf.DUMMYFUNCTION("""COMPUTED_VALUE""")," Age")</f>
        <v> Age</v>
      </c>
      <c r="F10" s="4" t="str">
        <f>IFERROR(__xludf.DUMMYFUNCTION("""COMPUTED_VALUE"""),"55-64")</f>
        <v>55-64</v>
      </c>
      <c r="G10" s="4"/>
      <c r="H10" s="4"/>
      <c r="I10" s="5" t="s">
        <v>15</v>
      </c>
      <c r="J10" s="5" t="s">
        <v>42</v>
      </c>
      <c r="K10" s="5" t="s">
        <v>43</v>
      </c>
      <c r="L10" s="6" t="s">
        <v>25</v>
      </c>
      <c r="M10" s="5" t="s">
        <v>36</v>
      </c>
      <c r="N10" s="5" t="s">
        <v>27</v>
      </c>
      <c r="O10" s="5">
        <v>36863.0</v>
      </c>
      <c r="P10" s="5">
        <v>116.0</v>
      </c>
      <c r="Q10" s="5">
        <v>3570.0</v>
      </c>
      <c r="R10" s="5">
        <v>29458.0</v>
      </c>
      <c r="S10" s="5">
        <v>15.0</v>
      </c>
      <c r="T10" s="5">
        <v>4752.816685</v>
      </c>
    </row>
    <row r="11">
      <c r="A11" s="4" t="s">
        <v>1713</v>
      </c>
      <c r="B11" s="4" t="str">
        <f>IFERROR(__xludf.DUMMYFUNCTION("SPLIT(A11:A737, ""&gt;"")"),"US ")</f>
        <v>US </v>
      </c>
      <c r="C11" s="4" t="str">
        <f>IFERROR(__xludf.DUMMYFUNCTION("""COMPUTED_VALUE""")," Interest Propensities ")</f>
        <v> Interest Propensities </v>
      </c>
      <c r="D11" s="4" t="str">
        <f>IFERROR(__xludf.DUMMYFUNCTION("""COMPUTED_VALUE""")," Brands ")</f>
        <v> Brands </v>
      </c>
      <c r="E11" s="4" t="str">
        <f>IFERROR(__xludf.DUMMYFUNCTION("""COMPUTED_VALUE""")," Quick Service Restaurants")</f>
        <v> Quick Service Restaurants</v>
      </c>
      <c r="F11" s="4"/>
      <c r="G11" s="4"/>
      <c r="H11" s="4"/>
      <c r="I11" s="5" t="s">
        <v>22</v>
      </c>
      <c r="J11" s="5" t="s">
        <v>31</v>
      </c>
      <c r="K11" s="5" t="s">
        <v>45</v>
      </c>
      <c r="L11" s="6" t="s">
        <v>25</v>
      </c>
      <c r="M11" s="5" t="s">
        <v>46</v>
      </c>
      <c r="N11" s="5" t="s">
        <v>27</v>
      </c>
      <c r="O11" s="5">
        <v>213699.0</v>
      </c>
      <c r="P11" s="5">
        <v>270.0</v>
      </c>
      <c r="Q11" s="5">
        <v>18395.0</v>
      </c>
      <c r="R11" s="5">
        <v>164487.0</v>
      </c>
      <c r="S11" s="5">
        <v>4.0</v>
      </c>
      <c r="T11" s="5">
        <v>2194.987125</v>
      </c>
    </row>
    <row r="12">
      <c r="A12" s="4" t="s">
        <v>1714</v>
      </c>
      <c r="B12" s="4" t="str">
        <f>IFERROR(__xludf.DUMMYFUNCTION("SPLIT(A12:A738, ""&gt;"")"),"US ")</f>
        <v>US </v>
      </c>
      <c r="C12" s="4" t="str">
        <f>IFERROR(__xludf.DUMMYFUNCTION("""COMPUTED_VALUE""")," B2B ")</f>
        <v> B2B </v>
      </c>
      <c r="D12" s="4" t="str">
        <f>IFERROR(__xludf.DUMMYFUNCTION("""COMPUTED_VALUE""")," B2B Decision Maker Responsibilities ")</f>
        <v> B2B Decision Maker Responsibilities </v>
      </c>
      <c r="E12" s="4" t="str">
        <f>IFERROR(__xludf.DUMMYFUNCTION("""COMPUTED_VALUE""")," Purchasing Utilities")</f>
        <v> Purchasing Utilities</v>
      </c>
      <c r="F12" s="4"/>
      <c r="G12" s="4"/>
      <c r="H12" s="4"/>
      <c r="I12" s="5" t="s">
        <v>22</v>
      </c>
      <c r="J12" s="5" t="s">
        <v>23</v>
      </c>
      <c r="K12" s="5" t="s">
        <v>32</v>
      </c>
      <c r="L12" s="6" t="s">
        <v>25</v>
      </c>
      <c r="M12" s="5" t="s">
        <v>48</v>
      </c>
      <c r="N12" s="5" t="s">
        <v>27</v>
      </c>
      <c r="O12" s="5">
        <v>49936.0</v>
      </c>
      <c r="P12" s="5">
        <v>126.0</v>
      </c>
      <c r="Q12" s="5">
        <v>25461.0</v>
      </c>
      <c r="R12" s="5">
        <v>44751.0</v>
      </c>
      <c r="S12" s="5">
        <v>13.0</v>
      </c>
      <c r="T12" s="5">
        <v>2025.784019</v>
      </c>
    </row>
    <row r="13">
      <c r="A13" s="4" t="s">
        <v>1715</v>
      </c>
      <c r="B13" s="4" t="str">
        <f>IFERROR(__xludf.DUMMYFUNCTION("SPLIT(A13:A739, ""&gt;"")"),"US ")</f>
        <v>US </v>
      </c>
      <c r="C13" s="4" t="str">
        <f>IFERROR(__xludf.DUMMYFUNCTION("""COMPUTED_VALUE""")," Interest Propensities ")</f>
        <v> Interest Propensities </v>
      </c>
      <c r="D13" s="4" t="str">
        <f>IFERROR(__xludf.DUMMYFUNCTION("""COMPUTED_VALUE""")," TV and Movies ")</f>
        <v> TV and Movies </v>
      </c>
      <c r="E13" s="4" t="str">
        <f>IFERROR(__xludf.DUMMYFUNCTION("""COMPUTED_VALUE""")," Sports TV")</f>
        <v> Sports TV</v>
      </c>
      <c r="F13" s="4"/>
      <c r="G13" s="4"/>
      <c r="H13" s="4"/>
      <c r="I13" s="5" t="s">
        <v>15</v>
      </c>
      <c r="J13" s="5" t="s">
        <v>23</v>
      </c>
      <c r="K13" s="5" t="s">
        <v>17</v>
      </c>
      <c r="L13" s="6" t="s">
        <v>25</v>
      </c>
      <c r="M13" s="5" t="s">
        <v>50</v>
      </c>
      <c r="N13" s="5" t="s">
        <v>27</v>
      </c>
      <c r="O13" s="5">
        <v>15200.0</v>
      </c>
      <c r="P13" s="5">
        <v>60.0</v>
      </c>
      <c r="Q13" s="5">
        <v>5375.0</v>
      </c>
      <c r="R13" s="5">
        <v>12040.0</v>
      </c>
      <c r="S13" s="5">
        <v>4.0</v>
      </c>
      <c r="T13" s="5">
        <v>1970.357345</v>
      </c>
    </row>
    <row r="14">
      <c r="A14" s="4" t="s">
        <v>1716</v>
      </c>
      <c r="B14" s="4" t="str">
        <f>IFERROR(__xludf.DUMMYFUNCTION("SPLIT(A14:A740, ""&gt;"")"),"Real Estate ")</f>
        <v>Real Estate </v>
      </c>
      <c r="C14" s="4" t="str">
        <f>IFERROR(__xludf.DUMMYFUNCTION("""COMPUTED_VALUE""")," Occupancy ")</f>
        <v> Occupancy </v>
      </c>
      <c r="D14" s="4" t="str">
        <f>IFERROR(__xludf.DUMMYFUNCTION("""COMPUTED_VALUE""")," Owner Occupied")</f>
        <v> Owner Occupied</v>
      </c>
      <c r="E14" s="4"/>
      <c r="F14" s="4"/>
      <c r="G14" s="4"/>
      <c r="H14" s="4"/>
      <c r="I14" s="5" t="s">
        <v>15</v>
      </c>
      <c r="J14" s="5" t="s">
        <v>31</v>
      </c>
      <c r="K14" s="5" t="s">
        <v>35</v>
      </c>
      <c r="L14" s="6" t="s">
        <v>25</v>
      </c>
      <c r="M14" s="5" t="s">
        <v>19</v>
      </c>
      <c r="N14" s="5" t="s">
        <v>52</v>
      </c>
      <c r="O14" s="5">
        <v>49250.0</v>
      </c>
      <c r="P14" s="5">
        <v>220.0</v>
      </c>
      <c r="Q14" s="5">
        <v>9205.0</v>
      </c>
      <c r="R14" s="5">
        <v>43535.0</v>
      </c>
      <c r="S14" s="5">
        <v>15.0</v>
      </c>
      <c r="T14" s="5">
        <v>1694.470977</v>
      </c>
    </row>
    <row r="15">
      <c r="A15" s="4" t="s">
        <v>1717</v>
      </c>
      <c r="B15" s="4" t="str">
        <f>IFERROR(__xludf.DUMMYFUNCTION("SPLIT(A15:A741, ""&gt;"")"),"US Financial ")</f>
        <v>US Financial </v>
      </c>
      <c r="C15" s="4" t="str">
        <f>IFERROR(__xludf.DUMMYFUNCTION("""COMPUTED_VALUE""")," Likely Credit Card ")</f>
        <v> Likely Credit Card </v>
      </c>
      <c r="D15" s="4" t="str">
        <f>IFERROR(__xludf.DUMMYFUNCTION("""COMPUTED_VALUE""")," Card in Own Name ")</f>
        <v> Card in Own Name </v>
      </c>
      <c r="E15" s="4" t="str">
        <f>IFERROR(__xludf.DUMMYFUNCTION("""COMPUTED_VALUE""")," Any major Credit/Debit Card (Financial)")</f>
        <v> Any major Credit/Debit Card (Financial)</v>
      </c>
      <c r="F15" s="4"/>
      <c r="G15" s="4"/>
      <c r="H15" s="4"/>
      <c r="I15" s="5" t="s">
        <v>15</v>
      </c>
      <c r="J15" s="5" t="s">
        <v>16</v>
      </c>
      <c r="K15" s="5" t="s">
        <v>29</v>
      </c>
      <c r="L15" s="6" t="s">
        <v>25</v>
      </c>
      <c r="M15" s="5" t="s">
        <v>46</v>
      </c>
      <c r="N15" s="5" t="s">
        <v>27</v>
      </c>
      <c r="O15" s="5">
        <v>10811.0</v>
      </c>
      <c r="P15" s="5">
        <v>25.0</v>
      </c>
      <c r="Q15" s="5">
        <v>988.0</v>
      </c>
      <c r="R15" s="5">
        <v>2975.0</v>
      </c>
      <c r="S15" s="5">
        <v>3.0</v>
      </c>
      <c r="T15" s="5">
        <v>1679.833815</v>
      </c>
    </row>
    <row r="16">
      <c r="A16" s="4" t="s">
        <v>54</v>
      </c>
      <c r="B16" s="4" t="str">
        <f>IFERROR(__xludf.DUMMYFUNCTION("SPLIT(A16:A742, ""&gt;"")"),"Online Behavior")</f>
        <v>Online Behavior</v>
      </c>
      <c r="C16" s="4" t="str">
        <f>IFERROR(__xludf.DUMMYFUNCTION("""COMPUTED_VALUE"""),"United States")</f>
        <v>United States</v>
      </c>
      <c r="D16" s="4" t="str">
        <f>IFERROR(__xludf.DUMMYFUNCTION("""COMPUTED_VALUE"""),"People and Society")</f>
        <v>People and Society</v>
      </c>
      <c r="E16" s="4" t="str">
        <f>IFERROR(__xludf.DUMMYFUNCTION("""COMPUTED_VALUE"""),"Millennials")</f>
        <v>Millennials</v>
      </c>
      <c r="F16" s="4"/>
      <c r="G16" s="4"/>
      <c r="H16" s="4"/>
      <c r="I16" s="5" t="s">
        <v>15</v>
      </c>
      <c r="J16" s="5" t="s">
        <v>23</v>
      </c>
      <c r="K16" s="5" t="s">
        <v>55</v>
      </c>
      <c r="L16" s="6" t="s">
        <v>25</v>
      </c>
      <c r="M16" s="5" t="s">
        <v>46</v>
      </c>
      <c r="N16" s="5" t="s">
        <v>27</v>
      </c>
      <c r="O16" s="5">
        <v>23829.0</v>
      </c>
      <c r="P16" s="5">
        <v>75.0</v>
      </c>
      <c r="Q16" s="5">
        <v>8326.0</v>
      </c>
      <c r="R16" s="5">
        <v>18812.0</v>
      </c>
      <c r="S16" s="5">
        <v>5.0</v>
      </c>
      <c r="T16" s="5">
        <v>1534.698</v>
      </c>
    </row>
    <row r="17">
      <c r="A17" s="4" t="s">
        <v>1718</v>
      </c>
      <c r="B17" s="4" t="str">
        <f>IFERROR(__xludf.DUMMYFUNCTION("SPLIT(A17:A743, ""&gt;"")"),"OnAudience ")</f>
        <v>OnAudience </v>
      </c>
      <c r="C17" s="4" t="str">
        <f>IFERROR(__xludf.DUMMYFUNCTION("""COMPUTED_VALUE""")," Intent ")</f>
        <v> Intent </v>
      </c>
      <c r="D17" s="4" t="str">
        <f>IFERROR(__xludf.DUMMYFUNCTION("""COMPUTED_VALUE""")," Electronics ")</f>
        <v> Electronics </v>
      </c>
      <c r="E17" s="4" t="str">
        <f>IFERROR(__xludf.DUMMYFUNCTION("""COMPUTED_VALUE""")," Video ")</f>
        <v> Video </v>
      </c>
      <c r="F17" s="4" t="str">
        <f>IFERROR(__xludf.DUMMYFUNCTION("""COMPUTED_VALUE""")," Televisions")</f>
        <v> Televisions</v>
      </c>
      <c r="G17" s="4"/>
      <c r="H17" s="4"/>
      <c r="I17" s="5" t="s">
        <v>22</v>
      </c>
      <c r="J17" s="5" t="s">
        <v>42</v>
      </c>
      <c r="K17" s="5" t="s">
        <v>17</v>
      </c>
      <c r="L17" s="6" t="s">
        <v>25</v>
      </c>
      <c r="M17" s="5" t="s">
        <v>48</v>
      </c>
      <c r="N17" s="5" t="s">
        <v>27</v>
      </c>
      <c r="O17" s="5">
        <v>19826.0</v>
      </c>
      <c r="P17" s="5">
        <v>39.0</v>
      </c>
      <c r="Q17" s="5">
        <v>6511.0</v>
      </c>
      <c r="R17" s="5">
        <v>15752.0</v>
      </c>
      <c r="S17" s="5">
        <v>10.0</v>
      </c>
      <c r="T17" s="5">
        <v>1447.873298</v>
      </c>
    </row>
    <row r="18">
      <c r="A18" s="4" t="s">
        <v>1719</v>
      </c>
      <c r="B18" s="4" t="str">
        <f>IFERROR(__xludf.DUMMYFUNCTION("SPLIT(A18:A744, ""&gt;"")"),"Online Behavior")</f>
        <v>Online Behavior</v>
      </c>
      <c r="C18" s="4" t="str">
        <f>IFERROR(__xludf.DUMMYFUNCTION("""COMPUTED_VALUE"""),"United States")</f>
        <v>United States</v>
      </c>
      <c r="D18" s="4" t="str">
        <f>IFERROR(__xludf.DUMMYFUNCTION("""COMPUTED_VALUE"""),"Arts and Entertainment")</f>
        <v>Arts and Entertainment</v>
      </c>
      <c r="E18" s="4" t="str">
        <f>IFERROR(__xludf.DUMMYFUNCTION("""COMPUTED_VALUE"""),"Events and Listings ")</f>
        <v>Events and Listings </v>
      </c>
      <c r="F18" s="4" t="str">
        <f>IFERROR(__xludf.DUMMYFUNCTION("""COMPUTED_VALUE""")," Bars, Clubs and Nightlife")</f>
        <v> Bars, Clubs and Nightlife</v>
      </c>
      <c r="G18" s="4"/>
      <c r="H18" s="4"/>
      <c r="I18" s="5" t="s">
        <v>15</v>
      </c>
      <c r="J18" s="5" t="s">
        <v>42</v>
      </c>
      <c r="K18" s="5" t="s">
        <v>35</v>
      </c>
      <c r="L18" s="6" t="s">
        <v>58</v>
      </c>
      <c r="M18" s="5" t="s">
        <v>36</v>
      </c>
      <c r="N18" s="5" t="s">
        <v>52</v>
      </c>
      <c r="O18" s="5">
        <v>81905.0</v>
      </c>
      <c r="P18" s="5">
        <v>220.0</v>
      </c>
      <c r="Q18" s="5">
        <v>61995.0</v>
      </c>
      <c r="R18" s="5">
        <v>71110.0</v>
      </c>
      <c r="S18" s="5">
        <v>24.0</v>
      </c>
      <c r="T18" s="5">
        <v>7065.66928</v>
      </c>
    </row>
    <row r="19">
      <c r="A19" s="4" t="s">
        <v>1720</v>
      </c>
      <c r="B19" s="4" t="str">
        <f>IFERROR(__xludf.DUMMYFUNCTION("SPLIT(A19:A745, ""&gt;"")"),"US ")</f>
        <v>US </v>
      </c>
      <c r="C19" s="4" t="str">
        <f>IFERROR(__xludf.DUMMYFUNCTION("""COMPUTED_VALUE""")," Interest Propensities ")</f>
        <v> Interest Propensities </v>
      </c>
      <c r="D19" s="4" t="str">
        <f>IFERROR(__xludf.DUMMYFUNCTION("""COMPUTED_VALUE""")," Activities and Interests ")</f>
        <v> Activities and Interests </v>
      </c>
      <c r="E19" s="4" t="str">
        <f>IFERROR(__xludf.DUMMYFUNCTION("""COMPUTED_VALUE""")," Local News")</f>
        <v> Local News</v>
      </c>
      <c r="F19" s="4"/>
      <c r="G19" s="4"/>
      <c r="H19" s="4"/>
      <c r="I19" s="5" t="s">
        <v>22</v>
      </c>
      <c r="J19" s="5" t="s">
        <v>23</v>
      </c>
      <c r="K19" s="5" t="s">
        <v>32</v>
      </c>
      <c r="L19" s="6" t="s">
        <v>58</v>
      </c>
      <c r="M19" s="5" t="s">
        <v>36</v>
      </c>
      <c r="N19" s="5" t="s">
        <v>27</v>
      </c>
      <c r="O19" s="5">
        <v>16151.0</v>
      </c>
      <c r="P19" s="5">
        <v>54.0</v>
      </c>
      <c r="Q19" s="5">
        <v>4360.0</v>
      </c>
      <c r="R19" s="5">
        <v>11358.0</v>
      </c>
      <c r="S19" s="5">
        <v>3.0</v>
      </c>
      <c r="T19" s="5">
        <v>1706.224318</v>
      </c>
    </row>
    <row r="20">
      <c r="A20" s="4" t="s">
        <v>1721</v>
      </c>
      <c r="B20" s="4" t="str">
        <f>IFERROR(__xludf.DUMMYFUNCTION("SPLIT(A20:A746, ""&gt;"")"),"US ")</f>
        <v>US </v>
      </c>
      <c r="C20" s="4" t="str">
        <f>IFERROR(__xludf.DUMMYFUNCTION("""COMPUTED_VALUE""")," Reach ")</f>
        <v> Reach </v>
      </c>
      <c r="D20" s="4" t="str">
        <f>IFERROR(__xludf.DUMMYFUNCTION("""COMPUTED_VALUE""")," Sociodemographic ")</f>
        <v> Sociodemographic </v>
      </c>
      <c r="E20" s="4" t="str">
        <f>IFERROR(__xludf.DUMMYFUNCTION("""COMPUTED_VALUE""")," Dwelling Type ")</f>
        <v> Dwelling Type </v>
      </c>
      <c r="F20" s="4" t="str">
        <f>IFERROR(__xludf.DUMMYFUNCTION("""COMPUTED_VALUE""")," Multi-family Dwelling Unit")</f>
        <v> Multi-family Dwelling Unit</v>
      </c>
      <c r="G20" s="4"/>
      <c r="H20" s="4"/>
      <c r="I20" s="5" t="s">
        <v>61</v>
      </c>
      <c r="J20" s="5" t="s">
        <v>31</v>
      </c>
      <c r="K20" s="5" t="s">
        <v>29</v>
      </c>
      <c r="L20" s="6" t="s">
        <v>58</v>
      </c>
      <c r="M20" s="5" t="s">
        <v>46</v>
      </c>
      <c r="N20" s="5" t="s">
        <v>27</v>
      </c>
      <c r="O20" s="5">
        <v>68704.0</v>
      </c>
      <c r="P20" s="5">
        <v>185.0</v>
      </c>
      <c r="Q20" s="5">
        <v>31283.0</v>
      </c>
      <c r="R20" s="5">
        <v>59462.0</v>
      </c>
      <c r="S20" s="5">
        <v>16.0</v>
      </c>
      <c r="T20" s="5">
        <v>1605.566031</v>
      </c>
    </row>
    <row r="21">
      <c r="A21" s="4" t="s">
        <v>1722</v>
      </c>
      <c r="B21" s="4" t="str">
        <f>IFERROR(__xludf.DUMMYFUNCTION("SPLIT(A21:A747, ""&gt;"")"),"OnAudience ")</f>
        <v>OnAudience </v>
      </c>
      <c r="C21" s="4" t="str">
        <f>IFERROR(__xludf.DUMMYFUNCTION("""COMPUTED_VALUE""")," Intent ")</f>
        <v> Intent </v>
      </c>
      <c r="D21" s="4" t="str">
        <f>IFERROR(__xludf.DUMMYFUNCTION("""COMPUTED_VALUE""")," Software ")</f>
        <v> Software </v>
      </c>
      <c r="E21" s="4" t="str">
        <f>IFERROR(__xludf.DUMMYFUNCTION("""COMPUTED_VALUE""")," Video Game Software")</f>
        <v> Video Game Software</v>
      </c>
      <c r="F21" s="4"/>
      <c r="G21" s="4"/>
      <c r="H21" s="4"/>
      <c r="I21" s="5" t="s">
        <v>15</v>
      </c>
      <c r="J21" s="5" t="s">
        <v>23</v>
      </c>
      <c r="K21" s="5" t="s">
        <v>29</v>
      </c>
      <c r="L21" s="6" t="s">
        <v>58</v>
      </c>
      <c r="M21" s="5" t="s">
        <v>19</v>
      </c>
      <c r="N21" s="5" t="s">
        <v>52</v>
      </c>
      <c r="O21" s="5">
        <v>76439.0</v>
      </c>
      <c r="P21" s="5">
        <v>100.0</v>
      </c>
      <c r="Q21" s="5">
        <v>58269.0</v>
      </c>
      <c r="R21" s="5">
        <v>66924.0</v>
      </c>
      <c r="S21" s="5">
        <v>8.0</v>
      </c>
      <c r="T21" s="5">
        <v>1524.810224</v>
      </c>
    </row>
    <row r="22">
      <c r="A22" s="4" t="s">
        <v>1723</v>
      </c>
      <c r="B22" s="4" t="str">
        <f>IFERROR(__xludf.DUMMYFUNCTION("SPLIT(A22:A748, ""&gt;"")"),"Online Behavior")</f>
        <v>Online Behavior</v>
      </c>
      <c r="C22" s="4" t="str">
        <f>IFERROR(__xludf.DUMMYFUNCTION("""COMPUTED_VALUE"""),"United States")</f>
        <v>United States</v>
      </c>
      <c r="D22" s="4" t="str">
        <f>IFERROR(__xludf.DUMMYFUNCTION("""COMPUTED_VALUE"""),"B2B ")</f>
        <v>B2B </v>
      </c>
      <c r="E22" s="4" t="str">
        <f>IFERROR(__xludf.DUMMYFUNCTION("""COMPUTED_VALUE""")," Occupation")</f>
        <v> Occupation</v>
      </c>
      <c r="F22" s="4" t="str">
        <f>IFERROR(__xludf.DUMMYFUNCTION("""COMPUTED_VALUE"""),"Musician")</f>
        <v>Musician</v>
      </c>
      <c r="G22" s="4"/>
      <c r="H22" s="4"/>
      <c r="I22" s="5" t="s">
        <v>15</v>
      </c>
      <c r="J22" s="5" t="s">
        <v>16</v>
      </c>
      <c r="K22" s="5" t="s">
        <v>35</v>
      </c>
      <c r="L22" s="6" t="s">
        <v>64</v>
      </c>
      <c r="M22" s="5" t="s">
        <v>33</v>
      </c>
      <c r="N22" s="5" t="s">
        <v>52</v>
      </c>
      <c r="O22" s="5">
        <v>17833.0</v>
      </c>
      <c r="P22" s="5">
        <v>61.0</v>
      </c>
      <c r="Q22" s="5">
        <v>8670.0</v>
      </c>
      <c r="R22" s="5">
        <v>16871.0</v>
      </c>
      <c r="S22" s="5">
        <v>10.0</v>
      </c>
      <c r="T22" s="5">
        <v>4899.155955</v>
      </c>
    </row>
    <row r="23">
      <c r="A23" s="4" t="s">
        <v>1724</v>
      </c>
      <c r="B23" s="4" t="str">
        <f>IFERROR(__xludf.DUMMYFUNCTION("SPLIT(A23:A749, ""&gt;"")"),"Lotame ")</f>
        <v>Lotame </v>
      </c>
      <c r="C23" s="4" t="str">
        <f>IFERROR(__xludf.DUMMYFUNCTION("""COMPUTED_VALUE""")," Travel ")</f>
        <v> Travel </v>
      </c>
      <c r="D23" s="4" t="str">
        <f>IFERROR(__xludf.DUMMYFUNCTION("""COMPUTED_VALUE""")," Summer Travel")</f>
        <v> Summer Travel</v>
      </c>
      <c r="E23" s="4"/>
      <c r="F23" s="4"/>
      <c r="G23" s="4"/>
      <c r="H23" s="4"/>
      <c r="I23" s="5" t="s">
        <v>15</v>
      </c>
      <c r="J23" s="5" t="s">
        <v>31</v>
      </c>
      <c r="K23" s="5" t="s">
        <v>66</v>
      </c>
      <c r="L23" s="6" t="s">
        <v>64</v>
      </c>
      <c r="M23" s="5" t="s">
        <v>19</v>
      </c>
      <c r="N23" s="5" t="s">
        <v>20</v>
      </c>
      <c r="O23" s="5">
        <v>16719.0</v>
      </c>
      <c r="P23" s="5">
        <v>35.0</v>
      </c>
      <c r="Q23" s="5">
        <v>9944.0</v>
      </c>
      <c r="R23" s="5">
        <v>15714.0</v>
      </c>
      <c r="S23" s="5">
        <v>13.0</v>
      </c>
      <c r="T23" s="5">
        <v>1588.6475</v>
      </c>
    </row>
    <row r="24">
      <c r="A24" s="4" t="s">
        <v>1725</v>
      </c>
      <c r="B24" s="4" t="str">
        <f>IFERROR(__xludf.DUMMYFUNCTION("SPLIT(A24:A750, ""&gt;"")"),"US ")</f>
        <v>US </v>
      </c>
      <c r="C24" s="4" t="str">
        <f>IFERROR(__xludf.DUMMYFUNCTION("""COMPUTED_VALUE""")," Home and Garden Interests ")</f>
        <v> Home and Garden Interests </v>
      </c>
      <c r="D24" s="4" t="str">
        <f>IFERROR(__xludf.DUMMYFUNCTION("""COMPUTED_VALUE""")," Cooking ")</f>
        <v> Cooking </v>
      </c>
      <c r="E24" s="4" t="str">
        <f>IFERROR(__xludf.DUMMYFUNCTION("""COMPUTED_VALUE""")," Food Enthusiasts")</f>
        <v> Food Enthusiasts</v>
      </c>
      <c r="F24" s="4"/>
      <c r="G24" s="4"/>
      <c r="H24" s="4"/>
      <c r="I24" s="5" t="s">
        <v>22</v>
      </c>
      <c r="J24" s="5" t="s">
        <v>16</v>
      </c>
      <c r="K24" s="5" t="s">
        <v>45</v>
      </c>
      <c r="L24" s="6" t="s">
        <v>64</v>
      </c>
      <c r="M24" s="5" t="s">
        <v>26</v>
      </c>
      <c r="N24" s="5" t="s">
        <v>27</v>
      </c>
      <c r="O24" s="5">
        <v>12592.0</v>
      </c>
      <c r="P24" s="5">
        <v>63.0</v>
      </c>
      <c r="Q24" s="5">
        <v>7472.0</v>
      </c>
      <c r="R24" s="5">
        <v>11687.0</v>
      </c>
      <c r="S24" s="5">
        <v>4.0</v>
      </c>
      <c r="T24" s="5">
        <v>1521.185189</v>
      </c>
    </row>
    <row r="25">
      <c r="A25" s="4" t="s">
        <v>1726</v>
      </c>
      <c r="B25" s="4" t="str">
        <f>IFERROR(__xludf.DUMMYFUNCTION("SPLIT(A25:A751, ""&gt;"")"),"US ")</f>
        <v>US </v>
      </c>
      <c r="C25" s="4" t="str">
        <f>IFERROR(__xludf.DUMMYFUNCTION("""COMPUTED_VALUE""")," Demo ")</f>
        <v> Demo </v>
      </c>
      <c r="D25" s="4" t="str">
        <f>IFERROR(__xludf.DUMMYFUNCTION("""COMPUTED_VALUE""")," Age ")</f>
        <v> Age </v>
      </c>
      <c r="E25" s="4" t="str">
        <f>IFERROR(__xludf.DUMMYFUNCTION("""COMPUTED_VALUE""")," 55-64")</f>
        <v> 55-64</v>
      </c>
      <c r="F25" s="4"/>
      <c r="G25" s="4"/>
      <c r="H25" s="4"/>
      <c r="I25" s="5" t="s">
        <v>15</v>
      </c>
      <c r="J25" s="5" t="s">
        <v>23</v>
      </c>
      <c r="K25" s="5" t="s">
        <v>32</v>
      </c>
      <c r="L25" s="6" t="s">
        <v>64</v>
      </c>
      <c r="M25" s="5" t="s">
        <v>36</v>
      </c>
      <c r="N25" s="5" t="s">
        <v>27</v>
      </c>
      <c r="O25" s="5">
        <v>14136.0</v>
      </c>
      <c r="P25" s="5">
        <v>88.0</v>
      </c>
      <c r="Q25" s="5">
        <v>4683.0</v>
      </c>
      <c r="R25" s="5">
        <v>13273.0</v>
      </c>
      <c r="S25" s="5">
        <v>3.0</v>
      </c>
      <c r="T25" s="5">
        <v>1476.536841</v>
      </c>
    </row>
    <row r="26">
      <c r="A26" s="4" t="s">
        <v>1727</v>
      </c>
      <c r="B26" s="4" t="str">
        <f>IFERROR(__xludf.DUMMYFUNCTION("SPLIT(A26:A752, ""&gt;"")"),"Online Behavior")</f>
        <v>Online Behavior</v>
      </c>
      <c r="C26" s="4" t="str">
        <f>IFERROR(__xludf.DUMMYFUNCTION("""COMPUTED_VALUE"""),"United States")</f>
        <v>United States</v>
      </c>
      <c r="D26" s="4" t="str">
        <f>IFERROR(__xludf.DUMMYFUNCTION("""COMPUTED_VALUE"""),"Intent ")</f>
        <v>Intent </v>
      </c>
      <c r="E26" s="4" t="str">
        <f>IFERROR(__xludf.DUMMYFUNCTION("""COMPUTED_VALUE""")," Auto Buyers ")</f>
        <v> Auto Buyers </v>
      </c>
      <c r="F26" s="4" t="str">
        <f>IFERROR(__xludf.DUMMYFUNCTION("""COMPUTED_VALUE""")," Type")</f>
        <v> Type</v>
      </c>
      <c r="G26" s="4" t="str">
        <f>IFERROR(__xludf.DUMMYFUNCTION("""COMPUTED_VALUE"""),"Luxury")</f>
        <v>Luxury</v>
      </c>
      <c r="H26" s="4"/>
      <c r="I26" s="5" t="s">
        <v>22</v>
      </c>
      <c r="J26" s="5" t="s">
        <v>31</v>
      </c>
      <c r="K26" s="5" t="s">
        <v>17</v>
      </c>
      <c r="L26" s="6" t="s">
        <v>70</v>
      </c>
      <c r="M26" s="5" t="s">
        <v>26</v>
      </c>
      <c r="N26" s="5" t="s">
        <v>27</v>
      </c>
      <c r="O26" s="5">
        <v>14489.0</v>
      </c>
      <c r="P26" s="5">
        <v>37.0</v>
      </c>
      <c r="Q26" s="5">
        <v>12453.0</v>
      </c>
      <c r="R26" s="5">
        <v>13873.0</v>
      </c>
      <c r="S26" s="5">
        <v>10.0</v>
      </c>
      <c r="T26" s="5">
        <v>6195.840734</v>
      </c>
    </row>
    <row r="27">
      <c r="A27" s="4" t="s">
        <v>1728</v>
      </c>
      <c r="B27" s="4" t="str">
        <f>IFERROR(__xludf.DUMMYFUNCTION("SPLIT(A27:A753, ""&gt;"")"),"US ")</f>
        <v>US </v>
      </c>
      <c r="C27" s="4" t="str">
        <f>IFERROR(__xludf.DUMMYFUNCTION("""COMPUTED_VALUE""")," Brand Propensities ")</f>
        <v> Brand Propensities </v>
      </c>
      <c r="D27" s="4" t="str">
        <f>IFERROR(__xludf.DUMMYFUNCTION("""COMPUTED_VALUE""")," Media and Entertainment ")</f>
        <v> Media and Entertainment </v>
      </c>
      <c r="E27" s="4" t="str">
        <f>IFERROR(__xludf.DUMMYFUNCTION("""COMPUTED_VALUE""")," wwe.com Buyer Propensity")</f>
        <v> wwe.com Buyer Propensity</v>
      </c>
      <c r="F27" s="4"/>
      <c r="G27" s="4"/>
      <c r="H27" s="4"/>
      <c r="I27" s="5" t="s">
        <v>15</v>
      </c>
      <c r="J27" s="5" t="s">
        <v>31</v>
      </c>
      <c r="K27" s="5" t="s">
        <v>45</v>
      </c>
      <c r="L27" s="6" t="s">
        <v>72</v>
      </c>
      <c r="M27" s="5" t="s">
        <v>19</v>
      </c>
      <c r="N27" s="5" t="s">
        <v>52</v>
      </c>
      <c r="O27" s="5">
        <v>20348.0</v>
      </c>
      <c r="P27" s="5">
        <v>101.0</v>
      </c>
      <c r="Q27" s="5">
        <v>14945.0</v>
      </c>
      <c r="R27" s="5">
        <v>19548.0</v>
      </c>
      <c r="S27" s="5">
        <v>6.0</v>
      </c>
      <c r="T27" s="5">
        <v>1596.552373</v>
      </c>
    </row>
    <row r="28">
      <c r="A28" s="4" t="s">
        <v>1729</v>
      </c>
      <c r="B28" s="4" t="str">
        <f>IFERROR(__xludf.DUMMYFUNCTION("SPLIT(A28:A754, ""&gt;"")"),"Online Behavior")</f>
        <v>Online Behavior</v>
      </c>
      <c r="C28" s="4" t="str">
        <f>IFERROR(__xludf.DUMMYFUNCTION("""COMPUTED_VALUE"""),"United States")</f>
        <v>United States</v>
      </c>
      <c r="D28" s="4" t="str">
        <f>IFERROR(__xludf.DUMMYFUNCTION("""COMPUTED_VALUE"""),"Sports")</f>
        <v>Sports</v>
      </c>
      <c r="E28" s="4" t="str">
        <f>IFERROR(__xludf.DUMMYFUNCTION("""COMPUTED_VALUE"""),"Sports League ")</f>
        <v>Sports League </v>
      </c>
      <c r="F28" s="4" t="str">
        <f>IFERROR(__xludf.DUMMYFUNCTION("""COMPUTED_VALUE""")," NFL")</f>
        <v> NFL</v>
      </c>
      <c r="G28" s="4"/>
      <c r="H28" s="4"/>
      <c r="I28" s="5" t="s">
        <v>22</v>
      </c>
      <c r="J28" s="5" t="s">
        <v>31</v>
      </c>
      <c r="K28" s="5" t="s">
        <v>17</v>
      </c>
      <c r="L28" s="6" t="s">
        <v>74</v>
      </c>
      <c r="M28" s="5" t="s">
        <v>48</v>
      </c>
      <c r="N28" s="5" t="s">
        <v>27</v>
      </c>
      <c r="O28" s="5">
        <v>40447.0</v>
      </c>
      <c r="P28" s="5">
        <v>177.0</v>
      </c>
      <c r="Q28" s="5">
        <v>16663.0</v>
      </c>
      <c r="R28" s="5">
        <v>29774.0</v>
      </c>
      <c r="S28" s="5">
        <v>12.0</v>
      </c>
      <c r="T28" s="5">
        <v>5083.886273</v>
      </c>
    </row>
    <row r="29">
      <c r="A29" s="4" t="s">
        <v>1069</v>
      </c>
      <c r="B29" s="4" t="str">
        <f>IFERROR(__xludf.DUMMYFUNCTION("SPLIT(A29:A755, ""&gt;"")"),"Online Behavior")</f>
        <v>Online Behavior</v>
      </c>
      <c r="C29" s="4" t="str">
        <f>IFERROR(__xludf.DUMMYFUNCTION("""COMPUTED_VALUE"""),"United States")</f>
        <v>United States</v>
      </c>
      <c r="D29" s="4" t="str">
        <f>IFERROR(__xludf.DUMMYFUNCTION("""COMPUTED_VALUE"""),"Intent ")</f>
        <v>Intent </v>
      </c>
      <c r="E29" s="4" t="str">
        <f>IFERROR(__xludf.DUMMYFUNCTION("""COMPUTED_VALUE""")," Auto Buyers ")</f>
        <v> Auto Buyers </v>
      </c>
      <c r="F29" s="4" t="str">
        <f>IFERROR(__xludf.DUMMYFUNCTION("""COMPUTED_VALUE""")," Car Make")</f>
        <v> Car Make</v>
      </c>
      <c r="G29" s="4" t="str">
        <f>IFERROR(__xludf.DUMMYFUNCTION("""COMPUTED_VALUE"""),"Volkswagen")</f>
        <v>Volkswagen</v>
      </c>
      <c r="H29" s="4"/>
      <c r="I29" s="5" t="s">
        <v>15</v>
      </c>
      <c r="J29" s="5" t="s">
        <v>23</v>
      </c>
      <c r="K29" s="5" t="s">
        <v>35</v>
      </c>
      <c r="L29" s="6" t="s">
        <v>76</v>
      </c>
      <c r="M29" s="5" t="s">
        <v>26</v>
      </c>
      <c r="N29" s="5" t="s">
        <v>27</v>
      </c>
      <c r="O29" s="5">
        <v>14451.0</v>
      </c>
      <c r="P29" s="5">
        <v>50.0</v>
      </c>
      <c r="Q29" s="5">
        <v>5606.0</v>
      </c>
      <c r="R29" s="5">
        <v>13461.0</v>
      </c>
      <c r="S29" s="5">
        <v>8.0</v>
      </c>
      <c r="T29" s="5">
        <v>6397.602518</v>
      </c>
    </row>
    <row r="30">
      <c r="A30" s="4" t="s">
        <v>1730</v>
      </c>
      <c r="B30" s="4" t="str">
        <f>IFERROR(__xludf.DUMMYFUNCTION("SPLIT(A30:A756, ""&gt;"")"),"US ")</f>
        <v>US </v>
      </c>
      <c r="C30" s="4" t="str">
        <f>IFERROR(__xludf.DUMMYFUNCTION("""COMPUTED_VALUE""")," B2B ")</f>
        <v> B2B </v>
      </c>
      <c r="D30" s="4" t="str">
        <f>IFERROR(__xludf.DUMMYFUNCTION("""COMPUTED_VALUE""")," B2B Decision Maker Responsibilities ")</f>
        <v> B2B Decision Maker Responsibilities </v>
      </c>
      <c r="E30" s="4" t="str">
        <f>IFERROR(__xludf.DUMMYFUNCTION("""COMPUTED_VALUE""")," Financial Services")</f>
        <v> Financial Services</v>
      </c>
      <c r="F30" s="4"/>
      <c r="G30" s="4"/>
      <c r="H30" s="4"/>
      <c r="I30" s="5" t="s">
        <v>15</v>
      </c>
      <c r="J30" s="5" t="s">
        <v>31</v>
      </c>
      <c r="K30" s="5" t="s">
        <v>78</v>
      </c>
      <c r="L30" s="6" t="s">
        <v>79</v>
      </c>
      <c r="M30" s="5" t="s">
        <v>80</v>
      </c>
      <c r="N30" s="5" t="s">
        <v>20</v>
      </c>
      <c r="O30" s="5">
        <v>11668.0</v>
      </c>
      <c r="P30" s="5">
        <v>110.0</v>
      </c>
      <c r="Q30" s="5">
        <v>7860.0</v>
      </c>
      <c r="R30" s="5">
        <v>11009.0</v>
      </c>
      <c r="S30" s="5">
        <v>5.0</v>
      </c>
      <c r="T30" s="5">
        <v>2653.981579</v>
      </c>
    </row>
    <row r="31">
      <c r="A31" s="4" t="s">
        <v>1071</v>
      </c>
      <c r="B31" s="4" t="str">
        <f>IFERROR(__xludf.DUMMYFUNCTION("SPLIT(A31:A757, ""&gt;"")"),"Online Behavior")</f>
        <v>Online Behavior</v>
      </c>
      <c r="C31" s="4" t="str">
        <f>IFERROR(__xludf.DUMMYFUNCTION("""COMPUTED_VALUE"""),"United States")</f>
        <v>United States</v>
      </c>
      <c r="D31" s="4" t="str">
        <f>IFERROR(__xludf.DUMMYFUNCTION("""COMPUTED_VALUE"""),"Sports")</f>
        <v>Sports</v>
      </c>
      <c r="E31" s="4" t="str">
        <f>IFERROR(__xludf.DUMMYFUNCTION("""COMPUTED_VALUE"""),"Team Sports ")</f>
        <v>Team Sports </v>
      </c>
      <c r="F31" s="4" t="str">
        <f>IFERROR(__xludf.DUMMYFUNCTION("""COMPUTED_VALUE""")," Basketball")</f>
        <v> Basketball</v>
      </c>
      <c r="G31" s="4"/>
      <c r="H31" s="4"/>
      <c r="I31" s="5" t="s">
        <v>15</v>
      </c>
      <c r="J31" s="5" t="s">
        <v>23</v>
      </c>
      <c r="K31" s="5" t="s">
        <v>78</v>
      </c>
      <c r="L31" s="6" t="s">
        <v>82</v>
      </c>
      <c r="M31" s="5" t="s">
        <v>26</v>
      </c>
      <c r="N31" s="5" t="s">
        <v>52</v>
      </c>
      <c r="O31" s="5">
        <v>19379.0</v>
      </c>
      <c r="P31" s="5">
        <v>49.0</v>
      </c>
      <c r="Q31" s="5">
        <v>12168.0</v>
      </c>
      <c r="R31" s="5">
        <v>16616.0</v>
      </c>
      <c r="S31" s="5">
        <v>97.0</v>
      </c>
      <c r="T31" s="5">
        <v>7294.100001</v>
      </c>
    </row>
    <row r="32">
      <c r="A32" s="4" t="s">
        <v>1731</v>
      </c>
      <c r="B32" s="4" t="str">
        <f>IFERROR(__xludf.DUMMYFUNCTION("SPLIT(A32:A758, ""&gt;"")"),"US ")</f>
        <v>US </v>
      </c>
      <c r="C32" s="4" t="str">
        <f>IFERROR(__xludf.DUMMYFUNCTION("""COMPUTED_VALUE""")," Interest Propensities ")</f>
        <v> Interest Propensities </v>
      </c>
      <c r="D32" s="4" t="str">
        <f>IFERROR(__xludf.DUMMYFUNCTION("""COMPUTED_VALUE""")," Music ")</f>
        <v> Music </v>
      </c>
      <c r="E32" s="4" t="str">
        <f>IFERROR(__xludf.DUMMYFUNCTION("""COMPUTED_VALUE""")," Country")</f>
        <v> Country</v>
      </c>
      <c r="F32" s="4"/>
      <c r="G32" s="4"/>
      <c r="H32" s="4"/>
      <c r="I32" s="5" t="s">
        <v>15</v>
      </c>
      <c r="J32" s="5" t="s">
        <v>42</v>
      </c>
      <c r="K32" s="5" t="s">
        <v>84</v>
      </c>
      <c r="L32" s="6" t="s">
        <v>82</v>
      </c>
      <c r="M32" s="5" t="s">
        <v>19</v>
      </c>
      <c r="N32" s="5" t="s">
        <v>27</v>
      </c>
      <c r="O32" s="5">
        <v>8716.0</v>
      </c>
      <c r="P32" s="5">
        <v>40.0</v>
      </c>
      <c r="Q32" s="5">
        <v>6490.0</v>
      </c>
      <c r="R32" s="5">
        <v>7862.0</v>
      </c>
      <c r="S32" s="5">
        <v>2.0</v>
      </c>
      <c r="T32" s="5">
        <v>2100.820137</v>
      </c>
    </row>
    <row r="33">
      <c r="A33" s="4" t="s">
        <v>1073</v>
      </c>
      <c r="B33" s="4" t="str">
        <f>IFERROR(__xludf.DUMMYFUNCTION("SPLIT(A33:A759, ""&gt;"")"),"Media and Entertainment ")</f>
        <v>Media and Entertainment </v>
      </c>
      <c r="C33" s="4" t="str">
        <f>IFERROR(__xludf.DUMMYFUNCTION("""COMPUTED_VALUE""")," Sports and Recreational Activities ")</f>
        <v> Sports and Recreational Activities </v>
      </c>
      <c r="D33" s="4" t="str">
        <f>IFERROR(__xludf.DUMMYFUNCTION("""COMPUTED_VALUE""")," Interest (Affinity) ")</f>
        <v> Interest (Affinity) </v>
      </c>
      <c r="E33" s="4" t="str">
        <f>IFERROR(__xludf.DUMMYFUNCTION("""COMPUTED_VALUE""")," Team Sports ")</f>
        <v> Team Sports </v>
      </c>
      <c r="F33" s="4" t="str">
        <f>IFERROR(__xludf.DUMMYFUNCTION("""COMPUTED_VALUE""")," Baseball ")</f>
        <v> Baseball </v>
      </c>
      <c r="G33" s="4" t="str">
        <f>IFERROR(__xludf.DUMMYFUNCTION("""COMPUTED_VALUE""")," Major League Baseball (MLB)")</f>
        <v> Major League Baseball (MLB)</v>
      </c>
      <c r="H33" s="4"/>
      <c r="I33" s="5" t="s">
        <v>15</v>
      </c>
      <c r="J33" s="5" t="s">
        <v>16</v>
      </c>
      <c r="K33" s="5" t="s">
        <v>43</v>
      </c>
      <c r="L33" s="6" t="s">
        <v>82</v>
      </c>
      <c r="M33" s="5" t="s">
        <v>48</v>
      </c>
      <c r="N33" s="5" t="s">
        <v>27</v>
      </c>
      <c r="O33" s="5">
        <v>11062.0</v>
      </c>
      <c r="P33" s="5">
        <v>78.0</v>
      </c>
      <c r="Q33" s="5">
        <v>6539.0</v>
      </c>
      <c r="R33" s="5">
        <v>9391.0</v>
      </c>
      <c r="S33" s="5">
        <v>2.0</v>
      </c>
      <c r="T33" s="5">
        <v>1500.09932</v>
      </c>
    </row>
    <row r="34">
      <c r="A34" s="4" t="s">
        <v>1074</v>
      </c>
      <c r="B34" s="4" t="str">
        <f>IFERROR(__xludf.DUMMYFUNCTION("SPLIT(A34:A760, ""&gt;"")"),"Online Behavior")</f>
        <v>Online Behavior</v>
      </c>
      <c r="C34" s="4" t="str">
        <f>IFERROR(__xludf.DUMMYFUNCTION("""COMPUTED_VALUE"""),"United States")</f>
        <v>United States</v>
      </c>
      <c r="D34" s="4" t="str">
        <f>IFERROR(__xludf.DUMMYFUNCTION("""COMPUTED_VALUE"""),"Beauty and Fitness")</f>
        <v>Beauty and Fitness</v>
      </c>
      <c r="E34" s="4" t="str">
        <f>IFERROR(__xludf.DUMMYFUNCTION("""COMPUTED_VALUE"""),"Face and Body Care ")</f>
        <v>Face and Body Care </v>
      </c>
      <c r="F34" s="4" t="str">
        <f>IFERROR(__xludf.DUMMYFUNCTION("""COMPUTED_VALUE""")," Skin and Nail Care")</f>
        <v> Skin and Nail Care</v>
      </c>
      <c r="G34" s="4"/>
      <c r="H34" s="4"/>
      <c r="I34" s="5" t="s">
        <v>61</v>
      </c>
      <c r="J34" s="5" t="s">
        <v>42</v>
      </c>
      <c r="K34" s="5" t="s">
        <v>17</v>
      </c>
      <c r="L34" s="6" t="s">
        <v>87</v>
      </c>
      <c r="M34" s="5" t="s">
        <v>46</v>
      </c>
      <c r="N34" s="5" t="s">
        <v>27</v>
      </c>
      <c r="O34" s="5">
        <v>100800.0</v>
      </c>
      <c r="P34" s="5">
        <v>185.0</v>
      </c>
      <c r="Q34" s="5">
        <v>14473.0</v>
      </c>
      <c r="R34" s="5">
        <v>85424.0</v>
      </c>
      <c r="S34" s="5">
        <v>10.0</v>
      </c>
      <c r="T34" s="5">
        <v>7004.730483</v>
      </c>
    </row>
    <row r="35">
      <c r="A35" s="4" t="s">
        <v>1732</v>
      </c>
      <c r="B35" s="4" t="str">
        <f>IFERROR(__xludf.DUMMYFUNCTION("SPLIT(A35:A761, ""&gt;"")"),"US ")</f>
        <v>US </v>
      </c>
      <c r="C35" s="4" t="str">
        <f>IFERROR(__xludf.DUMMYFUNCTION("""COMPUTED_VALUE""")," Interest Propensities ")</f>
        <v> Interest Propensities </v>
      </c>
      <c r="D35" s="4" t="str">
        <f>IFERROR(__xludf.DUMMYFUNCTION("""COMPUTED_VALUE""")," Activities and Interests ")</f>
        <v> Activities and Interests </v>
      </c>
      <c r="E35" s="4" t="str">
        <f>IFERROR(__xludf.DUMMYFUNCTION("""COMPUTED_VALUE""")," Financial Aid")</f>
        <v> Financial Aid</v>
      </c>
      <c r="F35" s="4"/>
      <c r="G35" s="4"/>
      <c r="H35" s="4"/>
      <c r="I35" s="5" t="s">
        <v>15</v>
      </c>
      <c r="J35" s="5" t="s">
        <v>42</v>
      </c>
      <c r="K35" s="5" t="s">
        <v>17</v>
      </c>
      <c r="L35" s="6" t="s">
        <v>87</v>
      </c>
      <c r="M35" s="5" t="s">
        <v>19</v>
      </c>
      <c r="N35" s="5" t="s">
        <v>27</v>
      </c>
      <c r="O35" s="5">
        <v>12864.0</v>
      </c>
      <c r="P35" s="5">
        <v>84.0</v>
      </c>
      <c r="Q35" s="5">
        <v>5549.0</v>
      </c>
      <c r="R35" s="5">
        <v>11852.0</v>
      </c>
      <c r="S35" s="5">
        <v>5.0</v>
      </c>
      <c r="T35" s="5">
        <v>1905.889693</v>
      </c>
    </row>
    <row r="36">
      <c r="A36" s="4" t="s">
        <v>1076</v>
      </c>
      <c r="B36" s="4" t="str">
        <f>IFERROR(__xludf.DUMMYFUNCTION("SPLIT(A36:A762, ""&gt;"")"),"Media and Entertainment ")</f>
        <v>Media and Entertainment </v>
      </c>
      <c r="C36" s="4" t="str">
        <f>IFERROR(__xludf.DUMMYFUNCTION("""COMPUTED_VALUE""")," Sports and Recreational Activities ")</f>
        <v> Sports and Recreational Activities </v>
      </c>
      <c r="D36" s="4" t="str">
        <f>IFERROR(__xludf.DUMMYFUNCTION("""COMPUTED_VALUE""")," Interest (Affinity) ")</f>
        <v> Interest (Affinity) </v>
      </c>
      <c r="E36" s="4" t="str">
        <f>IFERROR(__xludf.DUMMYFUNCTION("""COMPUTED_VALUE""")," Olympics ")</f>
        <v> Olympics </v>
      </c>
      <c r="F36" s="4" t="str">
        <f>IFERROR(__xludf.DUMMYFUNCTION("""COMPUTED_VALUE""")," Summer Olympics")</f>
        <v> Summer Olympics</v>
      </c>
      <c r="G36" s="4"/>
      <c r="H36" s="4"/>
      <c r="I36" s="5" t="s">
        <v>22</v>
      </c>
      <c r="J36" s="5" t="s">
        <v>23</v>
      </c>
      <c r="K36" s="5" t="s">
        <v>66</v>
      </c>
      <c r="L36" s="6" t="s">
        <v>90</v>
      </c>
      <c r="M36" s="5" t="s">
        <v>46</v>
      </c>
      <c r="N36" s="5" t="s">
        <v>27</v>
      </c>
      <c r="O36" s="5">
        <v>10992.0</v>
      </c>
      <c r="P36" s="5">
        <v>97.0</v>
      </c>
      <c r="Q36" s="5">
        <v>6677.0</v>
      </c>
      <c r="R36" s="5">
        <v>10132.0</v>
      </c>
      <c r="S36" s="5">
        <v>3.0</v>
      </c>
      <c r="T36" s="5">
        <v>1675.987427</v>
      </c>
    </row>
    <row r="37">
      <c r="A37" s="4" t="s">
        <v>1733</v>
      </c>
      <c r="B37" s="4" t="str">
        <f>IFERROR(__xludf.DUMMYFUNCTION("SPLIT(A37:A763, ""&gt;"")"),"US ")</f>
        <v>US </v>
      </c>
      <c r="C37" s="4" t="str">
        <f>IFERROR(__xludf.DUMMYFUNCTION("""COMPUTED_VALUE""")," Demographic ")</f>
        <v> Demographic </v>
      </c>
      <c r="D37" s="4" t="str">
        <f>IFERROR(__xludf.DUMMYFUNCTION("""COMPUTED_VALUE""")," Family ")</f>
        <v> Family </v>
      </c>
      <c r="E37" s="4" t="str">
        <f>IFERROR(__xludf.DUMMYFUNCTION("""COMPUTED_VALUE""")," Female Head of Household")</f>
        <v> Female Head of Household</v>
      </c>
      <c r="F37" s="4"/>
      <c r="G37" s="4"/>
      <c r="H37" s="4"/>
      <c r="I37" s="5" t="s">
        <v>15</v>
      </c>
      <c r="J37" s="5" t="s">
        <v>16</v>
      </c>
      <c r="K37" s="5" t="s">
        <v>39</v>
      </c>
      <c r="L37" s="6" t="s">
        <v>90</v>
      </c>
      <c r="M37" s="5" t="s">
        <v>19</v>
      </c>
      <c r="N37" s="5" t="s">
        <v>27</v>
      </c>
      <c r="O37" s="5">
        <v>14984.0</v>
      </c>
      <c r="P37" s="5">
        <v>63.0</v>
      </c>
      <c r="Q37" s="5">
        <v>9614.0</v>
      </c>
      <c r="R37" s="5">
        <v>14086.0</v>
      </c>
      <c r="S37" s="5">
        <v>3.0</v>
      </c>
      <c r="T37" s="5">
        <v>1505.009635</v>
      </c>
    </row>
    <row r="38">
      <c r="A38" s="4" t="s">
        <v>1078</v>
      </c>
      <c r="B38" s="4" t="str">
        <f>IFERROR(__xludf.DUMMYFUNCTION("SPLIT(A38:A764, ""&gt;"")"),"Online Behavior")</f>
        <v>Online Behavior</v>
      </c>
      <c r="C38" s="4" t="str">
        <f>IFERROR(__xludf.DUMMYFUNCTION("""COMPUTED_VALUE"""),"United States")</f>
        <v>United States</v>
      </c>
      <c r="D38" s="4" t="str">
        <f>IFERROR(__xludf.DUMMYFUNCTION("""COMPUTED_VALUE"""),"Sports")</f>
        <v>Sports</v>
      </c>
      <c r="E38" s="4" t="str">
        <f>IFERROR(__xludf.DUMMYFUNCTION("""COMPUTED_VALUE"""),"Sports League ")</f>
        <v>Sports League </v>
      </c>
      <c r="F38" s="4" t="str">
        <f>IFERROR(__xludf.DUMMYFUNCTION("""COMPUTED_VALUE""")," MLB")</f>
        <v> MLB</v>
      </c>
      <c r="G38" s="4"/>
      <c r="H38" s="4"/>
      <c r="I38" s="5" t="s">
        <v>22</v>
      </c>
      <c r="J38" s="5" t="s">
        <v>42</v>
      </c>
      <c r="K38" s="5" t="s">
        <v>78</v>
      </c>
      <c r="L38" s="6" t="s">
        <v>93</v>
      </c>
      <c r="M38" s="5" t="s">
        <v>19</v>
      </c>
      <c r="N38" s="5" t="s">
        <v>27</v>
      </c>
      <c r="O38" s="5">
        <v>19093.0</v>
      </c>
      <c r="P38" s="5">
        <v>50.0</v>
      </c>
      <c r="Q38" s="5">
        <v>9626.0</v>
      </c>
      <c r="R38" s="5">
        <v>17815.0</v>
      </c>
      <c r="S38" s="5">
        <v>10.0</v>
      </c>
      <c r="T38" s="5">
        <v>6612.14569</v>
      </c>
    </row>
    <row r="39">
      <c r="A39" s="4" t="s">
        <v>1079</v>
      </c>
      <c r="B39" s="4" t="str">
        <f>IFERROR(__xludf.DUMMYFUNCTION("SPLIT(A39:A765, ""&gt;"")"),"Online Behavior")</f>
        <v>Online Behavior</v>
      </c>
      <c r="C39" s="4" t="str">
        <f>IFERROR(__xludf.DUMMYFUNCTION("""COMPUTED_VALUE"""),"United States")</f>
        <v>United States</v>
      </c>
      <c r="D39" s="4" t="str">
        <f>IFERROR(__xludf.DUMMYFUNCTION("""COMPUTED_VALUE"""),"Autos and Vehicles ")</f>
        <v>Autos and Vehicles </v>
      </c>
      <c r="E39" s="4" t="str">
        <f>IFERROR(__xludf.DUMMYFUNCTION("""COMPUTED_VALUE""")," Brands")</f>
        <v> Brands</v>
      </c>
      <c r="F39" s="4" t="str">
        <f>IFERROR(__xludf.DUMMYFUNCTION("""COMPUTED_VALUE"""),"Dodge")</f>
        <v>Dodge</v>
      </c>
      <c r="G39" s="4"/>
      <c r="H39" s="4"/>
      <c r="I39" s="5" t="s">
        <v>15</v>
      </c>
      <c r="J39" s="5" t="s">
        <v>42</v>
      </c>
      <c r="K39" s="5" t="s">
        <v>95</v>
      </c>
      <c r="L39" s="6" t="s">
        <v>93</v>
      </c>
      <c r="M39" s="5" t="s">
        <v>46</v>
      </c>
      <c r="N39" s="5" t="s">
        <v>27</v>
      </c>
      <c r="O39" s="5">
        <v>43057.0</v>
      </c>
      <c r="P39" s="5">
        <v>122.0</v>
      </c>
      <c r="Q39" s="5">
        <v>23767.0</v>
      </c>
      <c r="R39" s="5">
        <v>41484.0</v>
      </c>
      <c r="S39" s="5">
        <v>7.0</v>
      </c>
      <c r="T39" s="5">
        <v>5884.931394</v>
      </c>
    </row>
    <row r="40">
      <c r="A40" s="4" t="s">
        <v>1734</v>
      </c>
      <c r="B40" s="4" t="str">
        <f>IFERROR(__xludf.DUMMYFUNCTION("SPLIT(A40:A766, ""&gt;"")"),"US ")</f>
        <v>US </v>
      </c>
      <c r="C40" s="4" t="str">
        <f>IFERROR(__xludf.DUMMYFUNCTION("""COMPUTED_VALUE""")," Brand Propensities ")</f>
        <v> Brand Propensities </v>
      </c>
      <c r="D40" s="4" t="str">
        <f>IFERROR(__xludf.DUMMYFUNCTION("""COMPUTED_VALUE""")," Travel ")</f>
        <v> Travel </v>
      </c>
      <c r="E40" s="4" t="str">
        <f>IFERROR(__xludf.DUMMYFUNCTION("""COMPUTED_VALUE""")," Sandals Resorts Buyer Propensity")</f>
        <v> Sandals Resorts Buyer Propensity</v>
      </c>
      <c r="F40" s="4"/>
      <c r="G40" s="4"/>
      <c r="H40" s="4"/>
      <c r="I40" s="5" t="s">
        <v>61</v>
      </c>
      <c r="J40" s="5" t="s">
        <v>23</v>
      </c>
      <c r="K40" s="5" t="s">
        <v>55</v>
      </c>
      <c r="L40" s="6" t="s">
        <v>93</v>
      </c>
      <c r="M40" s="5" t="s">
        <v>19</v>
      </c>
      <c r="N40" s="5" t="s">
        <v>27</v>
      </c>
      <c r="O40" s="5">
        <v>53561.0</v>
      </c>
      <c r="P40" s="5">
        <v>147.0</v>
      </c>
      <c r="Q40" s="5">
        <v>37063.0</v>
      </c>
      <c r="R40" s="5">
        <v>51480.0</v>
      </c>
      <c r="S40" s="5">
        <v>14.0</v>
      </c>
      <c r="T40" s="5">
        <v>2039.35506</v>
      </c>
    </row>
    <row r="41">
      <c r="A41" s="4" t="s">
        <v>1735</v>
      </c>
      <c r="B41" s="4" t="str">
        <f>IFERROR(__xludf.DUMMYFUNCTION("SPLIT(A41:A767, ""&gt;"")"),"Mobile - US ")</f>
        <v>Mobile - US </v>
      </c>
      <c r="C41" s="4" t="str">
        <f>IFERROR(__xludf.DUMMYFUNCTION("""COMPUTED_VALUE""")," Shopping ")</f>
        <v> Shopping </v>
      </c>
      <c r="D41" s="4" t="str">
        <f>IFERROR(__xludf.DUMMYFUNCTION("""COMPUTED_VALUE""")," Brand ")</f>
        <v> Brand </v>
      </c>
      <c r="E41" s="4" t="str">
        <f>IFERROR(__xludf.DUMMYFUNCTION("""COMPUTED_VALUE""")," Old Navy")</f>
        <v> Old Navy</v>
      </c>
      <c r="F41" s="4"/>
      <c r="G41" s="4"/>
      <c r="H41" s="4"/>
      <c r="I41" s="5" t="s">
        <v>15</v>
      </c>
      <c r="J41" s="5" t="s">
        <v>31</v>
      </c>
      <c r="K41" s="5" t="s">
        <v>17</v>
      </c>
      <c r="L41" s="6" t="s">
        <v>93</v>
      </c>
      <c r="M41" s="5" t="s">
        <v>26</v>
      </c>
      <c r="N41" s="5" t="s">
        <v>27</v>
      </c>
      <c r="O41" s="5">
        <v>67752.0</v>
      </c>
      <c r="P41" s="5">
        <v>174.0</v>
      </c>
      <c r="Q41" s="5">
        <v>47126.0</v>
      </c>
      <c r="R41" s="5">
        <v>65080.0</v>
      </c>
      <c r="S41" s="5">
        <v>3.0</v>
      </c>
      <c r="T41" s="5">
        <v>1557.01573</v>
      </c>
    </row>
    <row r="42">
      <c r="A42" s="4" t="s">
        <v>1082</v>
      </c>
      <c r="B42" s="4" t="str">
        <f>IFERROR(__xludf.DUMMYFUNCTION("SPLIT(A42:A768, ""&gt;"")"),"OnAudience ")</f>
        <v>OnAudience </v>
      </c>
      <c r="C42" s="4" t="str">
        <f>IFERROR(__xludf.DUMMYFUNCTION("""COMPUTED_VALUE""")," Intent ")</f>
        <v> Intent </v>
      </c>
      <c r="D42" s="4" t="str">
        <f>IFERROR(__xludf.DUMMYFUNCTION("""COMPUTED_VALUE""")," Animals &amp; Pet")</f>
        <v> Animals &amp; Pet</v>
      </c>
      <c r="E42" s="4"/>
      <c r="F42" s="4"/>
      <c r="G42" s="4"/>
      <c r="H42" s="4"/>
      <c r="I42" s="5" t="s">
        <v>15</v>
      </c>
      <c r="J42" s="5" t="s">
        <v>16</v>
      </c>
      <c r="K42" s="5" t="s">
        <v>78</v>
      </c>
      <c r="L42" s="6" t="s">
        <v>99</v>
      </c>
      <c r="M42" s="5" t="s">
        <v>48</v>
      </c>
      <c r="N42" s="5" t="s">
        <v>27</v>
      </c>
      <c r="O42" s="5">
        <v>75161.0</v>
      </c>
      <c r="P42" s="5">
        <v>280.0</v>
      </c>
      <c r="Q42" s="5">
        <v>40385.0</v>
      </c>
      <c r="R42" s="5">
        <v>70325.0</v>
      </c>
      <c r="S42" s="5">
        <v>3.0</v>
      </c>
      <c r="T42" s="5">
        <v>1506.461108</v>
      </c>
    </row>
    <row r="43">
      <c r="A43" s="4" t="s">
        <v>1736</v>
      </c>
      <c r="B43" s="4" t="str">
        <f>IFERROR(__xludf.DUMMYFUNCTION("SPLIT(A43:A769, ""&gt;"")"),"US ")</f>
        <v>US </v>
      </c>
      <c r="C43" s="4" t="str">
        <f>IFERROR(__xludf.DUMMYFUNCTION("""COMPUTED_VALUE""")," Multibuyer Behaviors ")</f>
        <v> Multibuyer Behaviors </v>
      </c>
      <c r="D43" s="4" t="str">
        <f>IFERROR(__xludf.DUMMYFUNCTION("""COMPUTED_VALUE""")," Paid with Credit Card")</f>
        <v> Paid with Credit Card</v>
      </c>
      <c r="E43" s="4"/>
      <c r="F43" s="4"/>
      <c r="G43" s="4"/>
      <c r="H43" s="4"/>
      <c r="I43" s="5" t="s">
        <v>15</v>
      </c>
      <c r="J43" s="5" t="s">
        <v>16</v>
      </c>
      <c r="K43" s="5" t="s">
        <v>78</v>
      </c>
      <c r="L43" s="6" t="s">
        <v>101</v>
      </c>
      <c r="M43" s="5" t="s">
        <v>46</v>
      </c>
      <c r="N43" s="5" t="s">
        <v>20</v>
      </c>
      <c r="O43" s="5">
        <v>12770.0</v>
      </c>
      <c r="P43" s="5">
        <v>84.0</v>
      </c>
      <c r="Q43" s="5">
        <v>6224.0</v>
      </c>
      <c r="R43" s="5">
        <v>11110.0</v>
      </c>
      <c r="S43" s="5">
        <v>21.0</v>
      </c>
      <c r="T43" s="5">
        <v>2087.509827</v>
      </c>
    </row>
    <row r="44">
      <c r="A44" s="4" t="s">
        <v>1737</v>
      </c>
      <c r="B44" s="4" t="str">
        <f>IFERROR(__xludf.DUMMYFUNCTION("SPLIT(A44:A770, ""&gt;"")"),"US ")</f>
        <v>US </v>
      </c>
      <c r="C44" s="4" t="str">
        <f>IFERROR(__xludf.DUMMYFUNCTION("""COMPUTED_VALUE""")," Response Performance ")</f>
        <v> Response Performance </v>
      </c>
      <c r="D44" s="4" t="str">
        <f>IFERROR(__xludf.DUMMYFUNCTION("""COMPUTED_VALUE""")," Direct Marketing Responders")</f>
        <v> Direct Marketing Responders</v>
      </c>
      <c r="E44" s="4"/>
      <c r="F44" s="4"/>
      <c r="G44" s="4"/>
      <c r="H44" s="4"/>
      <c r="I44" s="5" t="s">
        <v>15</v>
      </c>
      <c r="J44" s="5" t="s">
        <v>42</v>
      </c>
      <c r="K44" s="5" t="s">
        <v>35</v>
      </c>
      <c r="L44" s="6" t="s">
        <v>103</v>
      </c>
      <c r="M44" s="5" t="s">
        <v>33</v>
      </c>
      <c r="N44" s="5" t="s">
        <v>27</v>
      </c>
      <c r="O44" s="5">
        <v>117713.0</v>
      </c>
      <c r="P44" s="5">
        <v>374.0</v>
      </c>
      <c r="Q44" s="5">
        <v>16357.0</v>
      </c>
      <c r="R44" s="5">
        <v>100222.0</v>
      </c>
      <c r="S44" s="5">
        <v>5.0</v>
      </c>
      <c r="T44" s="5">
        <v>2505.403543</v>
      </c>
    </row>
    <row r="45">
      <c r="A45" s="4" t="s">
        <v>104</v>
      </c>
      <c r="B45" s="4" t="str">
        <f>IFERROR(__xludf.DUMMYFUNCTION("SPLIT(A45:A771, ""&gt;"")"),"Online Behavior")</f>
        <v>Online Behavior</v>
      </c>
      <c r="C45" s="4" t="str">
        <f>IFERROR(__xludf.DUMMYFUNCTION("""COMPUTED_VALUE"""),"United States")</f>
        <v>United States</v>
      </c>
      <c r="D45" s="4" t="str">
        <f>IFERROR(__xludf.DUMMYFUNCTION("""COMPUTED_VALUE"""),"Games")</f>
        <v>Games</v>
      </c>
      <c r="E45" s="4" t="str">
        <f>IFERROR(__xludf.DUMMYFUNCTION("""COMPUTED_VALUE"""),"Computer and Video Games")</f>
        <v>Computer and Video Games</v>
      </c>
      <c r="F45" s="4"/>
      <c r="G45" s="4"/>
      <c r="H45" s="4"/>
      <c r="I45" s="5" t="s">
        <v>15</v>
      </c>
      <c r="J45" s="5" t="s">
        <v>16</v>
      </c>
      <c r="K45" s="5" t="s">
        <v>35</v>
      </c>
      <c r="L45" s="6" t="s">
        <v>105</v>
      </c>
      <c r="M45" s="5" t="s">
        <v>26</v>
      </c>
      <c r="N45" s="5" t="s">
        <v>20</v>
      </c>
      <c r="O45" s="5">
        <v>26558.0</v>
      </c>
      <c r="P45" s="5">
        <v>111.0</v>
      </c>
      <c r="Q45" s="5">
        <v>15761.0</v>
      </c>
      <c r="R45" s="5">
        <v>23532.0</v>
      </c>
      <c r="S45" s="5">
        <v>14.0</v>
      </c>
      <c r="T45" s="5">
        <v>6751.558981</v>
      </c>
    </row>
    <row r="46">
      <c r="A46" s="4" t="s">
        <v>1085</v>
      </c>
      <c r="B46" s="4" t="str">
        <f>IFERROR(__xludf.DUMMYFUNCTION("SPLIT(A46:A772, ""&gt;"")"),"Online Behavior")</f>
        <v>Online Behavior</v>
      </c>
      <c r="C46" s="4" t="str">
        <f>IFERROR(__xludf.DUMMYFUNCTION("""COMPUTED_VALUE"""),"United States")</f>
        <v>United States</v>
      </c>
      <c r="D46" s="4" t="str">
        <f>IFERROR(__xludf.DUMMYFUNCTION("""COMPUTED_VALUE"""),"Finance ")</f>
        <v>Finance </v>
      </c>
      <c r="E46" s="4" t="str">
        <f>IFERROR(__xludf.DUMMYFUNCTION("""COMPUTED_VALUE""")," Insurance")</f>
        <v> Insurance</v>
      </c>
      <c r="F46" s="4" t="str">
        <f>IFERROR(__xludf.DUMMYFUNCTION("""COMPUTED_VALUE"""),"Home Insurance")</f>
        <v>Home Insurance</v>
      </c>
      <c r="G46" s="4"/>
      <c r="H46" s="4"/>
      <c r="I46" s="5" t="s">
        <v>15</v>
      </c>
      <c r="J46" s="5" t="s">
        <v>23</v>
      </c>
      <c r="K46" s="5" t="s">
        <v>95</v>
      </c>
      <c r="L46" s="6" t="s">
        <v>105</v>
      </c>
      <c r="M46" s="5" t="s">
        <v>19</v>
      </c>
      <c r="N46" s="5" t="s">
        <v>27</v>
      </c>
      <c r="O46" s="5">
        <v>53464.0</v>
      </c>
      <c r="P46" s="5">
        <v>212.0</v>
      </c>
      <c r="Q46" s="5">
        <v>22151.0</v>
      </c>
      <c r="R46" s="5">
        <v>49058.0</v>
      </c>
      <c r="S46" s="5">
        <v>9.0</v>
      </c>
      <c r="T46" s="5">
        <v>5741.098045</v>
      </c>
    </row>
    <row r="47">
      <c r="A47" s="4" t="s">
        <v>1738</v>
      </c>
      <c r="B47" s="4" t="str">
        <f>IFERROR(__xludf.DUMMYFUNCTION("SPLIT(A47:A773, ""&gt;"")"),"US ")</f>
        <v>US </v>
      </c>
      <c r="C47" s="4" t="str">
        <f>IFERROR(__xludf.DUMMYFUNCTION("""COMPUTED_VALUE""")," Reach ")</f>
        <v> Reach </v>
      </c>
      <c r="D47" s="4" t="str">
        <f>IFERROR(__xludf.DUMMYFUNCTION("""COMPUTED_VALUE""")," Sociodemographic ")</f>
        <v> Sociodemographic </v>
      </c>
      <c r="E47" s="4" t="str">
        <f>IFERROR(__xludf.DUMMYFUNCTION("""COMPUTED_VALUE""")," Dwelling Size ")</f>
        <v> Dwelling Size </v>
      </c>
      <c r="F47" s="4" t="str">
        <f>IFERROR(__xludf.DUMMYFUNCTION("""COMPUTED_VALUE""")," 1 Unit")</f>
        <v> 1 Unit</v>
      </c>
      <c r="G47" s="4"/>
      <c r="H47" s="4"/>
      <c r="I47" s="5" t="s">
        <v>61</v>
      </c>
      <c r="J47" s="5" t="s">
        <v>42</v>
      </c>
      <c r="K47" s="5" t="s">
        <v>29</v>
      </c>
      <c r="L47" s="6" t="s">
        <v>105</v>
      </c>
      <c r="M47" s="5" t="s">
        <v>46</v>
      </c>
      <c r="N47" s="5" t="s">
        <v>27</v>
      </c>
      <c r="O47" s="5">
        <v>13686.0</v>
      </c>
      <c r="P47" s="5">
        <v>66.0</v>
      </c>
      <c r="Q47" s="5">
        <v>7928.0</v>
      </c>
      <c r="R47" s="5">
        <v>11931.0</v>
      </c>
      <c r="S47" s="5">
        <v>11.0</v>
      </c>
      <c r="T47" s="5">
        <v>4660.560369</v>
      </c>
    </row>
    <row r="48">
      <c r="A48" s="4" t="s">
        <v>1087</v>
      </c>
      <c r="B48" s="4" t="str">
        <f>IFERROR(__xludf.DUMMYFUNCTION("SPLIT(A48:A774, ""&gt;"")"),"Online Behavior")</f>
        <v>Online Behavior</v>
      </c>
      <c r="C48" s="4" t="str">
        <f>IFERROR(__xludf.DUMMYFUNCTION("""COMPUTED_VALUE"""),"United States")</f>
        <v>United States</v>
      </c>
      <c r="D48" s="4" t="str">
        <f>IFERROR(__xludf.DUMMYFUNCTION("""COMPUTED_VALUE"""),"B2B ")</f>
        <v>B2B </v>
      </c>
      <c r="E48" s="4" t="str">
        <f>IFERROR(__xludf.DUMMYFUNCTION("""COMPUTED_VALUE""")," Occupation")</f>
        <v> Occupation</v>
      </c>
      <c r="F48" s="4" t="str">
        <f>IFERROR(__xludf.DUMMYFUNCTION("""COMPUTED_VALUE"""),"MechanicalEngineer")</f>
        <v>MechanicalEngineer</v>
      </c>
      <c r="G48" s="4"/>
      <c r="H48" s="4"/>
      <c r="I48" s="5" t="s">
        <v>22</v>
      </c>
      <c r="J48" s="5" t="s">
        <v>23</v>
      </c>
      <c r="K48" s="5" t="s">
        <v>24</v>
      </c>
      <c r="L48" s="6" t="s">
        <v>105</v>
      </c>
      <c r="M48" s="5" t="s">
        <v>19</v>
      </c>
      <c r="N48" s="5" t="s">
        <v>27</v>
      </c>
      <c r="O48" s="5">
        <v>17752.0</v>
      </c>
      <c r="P48" s="5">
        <v>98.0</v>
      </c>
      <c r="Q48" s="5">
        <v>5855.0</v>
      </c>
      <c r="R48" s="5">
        <v>15753.0</v>
      </c>
      <c r="S48" s="5">
        <v>5.0</v>
      </c>
      <c r="T48" s="5">
        <v>2200.297094</v>
      </c>
    </row>
    <row r="49">
      <c r="A49" s="4" t="s">
        <v>1739</v>
      </c>
      <c r="B49" s="4" t="str">
        <f>IFERROR(__xludf.DUMMYFUNCTION("SPLIT(A49:A775, ""&gt;"")"),"US ")</f>
        <v>US </v>
      </c>
      <c r="C49" s="4" t="str">
        <f>IFERROR(__xludf.DUMMYFUNCTION("""COMPUTED_VALUE""")," Interest Propensities ")</f>
        <v> Interest Propensities </v>
      </c>
      <c r="D49" s="4" t="str">
        <f>IFERROR(__xludf.DUMMYFUNCTION("""COMPUTED_VALUE""")," Insurance ")</f>
        <v> Insurance </v>
      </c>
      <c r="E49" s="4" t="str">
        <f>IFERROR(__xludf.DUMMYFUNCTION("""COMPUTED_VALUE""")," MassMutual")</f>
        <v> MassMutual</v>
      </c>
      <c r="F49" s="4"/>
      <c r="G49" s="4"/>
      <c r="H49" s="4"/>
      <c r="I49" s="5" t="s">
        <v>15</v>
      </c>
      <c r="J49" s="5" t="s">
        <v>42</v>
      </c>
      <c r="K49" s="5" t="s">
        <v>78</v>
      </c>
      <c r="L49" s="6" t="s">
        <v>105</v>
      </c>
      <c r="M49" s="5" t="s">
        <v>19</v>
      </c>
      <c r="N49" s="5" t="s">
        <v>52</v>
      </c>
      <c r="O49" s="5">
        <v>32845.0</v>
      </c>
      <c r="P49" s="5">
        <v>164.0</v>
      </c>
      <c r="Q49" s="5">
        <v>16163.0</v>
      </c>
      <c r="R49" s="5">
        <v>30368.0</v>
      </c>
      <c r="S49" s="5">
        <v>5.0</v>
      </c>
      <c r="T49" s="5">
        <v>1910.436686</v>
      </c>
    </row>
    <row r="50">
      <c r="A50" s="4" t="s">
        <v>1740</v>
      </c>
      <c r="B50" s="4" t="str">
        <f>IFERROR(__xludf.DUMMYFUNCTION("SPLIT(A50:A776, ""&gt;"")"),"US ")</f>
        <v>US </v>
      </c>
      <c r="C50" s="4" t="str">
        <f>IFERROR(__xludf.DUMMYFUNCTION("""COMPUTED_VALUE""")," Premium Gender ")</f>
        <v> Premium Gender </v>
      </c>
      <c r="D50" s="4" t="str">
        <f>IFERROR(__xludf.DUMMYFUNCTION("""COMPUTED_VALUE""")," Premium Gender ")</f>
        <v> Premium Gender </v>
      </c>
      <c r="E50" s="4" t="str">
        <f>IFERROR(__xludf.DUMMYFUNCTION("""COMPUTED_VALUE""")," Males")</f>
        <v> Males</v>
      </c>
      <c r="F50" s="4"/>
      <c r="G50" s="4"/>
      <c r="H50" s="4"/>
      <c r="I50" s="5" t="s">
        <v>22</v>
      </c>
      <c r="J50" s="5" t="s">
        <v>23</v>
      </c>
      <c r="K50" s="5" t="s">
        <v>35</v>
      </c>
      <c r="L50" s="6" t="s">
        <v>111</v>
      </c>
      <c r="M50" s="5" t="s">
        <v>19</v>
      </c>
      <c r="N50" s="5" t="s">
        <v>27</v>
      </c>
      <c r="O50" s="5">
        <v>15322.0</v>
      </c>
      <c r="P50" s="5">
        <v>55.0</v>
      </c>
      <c r="Q50" s="5">
        <v>6416.0</v>
      </c>
      <c r="R50" s="5">
        <v>14049.0</v>
      </c>
      <c r="S50" s="5">
        <v>5.0</v>
      </c>
      <c r="T50" s="5">
        <v>1850.464205</v>
      </c>
    </row>
    <row r="51">
      <c r="A51" s="4" t="s">
        <v>1741</v>
      </c>
      <c r="B51" s="4" t="str">
        <f>IFERROR(__xludf.DUMMYFUNCTION("SPLIT(A51:A777, ""&gt;"")"),"US ")</f>
        <v>US </v>
      </c>
      <c r="C51" s="4" t="str">
        <f>IFERROR(__xludf.DUMMYFUNCTION("""COMPUTED_VALUE""")," Reach ")</f>
        <v> Reach </v>
      </c>
      <c r="D51" s="4" t="str">
        <f>IFERROR(__xludf.DUMMYFUNCTION("""COMPUTED_VALUE""")," Propensity Models ")</f>
        <v> Propensity Models </v>
      </c>
      <c r="E51" s="4" t="str">
        <f>IFERROR(__xludf.DUMMYFUNCTION("""COMPUTED_VALUE""")," Hobbies and Interest ")</f>
        <v> Hobbies and Interest </v>
      </c>
      <c r="F51" s="4" t="str">
        <f>IFERROR(__xludf.DUMMYFUNCTION("""COMPUTED_VALUE""")," Food and Drinks ")</f>
        <v> Food and Drinks </v>
      </c>
      <c r="G51" s="4" t="str">
        <f>IFERROR(__xludf.DUMMYFUNCTION("""COMPUTED_VALUE""")," Eats at Fast Food Restaurants")</f>
        <v> Eats at Fast Food Restaurants</v>
      </c>
      <c r="H51" s="4"/>
      <c r="I51" s="5" t="s">
        <v>15</v>
      </c>
      <c r="J51" s="5" t="s">
        <v>16</v>
      </c>
      <c r="K51" s="5" t="s">
        <v>78</v>
      </c>
      <c r="L51" s="6" t="s">
        <v>113</v>
      </c>
      <c r="M51" s="5" t="s">
        <v>46</v>
      </c>
      <c r="N51" s="5" t="s">
        <v>27</v>
      </c>
      <c r="O51" s="5">
        <v>18458.0</v>
      </c>
      <c r="P51" s="5">
        <v>111.0</v>
      </c>
      <c r="Q51" s="5">
        <v>3623.0</v>
      </c>
      <c r="R51" s="5">
        <v>16934.0</v>
      </c>
      <c r="S51" s="5">
        <v>6.0</v>
      </c>
      <c r="T51" s="5">
        <v>2866.496671</v>
      </c>
    </row>
    <row r="52">
      <c r="A52" s="4" t="s">
        <v>1091</v>
      </c>
      <c r="B52" s="4" t="str">
        <f>IFERROR(__xludf.DUMMYFUNCTION("SPLIT(A52:A778, ""&gt;"")"),"Online Behavior")</f>
        <v>Online Behavior</v>
      </c>
      <c r="C52" s="4" t="str">
        <f>IFERROR(__xludf.DUMMYFUNCTION("""COMPUTED_VALUE"""),"United States")</f>
        <v>United States</v>
      </c>
      <c r="D52" s="4" t="str">
        <f>IFERROR(__xludf.DUMMYFUNCTION("""COMPUTED_VALUE"""),"Travel")</f>
        <v>Travel</v>
      </c>
      <c r="E52" s="4" t="str">
        <f>IFERROR(__xludf.DUMMYFUNCTION("""COMPUTED_VALUE"""),"Specialty Travel ")</f>
        <v>Specialty Travel </v>
      </c>
      <c r="F52" s="4" t="str">
        <f>IFERROR(__xludf.DUMMYFUNCTION("""COMPUTED_VALUE""")," Adventure Travel")</f>
        <v> Adventure Travel</v>
      </c>
      <c r="G52" s="4"/>
      <c r="H52" s="4"/>
      <c r="I52" s="5" t="s">
        <v>22</v>
      </c>
      <c r="J52" s="5" t="s">
        <v>42</v>
      </c>
      <c r="K52" s="5" t="s">
        <v>35</v>
      </c>
      <c r="L52" s="6" t="s">
        <v>115</v>
      </c>
      <c r="M52" s="5" t="s">
        <v>19</v>
      </c>
      <c r="N52" s="5" t="s">
        <v>27</v>
      </c>
      <c r="O52" s="5">
        <v>108559.0</v>
      </c>
      <c r="P52" s="5">
        <v>212.0</v>
      </c>
      <c r="Q52" s="5">
        <v>79254.0</v>
      </c>
      <c r="R52" s="5">
        <v>100563.0</v>
      </c>
      <c r="S52" s="5">
        <v>7.0</v>
      </c>
      <c r="T52" s="5">
        <v>6850.576483</v>
      </c>
    </row>
    <row r="53">
      <c r="A53" s="4" t="s">
        <v>1092</v>
      </c>
      <c r="B53" s="4" t="str">
        <f>IFERROR(__xludf.DUMMYFUNCTION("SPLIT(A53:A779, ""&gt;"")"),"Online Behavior")</f>
        <v>Online Behavior</v>
      </c>
      <c r="C53" s="4" t="str">
        <f>IFERROR(__xludf.DUMMYFUNCTION("""COMPUTED_VALUE"""),"United States")</f>
        <v>United States</v>
      </c>
      <c r="D53" s="4" t="str">
        <f>IFERROR(__xludf.DUMMYFUNCTION("""COMPUTED_VALUE"""),"Travel")</f>
        <v>Travel</v>
      </c>
      <c r="E53" s="4" t="str">
        <f>IFERROR(__xludf.DUMMYFUNCTION("""COMPUTED_VALUE"""),"Tourist Destinations ")</f>
        <v>Tourist Destinations </v>
      </c>
      <c r="F53" s="4" t="str">
        <f>IFERROR(__xludf.DUMMYFUNCTION("""COMPUTED_VALUE""")," Zoos-Aquariums-Preserves")</f>
        <v> Zoos-Aquariums-Preserves</v>
      </c>
      <c r="G53" s="4"/>
      <c r="H53" s="4"/>
      <c r="I53" s="5" t="s">
        <v>22</v>
      </c>
      <c r="J53" s="5" t="s">
        <v>42</v>
      </c>
      <c r="K53" s="5" t="s">
        <v>35</v>
      </c>
      <c r="L53" s="6" t="s">
        <v>115</v>
      </c>
      <c r="M53" s="5" t="s">
        <v>117</v>
      </c>
      <c r="N53" s="5" t="s">
        <v>27</v>
      </c>
      <c r="O53" s="5">
        <v>106151.0</v>
      </c>
      <c r="P53" s="5">
        <v>299.0</v>
      </c>
      <c r="Q53" s="5">
        <v>75304.0</v>
      </c>
      <c r="R53" s="5">
        <v>99311.0</v>
      </c>
      <c r="S53" s="5">
        <v>9.0</v>
      </c>
      <c r="T53" s="5">
        <v>6616.88066</v>
      </c>
    </row>
    <row r="54">
      <c r="A54" s="4" t="s">
        <v>1093</v>
      </c>
      <c r="B54" s="4" t="str">
        <f>IFERROR(__xludf.DUMMYFUNCTION("SPLIT(A54:A780, ""&gt;"")"),"Online Behavior")</f>
        <v>Online Behavior</v>
      </c>
      <c r="C54" s="4" t="str">
        <f>IFERROR(__xludf.DUMMYFUNCTION("""COMPUTED_VALUE"""),"United States")</f>
        <v>United States</v>
      </c>
      <c r="D54" s="4" t="str">
        <f>IFERROR(__xludf.DUMMYFUNCTION("""COMPUTED_VALUE"""),"Sports")</f>
        <v>Sports</v>
      </c>
      <c r="E54" s="4" t="str">
        <f>IFERROR(__xludf.DUMMYFUNCTION("""COMPUTED_VALUE"""),"Sports League ")</f>
        <v>Sports League </v>
      </c>
      <c r="F54" s="4" t="str">
        <f>IFERROR(__xludf.DUMMYFUNCTION("""COMPUTED_VALUE""")," NBA")</f>
        <v> NBA</v>
      </c>
      <c r="G54" s="4"/>
      <c r="H54" s="4"/>
      <c r="I54" s="5" t="s">
        <v>22</v>
      </c>
      <c r="J54" s="5" t="s">
        <v>42</v>
      </c>
      <c r="K54" s="5" t="s">
        <v>84</v>
      </c>
      <c r="L54" s="6" t="s">
        <v>115</v>
      </c>
      <c r="M54" s="5" t="s">
        <v>36</v>
      </c>
      <c r="N54" s="5" t="s">
        <v>27</v>
      </c>
      <c r="O54" s="5">
        <v>149618.0</v>
      </c>
      <c r="P54" s="5">
        <v>260.0</v>
      </c>
      <c r="Q54" s="5">
        <v>126031.0</v>
      </c>
      <c r="R54" s="5">
        <v>140596.0</v>
      </c>
      <c r="S54" s="5">
        <v>26.0</v>
      </c>
      <c r="T54" s="5">
        <v>6605.586158</v>
      </c>
    </row>
    <row r="55">
      <c r="A55" s="4" t="s">
        <v>1094</v>
      </c>
      <c r="B55" s="4" t="str">
        <f>IFERROR(__xludf.DUMMYFUNCTION("SPLIT(A55:A781, ""&gt;"")"),"Online Behavior")</f>
        <v>Online Behavior</v>
      </c>
      <c r="C55" s="4" t="str">
        <f>IFERROR(__xludf.DUMMYFUNCTION("""COMPUTED_VALUE"""),"United States")</f>
        <v>United States</v>
      </c>
      <c r="D55" s="4" t="str">
        <f>IFERROR(__xludf.DUMMYFUNCTION("""COMPUTED_VALUE"""),"Finance ")</f>
        <v>Finance </v>
      </c>
      <c r="E55" s="4" t="str">
        <f>IFERROR(__xludf.DUMMYFUNCTION("""COMPUTED_VALUE""")," Investing")</f>
        <v> Investing</v>
      </c>
      <c r="F55" s="4" t="str">
        <f>IFERROR(__xludf.DUMMYFUNCTION("""COMPUTED_VALUE"""),"Derivatives")</f>
        <v>Derivatives</v>
      </c>
      <c r="G55" s="4"/>
      <c r="H55" s="4"/>
      <c r="I55" s="5" t="s">
        <v>22</v>
      </c>
      <c r="J55" s="5" t="s">
        <v>42</v>
      </c>
      <c r="K55" s="5" t="s">
        <v>35</v>
      </c>
      <c r="L55" s="6" t="s">
        <v>115</v>
      </c>
      <c r="M55" s="5" t="s">
        <v>117</v>
      </c>
      <c r="N55" s="5" t="s">
        <v>27</v>
      </c>
      <c r="O55" s="5">
        <v>114384.0</v>
      </c>
      <c r="P55" s="5">
        <v>100.0</v>
      </c>
      <c r="Q55" s="5">
        <v>61524.0</v>
      </c>
      <c r="R55" s="5">
        <v>105104.0</v>
      </c>
      <c r="S55" s="5">
        <v>12.0</v>
      </c>
      <c r="T55" s="5">
        <v>5803.331454</v>
      </c>
    </row>
    <row r="56">
      <c r="A56" s="4" t="s">
        <v>120</v>
      </c>
      <c r="B56" s="4" t="str">
        <f>IFERROR(__xludf.DUMMYFUNCTION("SPLIT(A56:A782, ""&gt;"")"),"Online Behavior")</f>
        <v>Online Behavior</v>
      </c>
      <c r="C56" s="4" t="str">
        <f>IFERROR(__xludf.DUMMYFUNCTION("""COMPUTED_VALUE"""),"United States")</f>
        <v>United States</v>
      </c>
      <c r="D56" s="4" t="str">
        <f>IFERROR(__xludf.DUMMYFUNCTION("""COMPUTED_VALUE"""),"Law and Government")</f>
        <v>Law and Government</v>
      </c>
      <c r="E56" s="4" t="str">
        <f>IFERROR(__xludf.DUMMYFUNCTION("""COMPUTED_VALUE"""),"Public Safety")</f>
        <v>Public Safety</v>
      </c>
      <c r="F56" s="4"/>
      <c r="G56" s="4"/>
      <c r="H56" s="4"/>
      <c r="I56" s="5" t="s">
        <v>22</v>
      </c>
      <c r="J56" s="5" t="s">
        <v>16</v>
      </c>
      <c r="K56" s="5" t="s">
        <v>121</v>
      </c>
      <c r="L56" s="6" t="s">
        <v>115</v>
      </c>
      <c r="M56" s="5" t="s">
        <v>80</v>
      </c>
      <c r="N56" s="5" t="s">
        <v>27</v>
      </c>
      <c r="O56" s="5">
        <v>43367.0</v>
      </c>
      <c r="P56" s="5">
        <v>111.0</v>
      </c>
      <c r="Q56" s="5">
        <v>14306.0</v>
      </c>
      <c r="R56" s="5">
        <v>39750.0</v>
      </c>
      <c r="S56" s="5">
        <v>12.0</v>
      </c>
      <c r="T56" s="5">
        <v>5214.298693</v>
      </c>
    </row>
    <row r="57">
      <c r="A57" s="4" t="s">
        <v>122</v>
      </c>
      <c r="B57" s="4" t="str">
        <f>IFERROR(__xludf.DUMMYFUNCTION("SPLIT(A57:A783, ""&gt;"")"),"Online Behavior")</f>
        <v>Online Behavior</v>
      </c>
      <c r="C57" s="4" t="str">
        <f>IFERROR(__xludf.DUMMYFUNCTION("""COMPUTED_VALUE"""),"United States")</f>
        <v>United States</v>
      </c>
      <c r="D57" s="4" t="str">
        <f>IFERROR(__xludf.DUMMYFUNCTION("""COMPUTED_VALUE"""),"Jobs and Education")</f>
        <v>Jobs and Education</v>
      </c>
      <c r="E57" s="4" t="str">
        <f>IFERROR(__xludf.DUMMYFUNCTION("""COMPUTED_VALUE"""),"Education")</f>
        <v>Education</v>
      </c>
      <c r="F57" s="4"/>
      <c r="G57" s="4"/>
      <c r="H57" s="4"/>
      <c r="I57" s="5" t="s">
        <v>15</v>
      </c>
      <c r="J57" s="5" t="s">
        <v>31</v>
      </c>
      <c r="K57" s="5" t="s">
        <v>35</v>
      </c>
      <c r="L57" s="6" t="s">
        <v>115</v>
      </c>
      <c r="M57" s="5" t="s">
        <v>19</v>
      </c>
      <c r="N57" s="5" t="s">
        <v>52</v>
      </c>
      <c r="O57" s="5">
        <v>113420.0</v>
      </c>
      <c r="P57" s="5">
        <v>333.0</v>
      </c>
      <c r="Q57" s="5">
        <v>33557.0</v>
      </c>
      <c r="R57" s="5">
        <v>104929.0</v>
      </c>
      <c r="S57" s="5">
        <v>11.0</v>
      </c>
      <c r="T57" s="5">
        <v>5124.435934</v>
      </c>
    </row>
    <row r="58">
      <c r="A58" s="4" t="s">
        <v>1096</v>
      </c>
      <c r="B58" s="4" t="str">
        <f>IFERROR(__xludf.DUMMYFUNCTION("SPLIT(A58:A784, ""&gt;"")"),"Online Behavior")</f>
        <v>Online Behavior</v>
      </c>
      <c r="C58" s="4" t="str">
        <f>IFERROR(__xludf.DUMMYFUNCTION("""COMPUTED_VALUE"""),"United States")</f>
        <v>United States</v>
      </c>
      <c r="D58" s="4" t="str">
        <f>IFERROR(__xludf.DUMMYFUNCTION("""COMPUTED_VALUE"""),"Autos and Vehicles ")</f>
        <v>Autos and Vehicles </v>
      </c>
      <c r="E58" s="4" t="str">
        <f>IFERROR(__xludf.DUMMYFUNCTION("""COMPUTED_VALUE""")," Brands")</f>
        <v> Brands</v>
      </c>
      <c r="F58" s="4" t="str">
        <f>IFERROR(__xludf.DUMMYFUNCTION("""COMPUTED_VALUE"""),"Ferrari")</f>
        <v>Ferrari</v>
      </c>
      <c r="G58" s="4"/>
      <c r="H58" s="4"/>
      <c r="I58" s="5" t="s">
        <v>15</v>
      </c>
      <c r="J58" s="5" t="s">
        <v>23</v>
      </c>
      <c r="K58" s="5" t="s">
        <v>55</v>
      </c>
      <c r="L58" s="6" t="s">
        <v>115</v>
      </c>
      <c r="M58" s="5" t="s">
        <v>19</v>
      </c>
      <c r="N58" s="5" t="s">
        <v>52</v>
      </c>
      <c r="O58" s="5">
        <v>88293.0</v>
      </c>
      <c r="P58" s="5">
        <v>255.0</v>
      </c>
      <c r="Q58" s="5">
        <v>24101.0</v>
      </c>
      <c r="R58" s="5">
        <v>75557.0</v>
      </c>
      <c r="S58" s="5">
        <v>19.0</v>
      </c>
      <c r="T58" s="5">
        <v>5054.481581</v>
      </c>
    </row>
    <row r="59">
      <c r="A59" s="4" t="s">
        <v>124</v>
      </c>
      <c r="B59" s="4" t="str">
        <f>IFERROR(__xludf.DUMMYFUNCTION("SPLIT(A59:A785, ""&gt;"")"),"Online Behavior")</f>
        <v>Online Behavior</v>
      </c>
      <c r="C59" s="4" t="str">
        <f>IFERROR(__xludf.DUMMYFUNCTION("""COMPUTED_VALUE"""),"United States")</f>
        <v>United States</v>
      </c>
      <c r="D59" s="4" t="str">
        <f>IFERROR(__xludf.DUMMYFUNCTION("""COMPUTED_VALUE"""),"News")</f>
        <v>News</v>
      </c>
      <c r="E59" s="4" t="str">
        <f>IFERROR(__xludf.DUMMYFUNCTION("""COMPUTED_VALUE"""),"Sports News")</f>
        <v>Sports News</v>
      </c>
      <c r="F59" s="4"/>
      <c r="G59" s="4"/>
      <c r="H59" s="4"/>
      <c r="I59" s="5" t="s">
        <v>22</v>
      </c>
      <c r="J59" s="5" t="s">
        <v>16</v>
      </c>
      <c r="K59" s="5" t="s">
        <v>35</v>
      </c>
      <c r="L59" s="6" t="s">
        <v>115</v>
      </c>
      <c r="M59" s="5" t="s">
        <v>19</v>
      </c>
      <c r="N59" s="5" t="s">
        <v>27</v>
      </c>
      <c r="O59" s="5">
        <v>26715.0</v>
      </c>
      <c r="P59" s="5">
        <v>100.0</v>
      </c>
      <c r="Q59" s="5">
        <v>12287.0</v>
      </c>
      <c r="R59" s="5">
        <v>25003.0</v>
      </c>
      <c r="S59" s="5">
        <v>6.0</v>
      </c>
      <c r="T59" s="5">
        <v>4623.089672</v>
      </c>
    </row>
    <row r="60">
      <c r="A60" s="4" t="s">
        <v>125</v>
      </c>
      <c r="B60" s="4" t="str">
        <f>IFERROR(__xludf.DUMMYFUNCTION("SPLIT(A60:A786, ""&gt;"")"),"Telecommunications (Telco)")</f>
        <v>Telecommunications (Telco)</v>
      </c>
      <c r="C60" s="4"/>
      <c r="D60" s="4"/>
      <c r="E60" s="4"/>
      <c r="F60" s="4"/>
      <c r="G60" s="4"/>
      <c r="H60" s="4"/>
      <c r="I60" s="5" t="s">
        <v>22</v>
      </c>
      <c r="J60" s="5" t="s">
        <v>31</v>
      </c>
      <c r="K60" s="5" t="s">
        <v>126</v>
      </c>
      <c r="L60" s="6" t="s">
        <v>115</v>
      </c>
      <c r="M60" s="5" t="s">
        <v>19</v>
      </c>
      <c r="N60" s="5" t="s">
        <v>27</v>
      </c>
      <c r="O60" s="5">
        <v>65380.0</v>
      </c>
      <c r="P60" s="5">
        <v>208.0</v>
      </c>
      <c r="Q60" s="5">
        <v>30039.0</v>
      </c>
      <c r="R60" s="5">
        <v>60482.0</v>
      </c>
      <c r="S60" s="5">
        <v>5.0</v>
      </c>
      <c r="T60" s="5">
        <v>2905.884162</v>
      </c>
    </row>
    <row r="61">
      <c r="A61" s="4" t="s">
        <v>1742</v>
      </c>
      <c r="B61" s="4" t="str">
        <f>IFERROR(__xludf.DUMMYFUNCTION("SPLIT(A61:A787, ""&gt;"")"),"US ")</f>
        <v>US </v>
      </c>
      <c r="C61" s="4" t="str">
        <f>IFERROR(__xludf.DUMMYFUNCTION("""COMPUTED_VALUE""")," B2B ")</f>
        <v> B2B </v>
      </c>
      <c r="D61" s="4" t="str">
        <f>IFERROR(__xludf.DUMMYFUNCTION("""COMPUTED_VALUE""")," Purchase DM ")</f>
        <v> Purchase DM </v>
      </c>
      <c r="E61" s="4" t="str">
        <f>IFERROR(__xludf.DUMMYFUNCTION("""COMPUTED_VALUE""")," Technology Services, Hardware and ")</f>
        <v> Technology Services, Hardware and </v>
      </c>
      <c r="F61" s="4" t="str">
        <f>IFERROR(__xludf.DUMMYFUNCTION("""COMPUTED_VALUE""")," or Software ")</f>
        <v> or Software </v>
      </c>
      <c r="G61" s="4" t="str">
        <f>IFERROR(__xludf.DUMMYFUNCTION("""COMPUTED_VALUE""")," I have no input into the final decision")</f>
        <v> I have no input into the final decision</v>
      </c>
      <c r="H61" s="4"/>
      <c r="I61" s="5" t="s">
        <v>15</v>
      </c>
      <c r="J61" s="5" t="s">
        <v>42</v>
      </c>
      <c r="K61" s="5" t="s">
        <v>17</v>
      </c>
      <c r="L61" s="6" t="s">
        <v>115</v>
      </c>
      <c r="M61" s="5" t="s">
        <v>19</v>
      </c>
      <c r="N61" s="5" t="s">
        <v>27</v>
      </c>
      <c r="O61" s="5">
        <v>130796.0</v>
      </c>
      <c r="P61" s="5">
        <v>300.0</v>
      </c>
      <c r="Q61" s="5">
        <v>109118.0</v>
      </c>
      <c r="R61" s="5">
        <v>122937.0</v>
      </c>
      <c r="S61" s="5">
        <v>6.0</v>
      </c>
      <c r="T61" s="5">
        <v>2196.661232</v>
      </c>
    </row>
    <row r="62">
      <c r="A62" s="4" t="s">
        <v>1743</v>
      </c>
      <c r="B62" s="4" t="str">
        <f>IFERROR(__xludf.DUMMYFUNCTION("SPLIT(A62:A788, ""&gt;"")"),"US ")</f>
        <v>US </v>
      </c>
      <c r="C62" s="4" t="str">
        <f>IFERROR(__xludf.DUMMYFUNCTION("""COMPUTED_VALUE""")," Reach ")</f>
        <v> Reach </v>
      </c>
      <c r="D62" s="4" t="str">
        <f>IFERROR(__xludf.DUMMYFUNCTION("""COMPUTED_VALUE""")," Propensity Models ")</f>
        <v> Propensity Models </v>
      </c>
      <c r="E62" s="4" t="str">
        <f>IFERROR(__xludf.DUMMYFUNCTION("""COMPUTED_VALUE""")," Hobbies and Interest ")</f>
        <v> Hobbies and Interest </v>
      </c>
      <c r="F62" s="4" t="str">
        <f>IFERROR(__xludf.DUMMYFUNCTION("""COMPUTED_VALUE""")," Food and Drinks ")</f>
        <v> Food and Drinks </v>
      </c>
      <c r="G62" s="4" t="str">
        <f>IFERROR(__xludf.DUMMYFUNCTION("""COMPUTED_VALUE""")," Wine Lovers")</f>
        <v> Wine Lovers</v>
      </c>
      <c r="H62" s="4"/>
      <c r="I62" s="5" t="s">
        <v>15</v>
      </c>
      <c r="J62" s="5" t="s">
        <v>16</v>
      </c>
      <c r="K62" s="5" t="s">
        <v>39</v>
      </c>
      <c r="L62" s="6" t="s">
        <v>115</v>
      </c>
      <c r="M62" s="5" t="s">
        <v>19</v>
      </c>
      <c r="N62" s="5" t="s">
        <v>52</v>
      </c>
      <c r="O62" s="5">
        <v>64892.0</v>
      </c>
      <c r="P62" s="5">
        <v>214.0</v>
      </c>
      <c r="Q62" s="5">
        <v>34731.0</v>
      </c>
      <c r="R62" s="5">
        <v>59369.0</v>
      </c>
      <c r="S62" s="5">
        <v>24.0</v>
      </c>
      <c r="T62" s="5">
        <v>2096.285549</v>
      </c>
    </row>
    <row r="63">
      <c r="A63" s="4" t="s">
        <v>1744</v>
      </c>
      <c r="B63" s="4" t="str">
        <f>IFERROR(__xludf.DUMMYFUNCTION("SPLIT(A63:A789, ""&gt;"")"),"US ")</f>
        <v>US </v>
      </c>
      <c r="C63" s="4" t="str">
        <f>IFERROR(__xludf.DUMMYFUNCTION("""COMPUTED_VALUE""")," Brand Propensities ")</f>
        <v> Brand Propensities </v>
      </c>
      <c r="D63" s="4" t="str">
        <f>IFERROR(__xludf.DUMMYFUNCTION("""COMPUTED_VALUE""")," Travel ")</f>
        <v> Travel </v>
      </c>
      <c r="E63" s="4" t="str">
        <f>IFERROR(__xludf.DUMMYFUNCTION("""COMPUTED_VALUE""")," Choice Hotels Buyer Propensity")</f>
        <v> Choice Hotels Buyer Propensity</v>
      </c>
      <c r="F63" s="4"/>
      <c r="G63" s="4"/>
      <c r="H63" s="4"/>
      <c r="I63" s="5" t="s">
        <v>15</v>
      </c>
      <c r="J63" s="5" t="s">
        <v>42</v>
      </c>
      <c r="K63" s="5" t="s">
        <v>35</v>
      </c>
      <c r="L63" s="6" t="s">
        <v>115</v>
      </c>
      <c r="M63" s="5" t="s">
        <v>36</v>
      </c>
      <c r="N63" s="5" t="s">
        <v>27</v>
      </c>
      <c r="O63" s="5">
        <v>210096.0</v>
      </c>
      <c r="P63" s="5">
        <v>590.0</v>
      </c>
      <c r="Q63" s="5">
        <v>90928.0</v>
      </c>
      <c r="R63" s="5">
        <v>184823.0</v>
      </c>
      <c r="S63" s="5">
        <v>4.0</v>
      </c>
      <c r="T63" s="5">
        <v>2027.431388</v>
      </c>
    </row>
    <row r="64">
      <c r="A64" s="4" t="s">
        <v>1100</v>
      </c>
      <c r="B64" s="4" t="str">
        <f>IFERROR(__xludf.DUMMYFUNCTION("SPLIT(A64:A790, ""&gt;"")"),"OnAudience ")</f>
        <v>OnAudience </v>
      </c>
      <c r="C64" s="4" t="str">
        <f>IFERROR(__xludf.DUMMYFUNCTION("""COMPUTED_VALUE""")," Interest ")</f>
        <v> Interest </v>
      </c>
      <c r="D64" s="4" t="str">
        <f>IFERROR(__xludf.DUMMYFUNCTION("""COMPUTED_VALUE""")," Careers")</f>
        <v> Careers</v>
      </c>
      <c r="E64" s="4"/>
      <c r="F64" s="4"/>
      <c r="G64" s="4"/>
      <c r="H64" s="4"/>
      <c r="I64" s="5" t="s">
        <v>22</v>
      </c>
      <c r="J64" s="5" t="s">
        <v>16</v>
      </c>
      <c r="K64" s="5" t="s">
        <v>131</v>
      </c>
      <c r="L64" s="6" t="s">
        <v>115</v>
      </c>
      <c r="M64" s="5" t="s">
        <v>19</v>
      </c>
      <c r="N64" s="5" t="s">
        <v>27</v>
      </c>
      <c r="O64" s="5">
        <v>77313.0</v>
      </c>
      <c r="P64" s="5">
        <v>191.0</v>
      </c>
      <c r="Q64" s="5">
        <v>40366.0</v>
      </c>
      <c r="R64" s="5">
        <v>71128.0</v>
      </c>
      <c r="S64" s="5">
        <v>3.0</v>
      </c>
      <c r="T64" s="5">
        <v>1790.390198</v>
      </c>
    </row>
    <row r="65">
      <c r="A65" s="4" t="s">
        <v>1745</v>
      </c>
      <c r="B65" s="4" t="str">
        <f>IFERROR(__xludf.DUMMYFUNCTION("SPLIT(A65:A791, ""&gt;"")"),"US ")</f>
        <v>US </v>
      </c>
      <c r="C65" s="4" t="str">
        <f>IFERROR(__xludf.DUMMYFUNCTION("""COMPUTED_VALUE""")," Brand Propensities ")</f>
        <v> Brand Propensities </v>
      </c>
      <c r="D65" s="4" t="str">
        <f>IFERROR(__xludf.DUMMYFUNCTION("""COMPUTED_VALUE""")," Travel ")</f>
        <v> Travel </v>
      </c>
      <c r="E65" s="4" t="str">
        <f>IFERROR(__xludf.DUMMYFUNCTION("""COMPUTED_VALUE""")," Hotel Tonight Buyer Propensity")</f>
        <v> Hotel Tonight Buyer Propensity</v>
      </c>
      <c r="F65" s="4"/>
      <c r="G65" s="4"/>
      <c r="H65" s="4"/>
      <c r="I65" s="5" t="s">
        <v>15</v>
      </c>
      <c r="J65" s="5" t="s">
        <v>42</v>
      </c>
      <c r="K65" s="5" t="s">
        <v>84</v>
      </c>
      <c r="L65" s="6" t="s">
        <v>115</v>
      </c>
      <c r="M65" s="5" t="s">
        <v>36</v>
      </c>
      <c r="N65" s="5" t="s">
        <v>27</v>
      </c>
      <c r="O65" s="5">
        <v>188170.0</v>
      </c>
      <c r="P65" s="5">
        <v>490.0</v>
      </c>
      <c r="Q65" s="5">
        <v>155266.0</v>
      </c>
      <c r="R65" s="5">
        <v>176562.0</v>
      </c>
      <c r="S65" s="5">
        <v>6.0</v>
      </c>
      <c r="T65" s="5">
        <v>1599.715069</v>
      </c>
    </row>
    <row r="66">
      <c r="A66" s="4" t="s">
        <v>1102</v>
      </c>
      <c r="B66" s="4" t="str">
        <f>IFERROR(__xludf.DUMMYFUNCTION("SPLIT(A66:A792, ""&gt;"")"),"OnAudience ")</f>
        <v>OnAudience </v>
      </c>
      <c r="C66" s="4" t="str">
        <f>IFERROR(__xludf.DUMMYFUNCTION("""COMPUTED_VALUE""")," Interest ")</f>
        <v> Interest </v>
      </c>
      <c r="D66" s="4" t="str">
        <f>IFERROR(__xludf.DUMMYFUNCTION("""COMPUTED_VALUE""")," Science ")</f>
        <v> Science </v>
      </c>
      <c r="E66" s="4" t="str">
        <f>IFERROR(__xludf.DUMMYFUNCTION("""COMPUTED_VALUE""")," Weather Forecast")</f>
        <v> Weather Forecast</v>
      </c>
      <c r="F66" s="4"/>
      <c r="G66" s="4"/>
      <c r="H66" s="4"/>
      <c r="I66" s="5" t="s">
        <v>15</v>
      </c>
      <c r="J66" s="5" t="s">
        <v>23</v>
      </c>
      <c r="K66" s="5" t="s">
        <v>17</v>
      </c>
      <c r="L66" s="6" t="s">
        <v>115</v>
      </c>
      <c r="M66" s="5" t="s">
        <v>19</v>
      </c>
      <c r="N66" s="5" t="s">
        <v>52</v>
      </c>
      <c r="O66" s="5">
        <v>16808.0</v>
      </c>
      <c r="P66" s="5">
        <v>43.0</v>
      </c>
      <c r="Q66" s="5">
        <v>9211.0</v>
      </c>
      <c r="R66" s="5">
        <v>13372.0</v>
      </c>
      <c r="S66" s="5">
        <v>3.0</v>
      </c>
      <c r="T66" s="5">
        <v>1574.79128</v>
      </c>
    </row>
    <row r="67">
      <c r="A67" s="4" t="s">
        <v>1103</v>
      </c>
      <c r="B67" s="4" t="str">
        <f>IFERROR(__xludf.DUMMYFUNCTION("SPLIT(A67:A793, ""&gt;"")"),"Media and Entertainment ")</f>
        <v>Media and Entertainment </v>
      </c>
      <c r="C67" s="4" t="str">
        <f>IFERROR(__xludf.DUMMYFUNCTION("""COMPUTED_VALUE""")," Sports and Recreational Activities ")</f>
        <v> Sports and Recreational Activities </v>
      </c>
      <c r="D67" s="4" t="str">
        <f>IFERROR(__xludf.DUMMYFUNCTION("""COMPUTED_VALUE""")," Interest (Affinity) ")</f>
        <v> Interest (Affinity) </v>
      </c>
      <c r="E67" s="4" t="str">
        <f>IFERROR(__xludf.DUMMYFUNCTION("""COMPUTED_VALUE""")," Motorsports")</f>
        <v> Motorsports</v>
      </c>
      <c r="F67" s="4"/>
      <c r="G67" s="4"/>
      <c r="H67" s="4"/>
      <c r="I67" s="5" t="s">
        <v>15</v>
      </c>
      <c r="J67" s="5" t="s">
        <v>16</v>
      </c>
      <c r="K67" s="5" t="s">
        <v>39</v>
      </c>
      <c r="L67" s="6" t="s">
        <v>115</v>
      </c>
      <c r="M67" s="5" t="s">
        <v>19</v>
      </c>
      <c r="N67" s="5" t="s">
        <v>52</v>
      </c>
      <c r="O67" s="5">
        <v>21531.0</v>
      </c>
      <c r="P67" s="5">
        <v>55.0</v>
      </c>
      <c r="Q67" s="5">
        <v>15593.0</v>
      </c>
      <c r="R67" s="5">
        <v>18617.0</v>
      </c>
      <c r="S67" s="5">
        <v>6.0</v>
      </c>
      <c r="T67" s="5">
        <v>1470.971925</v>
      </c>
    </row>
    <row r="68">
      <c r="A68" s="4" t="s">
        <v>1746</v>
      </c>
      <c r="B68" s="4" t="str">
        <f>IFERROR(__xludf.DUMMYFUNCTION("SPLIT(A68:A794, ""&gt;"")"),"Mobile - US ")</f>
        <v>Mobile - US </v>
      </c>
      <c r="C68" s="4" t="str">
        <f>IFERROR(__xludf.DUMMYFUNCTION("""COMPUTED_VALUE""")," Travel ")</f>
        <v> Travel </v>
      </c>
      <c r="D68" s="4" t="str">
        <f>IFERROR(__xludf.DUMMYFUNCTION("""COMPUTED_VALUE""")," Destination ")</f>
        <v> Destination </v>
      </c>
      <c r="E68" s="4" t="str">
        <f>IFERROR(__xludf.DUMMYFUNCTION("""COMPUTED_VALUE""")," International Travelers ")</f>
        <v> International Travelers </v>
      </c>
      <c r="F68" s="4" t="str">
        <f>IFERROR(__xludf.DUMMYFUNCTION("""COMPUTED_VALUE""")," Frequent Travelers")</f>
        <v> Frequent Travelers</v>
      </c>
      <c r="G68" s="4"/>
      <c r="H68" s="4"/>
      <c r="I68" s="5" t="s">
        <v>15</v>
      </c>
      <c r="J68" s="5" t="s">
        <v>23</v>
      </c>
      <c r="K68" s="5" t="s">
        <v>78</v>
      </c>
      <c r="L68" s="6" t="s">
        <v>115</v>
      </c>
      <c r="M68" s="5" t="s">
        <v>136</v>
      </c>
      <c r="N68" s="5" t="s">
        <v>20</v>
      </c>
      <c r="O68" s="5">
        <v>18313.0</v>
      </c>
      <c r="P68" s="5">
        <v>60.0</v>
      </c>
      <c r="Q68" s="5">
        <v>9481.0</v>
      </c>
      <c r="R68" s="5">
        <v>16300.0</v>
      </c>
      <c r="S68" s="5">
        <v>4.0</v>
      </c>
      <c r="T68" s="5">
        <v>1456.934187</v>
      </c>
    </row>
    <row r="69">
      <c r="A69" s="4" t="s">
        <v>1747</v>
      </c>
      <c r="B69" s="4" t="str">
        <f>IFERROR(__xludf.DUMMYFUNCTION("SPLIT(A69:A795, ""&gt;"")"),"US Financial ")</f>
        <v>US Financial </v>
      </c>
      <c r="C69" s="4" t="str">
        <f>IFERROR(__xludf.DUMMYFUNCTION("""COMPUTED_VALUE""")," Estimated Discretionary Spending (Financial) ")</f>
        <v> Estimated Discretionary Spending (Financial) </v>
      </c>
      <c r="D69" s="4" t="str">
        <f>IFERROR(__xludf.DUMMYFUNCTION("""COMPUTED_VALUE""")," Greater than $2,499")</f>
        <v> Greater than $2,499</v>
      </c>
      <c r="E69" s="4"/>
      <c r="F69" s="4"/>
      <c r="G69" s="4"/>
      <c r="H69" s="4"/>
      <c r="I69" s="5" t="s">
        <v>22</v>
      </c>
      <c r="J69" s="5" t="s">
        <v>42</v>
      </c>
      <c r="K69" s="5" t="s">
        <v>39</v>
      </c>
      <c r="L69" s="6" t="s">
        <v>138</v>
      </c>
      <c r="M69" s="5" t="s">
        <v>19</v>
      </c>
      <c r="N69" s="5" t="s">
        <v>27</v>
      </c>
      <c r="O69" s="5">
        <v>10779.0</v>
      </c>
      <c r="P69" s="5">
        <v>86.0</v>
      </c>
      <c r="Q69" s="5">
        <v>6420.0</v>
      </c>
      <c r="R69" s="5">
        <v>10287.0</v>
      </c>
      <c r="S69" s="5">
        <v>3.0</v>
      </c>
      <c r="T69" s="5">
        <v>1759.704833</v>
      </c>
    </row>
    <row r="70">
      <c r="A70" s="4" t="s">
        <v>1748</v>
      </c>
      <c r="B70" s="4" t="str">
        <f>IFERROR(__xludf.DUMMYFUNCTION("SPLIT(A70:A796, ""&gt;"")"),"US ")</f>
        <v>US </v>
      </c>
      <c r="C70" s="4" t="str">
        <f>IFERROR(__xludf.DUMMYFUNCTION("""COMPUTED_VALUE""")," AUTO ")</f>
        <v> AUTO </v>
      </c>
      <c r="D70" s="4" t="str">
        <f>IFERROR(__xludf.DUMMYFUNCTION("""COMPUTED_VALUE""")," Primary Vehicle ")</f>
        <v> Primary Vehicle </v>
      </c>
      <c r="E70" s="4" t="str">
        <f>IFERROR(__xludf.DUMMYFUNCTION("""COMPUTED_VALUE""")," New or Used ")</f>
        <v> New or Used </v>
      </c>
      <c r="F70" s="4" t="str">
        <f>IFERROR(__xludf.DUMMYFUNCTION("""COMPUTED_VALUE""")," Pre-owned")</f>
        <v> Pre-owned</v>
      </c>
      <c r="G70" s="4"/>
      <c r="H70" s="4"/>
      <c r="I70" s="5" t="s">
        <v>22</v>
      </c>
      <c r="J70" s="5" t="s">
        <v>16</v>
      </c>
      <c r="K70" s="5" t="s">
        <v>55</v>
      </c>
      <c r="L70" s="6" t="s">
        <v>140</v>
      </c>
      <c r="M70" s="5" t="s">
        <v>19</v>
      </c>
      <c r="N70" s="5" t="s">
        <v>27</v>
      </c>
      <c r="O70" s="5">
        <v>11325.0</v>
      </c>
      <c r="P70" s="5">
        <v>88.0</v>
      </c>
      <c r="Q70" s="5">
        <v>6186.0</v>
      </c>
      <c r="R70" s="5">
        <v>10612.0</v>
      </c>
      <c r="S70" s="5">
        <v>2.0</v>
      </c>
      <c r="T70" s="5">
        <v>1573.25409</v>
      </c>
    </row>
    <row r="71">
      <c r="A71" s="4" t="s">
        <v>1107</v>
      </c>
      <c r="B71" s="4" t="str">
        <f>IFERROR(__xludf.DUMMYFUNCTION("SPLIT(A71:A797, ""&gt;"")"),"Media and Entertainment ")</f>
        <v>Media and Entertainment </v>
      </c>
      <c r="C71" s="4" t="str">
        <f>IFERROR(__xludf.DUMMYFUNCTION("""COMPUTED_VALUE""")," Gaming ")</f>
        <v> Gaming </v>
      </c>
      <c r="D71" s="4" t="str">
        <f>IFERROR(__xludf.DUMMYFUNCTION("""COMPUTED_VALUE""")," Interest (Affinity) ")</f>
        <v> Interest (Affinity) </v>
      </c>
      <c r="E71" s="4" t="str">
        <f>IFERROR(__xludf.DUMMYFUNCTION("""COMPUTED_VALUE""")," Video Games")</f>
        <v> Video Games</v>
      </c>
      <c r="F71" s="4"/>
      <c r="G71" s="4"/>
      <c r="H71" s="4"/>
      <c r="I71" s="5" t="s">
        <v>22</v>
      </c>
      <c r="J71" s="5" t="s">
        <v>16</v>
      </c>
      <c r="K71" s="5" t="s">
        <v>142</v>
      </c>
      <c r="L71" s="6" t="s">
        <v>143</v>
      </c>
      <c r="M71" s="5" t="s">
        <v>48</v>
      </c>
      <c r="N71" s="5" t="s">
        <v>27</v>
      </c>
      <c r="O71" s="5">
        <v>9078.0</v>
      </c>
      <c r="P71" s="5">
        <v>21.0</v>
      </c>
      <c r="Q71" s="5">
        <v>4051.0</v>
      </c>
      <c r="R71" s="5">
        <v>6215.0</v>
      </c>
      <c r="S71" s="5">
        <v>1.0</v>
      </c>
      <c r="T71" s="5">
        <v>1700.795736</v>
      </c>
    </row>
    <row r="72">
      <c r="A72" s="4" t="s">
        <v>144</v>
      </c>
      <c r="B72" s="4" t="str">
        <f>IFERROR(__xludf.DUMMYFUNCTION("SPLIT(A72:A798, ""&gt;"")"),"Online Behavior")</f>
        <v>Online Behavior</v>
      </c>
      <c r="C72" s="4" t="str">
        <f>IFERROR(__xludf.DUMMYFUNCTION("""COMPUTED_VALUE"""),"United States")</f>
        <v>United States</v>
      </c>
      <c r="D72" s="4" t="str">
        <f>IFERROR(__xludf.DUMMYFUNCTION("""COMPUTED_VALUE"""),"Games")</f>
        <v>Games</v>
      </c>
      <c r="E72" s="4" t="str">
        <f>IFERROR(__xludf.DUMMYFUNCTION("""COMPUTED_VALUE"""),"Card Games")</f>
        <v>Card Games</v>
      </c>
      <c r="F72" s="4"/>
      <c r="G72" s="4"/>
      <c r="H72" s="4"/>
      <c r="I72" s="5" t="s">
        <v>22</v>
      </c>
      <c r="J72" s="5" t="s">
        <v>42</v>
      </c>
      <c r="K72" s="5" t="s">
        <v>29</v>
      </c>
      <c r="L72" s="6" t="s">
        <v>145</v>
      </c>
      <c r="M72" s="5" t="s">
        <v>19</v>
      </c>
      <c r="N72" s="5" t="s">
        <v>27</v>
      </c>
      <c r="O72" s="5">
        <v>11511.0</v>
      </c>
      <c r="P72" s="5">
        <v>33.0</v>
      </c>
      <c r="Q72" s="5">
        <v>8268.0</v>
      </c>
      <c r="R72" s="5">
        <v>11042.0</v>
      </c>
      <c r="S72" s="5">
        <v>3.0</v>
      </c>
      <c r="T72" s="5">
        <v>6815.712325</v>
      </c>
    </row>
    <row r="73">
      <c r="A73" s="4" t="s">
        <v>1108</v>
      </c>
      <c r="B73" s="4" t="str">
        <f>IFERROR(__xludf.DUMMYFUNCTION("SPLIT(A73:A799, ""&gt;"")"),"Online Behavior")</f>
        <v>Online Behavior</v>
      </c>
      <c r="C73" s="4" t="str">
        <f>IFERROR(__xludf.DUMMYFUNCTION("""COMPUTED_VALUE"""),"United States")</f>
        <v>United States</v>
      </c>
      <c r="D73" s="4" t="str">
        <f>IFERROR(__xludf.DUMMYFUNCTION("""COMPUTED_VALUE"""),"Autos and Vehicles ")</f>
        <v>Autos and Vehicles </v>
      </c>
      <c r="E73" s="4" t="str">
        <f>IFERROR(__xludf.DUMMYFUNCTION("""COMPUTED_VALUE""")," Brands")</f>
        <v> Brands</v>
      </c>
      <c r="F73" s="4" t="str">
        <f>IFERROR(__xludf.DUMMYFUNCTION("""COMPUTED_VALUE"""),"Rolls-Royce")</f>
        <v>Rolls-Royce</v>
      </c>
      <c r="G73" s="4"/>
      <c r="H73" s="4"/>
      <c r="I73" s="5" t="s">
        <v>22</v>
      </c>
      <c r="J73" s="5" t="s">
        <v>23</v>
      </c>
      <c r="K73" s="5" t="s">
        <v>147</v>
      </c>
      <c r="L73" s="6" t="s">
        <v>145</v>
      </c>
      <c r="M73" s="5" t="s">
        <v>46</v>
      </c>
      <c r="N73" s="5" t="s">
        <v>27</v>
      </c>
      <c r="O73" s="5">
        <v>14047.0</v>
      </c>
      <c r="P73" s="5">
        <v>44.0</v>
      </c>
      <c r="Q73" s="5">
        <v>9934.0</v>
      </c>
      <c r="R73" s="5">
        <v>13377.0</v>
      </c>
      <c r="S73" s="5">
        <v>7.0</v>
      </c>
      <c r="T73" s="5">
        <v>5729.650755</v>
      </c>
    </row>
    <row r="74">
      <c r="A74" s="4" t="s">
        <v>1749</v>
      </c>
      <c r="B74" s="4" t="str">
        <f>IFERROR(__xludf.DUMMYFUNCTION("SPLIT(A74:A800, ""&gt;"")"),"US ")</f>
        <v>US </v>
      </c>
      <c r="C74" s="4" t="str">
        <f>IFERROR(__xludf.DUMMYFUNCTION("""COMPUTED_VALUE""")," Reach ")</f>
        <v> Reach </v>
      </c>
      <c r="D74" s="4" t="str">
        <f>IFERROR(__xludf.DUMMYFUNCTION("""COMPUTED_VALUE""")," Propensity Models ")</f>
        <v> Propensity Models </v>
      </c>
      <c r="E74" s="4" t="str">
        <f>IFERROR(__xludf.DUMMYFUNCTION("""COMPUTED_VALUE""")," Hobbies and Interest ")</f>
        <v> Hobbies and Interest </v>
      </c>
      <c r="F74" s="4" t="str">
        <f>IFERROR(__xludf.DUMMYFUNCTION("""COMPUTED_VALUE""")," Photography")</f>
        <v> Photography</v>
      </c>
      <c r="G74" s="4"/>
      <c r="H74" s="4"/>
      <c r="I74" s="5" t="s">
        <v>15</v>
      </c>
      <c r="J74" s="5" t="s">
        <v>31</v>
      </c>
      <c r="K74" s="5" t="s">
        <v>17</v>
      </c>
      <c r="L74" s="6" t="s">
        <v>145</v>
      </c>
      <c r="M74" s="5" t="s">
        <v>46</v>
      </c>
      <c r="N74" s="5" t="s">
        <v>27</v>
      </c>
      <c r="O74" s="5">
        <v>20278.0</v>
      </c>
      <c r="P74" s="5">
        <v>74.0</v>
      </c>
      <c r="Q74" s="5">
        <v>14227.0</v>
      </c>
      <c r="R74" s="5">
        <v>19480.0</v>
      </c>
      <c r="S74" s="5">
        <v>3.0</v>
      </c>
      <c r="T74" s="5">
        <v>2921.110207</v>
      </c>
    </row>
    <row r="75">
      <c r="A75" s="4" t="s">
        <v>1115</v>
      </c>
      <c r="B75" s="4" t="str">
        <f>IFERROR(__xludf.DUMMYFUNCTION("SPLIT(A75:A801, ""&gt;"")"),"Travel and Tourism ")</f>
        <v>Travel and Tourism </v>
      </c>
      <c r="C75" s="4" t="str">
        <f>IFERROR(__xludf.DUMMYFUNCTION("""COMPUTED_VALUE""")," Interest (Affinity) ")</f>
        <v> Interest (Affinity) </v>
      </c>
      <c r="D75" s="4" t="str">
        <f>IFERROR(__xludf.DUMMYFUNCTION("""COMPUTED_VALUE""")," Destinations ")</f>
        <v> Destinations </v>
      </c>
      <c r="E75" s="4" t="str">
        <f>IFERROR(__xludf.DUMMYFUNCTION("""COMPUTED_VALUE""")," North America")</f>
        <v> North America</v>
      </c>
      <c r="F75" s="4"/>
      <c r="G75" s="4"/>
      <c r="H75" s="4"/>
      <c r="I75" s="5" t="s">
        <v>22</v>
      </c>
      <c r="J75" s="5" t="s">
        <v>31</v>
      </c>
      <c r="K75" s="5" t="s">
        <v>150</v>
      </c>
      <c r="L75" s="6" t="s">
        <v>145</v>
      </c>
      <c r="M75" s="5" t="s">
        <v>36</v>
      </c>
      <c r="N75" s="5" t="s">
        <v>27</v>
      </c>
      <c r="O75" s="5">
        <v>12354.0</v>
      </c>
      <c r="P75" s="5">
        <v>10.0</v>
      </c>
      <c r="Q75" s="5">
        <v>8561.0</v>
      </c>
      <c r="R75" s="5">
        <v>11782.0</v>
      </c>
      <c r="S75" s="5">
        <v>5.0</v>
      </c>
      <c r="T75" s="5">
        <v>1808.307918</v>
      </c>
    </row>
    <row r="76">
      <c r="A76" s="4" t="s">
        <v>1750</v>
      </c>
      <c r="B76" s="4" t="str">
        <f>IFERROR(__xludf.DUMMYFUNCTION("SPLIT(A76:A802, ""&gt;"")"),"US ")</f>
        <v>US </v>
      </c>
      <c r="C76" s="4" t="str">
        <f>IFERROR(__xludf.DUMMYFUNCTION("""COMPUTED_VALUE""")," Reach ")</f>
        <v> Reach </v>
      </c>
      <c r="D76" s="4" t="str">
        <f>IFERROR(__xludf.DUMMYFUNCTION("""COMPUTED_VALUE""")," Sociodemographic ")</f>
        <v> Sociodemographic </v>
      </c>
      <c r="E76" s="4" t="str">
        <f>IFERROR(__xludf.DUMMYFUNCTION("""COMPUTED_VALUE""")," Estimated Current Home Value ")</f>
        <v> Estimated Current Home Value </v>
      </c>
      <c r="F76" s="4" t="str">
        <f>IFERROR(__xludf.DUMMYFUNCTION("""COMPUTED_VALUE""")," $160,000-$199,999")</f>
        <v> $160,000-$199,999</v>
      </c>
      <c r="G76" s="4"/>
      <c r="H76" s="4"/>
      <c r="I76" s="5" t="s">
        <v>15</v>
      </c>
      <c r="J76" s="5" t="s">
        <v>16</v>
      </c>
      <c r="K76" s="5" t="s">
        <v>35</v>
      </c>
      <c r="L76" s="6" t="s">
        <v>145</v>
      </c>
      <c r="M76" s="5" t="s">
        <v>19</v>
      </c>
      <c r="N76" s="5" t="s">
        <v>27</v>
      </c>
      <c r="O76" s="5">
        <v>13132.0</v>
      </c>
      <c r="P76" s="5">
        <v>67.0</v>
      </c>
      <c r="Q76" s="5">
        <v>6133.0</v>
      </c>
      <c r="R76" s="5">
        <v>12377.0</v>
      </c>
      <c r="S76" s="5">
        <v>4.0</v>
      </c>
      <c r="T76" s="5">
        <v>1807.693142</v>
      </c>
    </row>
    <row r="77">
      <c r="A77" s="4" t="s">
        <v>1751</v>
      </c>
      <c r="B77" s="4" t="str">
        <f>IFERROR(__xludf.DUMMYFUNCTION("SPLIT(A77:A803, ""&gt;"")"),"US ")</f>
        <v>US </v>
      </c>
      <c r="C77" s="4" t="str">
        <f>IFERROR(__xludf.DUMMYFUNCTION("""COMPUTED_VALUE"""),"Connected Impulse-Shopper Audience")</f>
        <v>Connected Impulse-Shopper Audience</v>
      </c>
      <c r="D77" s="4"/>
      <c r="E77" s="4"/>
      <c r="F77" s="4"/>
      <c r="G77" s="4"/>
      <c r="H77" s="4"/>
      <c r="I77" s="5" t="s">
        <v>15</v>
      </c>
      <c r="J77" s="5" t="s">
        <v>42</v>
      </c>
      <c r="K77" s="5" t="s">
        <v>95</v>
      </c>
      <c r="L77" s="6" t="s">
        <v>153</v>
      </c>
      <c r="M77" s="5" t="s">
        <v>136</v>
      </c>
      <c r="N77" s="5" t="s">
        <v>27</v>
      </c>
      <c r="O77" s="5">
        <v>35034.0</v>
      </c>
      <c r="P77" s="5">
        <v>145.0</v>
      </c>
      <c r="Q77" s="5">
        <v>13904.0</v>
      </c>
      <c r="R77" s="5">
        <v>34123.0</v>
      </c>
      <c r="S77" s="5">
        <v>3.0</v>
      </c>
      <c r="T77" s="5">
        <v>2141.469346</v>
      </c>
    </row>
    <row r="78">
      <c r="A78" s="4" t="s">
        <v>1752</v>
      </c>
      <c r="B78" s="4" t="str">
        <f>IFERROR(__xludf.DUMMYFUNCTION("SPLIT(A78:A804, ""&gt;"")"),"US ")</f>
        <v>US </v>
      </c>
      <c r="C78" s="4" t="str">
        <f>IFERROR(__xludf.DUMMYFUNCTION("""COMPUTED_VALUE""")," Interest Propensities ")</f>
        <v> Interest Propensities </v>
      </c>
      <c r="D78" s="4" t="str">
        <f>IFERROR(__xludf.DUMMYFUNCTION("""COMPUTED_VALUE""")," Activities and Interests ")</f>
        <v> Activities and Interests </v>
      </c>
      <c r="E78" s="4" t="str">
        <f>IFERROR(__xludf.DUMMYFUNCTION("""COMPUTED_VALUE""")," International News")</f>
        <v> International News</v>
      </c>
      <c r="F78" s="4"/>
      <c r="G78" s="4"/>
      <c r="H78" s="4"/>
      <c r="I78" s="5" t="s">
        <v>61</v>
      </c>
      <c r="J78" s="5" t="s">
        <v>16</v>
      </c>
      <c r="K78" s="5" t="s">
        <v>155</v>
      </c>
      <c r="L78" s="6" t="s">
        <v>156</v>
      </c>
      <c r="M78" s="5" t="s">
        <v>19</v>
      </c>
      <c r="N78" s="5" t="s">
        <v>27</v>
      </c>
      <c r="O78" s="5">
        <v>9946.0</v>
      </c>
      <c r="P78" s="5">
        <v>20.0</v>
      </c>
      <c r="Q78" s="5">
        <v>4818.0</v>
      </c>
      <c r="R78" s="5">
        <v>7382.0</v>
      </c>
      <c r="S78" s="5">
        <v>3.0</v>
      </c>
      <c r="T78" s="5">
        <v>1525.962329</v>
      </c>
    </row>
    <row r="79">
      <c r="A79" s="4" t="s">
        <v>1131</v>
      </c>
      <c r="B79" s="4" t="str">
        <f>IFERROR(__xludf.DUMMYFUNCTION("SPLIT(A79:A805, ""&gt;"")"),"Online Behavior")</f>
        <v>Online Behavior</v>
      </c>
      <c r="C79" s="4" t="str">
        <f>IFERROR(__xludf.DUMMYFUNCTION("""COMPUTED_VALUE"""),"United States")</f>
        <v>United States</v>
      </c>
      <c r="D79" s="4" t="str">
        <f>IFERROR(__xludf.DUMMYFUNCTION("""COMPUTED_VALUE"""),"Intent ")</f>
        <v>Intent </v>
      </c>
      <c r="E79" s="4" t="str">
        <f>IFERROR(__xludf.DUMMYFUNCTION("""COMPUTED_VALUE""")," Auto Buyers ")</f>
        <v> Auto Buyers </v>
      </c>
      <c r="F79" s="4" t="str">
        <f>IFERROR(__xludf.DUMMYFUNCTION("""COMPUTED_VALUE""")," Car Make")</f>
        <v> Car Make</v>
      </c>
      <c r="G79" s="4" t="str">
        <f>IFERROR(__xludf.DUMMYFUNCTION("""COMPUTED_VALUE"""),"Nissan")</f>
        <v>Nissan</v>
      </c>
      <c r="H79" s="4"/>
      <c r="I79" s="5" t="s">
        <v>22</v>
      </c>
      <c r="J79" s="5" t="s">
        <v>16</v>
      </c>
      <c r="K79" s="5" t="s">
        <v>55</v>
      </c>
      <c r="L79" s="6" t="s">
        <v>158</v>
      </c>
      <c r="M79" s="5" t="s">
        <v>19</v>
      </c>
      <c r="N79" s="5" t="s">
        <v>27</v>
      </c>
      <c r="O79" s="5">
        <v>8068.0</v>
      </c>
      <c r="P79" s="5">
        <v>10.0</v>
      </c>
      <c r="Q79" s="5">
        <v>5545.0</v>
      </c>
      <c r="R79" s="5">
        <v>7554.0</v>
      </c>
      <c r="S79" s="5">
        <v>1.0</v>
      </c>
      <c r="T79" s="5">
        <v>5995.041002</v>
      </c>
    </row>
    <row r="80">
      <c r="A80" s="4" t="s">
        <v>159</v>
      </c>
      <c r="B80" s="4" t="str">
        <f>IFERROR(__xludf.DUMMYFUNCTION("SPLIT(A80:A806, ""&gt;"")"),"Online Behavior")</f>
        <v>Online Behavior</v>
      </c>
      <c r="C80" s="4" t="str">
        <f>IFERROR(__xludf.DUMMYFUNCTION("""COMPUTED_VALUE"""),"United States")</f>
        <v>United States</v>
      </c>
      <c r="D80" s="4" t="str">
        <f>IFERROR(__xludf.DUMMYFUNCTION("""COMPUTED_VALUE"""),"Life Event")</f>
        <v>Life Event</v>
      </c>
      <c r="E80" s="4" t="str">
        <f>IFERROR(__xludf.DUMMYFUNCTION("""COMPUTED_VALUE"""),"Bride")</f>
        <v>Bride</v>
      </c>
      <c r="F80" s="4"/>
      <c r="G80" s="4"/>
      <c r="H80" s="4"/>
      <c r="I80" s="5" t="s">
        <v>22</v>
      </c>
      <c r="J80" s="5" t="s">
        <v>16</v>
      </c>
      <c r="K80" s="5" t="s">
        <v>39</v>
      </c>
      <c r="L80" s="6" t="s">
        <v>160</v>
      </c>
      <c r="M80" s="5" t="s">
        <v>161</v>
      </c>
      <c r="N80" s="5" t="s">
        <v>27</v>
      </c>
      <c r="O80" s="5">
        <v>11919.0</v>
      </c>
      <c r="P80" s="5">
        <v>69.0</v>
      </c>
      <c r="Q80" s="5">
        <v>8100.0</v>
      </c>
      <c r="R80" s="5">
        <v>11524.0</v>
      </c>
      <c r="S80" s="5">
        <v>2.0</v>
      </c>
      <c r="T80" s="5">
        <v>6350.916905</v>
      </c>
    </row>
    <row r="81">
      <c r="A81" s="4" t="s">
        <v>162</v>
      </c>
      <c r="B81" s="4" t="str">
        <f>IFERROR(__xludf.DUMMYFUNCTION("SPLIT(A81:A807, ""&gt;"")"),"Online Behavior")</f>
        <v>Online Behavior</v>
      </c>
      <c r="C81" s="4" t="str">
        <f>IFERROR(__xludf.DUMMYFUNCTION("""COMPUTED_VALUE"""),"United States")</f>
        <v>United States</v>
      </c>
      <c r="D81" s="4" t="str">
        <f>IFERROR(__xludf.DUMMYFUNCTION("""COMPUTED_VALUE"""),"Life Event")</f>
        <v>Life Event</v>
      </c>
      <c r="E81" s="4" t="str">
        <f>IFERROR(__xludf.DUMMYFUNCTION("""COMPUTED_VALUE"""),"Engagement")</f>
        <v>Engagement</v>
      </c>
      <c r="F81" s="4"/>
      <c r="G81" s="4"/>
      <c r="H81" s="4"/>
      <c r="I81" s="5" t="s">
        <v>22</v>
      </c>
      <c r="J81" s="5" t="s">
        <v>23</v>
      </c>
      <c r="K81" s="5" t="s">
        <v>55</v>
      </c>
      <c r="L81" s="6" t="s">
        <v>160</v>
      </c>
      <c r="M81" s="5" t="s">
        <v>19</v>
      </c>
      <c r="N81" s="5" t="s">
        <v>27</v>
      </c>
      <c r="O81" s="5">
        <v>35163.0</v>
      </c>
      <c r="P81" s="5">
        <v>250.0</v>
      </c>
      <c r="Q81" s="5">
        <v>21222.0</v>
      </c>
      <c r="R81" s="5">
        <v>33671.0</v>
      </c>
      <c r="S81" s="5">
        <v>15.0</v>
      </c>
      <c r="T81" s="5">
        <v>6336.7181</v>
      </c>
    </row>
    <row r="82">
      <c r="A82" s="4" t="s">
        <v>163</v>
      </c>
      <c r="B82" s="4" t="str">
        <f>IFERROR(__xludf.DUMMYFUNCTION("SPLIT(A82:A808, ""&gt;"")"),"Online Behavior")</f>
        <v>Online Behavior</v>
      </c>
      <c r="C82" s="4" t="str">
        <f>IFERROR(__xludf.DUMMYFUNCTION("""COMPUTED_VALUE"""),"United States")</f>
        <v>United States</v>
      </c>
      <c r="D82" s="4" t="str">
        <f>IFERROR(__xludf.DUMMYFUNCTION("""COMPUTED_VALUE"""),"The Changing Consumer")</f>
        <v>The Changing Consumer</v>
      </c>
      <c r="E82" s="4" t="str">
        <f>IFERROR(__xludf.DUMMYFUNCTION("""COMPUTED_VALUE"""),"Internet Connection")</f>
        <v>Internet Connection</v>
      </c>
      <c r="F82" s="4"/>
      <c r="G82" s="4"/>
      <c r="H82" s="4"/>
      <c r="I82" s="5" t="s">
        <v>15</v>
      </c>
      <c r="J82" s="5" t="s">
        <v>42</v>
      </c>
      <c r="K82" s="5" t="s">
        <v>35</v>
      </c>
      <c r="L82" s="6" t="s">
        <v>160</v>
      </c>
      <c r="M82" s="5" t="s">
        <v>19</v>
      </c>
      <c r="N82" s="5" t="s">
        <v>52</v>
      </c>
      <c r="O82" s="5">
        <v>27202.0</v>
      </c>
      <c r="P82" s="5">
        <v>70.0</v>
      </c>
      <c r="Q82" s="5">
        <v>5202.0</v>
      </c>
      <c r="R82" s="5">
        <v>23474.0</v>
      </c>
      <c r="S82" s="5">
        <v>11.0</v>
      </c>
      <c r="T82" s="5">
        <v>4253.979116</v>
      </c>
    </row>
    <row r="83">
      <c r="A83" s="4" t="s">
        <v>1133</v>
      </c>
      <c r="B83" s="4" t="str">
        <f>IFERROR(__xludf.DUMMYFUNCTION("SPLIT(A83:A809, ""&gt;"")"),"Lotame ")</f>
        <v>Lotame </v>
      </c>
      <c r="C83" s="4" t="str">
        <f>IFERROR(__xludf.DUMMYFUNCTION("""COMPUTED_VALUE""")," Personal Finance ")</f>
        <v> Personal Finance </v>
      </c>
      <c r="D83" s="4" t="str">
        <f>IFERROR(__xludf.DUMMYFUNCTION("""COMPUTED_VALUE""")," Estate Planning")</f>
        <v> Estate Planning</v>
      </c>
      <c r="E83" s="4"/>
      <c r="F83" s="4"/>
      <c r="G83" s="4"/>
      <c r="H83" s="4"/>
      <c r="I83" s="5" t="s">
        <v>22</v>
      </c>
      <c r="J83" s="5" t="s">
        <v>16</v>
      </c>
      <c r="K83" s="5" t="s">
        <v>17</v>
      </c>
      <c r="L83" s="6" t="s">
        <v>160</v>
      </c>
      <c r="M83" s="5" t="s">
        <v>19</v>
      </c>
      <c r="N83" s="5" t="s">
        <v>27</v>
      </c>
      <c r="O83" s="5">
        <v>59782.0</v>
      </c>
      <c r="P83" s="5">
        <v>212.0</v>
      </c>
      <c r="Q83" s="5">
        <v>28235.0</v>
      </c>
      <c r="R83" s="5">
        <v>57543.0</v>
      </c>
      <c r="S83" s="5">
        <v>13.0</v>
      </c>
      <c r="T83" s="5">
        <v>1455.703554</v>
      </c>
    </row>
    <row r="84">
      <c r="A84" s="4" t="s">
        <v>1137</v>
      </c>
      <c r="B84" s="4" t="str">
        <f>IFERROR(__xludf.DUMMYFUNCTION("SPLIT(A84:A810, ""&gt;"")"),"Online Behavior")</f>
        <v>Online Behavior</v>
      </c>
      <c r="C84" s="4" t="str">
        <f>IFERROR(__xludf.DUMMYFUNCTION("""COMPUTED_VALUE"""),"United States")</f>
        <v>United States</v>
      </c>
      <c r="D84" s="4" t="str">
        <f>IFERROR(__xludf.DUMMYFUNCTION("""COMPUTED_VALUE"""),"Sports")</f>
        <v>Sports</v>
      </c>
      <c r="E84" s="4" t="str">
        <f>IFERROR(__xludf.DUMMYFUNCTION("""COMPUTED_VALUE"""),"Team Sports ")</f>
        <v>Team Sports </v>
      </c>
      <c r="F84" s="4" t="str">
        <f>IFERROR(__xludf.DUMMYFUNCTION("""COMPUTED_VALUE""")," Volleyball")</f>
        <v> Volleyball</v>
      </c>
      <c r="G84" s="4"/>
      <c r="H84" s="4"/>
      <c r="I84" s="5" t="s">
        <v>15</v>
      </c>
      <c r="J84" s="5" t="s">
        <v>16</v>
      </c>
      <c r="K84" s="5" t="s">
        <v>39</v>
      </c>
      <c r="L84" s="6" t="s">
        <v>166</v>
      </c>
      <c r="M84" s="5" t="s">
        <v>167</v>
      </c>
      <c r="N84" s="5" t="s">
        <v>20</v>
      </c>
      <c r="O84" s="5">
        <v>10066.0</v>
      </c>
      <c r="P84" s="5">
        <v>63.0</v>
      </c>
      <c r="Q84" s="5">
        <v>6978.0</v>
      </c>
      <c r="R84" s="5">
        <v>9369.0</v>
      </c>
      <c r="S84" s="5">
        <v>19.0</v>
      </c>
      <c r="T84" s="5">
        <v>6879.587097</v>
      </c>
    </row>
    <row r="85">
      <c r="A85" s="4" t="s">
        <v>1753</v>
      </c>
      <c r="B85" s="4" t="str">
        <f>IFERROR(__xludf.DUMMYFUNCTION("SPLIT(A85:A811, ""&gt;"")"),"Mobile - US ")</f>
        <v>Mobile - US </v>
      </c>
      <c r="C85" s="4" t="str">
        <f>IFERROR(__xludf.DUMMYFUNCTION("""COMPUTED_VALUE""")," Food ")</f>
        <v> Food </v>
      </c>
      <c r="D85" s="4" t="str">
        <f>IFERROR(__xludf.DUMMYFUNCTION("""COMPUTED_VALUE""")," Restaurant ")</f>
        <v> Restaurant </v>
      </c>
      <c r="E85" s="4" t="str">
        <f>IFERROR(__xludf.DUMMYFUNCTION("""COMPUTED_VALUE""")," Brand ")</f>
        <v> Brand </v>
      </c>
      <c r="F85" s="4" t="str">
        <f>IFERROR(__xludf.DUMMYFUNCTION("""COMPUTED_VALUE""")," Outback Steakhouse")</f>
        <v> Outback Steakhouse</v>
      </c>
      <c r="G85" s="4"/>
      <c r="H85" s="4"/>
      <c r="I85" s="5" t="s">
        <v>15</v>
      </c>
      <c r="J85" s="5" t="s">
        <v>16</v>
      </c>
      <c r="K85" s="5" t="s">
        <v>35</v>
      </c>
      <c r="L85" s="6" t="s">
        <v>166</v>
      </c>
      <c r="M85" s="5" t="s">
        <v>161</v>
      </c>
      <c r="N85" s="5" t="s">
        <v>27</v>
      </c>
      <c r="O85" s="5">
        <v>11296.0</v>
      </c>
      <c r="P85" s="5">
        <v>54.0</v>
      </c>
      <c r="Q85" s="5">
        <v>6822.0</v>
      </c>
      <c r="R85" s="5">
        <v>9274.0</v>
      </c>
      <c r="S85" s="5">
        <v>4.0</v>
      </c>
      <c r="T85" s="5">
        <v>1682.338499</v>
      </c>
    </row>
    <row r="86">
      <c r="A86" s="4" t="s">
        <v>169</v>
      </c>
      <c r="B86" s="4" t="str">
        <f>IFERROR(__xludf.DUMMYFUNCTION("SPLIT(A86:A812, ""&gt;"")"),"Online Behavior")</f>
        <v>Online Behavior</v>
      </c>
      <c r="C86" s="4" t="str">
        <f>IFERROR(__xludf.DUMMYFUNCTION("""COMPUTED_VALUE"""),"United States")</f>
        <v>United States</v>
      </c>
      <c r="D86" s="4" t="str">
        <f>IFERROR(__xludf.DUMMYFUNCTION("""COMPUTED_VALUE"""),"Sports")</f>
        <v>Sports</v>
      </c>
      <c r="E86" s="4" t="str">
        <f>IFERROR(__xludf.DUMMYFUNCTION("""COMPUTED_VALUE"""),"Sporting Goods")</f>
        <v>Sporting Goods</v>
      </c>
      <c r="F86" s="4"/>
      <c r="G86" s="4"/>
      <c r="H86" s="4"/>
      <c r="I86" s="5" t="s">
        <v>22</v>
      </c>
      <c r="J86" s="5" t="s">
        <v>31</v>
      </c>
      <c r="K86" s="5" t="s">
        <v>39</v>
      </c>
      <c r="L86" s="6" t="s">
        <v>170</v>
      </c>
      <c r="M86" s="5" t="s">
        <v>19</v>
      </c>
      <c r="N86" s="5" t="s">
        <v>27</v>
      </c>
      <c r="O86" s="5">
        <v>18633.0</v>
      </c>
      <c r="P86" s="5">
        <v>60.0</v>
      </c>
      <c r="Q86" s="5">
        <v>9424.0</v>
      </c>
      <c r="R86" s="5">
        <v>18087.0</v>
      </c>
      <c r="S86" s="5">
        <v>15.0</v>
      </c>
      <c r="T86" s="5">
        <v>6785.063293</v>
      </c>
    </row>
    <row r="87">
      <c r="A87" s="4" t="s">
        <v>171</v>
      </c>
      <c r="B87" s="4" t="str">
        <f>IFERROR(__xludf.DUMMYFUNCTION("SPLIT(A87:A813, ""&gt;"")"),"Online Behavior")</f>
        <v>Online Behavior</v>
      </c>
      <c r="C87" s="4" t="str">
        <f>IFERROR(__xludf.DUMMYFUNCTION("""COMPUTED_VALUE"""),"United States")</f>
        <v>United States</v>
      </c>
      <c r="D87" s="4" t="str">
        <f>IFERROR(__xludf.DUMMYFUNCTION("""COMPUTED_VALUE"""),"News")</f>
        <v>News</v>
      </c>
      <c r="E87" s="4" t="str">
        <f>IFERROR(__xludf.DUMMYFUNCTION("""COMPUTED_VALUE"""),"Newspapers")</f>
        <v>Newspapers</v>
      </c>
      <c r="F87" s="4"/>
      <c r="G87" s="4"/>
      <c r="H87" s="4"/>
      <c r="I87" s="5" t="s">
        <v>22</v>
      </c>
      <c r="J87" s="5" t="s">
        <v>42</v>
      </c>
      <c r="K87" s="5" t="s">
        <v>78</v>
      </c>
      <c r="L87" s="6" t="s">
        <v>170</v>
      </c>
      <c r="M87" s="5" t="s">
        <v>26</v>
      </c>
      <c r="N87" s="5" t="s">
        <v>27</v>
      </c>
      <c r="O87" s="5">
        <v>37176.0</v>
      </c>
      <c r="P87" s="5">
        <v>100.0</v>
      </c>
      <c r="Q87" s="5">
        <v>31829.0</v>
      </c>
      <c r="R87" s="5">
        <v>35639.0</v>
      </c>
      <c r="S87" s="5">
        <v>21.0</v>
      </c>
      <c r="T87" s="5">
        <v>6753.595242</v>
      </c>
    </row>
    <row r="88">
      <c r="A88" s="4" t="s">
        <v>1144</v>
      </c>
      <c r="B88" s="4" t="str">
        <f>IFERROR(__xludf.DUMMYFUNCTION("SPLIT(A88:A814, ""&gt;"")"),"Online Behavior")</f>
        <v>Online Behavior</v>
      </c>
      <c r="C88" s="4" t="str">
        <f>IFERROR(__xludf.DUMMYFUNCTION("""COMPUTED_VALUE"""),"United States")</f>
        <v>United States</v>
      </c>
      <c r="D88" s="4" t="str">
        <f>IFERROR(__xludf.DUMMYFUNCTION("""COMPUTED_VALUE"""),"Sports")</f>
        <v>Sports</v>
      </c>
      <c r="E88" s="4" t="str">
        <f>IFERROR(__xludf.DUMMYFUNCTION("""COMPUTED_VALUE"""),"Winter Sports ")</f>
        <v>Winter Sports </v>
      </c>
      <c r="F88" s="4" t="str">
        <f>IFERROR(__xludf.DUMMYFUNCTION("""COMPUTED_VALUE""")," Skiing and Snowboarding")</f>
        <v> Skiing and Snowboarding</v>
      </c>
      <c r="G88" s="4"/>
      <c r="H88" s="4"/>
      <c r="I88" s="5" t="s">
        <v>22</v>
      </c>
      <c r="J88" s="5" t="s">
        <v>42</v>
      </c>
      <c r="K88" s="5" t="s">
        <v>173</v>
      </c>
      <c r="L88" s="6" t="s">
        <v>170</v>
      </c>
      <c r="M88" s="5" t="s">
        <v>19</v>
      </c>
      <c r="N88" s="5" t="s">
        <v>27</v>
      </c>
      <c r="O88" s="5">
        <v>29251.0</v>
      </c>
      <c r="P88" s="5">
        <v>95.0</v>
      </c>
      <c r="Q88" s="5">
        <v>25060.0</v>
      </c>
      <c r="R88" s="5">
        <v>28038.0</v>
      </c>
      <c r="S88" s="5">
        <v>8.0</v>
      </c>
      <c r="T88" s="5">
        <v>5994.746834</v>
      </c>
    </row>
    <row r="89">
      <c r="A89" s="4" t="s">
        <v>1754</v>
      </c>
      <c r="B89" s="4" t="str">
        <f>IFERROR(__xludf.DUMMYFUNCTION("SPLIT(A89:A815, ""&gt;"")"),"US ")</f>
        <v>US </v>
      </c>
      <c r="C89" s="4" t="str">
        <f>IFERROR(__xludf.DUMMYFUNCTION("""COMPUTED_VALUE""")," Reach ")</f>
        <v> Reach </v>
      </c>
      <c r="D89" s="4" t="str">
        <f>IFERROR(__xludf.DUMMYFUNCTION("""COMPUTED_VALUE""")," Propensity Models ")</f>
        <v> Propensity Models </v>
      </c>
      <c r="E89" s="4" t="str">
        <f>IFERROR(__xludf.DUMMYFUNCTION("""COMPUTED_VALUE""")," Household Consumer Expenditures ")</f>
        <v> Household Consumer Expenditures </v>
      </c>
      <c r="F89" s="4" t="str">
        <f>IFERROR(__xludf.DUMMYFUNCTION("""COMPUTED_VALUE""")," Home Office")</f>
        <v> Home Office</v>
      </c>
      <c r="G89" s="4"/>
      <c r="H89" s="4"/>
      <c r="I89" s="5" t="s">
        <v>22</v>
      </c>
      <c r="J89" s="5" t="s">
        <v>16</v>
      </c>
      <c r="K89" s="5" t="s">
        <v>175</v>
      </c>
      <c r="L89" s="6" t="s">
        <v>170</v>
      </c>
      <c r="M89" s="5" t="s">
        <v>117</v>
      </c>
      <c r="N89" s="5" t="s">
        <v>27</v>
      </c>
      <c r="O89" s="5">
        <v>36431.0</v>
      </c>
      <c r="P89" s="5">
        <v>108.0</v>
      </c>
      <c r="Q89" s="5">
        <v>31262.0</v>
      </c>
      <c r="R89" s="5">
        <v>35043.0</v>
      </c>
      <c r="S89" s="5">
        <v>11.0</v>
      </c>
      <c r="T89" s="5">
        <v>3285.834522</v>
      </c>
    </row>
    <row r="90">
      <c r="A90" s="4" t="s">
        <v>1148</v>
      </c>
      <c r="B90" s="4" t="str">
        <f>IFERROR(__xludf.DUMMYFUNCTION("SPLIT(A90:A816, ""&gt;"")"),"OnAudience ")</f>
        <v>OnAudience </v>
      </c>
      <c r="C90" s="4" t="str">
        <f>IFERROR(__xludf.DUMMYFUNCTION("""COMPUTED_VALUE""")," Intent ")</f>
        <v> Intent </v>
      </c>
      <c r="D90" s="4" t="str">
        <f>IFERROR(__xludf.DUMMYFUNCTION("""COMPUTED_VALUE""")," Sporting Goods")</f>
        <v> Sporting Goods</v>
      </c>
      <c r="E90" s="4"/>
      <c r="F90" s="4"/>
      <c r="G90" s="4"/>
      <c r="H90" s="4"/>
      <c r="I90" s="5" t="s">
        <v>15</v>
      </c>
      <c r="J90" s="5" t="s">
        <v>31</v>
      </c>
      <c r="K90" s="5" t="s">
        <v>35</v>
      </c>
      <c r="L90" s="6" t="s">
        <v>170</v>
      </c>
      <c r="M90" s="5" t="s">
        <v>26</v>
      </c>
      <c r="N90" s="5" t="s">
        <v>27</v>
      </c>
      <c r="O90" s="5">
        <v>22004.0</v>
      </c>
      <c r="P90" s="5">
        <v>80.0</v>
      </c>
      <c r="Q90" s="5">
        <v>18735.0</v>
      </c>
      <c r="R90" s="5">
        <v>21127.0</v>
      </c>
      <c r="S90" s="5">
        <v>4.0</v>
      </c>
      <c r="T90" s="5">
        <v>1632.472782</v>
      </c>
    </row>
    <row r="91">
      <c r="A91" s="4" t="s">
        <v>1149</v>
      </c>
      <c r="B91" s="4" t="str">
        <f>IFERROR(__xludf.DUMMYFUNCTION("SPLIT(A91:A817, ""&gt;"")"),"Online Behavior")</f>
        <v>Online Behavior</v>
      </c>
      <c r="C91" s="4" t="str">
        <f>IFERROR(__xludf.DUMMYFUNCTION("""COMPUTED_VALUE"""),"United States")</f>
        <v>United States</v>
      </c>
      <c r="D91" s="4" t="str">
        <f>IFERROR(__xludf.DUMMYFUNCTION("""COMPUTED_VALUE"""),"Intent ")</f>
        <v>Intent </v>
      </c>
      <c r="E91" s="4" t="str">
        <f>IFERROR(__xludf.DUMMYFUNCTION("""COMPUTED_VALUE""")," Shopping")</f>
        <v> Shopping</v>
      </c>
      <c r="F91" s="4" t="str">
        <f>IFERROR(__xludf.DUMMYFUNCTION("""COMPUTED_VALUE"""),"Consumer Electronics ")</f>
        <v>Consumer Electronics </v>
      </c>
      <c r="G91" s="4" t="str">
        <f>IFERROR(__xludf.DUMMYFUNCTION("""COMPUTED_VALUE""")," Computers, Laptops")</f>
        <v> Computers, Laptops</v>
      </c>
      <c r="H91" s="4"/>
      <c r="I91" s="5" t="s">
        <v>22</v>
      </c>
      <c r="J91" s="5" t="s">
        <v>23</v>
      </c>
      <c r="K91" s="5" t="s">
        <v>173</v>
      </c>
      <c r="L91" s="6" t="s">
        <v>178</v>
      </c>
      <c r="M91" s="5" t="s">
        <v>50</v>
      </c>
      <c r="N91" s="5" t="s">
        <v>27</v>
      </c>
      <c r="O91" s="5">
        <v>16644.0</v>
      </c>
      <c r="P91" s="5">
        <v>10.0</v>
      </c>
      <c r="Q91" s="5">
        <v>5055.0</v>
      </c>
      <c r="R91" s="5">
        <v>15831.0</v>
      </c>
      <c r="S91" s="5">
        <v>5.0</v>
      </c>
      <c r="T91" s="5">
        <v>6386.464232</v>
      </c>
    </row>
    <row r="92">
      <c r="A92" s="4" t="s">
        <v>179</v>
      </c>
      <c r="B92" s="4" t="str">
        <f>IFERROR(__xludf.DUMMYFUNCTION("SPLIT(A92:A818, ""&gt;"")"),"Online Behavior")</f>
        <v>Online Behavior</v>
      </c>
      <c r="C92" s="4" t="str">
        <f>IFERROR(__xludf.DUMMYFUNCTION("""COMPUTED_VALUE"""),"United States")</f>
        <v>United States</v>
      </c>
      <c r="D92" s="4" t="str">
        <f>IFERROR(__xludf.DUMMYFUNCTION("""COMPUTED_VALUE"""),"Sports")</f>
        <v>Sports</v>
      </c>
      <c r="E92" s="4" t="str">
        <f>IFERROR(__xludf.DUMMYFUNCTION("""COMPUTED_VALUE"""),"Fantasy Sports")</f>
        <v>Fantasy Sports</v>
      </c>
      <c r="F92" s="4"/>
      <c r="G92" s="4"/>
      <c r="H92" s="4"/>
      <c r="I92" s="5" t="s">
        <v>22</v>
      </c>
      <c r="J92" s="5" t="s">
        <v>31</v>
      </c>
      <c r="K92" s="5" t="s">
        <v>142</v>
      </c>
      <c r="L92" s="6" t="s">
        <v>178</v>
      </c>
      <c r="M92" s="5" t="s">
        <v>117</v>
      </c>
      <c r="N92" s="5" t="s">
        <v>27</v>
      </c>
      <c r="O92" s="5">
        <v>45285.0</v>
      </c>
      <c r="P92" s="5">
        <v>190.0</v>
      </c>
      <c r="Q92" s="5">
        <v>30225.0</v>
      </c>
      <c r="R92" s="5">
        <v>43298.0</v>
      </c>
      <c r="S92" s="5">
        <v>11.0</v>
      </c>
      <c r="T92" s="5">
        <v>4728.012406</v>
      </c>
    </row>
    <row r="93">
      <c r="A93" s="4" t="s">
        <v>1755</v>
      </c>
      <c r="B93" s="4" t="str">
        <f>IFERROR(__xludf.DUMMYFUNCTION("SPLIT(A93:A819, ""&gt;"")"),"US ")</f>
        <v>US </v>
      </c>
      <c r="C93" s="4" t="str">
        <f>IFERROR(__xludf.DUMMYFUNCTION("""COMPUTED_VALUE""")," Interest Propensities ")</f>
        <v> Interest Propensities </v>
      </c>
      <c r="D93" s="4" t="str">
        <f>IFERROR(__xludf.DUMMYFUNCTION("""COMPUTED_VALUE""")," Oil &amp; Gas ")</f>
        <v> Oil &amp; Gas </v>
      </c>
      <c r="E93" s="4" t="str">
        <f>IFERROR(__xludf.DUMMYFUNCTION("""COMPUTED_VALUE""")," QuickTrip")</f>
        <v> QuickTrip</v>
      </c>
      <c r="F93" s="4"/>
      <c r="G93" s="4"/>
      <c r="H93" s="4"/>
      <c r="I93" s="5" t="s">
        <v>22</v>
      </c>
      <c r="J93" s="5" t="s">
        <v>16</v>
      </c>
      <c r="K93" s="5" t="s">
        <v>181</v>
      </c>
      <c r="L93" s="6" t="s">
        <v>178</v>
      </c>
      <c r="M93" s="5" t="s">
        <v>117</v>
      </c>
      <c r="N93" s="5" t="s">
        <v>27</v>
      </c>
      <c r="O93" s="5">
        <v>16227.0</v>
      </c>
      <c r="P93" s="5">
        <v>40.0</v>
      </c>
      <c r="Q93" s="5">
        <v>9438.0</v>
      </c>
      <c r="R93" s="5">
        <v>15611.0</v>
      </c>
      <c r="S93" s="5">
        <v>3.0</v>
      </c>
      <c r="T93" s="5">
        <v>1991.94384</v>
      </c>
    </row>
    <row r="94">
      <c r="A94" s="4" t="s">
        <v>1154</v>
      </c>
      <c r="B94" s="4" t="str">
        <f>IFERROR(__xludf.DUMMYFUNCTION("SPLIT(A94:A820, ""&gt;"")"),"OnAudience ")</f>
        <v>OnAudience </v>
      </c>
      <c r="C94" s="4" t="str">
        <f>IFERROR(__xludf.DUMMYFUNCTION("""COMPUTED_VALUE""")," Interest ")</f>
        <v> Interest </v>
      </c>
      <c r="D94" s="4" t="str">
        <f>IFERROR(__xludf.DUMMYFUNCTION("""COMPUTED_VALUE""")," Shopping ")</f>
        <v> Shopping </v>
      </c>
      <c r="E94" s="4" t="str">
        <f>IFERROR(__xludf.DUMMYFUNCTION("""COMPUTED_VALUE""")," Shopping Mall Buyers")</f>
        <v> Shopping Mall Buyers</v>
      </c>
      <c r="F94" s="4"/>
      <c r="G94" s="4"/>
      <c r="H94" s="4"/>
      <c r="I94" s="5" t="s">
        <v>15</v>
      </c>
      <c r="J94" s="5" t="s">
        <v>31</v>
      </c>
      <c r="K94" s="5" t="s">
        <v>183</v>
      </c>
      <c r="L94" s="6" t="s">
        <v>178</v>
      </c>
      <c r="M94" s="5" t="s">
        <v>184</v>
      </c>
      <c r="N94" s="5" t="s">
        <v>27</v>
      </c>
      <c r="O94" s="5">
        <v>7409.0</v>
      </c>
      <c r="P94" s="5">
        <v>10.0</v>
      </c>
      <c r="Q94" s="5">
        <v>5009.0</v>
      </c>
      <c r="R94" s="5">
        <v>7160.0</v>
      </c>
      <c r="S94" s="5">
        <v>12.0</v>
      </c>
      <c r="T94" s="5">
        <v>1472.110115</v>
      </c>
    </row>
    <row r="95">
      <c r="A95" s="4" t="s">
        <v>185</v>
      </c>
      <c r="B95" s="4" t="str">
        <f>IFERROR(__xludf.DUMMYFUNCTION("SPLIT(A95:A821, ""&gt;"")"),"Online Behavior")</f>
        <v>Online Behavior</v>
      </c>
      <c r="C95" s="4" t="str">
        <f>IFERROR(__xludf.DUMMYFUNCTION("""COMPUTED_VALUE"""),"United States")</f>
        <v>United States</v>
      </c>
      <c r="D95" s="4" t="str">
        <f>IFERROR(__xludf.DUMMYFUNCTION("""COMPUTED_VALUE"""),"Law and Government")</f>
        <v>Law and Government</v>
      </c>
      <c r="E95" s="4" t="str">
        <f>IFERROR(__xludf.DUMMYFUNCTION("""COMPUTED_VALUE"""),"Military")</f>
        <v>Military</v>
      </c>
      <c r="F95" s="4"/>
      <c r="G95" s="4"/>
      <c r="H95" s="4"/>
      <c r="I95" s="5" t="s">
        <v>22</v>
      </c>
      <c r="J95" s="5" t="s">
        <v>23</v>
      </c>
      <c r="K95" s="5" t="s">
        <v>32</v>
      </c>
      <c r="L95" s="6" t="s">
        <v>186</v>
      </c>
      <c r="M95" s="5" t="s">
        <v>19</v>
      </c>
      <c r="N95" s="5" t="s">
        <v>27</v>
      </c>
      <c r="O95" s="5">
        <v>17582.0</v>
      </c>
      <c r="P95" s="5">
        <v>56.0</v>
      </c>
      <c r="Q95" s="5">
        <v>9848.0</v>
      </c>
      <c r="R95" s="5">
        <v>16558.0</v>
      </c>
      <c r="S95" s="5">
        <v>12.0</v>
      </c>
      <c r="T95" s="5">
        <v>6846.447915</v>
      </c>
    </row>
    <row r="96">
      <c r="A96" s="4" t="s">
        <v>187</v>
      </c>
      <c r="B96" s="4" t="str">
        <f>IFERROR(__xludf.DUMMYFUNCTION("SPLIT(A96:A822, ""&gt;"")"),"Online Behavior")</f>
        <v>Online Behavior</v>
      </c>
      <c r="C96" s="4" t="str">
        <f>IFERROR(__xludf.DUMMYFUNCTION("""COMPUTED_VALUE"""),"United States")</f>
        <v>United States</v>
      </c>
      <c r="D96" s="4" t="str">
        <f>IFERROR(__xludf.DUMMYFUNCTION("""COMPUTED_VALUE"""),"Travel")</f>
        <v>Travel</v>
      </c>
      <c r="E96" s="4" t="str">
        <f>IFERROR(__xludf.DUMMYFUNCTION("""COMPUTED_VALUE"""),"Bus and Rail")</f>
        <v>Bus and Rail</v>
      </c>
      <c r="F96" s="4"/>
      <c r="G96" s="4"/>
      <c r="H96" s="4"/>
      <c r="I96" s="5" t="s">
        <v>15</v>
      </c>
      <c r="J96" s="5" t="s">
        <v>31</v>
      </c>
      <c r="K96" s="5" t="s">
        <v>78</v>
      </c>
      <c r="L96" s="6" t="s">
        <v>186</v>
      </c>
      <c r="M96" s="5" t="s">
        <v>46</v>
      </c>
      <c r="N96" s="5" t="s">
        <v>52</v>
      </c>
      <c r="O96" s="5">
        <v>45711.0</v>
      </c>
      <c r="P96" s="5">
        <v>130.0</v>
      </c>
      <c r="Q96" s="5">
        <v>23052.0</v>
      </c>
      <c r="R96" s="5">
        <v>42375.0</v>
      </c>
      <c r="S96" s="5">
        <v>11.0</v>
      </c>
      <c r="T96" s="5">
        <v>6417.876169</v>
      </c>
    </row>
    <row r="97">
      <c r="A97" s="4" t="s">
        <v>1156</v>
      </c>
      <c r="B97" s="4" t="str">
        <f>IFERROR(__xludf.DUMMYFUNCTION("SPLIT(A97:A823, ""&gt;"")"),"Online Behavior")</f>
        <v>Online Behavior</v>
      </c>
      <c r="C97" s="4" t="str">
        <f>IFERROR(__xludf.DUMMYFUNCTION("""COMPUTED_VALUE"""),"United States")</f>
        <v>United States</v>
      </c>
      <c r="D97" s="4" t="str">
        <f>IFERROR(__xludf.DUMMYFUNCTION("""COMPUTED_VALUE"""),"Validated Demographic ")</f>
        <v>Validated Demographic </v>
      </c>
      <c r="E97" s="4" t="str">
        <f>IFERROR(__xludf.DUMMYFUNCTION("""COMPUTED_VALUE""")," Age")</f>
        <v> Age</v>
      </c>
      <c r="F97" s="4" t="str">
        <f>IFERROR(__xludf.DUMMYFUNCTION("""COMPUTED_VALUE"""),"18-64")</f>
        <v>18-64</v>
      </c>
      <c r="G97" s="4"/>
      <c r="H97" s="4"/>
      <c r="I97" s="5" t="s">
        <v>15</v>
      </c>
      <c r="J97" s="5" t="s">
        <v>42</v>
      </c>
      <c r="K97" s="5" t="s">
        <v>32</v>
      </c>
      <c r="L97" s="6" t="s">
        <v>186</v>
      </c>
      <c r="M97" s="5" t="s">
        <v>26</v>
      </c>
      <c r="N97" s="5" t="s">
        <v>52</v>
      </c>
      <c r="O97" s="5">
        <v>48562.0</v>
      </c>
      <c r="P97" s="5">
        <v>150.0</v>
      </c>
      <c r="Q97" s="5">
        <v>29108.0</v>
      </c>
      <c r="R97" s="5">
        <v>45570.0</v>
      </c>
      <c r="S97" s="5">
        <v>11.0</v>
      </c>
      <c r="T97" s="5">
        <v>6346.633024</v>
      </c>
    </row>
    <row r="98">
      <c r="A98" s="4" t="s">
        <v>1157</v>
      </c>
      <c r="B98" s="4" t="str">
        <f>IFERROR(__xludf.DUMMYFUNCTION("SPLIT(A98:A824, ""&gt;"")"),"Online Behavior")</f>
        <v>Online Behavior</v>
      </c>
      <c r="C98" s="4" t="str">
        <f>IFERROR(__xludf.DUMMYFUNCTION("""COMPUTED_VALUE"""),"United States")</f>
        <v>United States</v>
      </c>
      <c r="D98" s="4" t="str">
        <f>IFERROR(__xludf.DUMMYFUNCTION("""COMPUTED_VALUE"""),"Validated Demographic ")</f>
        <v>Validated Demographic </v>
      </c>
      <c r="E98" s="4" t="str">
        <f>IFERROR(__xludf.DUMMYFUNCTION("""COMPUTED_VALUE""")," Gender and Age Combined")</f>
        <v> Gender and Age Combined</v>
      </c>
      <c r="F98" s="4" t="str">
        <f>IFERROR(__xludf.DUMMYFUNCTION("""COMPUTED_VALUE"""),"Males 25-44")</f>
        <v>Males 25-44</v>
      </c>
      <c r="G98" s="4"/>
      <c r="H98" s="4"/>
      <c r="I98" s="5" t="s">
        <v>15</v>
      </c>
      <c r="J98" s="5" t="s">
        <v>31</v>
      </c>
      <c r="K98" s="5" t="s">
        <v>39</v>
      </c>
      <c r="L98" s="6" t="s">
        <v>186</v>
      </c>
      <c r="M98" s="5" t="s">
        <v>19</v>
      </c>
      <c r="N98" s="5" t="s">
        <v>20</v>
      </c>
      <c r="O98" s="5">
        <v>47394.0</v>
      </c>
      <c r="P98" s="5">
        <v>184.0</v>
      </c>
      <c r="Q98" s="5">
        <v>22712.0</v>
      </c>
      <c r="R98" s="5">
        <v>41918.0</v>
      </c>
      <c r="S98" s="5">
        <v>24.0</v>
      </c>
      <c r="T98" s="5">
        <v>4701.496237</v>
      </c>
    </row>
    <row r="99">
      <c r="A99" s="4" t="s">
        <v>1158</v>
      </c>
      <c r="B99" s="4" t="str">
        <f>IFERROR(__xludf.DUMMYFUNCTION("SPLIT(A99:A825, ""&gt;"")"),"Purchase Behaviors ")</f>
        <v>Purchase Behaviors </v>
      </c>
      <c r="C99" s="4" t="str">
        <f>IFERROR(__xludf.DUMMYFUNCTION("""COMPUTED_VALUE""")," Q2 Environmentally Concerned Shoppers")</f>
        <v> Q2 Environmentally Concerned Shoppers</v>
      </c>
      <c r="D99" s="4"/>
      <c r="E99" s="4"/>
      <c r="F99" s="4"/>
      <c r="G99" s="4"/>
      <c r="H99" s="4"/>
      <c r="I99" s="5" t="s">
        <v>22</v>
      </c>
      <c r="J99" s="5" t="s">
        <v>31</v>
      </c>
      <c r="K99" s="5" t="s">
        <v>39</v>
      </c>
      <c r="L99" s="6" t="s">
        <v>186</v>
      </c>
      <c r="M99" s="5" t="s">
        <v>191</v>
      </c>
      <c r="N99" s="5" t="s">
        <v>27</v>
      </c>
      <c r="O99" s="5">
        <v>66554.0</v>
      </c>
      <c r="P99" s="5">
        <v>169.0</v>
      </c>
      <c r="Q99" s="5">
        <v>39206.0</v>
      </c>
      <c r="R99" s="5">
        <v>62109.0</v>
      </c>
      <c r="S99" s="5">
        <v>6.0</v>
      </c>
      <c r="T99" s="5">
        <v>1890.885935</v>
      </c>
    </row>
    <row r="100">
      <c r="A100" s="4" t="s">
        <v>1161</v>
      </c>
      <c r="B100" s="4" t="str">
        <f>IFERROR(__xludf.DUMMYFUNCTION("SPLIT(A100:A826, ""&gt;"")"),"Travel and Tourism ")</f>
        <v>Travel and Tourism </v>
      </c>
      <c r="C100" s="4" t="str">
        <f>IFERROR(__xludf.DUMMYFUNCTION("""COMPUTED_VALUE""")," Interest (Affinity) ")</f>
        <v> Interest (Affinity) </v>
      </c>
      <c r="D100" s="4" t="str">
        <f>IFERROR(__xludf.DUMMYFUNCTION("""COMPUTED_VALUE""")," Destinations ")</f>
        <v> Destinations </v>
      </c>
      <c r="E100" s="4" t="str">
        <f>IFERROR(__xludf.DUMMYFUNCTION("""COMPUTED_VALUE""")," North America ")</f>
        <v> North America </v>
      </c>
      <c r="F100" s="4" t="str">
        <f>IFERROR(__xludf.DUMMYFUNCTION("""COMPUTED_VALUE""")," United States")</f>
        <v> United States</v>
      </c>
      <c r="G100" s="4"/>
      <c r="H100" s="4"/>
      <c r="I100" s="5" t="s">
        <v>61</v>
      </c>
      <c r="J100" s="5" t="s">
        <v>16</v>
      </c>
      <c r="K100" s="5" t="s">
        <v>17</v>
      </c>
      <c r="L100" s="6" t="s">
        <v>186</v>
      </c>
      <c r="M100" s="5" t="s">
        <v>19</v>
      </c>
      <c r="N100" s="5" t="s">
        <v>27</v>
      </c>
      <c r="O100" s="5">
        <v>9730.0</v>
      </c>
      <c r="P100" s="5">
        <v>45.0</v>
      </c>
      <c r="Q100" s="5">
        <v>2971.0</v>
      </c>
      <c r="R100" s="5">
        <v>5102.0</v>
      </c>
      <c r="S100" s="5">
        <v>3.0</v>
      </c>
      <c r="T100" s="5">
        <v>1778.937935</v>
      </c>
    </row>
    <row r="101">
      <c r="A101" s="4" t="s">
        <v>1164</v>
      </c>
      <c r="B101" s="4" t="str">
        <f>IFERROR(__xludf.DUMMYFUNCTION("SPLIT(A101:A827, ""&gt;"")"),"Media and Entertainment ")</f>
        <v>Media and Entertainment </v>
      </c>
      <c r="C101" s="4" t="str">
        <f>IFERROR(__xludf.DUMMYFUNCTION("""COMPUTED_VALUE""")," Connected TV and Over-the-Top (CTV and OTT) ")</f>
        <v> Connected TV and Over-the-Top (CTV and OTT) </v>
      </c>
      <c r="D101" s="4" t="str">
        <f>IFERROR(__xludf.DUMMYFUNCTION("""COMPUTED_VALUE""")," Streaming Television and Film Viewership ")</f>
        <v> Streaming Television and Film Viewership </v>
      </c>
      <c r="E101" s="4" t="str">
        <f>IFERROR(__xludf.DUMMYFUNCTION("""COMPUTED_VALUE""")," OTT Movie Viewers ")</f>
        <v> OTT Movie Viewers </v>
      </c>
      <c r="F101" s="4" t="str">
        <f>IFERROR(__xludf.DUMMYFUNCTION("""COMPUTED_VALUE""")," Genre ")</f>
        <v> Genre </v>
      </c>
      <c r="G101" s="4" t="str">
        <f>IFERROR(__xludf.DUMMYFUNCTION("""COMPUTED_VALUE""")," Crime Movie Streamers")</f>
        <v> Crime Movie Streamers</v>
      </c>
      <c r="H101" s="4"/>
      <c r="I101" s="5" t="s">
        <v>15</v>
      </c>
      <c r="J101" s="5" t="s">
        <v>31</v>
      </c>
      <c r="K101" s="5" t="s">
        <v>35</v>
      </c>
      <c r="L101" s="6" t="s">
        <v>186</v>
      </c>
      <c r="M101" s="5" t="s">
        <v>46</v>
      </c>
      <c r="N101" s="5" t="s">
        <v>52</v>
      </c>
      <c r="O101" s="5">
        <v>69757.0</v>
      </c>
      <c r="P101" s="5">
        <v>199.0</v>
      </c>
      <c r="Q101" s="5">
        <v>41258.0</v>
      </c>
      <c r="R101" s="5">
        <v>65374.0</v>
      </c>
      <c r="S101" s="5">
        <v>20.0</v>
      </c>
      <c r="T101" s="5">
        <v>1510.61532</v>
      </c>
    </row>
    <row r="102">
      <c r="A102" s="4" t="s">
        <v>1756</v>
      </c>
      <c r="B102" s="4" t="str">
        <f>IFERROR(__xludf.DUMMYFUNCTION("SPLIT(A102:A828, ""&gt;"")"),"US Financial ")</f>
        <v>US Financial </v>
      </c>
      <c r="C102" s="4" t="str">
        <f>IFERROR(__xludf.DUMMYFUNCTION("""COMPUTED_VALUE""")," Likely Attitude and Behavior ")</f>
        <v> Likely Attitude and Behavior </v>
      </c>
      <c r="D102" s="4" t="str">
        <f>IFERROR(__xludf.DUMMYFUNCTION("""COMPUTED_VALUE""")," Bank Selection ")</f>
        <v> Bank Selection </v>
      </c>
      <c r="E102" s="4" t="str">
        <f>IFERROR(__xludf.DUMMYFUNCTION("""COMPUTED_VALUE""")," Customer Service Very Important (Financial)")</f>
        <v> Customer Service Very Important (Financial)</v>
      </c>
      <c r="F102" s="4"/>
      <c r="G102" s="4"/>
      <c r="H102" s="4"/>
      <c r="I102" s="5" t="s">
        <v>61</v>
      </c>
      <c r="J102" s="5" t="s">
        <v>23</v>
      </c>
      <c r="K102" s="5" t="s">
        <v>24</v>
      </c>
      <c r="L102" s="6" t="s">
        <v>195</v>
      </c>
      <c r="M102" s="5" t="s">
        <v>26</v>
      </c>
      <c r="N102" s="5" t="s">
        <v>27</v>
      </c>
      <c r="O102" s="5">
        <v>8862.0</v>
      </c>
      <c r="P102" s="5">
        <v>30.0</v>
      </c>
      <c r="Q102" s="5">
        <v>1359.0</v>
      </c>
      <c r="R102" s="5">
        <v>7114.0</v>
      </c>
      <c r="S102" s="5">
        <v>1.0</v>
      </c>
      <c r="T102" s="5">
        <v>1481.945157</v>
      </c>
    </row>
    <row r="103">
      <c r="A103" s="4" t="s">
        <v>1166</v>
      </c>
      <c r="B103" s="4" t="str">
        <f>IFERROR(__xludf.DUMMYFUNCTION("SPLIT(A103:A829, ""&gt;"")"),"Online Behavior")</f>
        <v>Online Behavior</v>
      </c>
      <c r="C103" s="4" t="str">
        <f>IFERROR(__xludf.DUMMYFUNCTION("""COMPUTED_VALUE"""),"United States")</f>
        <v>United States</v>
      </c>
      <c r="D103" s="4" t="str">
        <f>IFERROR(__xludf.DUMMYFUNCTION("""COMPUTED_VALUE"""),"Sports")</f>
        <v>Sports</v>
      </c>
      <c r="E103" s="4" t="str">
        <f>IFERROR(__xludf.DUMMYFUNCTION("""COMPUTED_VALUE"""),"Individual Sports ")</f>
        <v>Individual Sports </v>
      </c>
      <c r="F103" s="4" t="str">
        <f>IFERROR(__xludf.DUMMYFUNCTION("""COMPUTED_VALUE""")," Running and Walking")</f>
        <v> Running and Walking</v>
      </c>
      <c r="G103" s="4"/>
      <c r="H103" s="4"/>
      <c r="I103" s="5" t="s">
        <v>15</v>
      </c>
      <c r="J103" s="5" t="s">
        <v>42</v>
      </c>
      <c r="K103" s="5" t="s">
        <v>39</v>
      </c>
      <c r="L103" s="6" t="s">
        <v>197</v>
      </c>
      <c r="M103" s="5" t="s">
        <v>46</v>
      </c>
      <c r="N103" s="5" t="s">
        <v>27</v>
      </c>
      <c r="O103" s="5">
        <v>7229.0</v>
      </c>
      <c r="P103" s="5">
        <v>20.0</v>
      </c>
      <c r="Q103" s="5">
        <v>5668.0</v>
      </c>
      <c r="R103" s="5">
        <v>6760.0</v>
      </c>
      <c r="S103" s="5">
        <v>3.0</v>
      </c>
      <c r="T103" s="5">
        <v>6812.588702</v>
      </c>
    </row>
    <row r="104">
      <c r="A104" s="4" t="s">
        <v>1167</v>
      </c>
      <c r="B104" s="4" t="str">
        <f>IFERROR(__xludf.DUMMYFUNCTION("SPLIT(A104:A830, ""&gt;"")"),"Online Behavior")</f>
        <v>Online Behavior</v>
      </c>
      <c r="C104" s="4" t="str">
        <f>IFERROR(__xludf.DUMMYFUNCTION("""COMPUTED_VALUE"""),"United States")</f>
        <v>United States</v>
      </c>
      <c r="D104" s="4" t="str">
        <f>IFERROR(__xludf.DUMMYFUNCTION("""COMPUTED_VALUE"""),"People and Society")</f>
        <v>People and Society</v>
      </c>
      <c r="E104" s="4" t="str">
        <f>IFERROR(__xludf.DUMMYFUNCTION("""COMPUTED_VALUE"""),"Family and Relationships ")</f>
        <v>Family and Relationships </v>
      </c>
      <c r="F104" s="4" t="str">
        <f>IFERROR(__xludf.DUMMYFUNCTION("""COMPUTED_VALUE""")," Parents")</f>
        <v> Parents</v>
      </c>
      <c r="G104" s="4"/>
      <c r="H104" s="4"/>
      <c r="I104" s="5" t="s">
        <v>22</v>
      </c>
      <c r="J104" s="5" t="s">
        <v>16</v>
      </c>
      <c r="K104" s="5" t="s">
        <v>95</v>
      </c>
      <c r="L104" s="6" t="s">
        <v>197</v>
      </c>
      <c r="M104" s="5" t="s">
        <v>46</v>
      </c>
      <c r="N104" s="5" t="s">
        <v>27</v>
      </c>
      <c r="O104" s="5">
        <v>115544.0</v>
      </c>
      <c r="P104" s="5">
        <v>412.0</v>
      </c>
      <c r="Q104" s="5">
        <v>79182.0</v>
      </c>
      <c r="R104" s="5">
        <v>109463.0</v>
      </c>
      <c r="S104" s="5">
        <v>56.0</v>
      </c>
      <c r="T104" s="5">
        <v>6721.094453</v>
      </c>
    </row>
    <row r="105">
      <c r="A105" s="4" t="s">
        <v>1168</v>
      </c>
      <c r="B105" s="4" t="str">
        <f>IFERROR(__xludf.DUMMYFUNCTION("SPLIT(A105:A831, ""&gt;"")"),"Online Behavior")</f>
        <v>Online Behavior</v>
      </c>
      <c r="C105" s="4" t="str">
        <f>IFERROR(__xludf.DUMMYFUNCTION("""COMPUTED_VALUE"""),"United States")</f>
        <v>United States</v>
      </c>
      <c r="D105" s="4" t="str">
        <f>IFERROR(__xludf.DUMMYFUNCTION("""COMPUTED_VALUE"""),"Travel")</f>
        <v>Travel</v>
      </c>
      <c r="E105" s="4" t="str">
        <f>IFERROR(__xludf.DUMMYFUNCTION("""COMPUTED_VALUE"""),"Tourist Destinations ")</f>
        <v>Tourist Destinations </v>
      </c>
      <c r="F105" s="4" t="str">
        <f>IFERROR(__xludf.DUMMYFUNCTION("""COMPUTED_VALUE""")," Regional Parks and Gardens")</f>
        <v> Regional Parks and Gardens</v>
      </c>
      <c r="G105" s="4"/>
      <c r="H105" s="4"/>
      <c r="I105" s="5" t="s">
        <v>15</v>
      </c>
      <c r="J105" s="5" t="s">
        <v>16</v>
      </c>
      <c r="K105" s="5" t="s">
        <v>17</v>
      </c>
      <c r="L105" s="6" t="s">
        <v>197</v>
      </c>
      <c r="M105" s="5" t="s">
        <v>19</v>
      </c>
      <c r="N105" s="5" t="s">
        <v>52</v>
      </c>
      <c r="O105" s="5">
        <v>48211.0</v>
      </c>
      <c r="P105" s="5">
        <v>160.0</v>
      </c>
      <c r="Q105" s="5">
        <v>30157.0</v>
      </c>
      <c r="R105" s="5">
        <v>43810.0</v>
      </c>
      <c r="S105" s="5">
        <v>14.0</v>
      </c>
      <c r="T105" s="5">
        <v>6708.463351</v>
      </c>
    </row>
    <row r="106">
      <c r="A106" s="4" t="s">
        <v>1169</v>
      </c>
      <c r="B106" s="4" t="str">
        <f>IFERROR(__xludf.DUMMYFUNCTION("SPLIT(A106:A832, ""&gt;"")"),"Online Behavior")</f>
        <v>Online Behavior</v>
      </c>
      <c r="C106" s="4" t="str">
        <f>IFERROR(__xludf.DUMMYFUNCTION("""COMPUTED_VALUE"""),"United States")</f>
        <v>United States</v>
      </c>
      <c r="D106" s="4" t="str">
        <f>IFERROR(__xludf.DUMMYFUNCTION("""COMPUTED_VALUE"""),"Autos and Vehicles ")</f>
        <v>Autos and Vehicles </v>
      </c>
      <c r="E106" s="4" t="str">
        <f>IFERROR(__xludf.DUMMYFUNCTION("""COMPUTED_VALUE""")," Brands")</f>
        <v> Brands</v>
      </c>
      <c r="F106" s="4" t="str">
        <f>IFERROR(__xludf.DUMMYFUNCTION("""COMPUTED_VALUE"""),"Mazda")</f>
        <v>Mazda</v>
      </c>
      <c r="G106" s="4"/>
      <c r="H106" s="4"/>
      <c r="I106" s="5" t="s">
        <v>22</v>
      </c>
      <c r="J106" s="5" t="s">
        <v>16</v>
      </c>
      <c r="K106" s="5" t="s">
        <v>78</v>
      </c>
      <c r="L106" s="6" t="s">
        <v>197</v>
      </c>
      <c r="M106" s="5" t="s">
        <v>161</v>
      </c>
      <c r="N106" s="5" t="s">
        <v>27</v>
      </c>
      <c r="O106" s="5">
        <v>134847.0</v>
      </c>
      <c r="P106" s="5">
        <v>450.0</v>
      </c>
      <c r="Q106" s="5">
        <v>104268.0</v>
      </c>
      <c r="R106" s="5">
        <v>128470.0</v>
      </c>
      <c r="S106" s="5">
        <v>125.0</v>
      </c>
      <c r="T106" s="5">
        <v>6040.595578</v>
      </c>
    </row>
    <row r="107">
      <c r="A107" s="4" t="s">
        <v>1170</v>
      </c>
      <c r="B107" s="4" t="str">
        <f>IFERROR(__xludf.DUMMYFUNCTION("SPLIT(A107:A833, ""&gt;"")"),"Online Behavior")</f>
        <v>Online Behavior</v>
      </c>
      <c r="C107" s="4" t="str">
        <f>IFERROR(__xludf.DUMMYFUNCTION("""COMPUTED_VALUE"""),"United States")</f>
        <v>United States</v>
      </c>
      <c r="D107" s="4" t="str">
        <f>IFERROR(__xludf.DUMMYFUNCTION("""COMPUTED_VALUE"""),"Travel")</f>
        <v>Travel</v>
      </c>
      <c r="E107" s="4" t="str">
        <f>IFERROR(__xludf.DUMMYFUNCTION("""COMPUTED_VALUE"""),"Tourist Destinations ")</f>
        <v>Tourist Destinations </v>
      </c>
      <c r="F107" s="4" t="str">
        <f>IFERROR(__xludf.DUMMYFUNCTION("""COMPUTED_VALUE""")," Mountain and Ski Resorts")</f>
        <v> Mountain and Ski Resorts</v>
      </c>
      <c r="G107" s="4"/>
      <c r="H107" s="4"/>
      <c r="I107" s="5" t="s">
        <v>22</v>
      </c>
      <c r="J107" s="5" t="s">
        <v>16</v>
      </c>
      <c r="K107" s="5" t="s">
        <v>95</v>
      </c>
      <c r="L107" s="6" t="s">
        <v>197</v>
      </c>
      <c r="M107" s="5" t="s">
        <v>46</v>
      </c>
      <c r="N107" s="5" t="s">
        <v>27</v>
      </c>
      <c r="O107" s="5">
        <v>35178.0</v>
      </c>
      <c r="P107" s="5">
        <v>155.0</v>
      </c>
      <c r="Q107" s="5">
        <v>23374.0</v>
      </c>
      <c r="R107" s="5">
        <v>33779.0</v>
      </c>
      <c r="S107" s="5">
        <v>8.0</v>
      </c>
      <c r="T107" s="5">
        <v>5738.809089</v>
      </c>
    </row>
    <row r="108">
      <c r="A108" s="4" t="s">
        <v>1171</v>
      </c>
      <c r="B108" s="4" t="str">
        <f>IFERROR(__xludf.DUMMYFUNCTION("SPLIT(A108:A834, ""&gt;"")"),"Online Behavior")</f>
        <v>Online Behavior</v>
      </c>
      <c r="C108" s="4" t="str">
        <f>IFERROR(__xludf.DUMMYFUNCTION("""COMPUTED_VALUE"""),"United States")</f>
        <v>United States</v>
      </c>
      <c r="D108" s="4" t="str">
        <f>IFERROR(__xludf.DUMMYFUNCTION("""COMPUTED_VALUE"""),"Validated Demographic ")</f>
        <v>Validated Demographic </v>
      </c>
      <c r="E108" s="4" t="str">
        <f>IFERROR(__xludf.DUMMYFUNCTION("""COMPUTED_VALUE""")," Gender and Age Combined")</f>
        <v> Gender and Age Combined</v>
      </c>
      <c r="F108" s="4" t="str">
        <f>IFERROR(__xludf.DUMMYFUNCTION("""COMPUTED_VALUE"""),"Females 45-54")</f>
        <v>Females 45-54</v>
      </c>
      <c r="G108" s="4"/>
      <c r="H108" s="4"/>
      <c r="I108" s="5" t="s">
        <v>22</v>
      </c>
      <c r="J108" s="5" t="s">
        <v>16</v>
      </c>
      <c r="K108" s="5" t="s">
        <v>17</v>
      </c>
      <c r="L108" s="6" t="s">
        <v>197</v>
      </c>
      <c r="M108" s="5" t="s">
        <v>19</v>
      </c>
      <c r="N108" s="5" t="s">
        <v>27</v>
      </c>
      <c r="O108" s="5">
        <v>43117.0</v>
      </c>
      <c r="P108" s="5">
        <v>100.0</v>
      </c>
      <c r="Q108" s="5">
        <v>6478.0</v>
      </c>
      <c r="R108" s="5">
        <v>27405.0</v>
      </c>
      <c r="S108" s="5">
        <v>8.0</v>
      </c>
      <c r="T108" s="5">
        <v>4250.430439</v>
      </c>
    </row>
    <row r="109">
      <c r="A109" s="4" t="s">
        <v>1757</v>
      </c>
      <c r="B109" s="4" t="str">
        <f>IFERROR(__xludf.DUMMYFUNCTION("SPLIT(A109:A835, ""&gt;"")"),"US ")</f>
        <v>US </v>
      </c>
      <c r="C109" s="4" t="str">
        <f>IFERROR(__xludf.DUMMYFUNCTION("""COMPUTED_VALUE""")," Reach ")</f>
        <v> Reach </v>
      </c>
      <c r="D109" s="4" t="str">
        <f>IFERROR(__xludf.DUMMYFUNCTION("""COMPUTED_VALUE""")," Propensity Models ")</f>
        <v> Propensity Models </v>
      </c>
      <c r="E109" s="4" t="str">
        <f>IFERROR(__xludf.DUMMYFUNCTION("""COMPUTED_VALUE""")," Hobbies and Interest ")</f>
        <v> Hobbies and Interest </v>
      </c>
      <c r="F109" s="4" t="str">
        <f>IFERROR(__xludf.DUMMYFUNCTION("""COMPUTED_VALUE""")," Sports ")</f>
        <v> Sports </v>
      </c>
      <c r="G109" s="4" t="str">
        <f>IFERROR(__xludf.DUMMYFUNCTION("""COMPUTED_VALUE""")," Avid Runners")</f>
        <v> Avid Runners</v>
      </c>
      <c r="H109" s="4"/>
      <c r="I109" s="5" t="s">
        <v>15</v>
      </c>
      <c r="J109" s="5" t="s">
        <v>42</v>
      </c>
      <c r="K109" s="5" t="s">
        <v>204</v>
      </c>
      <c r="L109" s="6" t="s">
        <v>197</v>
      </c>
      <c r="M109" s="5" t="s">
        <v>46</v>
      </c>
      <c r="N109" s="5" t="s">
        <v>27</v>
      </c>
      <c r="O109" s="5">
        <v>510778.0</v>
      </c>
      <c r="P109" s="5">
        <v>1290.0</v>
      </c>
      <c r="Q109" s="5">
        <v>70777.0</v>
      </c>
      <c r="R109" s="5">
        <v>436133.0</v>
      </c>
      <c r="S109" s="5">
        <v>6.0</v>
      </c>
      <c r="T109" s="5">
        <v>3870.253867</v>
      </c>
    </row>
    <row r="110">
      <c r="A110" s="4" t="s">
        <v>1758</v>
      </c>
      <c r="B110" s="4" t="str">
        <f>IFERROR(__xludf.DUMMYFUNCTION("SPLIT(A110:A836, ""&gt;"")"),"OnAudience ")</f>
        <v>OnAudience </v>
      </c>
      <c r="C110" s="4" t="str">
        <f>IFERROR(__xludf.DUMMYFUNCTION("""COMPUTED_VALUE""")," Interest ")</f>
        <v> Interest </v>
      </c>
      <c r="D110" s="4" t="str">
        <f>IFERROR(__xludf.DUMMYFUNCTION("""COMPUTED_VALUE""")," Business")</f>
        <v> Business</v>
      </c>
      <c r="E110" s="4"/>
      <c r="F110" s="4"/>
      <c r="G110" s="4"/>
      <c r="H110" s="4"/>
      <c r="I110" s="5" t="s">
        <v>15</v>
      </c>
      <c r="J110" s="5" t="s">
        <v>23</v>
      </c>
      <c r="K110" s="5" t="s">
        <v>29</v>
      </c>
      <c r="L110" s="6" t="s">
        <v>197</v>
      </c>
      <c r="M110" s="5" t="s">
        <v>26</v>
      </c>
      <c r="N110" s="5" t="s">
        <v>27</v>
      </c>
      <c r="O110" s="5">
        <v>13700.0</v>
      </c>
      <c r="P110" s="5">
        <v>63.0</v>
      </c>
      <c r="Q110" s="5">
        <v>3609.0</v>
      </c>
      <c r="R110" s="5">
        <v>12644.0</v>
      </c>
      <c r="S110" s="5">
        <v>4.0</v>
      </c>
      <c r="T110" s="5">
        <v>2032.700147</v>
      </c>
    </row>
    <row r="111">
      <c r="A111" s="4" t="s">
        <v>1759</v>
      </c>
      <c r="B111" s="4" t="str">
        <f>IFERROR(__xludf.DUMMYFUNCTION("SPLIT(A111:A837, ""&gt;"")"),"US ")</f>
        <v>US </v>
      </c>
      <c r="C111" s="4" t="str">
        <f>IFERROR(__xludf.DUMMYFUNCTION("""COMPUTED_VALUE""")," Reach ")</f>
        <v> Reach </v>
      </c>
      <c r="D111" s="4" t="str">
        <f>IFERROR(__xludf.DUMMYFUNCTION("""COMPUTED_VALUE""")," Propensity Models ")</f>
        <v> Propensity Models </v>
      </c>
      <c r="E111" s="4" t="str">
        <f>IFERROR(__xludf.DUMMYFUNCTION("""COMPUTED_VALUE""")," Real Estate ")</f>
        <v> Real Estate </v>
      </c>
      <c r="F111" s="4" t="str">
        <f>IFERROR(__xludf.DUMMYFUNCTION("""COMPUTED_VALUE""")," Monthly Mortgage Payment ")</f>
        <v> Monthly Mortgage Payment </v>
      </c>
      <c r="G111" s="4" t="str">
        <f>IFERROR(__xludf.DUMMYFUNCTION("""COMPUTED_VALUE""")," $800-$999")</f>
        <v> $800-$999</v>
      </c>
      <c r="H111" s="4"/>
      <c r="I111" s="5" t="s">
        <v>15</v>
      </c>
      <c r="J111" s="5" t="s">
        <v>31</v>
      </c>
      <c r="K111" s="5" t="s">
        <v>55</v>
      </c>
      <c r="L111" s="6" t="s">
        <v>197</v>
      </c>
      <c r="M111" s="5" t="s">
        <v>117</v>
      </c>
      <c r="N111" s="5" t="s">
        <v>20</v>
      </c>
      <c r="O111" s="5">
        <v>13075.0</v>
      </c>
      <c r="P111" s="5">
        <v>74.0</v>
      </c>
      <c r="Q111" s="5">
        <v>5980.0</v>
      </c>
      <c r="R111" s="5">
        <v>12114.0</v>
      </c>
      <c r="S111" s="5">
        <v>15.0</v>
      </c>
      <c r="T111" s="5">
        <v>1936.130798</v>
      </c>
    </row>
    <row r="112">
      <c r="A112" s="4" t="s">
        <v>1760</v>
      </c>
      <c r="B112" s="4" t="str">
        <f>IFERROR(__xludf.DUMMYFUNCTION("SPLIT(A112:A838, ""&gt;"")"),"US ")</f>
        <v>US </v>
      </c>
      <c r="C112" s="4" t="str">
        <f>IFERROR(__xludf.DUMMYFUNCTION("""COMPUTED_VALUE"""),"Green Consumer Audience")</f>
        <v>Green Consumer Audience</v>
      </c>
      <c r="D112" s="4"/>
      <c r="E112" s="4"/>
      <c r="F112" s="4"/>
      <c r="G112" s="4"/>
      <c r="H112" s="4"/>
      <c r="I112" s="5" t="s">
        <v>22</v>
      </c>
      <c r="J112" s="5" t="s">
        <v>16</v>
      </c>
      <c r="K112" s="5" t="s">
        <v>55</v>
      </c>
      <c r="L112" s="6" t="s">
        <v>197</v>
      </c>
      <c r="M112" s="5" t="s">
        <v>136</v>
      </c>
      <c r="N112" s="5" t="s">
        <v>27</v>
      </c>
      <c r="O112" s="5">
        <v>69540.0</v>
      </c>
      <c r="P112" s="5">
        <v>204.0</v>
      </c>
      <c r="Q112" s="5">
        <v>28713.0</v>
      </c>
      <c r="R112" s="5">
        <v>62829.0</v>
      </c>
      <c r="S112" s="5">
        <v>15.0</v>
      </c>
      <c r="T112" s="5">
        <v>1838.98773</v>
      </c>
    </row>
    <row r="113">
      <c r="A113" s="4" t="s">
        <v>1761</v>
      </c>
      <c r="B113" s="4" t="str">
        <f>IFERROR(__xludf.DUMMYFUNCTION("SPLIT(A113:A839, ""&gt;"")"),"US ")</f>
        <v>US </v>
      </c>
      <c r="C113" s="4" t="str">
        <f>IFERROR(__xludf.DUMMYFUNCTION("""COMPUTED_VALUE""")," Reach ")</f>
        <v> Reach </v>
      </c>
      <c r="D113" s="4" t="str">
        <f>IFERROR(__xludf.DUMMYFUNCTION("""COMPUTED_VALUE""")," Propensity Models ")</f>
        <v> Propensity Models </v>
      </c>
      <c r="E113" s="4" t="str">
        <f>IFERROR(__xludf.DUMMYFUNCTION("""COMPUTED_VALUE""")," Household Consumer Expenditures ")</f>
        <v> Household Consumer Expenditures </v>
      </c>
      <c r="F113" s="4" t="str">
        <f>IFERROR(__xludf.DUMMYFUNCTION("""COMPUTED_VALUE""")," Lawn and Garden")</f>
        <v> Lawn and Garden</v>
      </c>
      <c r="G113" s="4"/>
      <c r="H113" s="4"/>
      <c r="I113" s="5" t="s">
        <v>15</v>
      </c>
      <c r="J113" s="5" t="s">
        <v>23</v>
      </c>
      <c r="K113" s="5" t="s">
        <v>78</v>
      </c>
      <c r="L113" s="6" t="s">
        <v>197</v>
      </c>
      <c r="M113" s="5" t="s">
        <v>19</v>
      </c>
      <c r="N113" s="5" t="s">
        <v>52</v>
      </c>
      <c r="O113" s="5">
        <v>65983.0</v>
      </c>
      <c r="P113" s="5">
        <v>212.0</v>
      </c>
      <c r="Q113" s="5">
        <v>8536.0</v>
      </c>
      <c r="R113" s="5">
        <v>57434.0</v>
      </c>
      <c r="S113" s="5">
        <v>3.0</v>
      </c>
      <c r="T113" s="5">
        <v>1599.076249</v>
      </c>
    </row>
    <row r="114">
      <c r="A114" s="4" t="s">
        <v>1762</v>
      </c>
      <c r="B114" s="4" t="str">
        <f>IFERROR(__xludf.DUMMYFUNCTION("SPLIT(A114:A840, ""&gt;"")"),"US Interest ")</f>
        <v>US Interest </v>
      </c>
      <c r="C114" s="4" t="str">
        <f>IFERROR(__xludf.DUMMYFUNCTION("""COMPUTED_VALUE""")," Home ")</f>
        <v> Home </v>
      </c>
      <c r="D114" s="4" t="str">
        <f>IFERROR(__xludf.DUMMYFUNCTION("""COMPUTED_VALUE""")," Home Improvement ")</f>
        <v> Home Improvement </v>
      </c>
      <c r="E114" s="4" t="str">
        <f>IFERROR(__xludf.DUMMYFUNCTION("""COMPUTED_VALUE""")," Home Improvement Grouping")</f>
        <v> Home Improvement Grouping</v>
      </c>
      <c r="F114" s="4"/>
      <c r="G114" s="4"/>
      <c r="H114" s="4"/>
      <c r="I114" s="5" t="s">
        <v>22</v>
      </c>
      <c r="J114" s="5" t="s">
        <v>16</v>
      </c>
      <c r="K114" s="5" t="s">
        <v>35</v>
      </c>
      <c r="L114" s="6" t="s">
        <v>197</v>
      </c>
      <c r="M114" s="5" t="s">
        <v>19</v>
      </c>
      <c r="N114" s="5" t="s">
        <v>27</v>
      </c>
      <c r="O114" s="5">
        <v>21478.0</v>
      </c>
      <c r="P114" s="5">
        <v>50.0</v>
      </c>
      <c r="Q114" s="5">
        <v>15548.0</v>
      </c>
      <c r="R114" s="5">
        <v>20651.0</v>
      </c>
      <c r="S114" s="5">
        <v>24.0</v>
      </c>
      <c r="T114" s="5">
        <v>1541.214047</v>
      </c>
    </row>
    <row r="115">
      <c r="A115" s="4" t="s">
        <v>210</v>
      </c>
      <c r="B115" s="4" t="str">
        <f>IFERROR(__xludf.DUMMYFUNCTION("SPLIT(A115:A841, ""&gt;"")"),"Online Behavior")</f>
        <v>Online Behavior</v>
      </c>
      <c r="C115" s="4" t="str">
        <f>IFERROR(__xludf.DUMMYFUNCTION("""COMPUTED_VALUE"""),"United States")</f>
        <v>United States</v>
      </c>
      <c r="D115" s="4" t="str">
        <f>IFERROR(__xludf.DUMMYFUNCTION("""COMPUTED_VALUE"""),"Real Estate")</f>
        <v>Real Estate</v>
      </c>
      <c r="E115" s="4" t="str">
        <f>IFERROR(__xludf.DUMMYFUNCTION("""COMPUTED_VALUE"""),"Apartments and Residential Rentals")</f>
        <v>Apartments and Residential Rentals</v>
      </c>
      <c r="F115" s="4"/>
      <c r="G115" s="4"/>
      <c r="H115" s="4"/>
      <c r="I115" s="5" t="s">
        <v>22</v>
      </c>
      <c r="J115" s="5" t="s">
        <v>31</v>
      </c>
      <c r="K115" s="5" t="s">
        <v>78</v>
      </c>
      <c r="L115" s="6" t="s">
        <v>211</v>
      </c>
      <c r="M115" s="5" t="s">
        <v>19</v>
      </c>
      <c r="N115" s="5" t="s">
        <v>27</v>
      </c>
      <c r="O115" s="5">
        <v>9515.0</v>
      </c>
      <c r="P115" s="5">
        <v>30.0</v>
      </c>
      <c r="Q115" s="5">
        <v>6169.0</v>
      </c>
      <c r="R115" s="5">
        <v>9138.0</v>
      </c>
      <c r="S115" s="5">
        <v>3.0</v>
      </c>
      <c r="T115" s="5">
        <v>5776.508186</v>
      </c>
    </row>
    <row r="116">
      <c r="A116" s="4" t="s">
        <v>1763</v>
      </c>
      <c r="B116" s="4" t="str">
        <f>IFERROR(__xludf.DUMMYFUNCTION("SPLIT(A116:A842, ""&gt;"")"),"US ")</f>
        <v>US </v>
      </c>
      <c r="C116" s="4" t="str">
        <f>IFERROR(__xludf.DUMMYFUNCTION("""COMPUTED_VALUE""")," Reach ")</f>
        <v> Reach </v>
      </c>
      <c r="D116" s="4" t="str">
        <f>IFERROR(__xludf.DUMMYFUNCTION("""COMPUTED_VALUE""")," Propensity Models ")</f>
        <v> Propensity Models </v>
      </c>
      <c r="E116" s="4" t="str">
        <f>IFERROR(__xludf.DUMMYFUNCTION("""COMPUTED_VALUE""")," Hobbies and Interest ")</f>
        <v> Hobbies and Interest </v>
      </c>
      <c r="F116" s="4" t="str">
        <f>IFERROR(__xludf.DUMMYFUNCTION("""COMPUTED_VALUE""")," Food and Drinks ")</f>
        <v> Food and Drinks </v>
      </c>
      <c r="G116" s="4" t="str">
        <f>IFERROR(__xludf.DUMMYFUNCTION("""COMPUTED_VALUE""")," High-end Spirit Drinkers")</f>
        <v> High-end Spirit Drinkers</v>
      </c>
      <c r="H116" s="4"/>
      <c r="I116" s="5" t="s">
        <v>22</v>
      </c>
      <c r="J116" s="5" t="s">
        <v>23</v>
      </c>
      <c r="K116" s="5" t="s">
        <v>35</v>
      </c>
      <c r="L116" s="6" t="s">
        <v>211</v>
      </c>
      <c r="M116" s="5" t="s">
        <v>48</v>
      </c>
      <c r="N116" s="5" t="s">
        <v>27</v>
      </c>
      <c r="O116" s="5">
        <v>20548.0</v>
      </c>
      <c r="P116" s="5">
        <v>40.0</v>
      </c>
      <c r="Q116" s="5">
        <v>14259.0</v>
      </c>
      <c r="R116" s="5">
        <v>19654.0</v>
      </c>
      <c r="S116" s="5">
        <v>13.0</v>
      </c>
      <c r="T116" s="5">
        <v>3060.424769</v>
      </c>
    </row>
    <row r="117">
      <c r="A117" s="4" t="s">
        <v>1179</v>
      </c>
      <c r="B117" s="4" t="str">
        <f>IFERROR(__xludf.DUMMYFUNCTION("SPLIT(A117:A843, ""&gt;"")"),"OnAudience ")</f>
        <v>OnAudience </v>
      </c>
      <c r="C117" s="4" t="str">
        <f>IFERROR(__xludf.DUMMYFUNCTION("""COMPUTED_VALUE""")," Intent ")</f>
        <v> Intent </v>
      </c>
      <c r="D117" s="4" t="str">
        <f>IFERROR(__xludf.DUMMYFUNCTION("""COMPUTED_VALUE""")," Sporting Goods ")</f>
        <v> Sporting Goods </v>
      </c>
      <c r="E117" s="4" t="str">
        <f>IFERROR(__xludf.DUMMYFUNCTION("""COMPUTED_VALUE""")," Team Sports")</f>
        <v> Team Sports</v>
      </c>
      <c r="F117" s="4"/>
      <c r="G117" s="4"/>
      <c r="H117" s="4"/>
      <c r="I117" s="5" t="s">
        <v>15</v>
      </c>
      <c r="J117" s="5" t="s">
        <v>42</v>
      </c>
      <c r="K117" s="5" t="s">
        <v>214</v>
      </c>
      <c r="L117" s="6" t="s">
        <v>211</v>
      </c>
      <c r="M117" s="5" t="s">
        <v>36</v>
      </c>
      <c r="N117" s="5" t="s">
        <v>20</v>
      </c>
      <c r="O117" s="5">
        <v>94340.0</v>
      </c>
      <c r="P117" s="5">
        <v>250.0</v>
      </c>
      <c r="Q117" s="5">
        <v>16955.0</v>
      </c>
      <c r="R117" s="5">
        <v>76971.0</v>
      </c>
      <c r="S117" s="5">
        <v>13.0</v>
      </c>
      <c r="T117" s="5">
        <v>1517.244377</v>
      </c>
    </row>
    <row r="118">
      <c r="A118" s="4" t="s">
        <v>1180</v>
      </c>
      <c r="B118" s="4" t="str">
        <f>IFERROR(__xludf.DUMMYFUNCTION("SPLIT(A118:A844, ""&gt;"")"),"Online Behavior")</f>
        <v>Online Behavior</v>
      </c>
      <c r="C118" s="4" t="str">
        <f>IFERROR(__xludf.DUMMYFUNCTION("""COMPUTED_VALUE"""),"United States")</f>
        <v>United States</v>
      </c>
      <c r="D118" s="4" t="str">
        <f>IFERROR(__xludf.DUMMYFUNCTION("""COMPUTED_VALUE"""),"Validated Demographic ")</f>
        <v>Validated Demographic </v>
      </c>
      <c r="E118" s="4" t="str">
        <f>IFERROR(__xludf.DUMMYFUNCTION("""COMPUTED_VALUE""")," Age")</f>
        <v> Age</v>
      </c>
      <c r="F118" s="4" t="str">
        <f>IFERROR(__xludf.DUMMYFUNCTION("""COMPUTED_VALUE"""),"25-44")</f>
        <v>25-44</v>
      </c>
      <c r="G118" s="4"/>
      <c r="H118" s="4"/>
      <c r="I118" s="5" t="s">
        <v>61</v>
      </c>
      <c r="J118" s="5" t="s">
        <v>23</v>
      </c>
      <c r="K118" s="5" t="s">
        <v>32</v>
      </c>
      <c r="L118" s="6" t="s">
        <v>216</v>
      </c>
      <c r="M118" s="5" t="s">
        <v>26</v>
      </c>
      <c r="N118" s="5" t="s">
        <v>27</v>
      </c>
      <c r="O118" s="5">
        <v>114723.0</v>
      </c>
      <c r="P118" s="5">
        <v>350.0</v>
      </c>
      <c r="Q118" s="5">
        <v>14623.0</v>
      </c>
      <c r="R118" s="5">
        <v>92063.0</v>
      </c>
      <c r="S118" s="5">
        <v>6.0</v>
      </c>
      <c r="T118" s="5">
        <v>4742.008637</v>
      </c>
    </row>
    <row r="119">
      <c r="A119" s="4" t="s">
        <v>1181</v>
      </c>
      <c r="B119" s="4" t="str">
        <f>IFERROR(__xludf.DUMMYFUNCTION("SPLIT(A119:A845, ""&gt;"")"),"Media and Entertainment ")</f>
        <v>Media and Entertainment </v>
      </c>
      <c r="C119" s="4" t="str">
        <f>IFERROR(__xludf.DUMMYFUNCTION("""COMPUTED_VALUE""")," Sports and Recreational Activities ")</f>
        <v> Sports and Recreational Activities </v>
      </c>
      <c r="D119" s="4" t="str">
        <f>IFERROR(__xludf.DUMMYFUNCTION("""COMPUTED_VALUE""")," Interest (Affinity)")</f>
        <v> Interest (Affinity)</v>
      </c>
      <c r="E119" s="4"/>
      <c r="F119" s="4"/>
      <c r="G119" s="4"/>
      <c r="H119" s="4"/>
      <c r="I119" s="5" t="s">
        <v>15</v>
      </c>
      <c r="J119" s="5" t="s">
        <v>31</v>
      </c>
      <c r="K119" s="5" t="s">
        <v>35</v>
      </c>
      <c r="L119" s="6" t="s">
        <v>216</v>
      </c>
      <c r="M119" s="5" t="s">
        <v>19</v>
      </c>
      <c r="N119" s="5" t="s">
        <v>27</v>
      </c>
      <c r="O119" s="5">
        <v>14581.0</v>
      </c>
      <c r="P119" s="5">
        <v>85.0</v>
      </c>
      <c r="Q119" s="5">
        <v>6970.0</v>
      </c>
      <c r="R119" s="5">
        <v>8882.0</v>
      </c>
      <c r="S119" s="5">
        <v>4.0</v>
      </c>
      <c r="T119" s="5">
        <v>2636.202124</v>
      </c>
    </row>
    <row r="120">
      <c r="A120" s="4" t="s">
        <v>1182</v>
      </c>
      <c r="B120" s="4" t="str">
        <f>IFERROR(__xludf.DUMMYFUNCTION("SPLIT(A120:A846, ""&gt;"")"),"Online Behavior")</f>
        <v>Online Behavior</v>
      </c>
      <c r="C120" s="4" t="str">
        <f>IFERROR(__xludf.DUMMYFUNCTION("""COMPUTED_VALUE"""),"United States")</f>
        <v>United States</v>
      </c>
      <c r="D120" s="4" t="str">
        <f>IFERROR(__xludf.DUMMYFUNCTION("""COMPUTED_VALUE"""),"Travel")</f>
        <v>Travel</v>
      </c>
      <c r="E120" s="4" t="str">
        <f>IFERROR(__xludf.DUMMYFUNCTION("""COMPUTED_VALUE"""),"Tourist Destinations ")</f>
        <v>Tourist Destinations </v>
      </c>
      <c r="F120" s="4" t="str">
        <f>IFERROR(__xludf.DUMMYFUNCTION("""COMPUTED_VALUE""")," Beaches and Islands")</f>
        <v> Beaches and Islands</v>
      </c>
      <c r="G120" s="4"/>
      <c r="H120" s="4"/>
      <c r="I120" s="5" t="s">
        <v>61</v>
      </c>
      <c r="J120" s="5" t="s">
        <v>42</v>
      </c>
      <c r="K120" s="5" t="s">
        <v>35</v>
      </c>
      <c r="L120" s="6" t="s">
        <v>219</v>
      </c>
      <c r="M120" s="5" t="s">
        <v>19</v>
      </c>
      <c r="N120" s="5" t="s">
        <v>27</v>
      </c>
      <c r="O120" s="5">
        <v>19461.0</v>
      </c>
      <c r="P120" s="5">
        <v>74.0</v>
      </c>
      <c r="Q120" s="5">
        <v>14647.0</v>
      </c>
      <c r="R120" s="5">
        <v>18731.0</v>
      </c>
      <c r="S120" s="5">
        <v>9.0</v>
      </c>
      <c r="T120" s="5">
        <v>7311.99875</v>
      </c>
    </row>
    <row r="121">
      <c r="A121" s="4" t="s">
        <v>220</v>
      </c>
      <c r="B121" s="4" t="str">
        <f>IFERROR(__xludf.DUMMYFUNCTION("SPLIT(A121:A847, ""&gt;"")"),"Online Behavior")</f>
        <v>Online Behavior</v>
      </c>
      <c r="C121" s="4" t="str">
        <f>IFERROR(__xludf.DUMMYFUNCTION("""COMPUTED_VALUE"""),"United States")</f>
        <v>United States</v>
      </c>
      <c r="D121" s="4" t="str">
        <f>IFERROR(__xludf.DUMMYFUNCTION("""COMPUTED_VALUE"""),"The Changing Consumer")</f>
        <v>The Changing Consumer</v>
      </c>
      <c r="E121" s="4" t="str">
        <f>IFERROR(__xludf.DUMMYFUNCTION("""COMPUTED_VALUE"""),"Direct to Consumer")</f>
        <v>Direct to Consumer</v>
      </c>
      <c r="F121" s="4"/>
      <c r="G121" s="4"/>
      <c r="H121" s="4"/>
      <c r="I121" s="5" t="s">
        <v>22</v>
      </c>
      <c r="J121" s="5" t="s">
        <v>23</v>
      </c>
      <c r="K121" s="5" t="s">
        <v>35</v>
      </c>
      <c r="L121" s="6" t="s">
        <v>219</v>
      </c>
      <c r="M121" s="5" t="s">
        <v>26</v>
      </c>
      <c r="N121" s="5" t="s">
        <v>27</v>
      </c>
      <c r="O121" s="5">
        <v>27032.0</v>
      </c>
      <c r="P121" s="5">
        <v>110.0</v>
      </c>
      <c r="Q121" s="5">
        <v>21893.0</v>
      </c>
      <c r="R121" s="5">
        <v>26127.0</v>
      </c>
      <c r="S121" s="5">
        <v>5.0</v>
      </c>
      <c r="T121" s="5">
        <v>5292.896913</v>
      </c>
    </row>
    <row r="122">
      <c r="A122" s="4" t="s">
        <v>221</v>
      </c>
      <c r="B122" s="4" t="str">
        <f>IFERROR(__xludf.DUMMYFUNCTION("SPLIT(A122:A848, ""&gt;"")"),"Online Behavior")</f>
        <v>Online Behavior</v>
      </c>
      <c r="C122" s="4" t="str">
        <f>IFERROR(__xludf.DUMMYFUNCTION("""COMPUTED_VALUE"""),"United States")</f>
        <v>United States</v>
      </c>
      <c r="D122" s="4" t="str">
        <f>IFERROR(__xludf.DUMMYFUNCTION("""COMPUTED_VALUE"""),"Arts and Entertainment")</f>
        <v>Arts and Entertainment</v>
      </c>
      <c r="E122" s="4" t="str">
        <f>IFERROR(__xludf.DUMMYFUNCTION("""COMPUTED_VALUE"""),"Music and Audio")</f>
        <v>Music and Audio</v>
      </c>
      <c r="F122" s="4"/>
      <c r="G122" s="4"/>
      <c r="H122" s="4"/>
      <c r="I122" s="5" t="s">
        <v>15</v>
      </c>
      <c r="J122" s="5" t="s">
        <v>23</v>
      </c>
      <c r="K122" s="5" t="s">
        <v>84</v>
      </c>
      <c r="L122" s="6" t="s">
        <v>222</v>
      </c>
      <c r="M122" s="5" t="s">
        <v>19</v>
      </c>
      <c r="N122" s="5" t="s">
        <v>27</v>
      </c>
      <c r="O122" s="5">
        <v>7628.0</v>
      </c>
      <c r="P122" s="5">
        <v>19.0</v>
      </c>
      <c r="Q122" s="5">
        <v>5048.0</v>
      </c>
      <c r="R122" s="5">
        <v>7154.0</v>
      </c>
      <c r="S122" s="5">
        <v>5.0</v>
      </c>
      <c r="T122" s="5">
        <v>6684.062804</v>
      </c>
    </row>
    <row r="123">
      <c r="A123" s="4" t="s">
        <v>1184</v>
      </c>
      <c r="B123" s="4" t="str">
        <f>IFERROR(__xludf.DUMMYFUNCTION("SPLIT(A123:A849, ""&gt;"")"),"Online Behavior")</f>
        <v>Online Behavior</v>
      </c>
      <c r="C123" s="4" t="str">
        <f>IFERROR(__xludf.DUMMYFUNCTION("""COMPUTED_VALUE"""),"United States")</f>
        <v>United States</v>
      </c>
      <c r="D123" s="4" t="str">
        <f>IFERROR(__xludf.DUMMYFUNCTION("""COMPUTED_VALUE"""),"Autos and Vehicles ")</f>
        <v>Autos and Vehicles </v>
      </c>
      <c r="E123" s="4" t="str">
        <f>IFERROR(__xludf.DUMMYFUNCTION("""COMPUTED_VALUE""")," Brands")</f>
        <v> Brands</v>
      </c>
      <c r="F123" s="4" t="str">
        <f>IFERROR(__xludf.DUMMYFUNCTION("""COMPUTED_VALUE"""),"Volvo")</f>
        <v>Volvo</v>
      </c>
      <c r="G123" s="4"/>
      <c r="H123" s="4"/>
      <c r="I123" s="5" t="s">
        <v>22</v>
      </c>
      <c r="J123" s="5" t="s">
        <v>16</v>
      </c>
      <c r="K123" s="5" t="s">
        <v>78</v>
      </c>
      <c r="L123" s="6" t="s">
        <v>224</v>
      </c>
      <c r="M123" s="5" t="s">
        <v>19</v>
      </c>
      <c r="N123" s="5" t="s">
        <v>27</v>
      </c>
      <c r="O123" s="5">
        <v>7806.0</v>
      </c>
      <c r="P123" s="5">
        <v>20.0</v>
      </c>
      <c r="Q123" s="5">
        <v>3150.0</v>
      </c>
      <c r="R123" s="5">
        <v>7247.0</v>
      </c>
      <c r="S123" s="5">
        <v>1.0</v>
      </c>
      <c r="T123" s="5">
        <v>6162.320833</v>
      </c>
    </row>
    <row r="124">
      <c r="A124" s="4" t="s">
        <v>1764</v>
      </c>
      <c r="B124" s="4" t="str">
        <f>IFERROR(__xludf.DUMMYFUNCTION("SPLIT(A124:A850, ""&gt;"")"),"US ")</f>
        <v>US </v>
      </c>
      <c r="C124" s="4" t="str">
        <f>IFERROR(__xludf.DUMMYFUNCTION("""COMPUTED_VALUE""")," B2B ")</f>
        <v> B2B </v>
      </c>
      <c r="D124" s="4" t="str">
        <f>IFERROR(__xludf.DUMMYFUNCTION("""COMPUTED_VALUE""")," B2B Decision Maker Responsibilities ")</f>
        <v> B2B Decision Maker Responsibilities </v>
      </c>
      <c r="E124" s="4" t="str">
        <f>IFERROR(__xludf.DUMMYFUNCTION("""COMPUTED_VALUE""")," Company Liability or Insurance")</f>
        <v> Company Liability or Insurance</v>
      </c>
      <c r="F124" s="4"/>
      <c r="G124" s="4"/>
      <c r="H124" s="4"/>
      <c r="I124" s="5" t="s">
        <v>15</v>
      </c>
      <c r="J124" s="5" t="s">
        <v>42</v>
      </c>
      <c r="K124" s="5" t="s">
        <v>55</v>
      </c>
      <c r="L124" s="6" t="s">
        <v>226</v>
      </c>
      <c r="M124" s="5" t="s">
        <v>19</v>
      </c>
      <c r="N124" s="5" t="s">
        <v>52</v>
      </c>
      <c r="O124" s="5">
        <v>31443.0</v>
      </c>
      <c r="P124" s="5">
        <v>70.0</v>
      </c>
      <c r="Q124" s="5">
        <v>19134.0</v>
      </c>
      <c r="R124" s="5">
        <v>28059.0</v>
      </c>
      <c r="S124" s="5">
        <v>9.0</v>
      </c>
      <c r="T124" s="5">
        <v>2122.765888</v>
      </c>
    </row>
    <row r="125">
      <c r="A125" s="4" t="s">
        <v>1765</v>
      </c>
      <c r="B125" s="4" t="str">
        <f>IFERROR(__xludf.DUMMYFUNCTION("SPLIT(A125:A851, ""&gt;"")"),"US ")</f>
        <v>US </v>
      </c>
      <c r="C125" s="4" t="str">
        <f>IFERROR(__xludf.DUMMYFUNCTION("""COMPUTED_VALUE""")," Reach ")</f>
        <v> Reach </v>
      </c>
      <c r="D125" s="4" t="str">
        <f>IFERROR(__xludf.DUMMYFUNCTION("""COMPUTED_VALUE""")," Propensity Models ")</f>
        <v> Propensity Models </v>
      </c>
      <c r="E125" s="4" t="str">
        <f>IFERROR(__xludf.DUMMYFUNCTION("""COMPUTED_VALUE""")," Luxury Home Goods Store Shopper")</f>
        <v> Luxury Home Goods Store Shopper</v>
      </c>
      <c r="F125" s="4"/>
      <c r="G125" s="4"/>
      <c r="H125" s="4"/>
      <c r="I125" s="5" t="s">
        <v>22</v>
      </c>
      <c r="J125" s="5" t="s">
        <v>23</v>
      </c>
      <c r="K125" s="5" t="s">
        <v>29</v>
      </c>
      <c r="L125" s="6" t="s">
        <v>228</v>
      </c>
      <c r="M125" s="5" t="s">
        <v>19</v>
      </c>
      <c r="N125" s="5" t="s">
        <v>27</v>
      </c>
      <c r="O125" s="5">
        <v>29107.0</v>
      </c>
      <c r="P125" s="5">
        <v>64.0</v>
      </c>
      <c r="Q125" s="5">
        <v>4047.0</v>
      </c>
      <c r="R125" s="5">
        <v>27357.0</v>
      </c>
      <c r="S125" s="5">
        <v>9.0</v>
      </c>
      <c r="T125" s="5">
        <v>3339.454322</v>
      </c>
    </row>
    <row r="126">
      <c r="A126" s="4" t="s">
        <v>1766</v>
      </c>
      <c r="B126" s="4" t="str">
        <f>IFERROR(__xludf.DUMMYFUNCTION("SPLIT(A126:A852, ""&gt;"")"),"US ")</f>
        <v>US </v>
      </c>
      <c r="C126" s="4" t="str">
        <f>IFERROR(__xludf.DUMMYFUNCTION("""COMPUTED_VALUE""")," B2B ")</f>
        <v> B2B </v>
      </c>
      <c r="D126" s="4" t="str">
        <f>IFERROR(__xludf.DUMMYFUNCTION("""COMPUTED_VALUE""")," B2B Decision Maker Responsibilities ")</f>
        <v> B2B Decision Maker Responsibilities </v>
      </c>
      <c r="E126" s="4" t="str">
        <f>IFERROR(__xludf.DUMMYFUNCTION("""COMPUTED_VALUE""")," Employee Benefits")</f>
        <v> Employee Benefits</v>
      </c>
      <c r="F126" s="4"/>
      <c r="G126" s="4"/>
      <c r="H126" s="4"/>
      <c r="I126" s="5" t="s">
        <v>22</v>
      </c>
      <c r="J126" s="5" t="s">
        <v>16</v>
      </c>
      <c r="K126" s="5" t="s">
        <v>84</v>
      </c>
      <c r="L126" s="6" t="s">
        <v>228</v>
      </c>
      <c r="M126" s="5" t="s">
        <v>36</v>
      </c>
      <c r="N126" s="5" t="s">
        <v>27</v>
      </c>
      <c r="O126" s="5">
        <v>12451.0</v>
      </c>
      <c r="P126" s="5">
        <v>30.0</v>
      </c>
      <c r="Q126" s="5">
        <v>2987.0</v>
      </c>
      <c r="R126" s="5">
        <v>11295.0</v>
      </c>
      <c r="S126" s="5">
        <v>4.0</v>
      </c>
      <c r="T126" s="5">
        <v>2127.323828</v>
      </c>
    </row>
    <row r="127">
      <c r="A127" s="4" t="s">
        <v>1767</v>
      </c>
      <c r="B127" s="4" t="str">
        <f>IFERROR(__xludf.DUMMYFUNCTION("SPLIT(A127:A853, ""&gt;"")"),"US ")</f>
        <v>US </v>
      </c>
      <c r="C127" s="4" t="str">
        <f>IFERROR(__xludf.DUMMYFUNCTION("""COMPUTED_VALUE""")," Brand Propensities ")</f>
        <v> Brand Propensities </v>
      </c>
      <c r="D127" s="4" t="str">
        <f>IFERROR(__xludf.DUMMYFUNCTION("""COMPUTED_VALUE""")," Travel ")</f>
        <v> Travel </v>
      </c>
      <c r="E127" s="4" t="str">
        <f>IFERROR(__xludf.DUMMYFUNCTION("""COMPUTED_VALUE""")," American Airlines Buyer Propensity")</f>
        <v> American Airlines Buyer Propensity</v>
      </c>
      <c r="F127" s="4"/>
      <c r="G127" s="4"/>
      <c r="H127" s="4"/>
      <c r="I127" s="5" t="s">
        <v>15</v>
      </c>
      <c r="J127" s="5" t="s">
        <v>16</v>
      </c>
      <c r="K127" s="5" t="s">
        <v>78</v>
      </c>
      <c r="L127" s="6" t="s">
        <v>228</v>
      </c>
      <c r="M127" s="5" t="s">
        <v>231</v>
      </c>
      <c r="N127" s="5" t="s">
        <v>20</v>
      </c>
      <c r="O127" s="5">
        <v>12176.0</v>
      </c>
      <c r="P127" s="5">
        <v>10.0</v>
      </c>
      <c r="Q127" s="5">
        <v>5460.0</v>
      </c>
      <c r="R127" s="5">
        <v>11154.0</v>
      </c>
      <c r="S127" s="5">
        <v>10.0</v>
      </c>
      <c r="T127" s="5">
        <v>1816.030806</v>
      </c>
    </row>
    <row r="128">
      <c r="A128" s="4" t="s">
        <v>232</v>
      </c>
      <c r="B128" s="4" t="str">
        <f>IFERROR(__xludf.DUMMYFUNCTION("SPLIT(A128:A854, ""&gt;"")"),"OnAudience")</f>
        <v>OnAudience</v>
      </c>
      <c r="C128" s="4"/>
      <c r="D128" s="4"/>
      <c r="E128" s="4"/>
      <c r="F128" s="4"/>
      <c r="G128" s="4"/>
      <c r="H128" s="4"/>
      <c r="I128" s="5" t="s">
        <v>15</v>
      </c>
      <c r="J128" s="5" t="s">
        <v>23</v>
      </c>
      <c r="K128" s="5" t="s">
        <v>29</v>
      </c>
      <c r="L128" s="6" t="s">
        <v>233</v>
      </c>
      <c r="M128" s="5" t="s">
        <v>19</v>
      </c>
      <c r="N128" s="5" t="s">
        <v>27</v>
      </c>
      <c r="O128" s="5">
        <v>7472.0</v>
      </c>
      <c r="P128" s="5">
        <v>10.0</v>
      </c>
      <c r="Q128" s="5">
        <v>1191.0</v>
      </c>
      <c r="R128" s="5">
        <v>5883.0</v>
      </c>
      <c r="S128" s="5">
        <v>1.0</v>
      </c>
      <c r="T128" s="5">
        <v>2183.952037</v>
      </c>
    </row>
    <row r="129">
      <c r="A129" s="4" t="s">
        <v>1189</v>
      </c>
      <c r="B129" s="4" t="str">
        <f>IFERROR(__xludf.DUMMYFUNCTION("SPLIT(A129:A855, ""&gt;"")"),"Media and Entertainment ")</f>
        <v>Media and Entertainment </v>
      </c>
      <c r="C129" s="4" t="str">
        <f>IFERROR(__xludf.DUMMYFUNCTION("""COMPUTED_VALUE""")," Audio and Video Streaming ")</f>
        <v> Audio and Video Streaming </v>
      </c>
      <c r="D129" s="4" t="str">
        <f>IFERROR(__xludf.DUMMYFUNCTION("""COMPUTED_VALUE""")," Streaming Audio")</f>
        <v> Streaming Audio</v>
      </c>
      <c r="E129" s="4"/>
      <c r="F129" s="4"/>
      <c r="G129" s="4"/>
      <c r="H129" s="4"/>
      <c r="I129" s="5" t="s">
        <v>15</v>
      </c>
      <c r="J129" s="5" t="s">
        <v>31</v>
      </c>
      <c r="K129" s="5" t="s">
        <v>35</v>
      </c>
      <c r="L129" s="6" t="s">
        <v>235</v>
      </c>
      <c r="M129" s="5" t="s">
        <v>19</v>
      </c>
      <c r="N129" s="5" t="s">
        <v>27</v>
      </c>
      <c r="O129" s="5">
        <v>42451.0</v>
      </c>
      <c r="P129" s="5">
        <v>122.0</v>
      </c>
      <c r="Q129" s="5">
        <v>29142.0</v>
      </c>
      <c r="R129" s="5">
        <v>41093.0</v>
      </c>
      <c r="S129" s="5">
        <v>7.0</v>
      </c>
      <c r="T129" s="5">
        <v>1530.553686</v>
      </c>
    </row>
    <row r="130">
      <c r="A130" s="4" t="s">
        <v>1768</v>
      </c>
      <c r="B130" s="4" t="str">
        <f>IFERROR(__xludf.DUMMYFUNCTION("SPLIT(A130:A856, ""&gt;"")"),"US ")</f>
        <v>US </v>
      </c>
      <c r="C130" s="4" t="str">
        <f>IFERROR(__xludf.DUMMYFUNCTION("""COMPUTED_VALUE"""),"Rural Improvement Fanatic")</f>
        <v>Rural Improvement Fanatic</v>
      </c>
      <c r="D130" s="4"/>
      <c r="E130" s="4"/>
      <c r="F130" s="4"/>
      <c r="G130" s="4"/>
      <c r="H130" s="4"/>
      <c r="I130" s="5" t="s">
        <v>22</v>
      </c>
      <c r="J130" s="5" t="s">
        <v>16</v>
      </c>
      <c r="K130" s="5" t="s">
        <v>78</v>
      </c>
      <c r="L130" s="6" t="s">
        <v>235</v>
      </c>
      <c r="M130" s="5" t="s">
        <v>117</v>
      </c>
      <c r="N130" s="5" t="s">
        <v>27</v>
      </c>
      <c r="O130" s="5">
        <v>10677.0</v>
      </c>
      <c r="P130" s="5">
        <v>88.0</v>
      </c>
      <c r="Q130" s="5">
        <v>7247.0</v>
      </c>
      <c r="R130" s="5">
        <v>10338.0</v>
      </c>
      <c r="S130" s="5">
        <v>3.0</v>
      </c>
      <c r="T130" s="5">
        <v>1483.452706</v>
      </c>
    </row>
    <row r="131">
      <c r="A131" s="4" t="s">
        <v>1191</v>
      </c>
      <c r="B131" s="4" t="str">
        <f>IFERROR(__xludf.DUMMYFUNCTION("SPLIT(A131:A857, ""&gt;"")"),"Online Behavior")</f>
        <v>Online Behavior</v>
      </c>
      <c r="C131" s="4" t="str">
        <f>IFERROR(__xludf.DUMMYFUNCTION("""COMPUTED_VALUE"""),"United States")</f>
        <v>United States</v>
      </c>
      <c r="D131" s="4" t="str">
        <f>IFERROR(__xludf.DUMMYFUNCTION("""COMPUTED_VALUE"""),"Sports")</f>
        <v>Sports</v>
      </c>
      <c r="E131" s="4" t="str">
        <f>IFERROR(__xludf.DUMMYFUNCTION("""COMPUTED_VALUE"""),"Sports League ")</f>
        <v>Sports League </v>
      </c>
      <c r="F131" s="4" t="str">
        <f>IFERROR(__xludf.DUMMYFUNCTION("""COMPUTED_VALUE""")," Premier League")</f>
        <v> Premier League</v>
      </c>
      <c r="G131" s="4"/>
      <c r="H131" s="4"/>
      <c r="I131" s="5" t="s">
        <v>15</v>
      </c>
      <c r="J131" s="5" t="s">
        <v>23</v>
      </c>
      <c r="K131" s="5" t="s">
        <v>35</v>
      </c>
      <c r="L131" s="6" t="s">
        <v>238</v>
      </c>
      <c r="M131" s="5" t="s">
        <v>46</v>
      </c>
      <c r="N131" s="5" t="s">
        <v>27</v>
      </c>
      <c r="O131" s="5">
        <v>8217.0</v>
      </c>
      <c r="P131" s="5">
        <v>25.0</v>
      </c>
      <c r="Q131" s="5">
        <v>5740.0</v>
      </c>
      <c r="R131" s="5">
        <v>8009.0</v>
      </c>
      <c r="S131" s="5">
        <v>11.0</v>
      </c>
      <c r="T131" s="5">
        <v>6051.334623</v>
      </c>
    </row>
    <row r="132">
      <c r="A132" s="4" t="s">
        <v>239</v>
      </c>
      <c r="B132" s="4" t="str">
        <f>IFERROR(__xludf.DUMMYFUNCTION("SPLIT(A132:A858, ""&gt;"")"),"Online Behavior")</f>
        <v>Online Behavior</v>
      </c>
      <c r="C132" s="4" t="str">
        <f>IFERROR(__xludf.DUMMYFUNCTION("""COMPUTED_VALUE"""),"United States")</f>
        <v>United States</v>
      </c>
      <c r="D132" s="4" t="str">
        <f>IFERROR(__xludf.DUMMYFUNCTION("""COMPUTED_VALUE"""),"The Changing Consumer")</f>
        <v>The Changing Consumer</v>
      </c>
      <c r="E132" s="4" t="str">
        <f>IFERROR(__xludf.DUMMYFUNCTION("""COMPUTED_VALUE"""),"Gaming Equipment")</f>
        <v>Gaming Equipment</v>
      </c>
      <c r="F132" s="4"/>
      <c r="G132" s="4"/>
      <c r="H132" s="4"/>
      <c r="I132" s="5" t="s">
        <v>22</v>
      </c>
      <c r="J132" s="5" t="s">
        <v>23</v>
      </c>
      <c r="K132" s="5" t="s">
        <v>240</v>
      </c>
      <c r="L132" s="6" t="s">
        <v>238</v>
      </c>
      <c r="M132" s="5" t="s">
        <v>161</v>
      </c>
      <c r="N132" s="5" t="s">
        <v>27</v>
      </c>
      <c r="O132" s="5">
        <v>7530.0</v>
      </c>
      <c r="P132" s="5">
        <v>20.0</v>
      </c>
      <c r="Q132" s="5">
        <v>5468.0</v>
      </c>
      <c r="R132" s="5">
        <v>7298.0</v>
      </c>
      <c r="S132" s="5">
        <v>3.0</v>
      </c>
      <c r="T132" s="5">
        <v>5038.714067</v>
      </c>
    </row>
    <row r="133">
      <c r="A133" s="4" t="s">
        <v>241</v>
      </c>
      <c r="B133" s="4" t="str">
        <f>IFERROR(__xludf.DUMMYFUNCTION("SPLIT(A133:A859, ""&gt;"")"),"Online Behavior")</f>
        <v>Online Behavior</v>
      </c>
      <c r="C133" s="4" t="str">
        <f>IFERROR(__xludf.DUMMYFUNCTION("""COMPUTED_VALUE"""),"United States")</f>
        <v>United States</v>
      </c>
      <c r="D133" s="4" t="str">
        <f>IFERROR(__xludf.DUMMYFUNCTION("""COMPUTED_VALUE"""),"Travel")</f>
        <v>Travel</v>
      </c>
      <c r="E133" s="4" t="str">
        <f>IFERROR(__xludf.DUMMYFUNCTION("""COMPUTED_VALUE"""),"Travel")</f>
        <v>Travel</v>
      </c>
      <c r="F133" s="4"/>
      <c r="G133" s="4"/>
      <c r="H133" s="4"/>
      <c r="I133" s="5" t="s">
        <v>22</v>
      </c>
      <c r="J133" s="5" t="s">
        <v>16</v>
      </c>
      <c r="K133" s="5" t="s">
        <v>78</v>
      </c>
      <c r="L133" s="6" t="s">
        <v>242</v>
      </c>
      <c r="M133" s="5" t="s">
        <v>19</v>
      </c>
      <c r="N133" s="5" t="s">
        <v>27</v>
      </c>
      <c r="O133" s="5">
        <v>272509.0</v>
      </c>
      <c r="P133" s="5">
        <v>736.0</v>
      </c>
      <c r="Q133" s="5">
        <v>89526.0</v>
      </c>
      <c r="R133" s="5">
        <v>237859.0</v>
      </c>
      <c r="S133" s="5">
        <v>69.0</v>
      </c>
      <c r="T133" s="5">
        <v>8168.347077</v>
      </c>
    </row>
    <row r="134">
      <c r="A134" s="4" t="s">
        <v>1192</v>
      </c>
      <c r="B134" s="4" t="str">
        <f>IFERROR(__xludf.DUMMYFUNCTION("SPLIT(A134:A860, ""&gt;"")"),"Online Behavior")</f>
        <v>Online Behavior</v>
      </c>
      <c r="C134" s="4" t="str">
        <f>IFERROR(__xludf.DUMMYFUNCTION("""COMPUTED_VALUE"""),"United States")</f>
        <v>United States</v>
      </c>
      <c r="D134" s="4" t="str">
        <f>IFERROR(__xludf.DUMMYFUNCTION("""COMPUTED_VALUE"""),"Beauty and Fitness")</f>
        <v>Beauty and Fitness</v>
      </c>
      <c r="E134" s="4" t="str">
        <f>IFERROR(__xludf.DUMMYFUNCTION("""COMPUTED_VALUE"""),"Face and Body Care ")</f>
        <v>Face and Body Care </v>
      </c>
      <c r="F134" s="4" t="str">
        <f>IFERROR(__xludf.DUMMYFUNCTION("""COMPUTED_VALUE""")," Unwanted Body and Facial Hair Removal")</f>
        <v> Unwanted Body and Facial Hair Removal</v>
      </c>
      <c r="G134" s="4"/>
      <c r="H134" s="4"/>
      <c r="I134" s="5" t="s">
        <v>15</v>
      </c>
      <c r="J134" s="5" t="s">
        <v>16</v>
      </c>
      <c r="K134" s="5" t="s">
        <v>78</v>
      </c>
      <c r="L134" s="6" t="s">
        <v>242</v>
      </c>
      <c r="M134" s="5" t="s">
        <v>19</v>
      </c>
      <c r="N134" s="5" t="s">
        <v>27</v>
      </c>
      <c r="O134" s="5">
        <v>106392.0</v>
      </c>
      <c r="P134" s="5">
        <v>299.0</v>
      </c>
      <c r="Q134" s="5">
        <v>39599.0</v>
      </c>
      <c r="R134" s="5">
        <v>94941.0</v>
      </c>
      <c r="S134" s="5">
        <v>3.0</v>
      </c>
      <c r="T134" s="5">
        <v>6542.612428</v>
      </c>
    </row>
    <row r="135">
      <c r="A135" s="4" t="s">
        <v>1193</v>
      </c>
      <c r="B135" s="4" t="str">
        <f>IFERROR(__xludf.DUMMYFUNCTION("SPLIT(A135:A861, ""&gt;"")"),"Online Behavior")</f>
        <v>Online Behavior</v>
      </c>
      <c r="C135" s="4" t="str">
        <f>IFERROR(__xludf.DUMMYFUNCTION("""COMPUTED_VALUE"""),"United States")</f>
        <v>United States</v>
      </c>
      <c r="D135" s="4" t="str">
        <f>IFERROR(__xludf.DUMMYFUNCTION("""COMPUTED_VALUE"""),"Intent ")</f>
        <v>Intent </v>
      </c>
      <c r="E135" s="4" t="str">
        <f>IFERROR(__xludf.DUMMYFUNCTION("""COMPUTED_VALUE""")," Auto Buyers ")</f>
        <v> Auto Buyers </v>
      </c>
      <c r="F135" s="4" t="str">
        <f>IFERROR(__xludf.DUMMYFUNCTION("""COMPUTED_VALUE""")," Car Make")</f>
        <v> Car Make</v>
      </c>
      <c r="G135" s="4" t="str">
        <f>IFERROR(__xludf.DUMMYFUNCTION("""COMPUTED_VALUE"""),"Toyota")</f>
        <v>Toyota</v>
      </c>
      <c r="H135" s="4"/>
      <c r="I135" s="5" t="s">
        <v>22</v>
      </c>
      <c r="J135" s="5" t="s">
        <v>31</v>
      </c>
      <c r="K135" s="5" t="s">
        <v>17</v>
      </c>
      <c r="L135" s="6" t="s">
        <v>242</v>
      </c>
      <c r="M135" s="5" t="s">
        <v>26</v>
      </c>
      <c r="N135" s="5" t="s">
        <v>27</v>
      </c>
      <c r="O135" s="5">
        <v>9060.0</v>
      </c>
      <c r="P135" s="5">
        <v>30.0</v>
      </c>
      <c r="Q135" s="5">
        <v>5190.0</v>
      </c>
      <c r="R135" s="5">
        <v>8621.0</v>
      </c>
      <c r="S135" s="5">
        <v>14.0</v>
      </c>
      <c r="T135" s="5">
        <v>4934.851563</v>
      </c>
    </row>
    <row r="136">
      <c r="A136" s="4" t="s">
        <v>1194</v>
      </c>
      <c r="B136" s="4" t="str">
        <f>IFERROR(__xludf.DUMMYFUNCTION("SPLIT(A136:A862, ""&gt;"")"),"Online Behavior")</f>
        <v>Online Behavior</v>
      </c>
      <c r="C136" s="4" t="str">
        <f>IFERROR(__xludf.DUMMYFUNCTION("""COMPUTED_VALUE"""),"United States")</f>
        <v>United States</v>
      </c>
      <c r="D136" s="4" t="str">
        <f>IFERROR(__xludf.DUMMYFUNCTION("""COMPUTED_VALUE"""),"Food and Drink")</f>
        <v>Food and Drink</v>
      </c>
      <c r="E136" s="4" t="str">
        <f>IFERROR(__xludf.DUMMYFUNCTION("""COMPUTED_VALUE"""),"Restaurants ")</f>
        <v>Restaurants </v>
      </c>
      <c r="F136" s="4" t="str">
        <f>IFERROR(__xludf.DUMMYFUNCTION("""COMPUTED_VALUE""")," Dining Guides")</f>
        <v> Dining Guides</v>
      </c>
      <c r="G136" s="4"/>
      <c r="H136" s="4"/>
      <c r="I136" s="5" t="s">
        <v>22</v>
      </c>
      <c r="J136" s="5" t="s">
        <v>31</v>
      </c>
      <c r="K136" s="5" t="s">
        <v>35</v>
      </c>
      <c r="L136" s="6" t="s">
        <v>242</v>
      </c>
      <c r="M136" s="5" t="s">
        <v>117</v>
      </c>
      <c r="N136" s="5" t="s">
        <v>27</v>
      </c>
      <c r="O136" s="5">
        <v>116926.0</v>
      </c>
      <c r="P136" s="5">
        <v>321.0</v>
      </c>
      <c r="Q136" s="5">
        <v>69132.0</v>
      </c>
      <c r="R136" s="5">
        <v>111957.0</v>
      </c>
      <c r="S136" s="5">
        <v>22.0</v>
      </c>
      <c r="T136" s="5">
        <v>4918.040982</v>
      </c>
    </row>
    <row r="137">
      <c r="A137" s="4" t="s">
        <v>1769</v>
      </c>
      <c r="B137" s="4" t="str">
        <f>IFERROR(__xludf.DUMMYFUNCTION("SPLIT(A137:A863, ""&gt;"")"),"Media and Entertainment ")</f>
        <v>Media and Entertainment </v>
      </c>
      <c r="C137" s="4" t="str">
        <f>IFERROR(__xludf.DUMMYFUNCTION("""COMPUTED_VALUE""")," Music")</f>
        <v> Music</v>
      </c>
      <c r="D137" s="4"/>
      <c r="E137" s="4"/>
      <c r="F137" s="4"/>
      <c r="G137" s="4"/>
      <c r="H137" s="4"/>
      <c r="I137" s="5" t="s">
        <v>15</v>
      </c>
      <c r="J137" s="5" t="s">
        <v>42</v>
      </c>
      <c r="K137" s="5" t="s">
        <v>78</v>
      </c>
      <c r="L137" s="6" t="s">
        <v>242</v>
      </c>
      <c r="M137" s="5" t="s">
        <v>50</v>
      </c>
      <c r="N137" s="5" t="s">
        <v>27</v>
      </c>
      <c r="O137" s="5">
        <v>45402.0</v>
      </c>
      <c r="P137" s="5">
        <v>122.0</v>
      </c>
      <c r="Q137" s="5">
        <v>17284.0</v>
      </c>
      <c r="R137" s="5">
        <v>27542.0</v>
      </c>
      <c r="S137" s="5">
        <v>5.0</v>
      </c>
      <c r="T137" s="5">
        <v>2163.265346</v>
      </c>
    </row>
    <row r="138">
      <c r="A138" s="4" t="s">
        <v>1196</v>
      </c>
      <c r="B138" s="4" t="str">
        <f>IFERROR(__xludf.DUMMYFUNCTION("SPLIT(A138:A864, ""&gt;"")"),"OnAudience ")</f>
        <v>OnAudience </v>
      </c>
      <c r="C138" s="4" t="str">
        <f>IFERROR(__xludf.DUMMYFUNCTION("""COMPUTED_VALUE""")," Interest ")</f>
        <v> Interest </v>
      </c>
      <c r="D138" s="4" t="str">
        <f>IFERROR(__xludf.DUMMYFUNCTION("""COMPUTED_VALUE""")," Technology")</f>
        <v> Technology</v>
      </c>
      <c r="E138" s="4"/>
      <c r="F138" s="4"/>
      <c r="G138" s="4"/>
      <c r="H138" s="4"/>
      <c r="I138" s="5" t="s">
        <v>61</v>
      </c>
      <c r="J138" s="5" t="s">
        <v>31</v>
      </c>
      <c r="K138" s="5" t="s">
        <v>35</v>
      </c>
      <c r="L138" s="6" t="s">
        <v>242</v>
      </c>
      <c r="M138" s="5" t="s">
        <v>19</v>
      </c>
      <c r="N138" s="5" t="s">
        <v>27</v>
      </c>
      <c r="O138" s="5">
        <v>84306.0</v>
      </c>
      <c r="P138" s="5">
        <v>185.0</v>
      </c>
      <c r="Q138" s="5">
        <v>45376.0</v>
      </c>
      <c r="R138" s="5">
        <v>79935.0</v>
      </c>
      <c r="S138" s="5">
        <v>3.0</v>
      </c>
      <c r="T138" s="5">
        <v>1809.590961</v>
      </c>
    </row>
    <row r="139">
      <c r="A139" s="4" t="s">
        <v>1770</v>
      </c>
      <c r="B139" s="4" t="str">
        <f>IFERROR(__xludf.DUMMYFUNCTION("SPLIT(A139:A865, ""&gt;"")"),"US ")</f>
        <v>US </v>
      </c>
      <c r="C139" s="4" t="str">
        <f>IFERROR(__xludf.DUMMYFUNCTION("""COMPUTED_VALUE""")," Interest Propensities ")</f>
        <v> Interest Propensities </v>
      </c>
      <c r="D139" s="4" t="str">
        <f>IFERROR(__xludf.DUMMYFUNCTION("""COMPUTED_VALUE""")," Social ")</f>
        <v> Social </v>
      </c>
      <c r="E139" s="4" t="str">
        <f>IFERROR(__xludf.DUMMYFUNCTION("""COMPUTED_VALUE""")," Premium User Generated Content")</f>
        <v> Premium User Generated Content</v>
      </c>
      <c r="F139" s="4"/>
      <c r="G139" s="4"/>
      <c r="H139" s="4"/>
      <c r="I139" s="5" t="s">
        <v>15</v>
      </c>
      <c r="J139" s="5" t="s">
        <v>16</v>
      </c>
      <c r="K139" s="5" t="s">
        <v>17</v>
      </c>
      <c r="L139" s="6" t="s">
        <v>242</v>
      </c>
      <c r="M139" s="5" t="s">
        <v>19</v>
      </c>
      <c r="N139" s="5" t="s">
        <v>27</v>
      </c>
      <c r="O139" s="5">
        <v>88499.0</v>
      </c>
      <c r="P139" s="5">
        <v>186.0</v>
      </c>
      <c r="Q139" s="5">
        <v>18950.0</v>
      </c>
      <c r="R139" s="5">
        <v>71458.0</v>
      </c>
      <c r="S139" s="5">
        <v>5.0</v>
      </c>
      <c r="T139" s="5">
        <v>1803.139812</v>
      </c>
    </row>
    <row r="140">
      <c r="A140" s="4" t="s">
        <v>1771</v>
      </c>
      <c r="B140" s="4" t="str">
        <f>IFERROR(__xludf.DUMMYFUNCTION("SPLIT(A140:A866, ""&gt;"")"),"OnAudience ")</f>
        <v>OnAudience </v>
      </c>
      <c r="C140" s="4" t="str">
        <f>IFERROR(__xludf.DUMMYFUNCTION("""COMPUTED_VALUE""")," Interest ")</f>
        <v> Interest </v>
      </c>
      <c r="D140" s="4" t="str">
        <f>IFERROR(__xludf.DUMMYFUNCTION("""COMPUTED_VALUE""")," Business ")</f>
        <v> Business </v>
      </c>
      <c r="E140" s="4" t="str">
        <f>IFERROR(__xludf.DUMMYFUNCTION("""COMPUTED_VALUE""")," Economy")</f>
        <v> Economy</v>
      </c>
      <c r="F140" s="4"/>
      <c r="G140" s="4"/>
      <c r="H140" s="4"/>
      <c r="I140" s="5" t="s">
        <v>15</v>
      </c>
      <c r="J140" s="5" t="s">
        <v>16</v>
      </c>
      <c r="K140" s="5" t="s">
        <v>150</v>
      </c>
      <c r="L140" s="6" t="s">
        <v>242</v>
      </c>
      <c r="M140" s="5" t="s">
        <v>19</v>
      </c>
      <c r="N140" s="5" t="s">
        <v>27</v>
      </c>
      <c r="O140" s="5">
        <v>77748.0</v>
      </c>
      <c r="P140" s="5">
        <v>227.0</v>
      </c>
      <c r="Q140" s="5">
        <v>6170.0</v>
      </c>
      <c r="R140" s="5">
        <v>53603.0</v>
      </c>
      <c r="S140" s="5">
        <v>3.0</v>
      </c>
      <c r="T140" s="5">
        <v>1498.3009</v>
      </c>
    </row>
    <row r="141">
      <c r="A141" s="4" t="s">
        <v>1772</v>
      </c>
      <c r="B141" s="4" t="str">
        <f>IFERROR(__xludf.DUMMYFUNCTION("SPLIT(A141:A867, ""&gt;"")"),"US ")</f>
        <v>US </v>
      </c>
      <c r="C141" s="4" t="str">
        <f>IFERROR(__xludf.DUMMYFUNCTION("""COMPUTED_VALUE""")," Reach ")</f>
        <v> Reach </v>
      </c>
      <c r="D141" s="4" t="str">
        <f>IFERROR(__xludf.DUMMYFUNCTION("""COMPUTED_VALUE""")," Propensity Models ")</f>
        <v> Propensity Models </v>
      </c>
      <c r="E141" s="4" t="str">
        <f>IFERROR(__xludf.DUMMYFUNCTION("""COMPUTED_VALUE""")," Lifestyle ")</f>
        <v> Lifestyle </v>
      </c>
      <c r="F141" s="4" t="str">
        <f>IFERROR(__xludf.DUMMYFUNCTION("""COMPUTED_VALUE""")," Charities ")</f>
        <v> Charities </v>
      </c>
      <c r="G141" s="4" t="str">
        <f>IFERROR(__xludf.DUMMYFUNCTION("""COMPUTED_VALUE""")," Contributes to Charities")</f>
        <v> Contributes to Charities</v>
      </c>
      <c r="H141" s="4"/>
      <c r="I141" s="5" t="s">
        <v>22</v>
      </c>
      <c r="J141" s="5" t="s">
        <v>42</v>
      </c>
      <c r="K141" s="5" t="s">
        <v>35</v>
      </c>
      <c r="L141" s="6" t="s">
        <v>251</v>
      </c>
      <c r="M141" s="5" t="s">
        <v>19</v>
      </c>
      <c r="N141" s="5" t="s">
        <v>27</v>
      </c>
      <c r="O141" s="5">
        <v>10191.0</v>
      </c>
      <c r="P141" s="5">
        <v>75.0</v>
      </c>
      <c r="Q141" s="5">
        <v>1243.0</v>
      </c>
      <c r="R141" s="5">
        <v>8897.0</v>
      </c>
      <c r="S141" s="5">
        <v>3.0</v>
      </c>
      <c r="T141" s="5">
        <v>2365.914372</v>
      </c>
    </row>
    <row r="142">
      <c r="A142" s="4" t="s">
        <v>1773</v>
      </c>
      <c r="B142" s="4" t="str">
        <f>IFERROR(__xludf.DUMMYFUNCTION("SPLIT(A142:A868, ""&gt;"")"),"US ")</f>
        <v>US </v>
      </c>
      <c r="C142" s="4" t="str">
        <f>IFERROR(__xludf.DUMMYFUNCTION("""COMPUTED_VALUE""")," Reach ")</f>
        <v> Reach </v>
      </c>
      <c r="D142" s="4" t="str">
        <f>IFERROR(__xludf.DUMMYFUNCTION("""COMPUTED_VALUE""")," Propensity Models ")</f>
        <v> Propensity Models </v>
      </c>
      <c r="E142" s="4" t="str">
        <f>IFERROR(__xludf.DUMMYFUNCTION("""COMPUTED_VALUE""")," Household Consumer Expenditures ")</f>
        <v> Household Consumer Expenditures </v>
      </c>
      <c r="F142" s="4" t="str">
        <f>IFERROR(__xludf.DUMMYFUNCTION("""COMPUTED_VALUE""")," Kitchen")</f>
        <v> Kitchen</v>
      </c>
      <c r="G142" s="4"/>
      <c r="H142" s="4"/>
      <c r="I142" s="5" t="s">
        <v>22</v>
      </c>
      <c r="J142" s="5" t="s">
        <v>31</v>
      </c>
      <c r="K142" s="5" t="s">
        <v>29</v>
      </c>
      <c r="L142" s="6" t="s">
        <v>253</v>
      </c>
      <c r="M142" s="5" t="s">
        <v>19</v>
      </c>
      <c r="N142" s="5" t="s">
        <v>27</v>
      </c>
      <c r="O142" s="5">
        <v>10093.0</v>
      </c>
      <c r="P142" s="5">
        <v>65.0</v>
      </c>
      <c r="Q142" s="5">
        <v>3901.0</v>
      </c>
      <c r="R142" s="5">
        <v>9645.0</v>
      </c>
      <c r="S142" s="5">
        <v>2.0</v>
      </c>
      <c r="T142" s="5">
        <v>3105.283004</v>
      </c>
    </row>
    <row r="143">
      <c r="A143" s="4" t="s">
        <v>1201</v>
      </c>
      <c r="B143" s="4" t="str">
        <f>IFERROR(__xludf.DUMMYFUNCTION("SPLIT(A143:A869, ""&gt;"")"),"Online Behavior")</f>
        <v>Online Behavior</v>
      </c>
      <c r="C143" s="4" t="str">
        <f>IFERROR(__xludf.DUMMYFUNCTION("""COMPUTED_VALUE"""),"United States")</f>
        <v>United States</v>
      </c>
      <c r="D143" s="4" t="str">
        <f>IFERROR(__xludf.DUMMYFUNCTION("""COMPUTED_VALUE"""),"Finance ")</f>
        <v>Finance </v>
      </c>
      <c r="E143" s="4" t="str">
        <f>IFERROR(__xludf.DUMMYFUNCTION("""COMPUTED_VALUE""")," Financial Planning and Management")</f>
        <v> Financial Planning and Management</v>
      </c>
      <c r="F143" s="4" t="str">
        <f>IFERROR(__xludf.DUMMYFUNCTION("""COMPUTED_VALUE"""),"Asset and Portfolio Management")</f>
        <v>Asset and Portfolio Management</v>
      </c>
      <c r="G143" s="4"/>
      <c r="H143" s="4"/>
      <c r="I143" s="5" t="s">
        <v>15</v>
      </c>
      <c r="J143" s="5" t="s">
        <v>16</v>
      </c>
      <c r="K143" s="5" t="s">
        <v>35</v>
      </c>
      <c r="L143" s="6" t="s">
        <v>255</v>
      </c>
      <c r="M143" s="5" t="s">
        <v>19</v>
      </c>
      <c r="N143" s="5" t="s">
        <v>27</v>
      </c>
      <c r="O143" s="5">
        <v>9328.0</v>
      </c>
      <c r="P143" s="5">
        <v>56.0</v>
      </c>
      <c r="Q143" s="5">
        <v>7102.0</v>
      </c>
      <c r="R143" s="5">
        <v>8925.0</v>
      </c>
      <c r="S143" s="5">
        <v>5.0</v>
      </c>
      <c r="T143" s="5">
        <v>3408.076049</v>
      </c>
    </row>
    <row r="144">
      <c r="A144" s="4" t="s">
        <v>1202</v>
      </c>
      <c r="B144" s="4" t="str">
        <f>IFERROR(__xludf.DUMMYFUNCTION("SPLIT(A144:A870, ""&gt;"")"),"Online Behavior")</f>
        <v>Online Behavior</v>
      </c>
      <c r="C144" s="4" t="str">
        <f>IFERROR(__xludf.DUMMYFUNCTION("""COMPUTED_VALUE"""),"United States")</f>
        <v>United States</v>
      </c>
      <c r="D144" s="4" t="str">
        <f>IFERROR(__xludf.DUMMYFUNCTION("""COMPUTED_VALUE"""),"B2B ")</f>
        <v>B2B </v>
      </c>
      <c r="E144" s="4" t="str">
        <f>IFERROR(__xludf.DUMMYFUNCTION("""COMPUTED_VALUE""")," Occupation")</f>
        <v> Occupation</v>
      </c>
      <c r="F144" s="4" t="str">
        <f>IFERROR(__xludf.DUMMYFUNCTION("""COMPUTED_VALUE"""),"OfficeManager")</f>
        <v>OfficeManager</v>
      </c>
      <c r="G144" s="4"/>
      <c r="H144" s="4"/>
      <c r="I144" s="5" t="s">
        <v>15</v>
      </c>
      <c r="J144" s="5" t="s">
        <v>16</v>
      </c>
      <c r="K144" s="5" t="s">
        <v>55</v>
      </c>
      <c r="L144" s="6" t="s">
        <v>257</v>
      </c>
      <c r="M144" s="5" t="s">
        <v>46</v>
      </c>
      <c r="N144" s="5" t="s">
        <v>52</v>
      </c>
      <c r="O144" s="5">
        <v>24464.0</v>
      </c>
      <c r="P144" s="5">
        <v>0.0</v>
      </c>
      <c r="Q144" s="5">
        <v>3275.0</v>
      </c>
      <c r="R144" s="5">
        <v>21993.0</v>
      </c>
      <c r="S144" s="5">
        <v>6.0</v>
      </c>
      <c r="T144" s="5">
        <v>2959.114973</v>
      </c>
    </row>
    <row r="145">
      <c r="A145" s="4" t="s">
        <v>1774</v>
      </c>
      <c r="B145" s="4" t="str">
        <f>IFERROR(__xludf.DUMMYFUNCTION("SPLIT(A145:A871, ""&gt;"")"),"Online Behavior")</f>
        <v>Online Behavior</v>
      </c>
      <c r="C145" s="4" t="str">
        <f>IFERROR(__xludf.DUMMYFUNCTION("""COMPUTED_VALUE"""),"United States")</f>
        <v>United States</v>
      </c>
      <c r="D145" s="4" t="str">
        <f>IFERROR(__xludf.DUMMYFUNCTION("""COMPUTED_VALUE"""),"Intent ")</f>
        <v>Intent </v>
      </c>
      <c r="E145" s="4" t="str">
        <f>IFERROR(__xludf.DUMMYFUNCTION("""COMPUTED_VALUE""")," Shopping")</f>
        <v> Shopping</v>
      </c>
      <c r="F145" s="4" t="str">
        <f>IFERROR(__xludf.DUMMYFUNCTION("""COMPUTED_VALUE"""),"CPG� Grocery")</f>
        <v>CPG� Grocery</v>
      </c>
      <c r="G145" s="4"/>
      <c r="H145" s="4"/>
      <c r="I145" s="5" t="s">
        <v>15</v>
      </c>
      <c r="J145" s="5" t="s">
        <v>16</v>
      </c>
      <c r="K145" s="5" t="s">
        <v>78</v>
      </c>
      <c r="L145" s="6" t="s">
        <v>259</v>
      </c>
      <c r="M145" s="5" t="s">
        <v>19</v>
      </c>
      <c r="N145" s="5" t="s">
        <v>27</v>
      </c>
      <c r="O145" s="5">
        <v>8111.0</v>
      </c>
      <c r="P145" s="5">
        <v>0.0</v>
      </c>
      <c r="Q145" s="5">
        <v>4346.0</v>
      </c>
      <c r="R145" s="5">
        <v>6163.0</v>
      </c>
      <c r="S145" s="5">
        <v>1.0</v>
      </c>
      <c r="T145" s="5">
        <v>5000.761206</v>
      </c>
    </row>
    <row r="146">
      <c r="A146" s="4" t="s">
        <v>1204</v>
      </c>
      <c r="B146" s="4" t="str">
        <f>IFERROR(__xludf.DUMMYFUNCTION("SPLIT(A146:A872, ""&gt;"")"),"Online Behavior")</f>
        <v>Online Behavior</v>
      </c>
      <c r="C146" s="4" t="str">
        <f>IFERROR(__xludf.DUMMYFUNCTION("""COMPUTED_VALUE"""),"United States")</f>
        <v>United States</v>
      </c>
      <c r="D146" s="4" t="str">
        <f>IFERROR(__xludf.DUMMYFUNCTION("""COMPUTED_VALUE"""),"Intent ")</f>
        <v>Intent </v>
      </c>
      <c r="E146" s="4" t="str">
        <f>IFERROR(__xludf.DUMMYFUNCTION("""COMPUTED_VALUE""")," Auto Buyers ")</f>
        <v> Auto Buyers </v>
      </c>
      <c r="F146" s="4" t="str">
        <f>IFERROR(__xludf.DUMMYFUNCTION("""COMPUTED_VALUE""")," Car Make")</f>
        <v> Car Make</v>
      </c>
      <c r="G146" s="4" t="str">
        <f>IFERROR(__xludf.DUMMYFUNCTION("""COMPUTED_VALUE"""),"Hyundai")</f>
        <v>Hyundai</v>
      </c>
      <c r="H146" s="4"/>
      <c r="I146" s="5" t="s">
        <v>22</v>
      </c>
      <c r="J146" s="5" t="s">
        <v>42</v>
      </c>
      <c r="K146" s="5" t="s">
        <v>78</v>
      </c>
      <c r="L146" s="6" t="s">
        <v>261</v>
      </c>
      <c r="M146" s="5" t="s">
        <v>48</v>
      </c>
      <c r="N146" s="5" t="s">
        <v>27</v>
      </c>
      <c r="O146" s="5">
        <v>25532.0</v>
      </c>
      <c r="P146" s="5">
        <v>140.0</v>
      </c>
      <c r="Q146" s="5">
        <v>15219.0</v>
      </c>
      <c r="R146" s="5">
        <v>21497.0</v>
      </c>
      <c r="S146" s="5">
        <v>9.0</v>
      </c>
      <c r="T146" s="5">
        <v>6047.174109</v>
      </c>
    </row>
    <row r="147">
      <c r="A147" s="4" t="s">
        <v>1205</v>
      </c>
      <c r="B147" s="4" t="str">
        <f>IFERROR(__xludf.DUMMYFUNCTION("SPLIT(A147:A873, ""&gt;"")"),"Online Behavior")</f>
        <v>Online Behavior</v>
      </c>
      <c r="C147" s="4" t="str">
        <f>IFERROR(__xludf.DUMMYFUNCTION("""COMPUTED_VALUE"""),"United States")</f>
        <v>United States</v>
      </c>
      <c r="D147" s="4" t="str">
        <f>IFERROR(__xludf.DUMMYFUNCTION("""COMPUTED_VALUE"""),"Validated Demographic ")</f>
        <v>Validated Demographic </v>
      </c>
      <c r="E147" s="4" t="str">
        <f>IFERROR(__xludf.DUMMYFUNCTION("""COMPUTED_VALUE""")," Gender and Age Combined")</f>
        <v> Gender and Age Combined</v>
      </c>
      <c r="F147" s="4" t="str">
        <f>IFERROR(__xludf.DUMMYFUNCTION("""COMPUTED_VALUE"""),"Females 18-54")</f>
        <v>Females 18-54</v>
      </c>
      <c r="G147" s="4"/>
      <c r="H147" s="4"/>
      <c r="I147" s="5" t="s">
        <v>22</v>
      </c>
      <c r="J147" s="5" t="s">
        <v>31</v>
      </c>
      <c r="K147" s="5" t="s">
        <v>35</v>
      </c>
      <c r="L147" s="6" t="s">
        <v>261</v>
      </c>
      <c r="M147" s="5" t="s">
        <v>26</v>
      </c>
      <c r="N147" s="5" t="s">
        <v>27</v>
      </c>
      <c r="O147" s="5">
        <v>28553.0</v>
      </c>
      <c r="P147" s="5">
        <v>90.0</v>
      </c>
      <c r="Q147" s="5">
        <v>11390.0</v>
      </c>
      <c r="R147" s="5">
        <v>23355.0</v>
      </c>
      <c r="S147" s="5">
        <v>13.0</v>
      </c>
      <c r="T147" s="5">
        <v>5573.112396</v>
      </c>
    </row>
    <row r="148">
      <c r="A148" s="4" t="s">
        <v>1206</v>
      </c>
      <c r="B148" s="4" t="str">
        <f>IFERROR(__xludf.DUMMYFUNCTION("SPLIT(A148:A874, ""&gt;"")"),"Telecommunications (Telco) ")</f>
        <v>Telecommunications (Telco) </v>
      </c>
      <c r="C148" s="4" t="str">
        <f>IFERROR(__xludf.DUMMYFUNCTION("""COMPUTED_VALUE""")," Subscribers")</f>
        <v> Subscribers</v>
      </c>
      <c r="D148" s="4"/>
      <c r="E148" s="4"/>
      <c r="F148" s="4"/>
      <c r="G148" s="4"/>
      <c r="H148" s="4"/>
      <c r="I148" s="5" t="s">
        <v>22</v>
      </c>
      <c r="J148" s="5" t="s">
        <v>23</v>
      </c>
      <c r="K148" s="5" t="s">
        <v>142</v>
      </c>
      <c r="L148" s="6" t="s">
        <v>264</v>
      </c>
      <c r="M148" s="5" t="s">
        <v>19</v>
      </c>
      <c r="N148" s="5" t="s">
        <v>27</v>
      </c>
      <c r="O148" s="5">
        <v>29393.0</v>
      </c>
      <c r="P148" s="5">
        <v>70.0</v>
      </c>
      <c r="Q148" s="5">
        <v>3277.0</v>
      </c>
      <c r="R148" s="5">
        <v>25959.0</v>
      </c>
      <c r="S148" s="5">
        <v>19.0</v>
      </c>
      <c r="T148" s="5">
        <v>2120.757698</v>
      </c>
    </row>
    <row r="149">
      <c r="A149" s="4" t="s">
        <v>1207</v>
      </c>
      <c r="B149" s="4" t="str">
        <f>IFERROR(__xludf.DUMMYFUNCTION("SPLIT(A149:A875, ""&gt;"")"),"Online Behavior")</f>
        <v>Online Behavior</v>
      </c>
      <c r="C149" s="4" t="str">
        <f>IFERROR(__xludf.DUMMYFUNCTION("""COMPUTED_VALUE"""),"United States")</f>
        <v>United States</v>
      </c>
      <c r="D149" s="4" t="str">
        <f>IFERROR(__xludf.DUMMYFUNCTION("""COMPUTED_VALUE"""),"Finance ")</f>
        <v>Finance </v>
      </c>
      <c r="E149" s="4" t="str">
        <f>IFERROR(__xludf.DUMMYFUNCTION("""COMPUTED_VALUE""")," Banking")</f>
        <v> Banking</v>
      </c>
      <c r="F149" s="4" t="str">
        <f>IFERROR(__xludf.DUMMYFUNCTION("""COMPUTED_VALUE"""),"ATMs and Branch Locations")</f>
        <v>ATMs and Branch Locations</v>
      </c>
      <c r="G149" s="4"/>
      <c r="H149" s="4"/>
      <c r="I149" s="5" t="s">
        <v>22</v>
      </c>
      <c r="J149" s="5" t="s">
        <v>16</v>
      </c>
      <c r="K149" s="5" t="s">
        <v>17</v>
      </c>
      <c r="L149" s="6" t="s">
        <v>266</v>
      </c>
      <c r="M149" s="5" t="s">
        <v>33</v>
      </c>
      <c r="N149" s="5" t="s">
        <v>27</v>
      </c>
      <c r="O149" s="5">
        <v>39212.0</v>
      </c>
      <c r="P149" s="5">
        <v>260.0</v>
      </c>
      <c r="Q149" s="5">
        <v>31317.0</v>
      </c>
      <c r="R149" s="5">
        <v>37660.0</v>
      </c>
      <c r="S149" s="5">
        <v>1.0</v>
      </c>
      <c r="T149" s="5">
        <v>3621.417703</v>
      </c>
    </row>
    <row r="150">
      <c r="A150" s="4" t="s">
        <v>1208</v>
      </c>
      <c r="B150" s="4" t="str">
        <f>IFERROR(__xludf.DUMMYFUNCTION("SPLIT(A150:A876, ""&gt;"")"),"Online Behavior")</f>
        <v>Online Behavior</v>
      </c>
      <c r="C150" s="4" t="str">
        <f>IFERROR(__xludf.DUMMYFUNCTION("""COMPUTED_VALUE"""),"United States")</f>
        <v>United States</v>
      </c>
      <c r="D150" s="4" t="str">
        <f>IFERROR(__xludf.DUMMYFUNCTION("""COMPUTED_VALUE"""),"Intent ")</f>
        <v>Intent </v>
      </c>
      <c r="E150" s="4" t="str">
        <f>IFERROR(__xludf.DUMMYFUNCTION("""COMPUTED_VALUE""")," Travel")</f>
        <v> Travel</v>
      </c>
      <c r="F150" s="4" t="str">
        <f>IFERROR(__xludf.DUMMYFUNCTION("""COMPUTED_VALUE"""),"Accommodation ")</f>
        <v>Accommodation </v>
      </c>
      <c r="G150" s="4" t="str">
        <f>IFERROR(__xludf.DUMMYFUNCTION("""COMPUTED_VALUE""")," Hotels")</f>
        <v> Hotels</v>
      </c>
      <c r="H150" s="4"/>
      <c r="I150" s="5" t="s">
        <v>61</v>
      </c>
      <c r="J150" s="5" t="s">
        <v>42</v>
      </c>
      <c r="K150" s="5" t="s">
        <v>39</v>
      </c>
      <c r="L150" s="6" t="s">
        <v>268</v>
      </c>
      <c r="M150" s="5" t="s">
        <v>19</v>
      </c>
      <c r="N150" s="5" t="s">
        <v>27</v>
      </c>
      <c r="O150" s="5">
        <v>14137.0</v>
      </c>
      <c r="P150" s="5">
        <v>44.0</v>
      </c>
      <c r="Q150" s="5">
        <v>9300.0</v>
      </c>
      <c r="R150" s="5">
        <v>13110.0</v>
      </c>
      <c r="S150" s="5">
        <v>8.0</v>
      </c>
      <c r="T150" s="5">
        <v>6345.460338</v>
      </c>
    </row>
    <row r="151">
      <c r="A151" s="4" t="s">
        <v>269</v>
      </c>
      <c r="B151" s="4" t="str">
        <f>IFERROR(__xludf.DUMMYFUNCTION("SPLIT(A151:A877, ""&gt;"")"),"Online Behavior")</f>
        <v>Online Behavior</v>
      </c>
      <c r="C151" s="4" t="str">
        <f>IFERROR(__xludf.DUMMYFUNCTION("""COMPUTED_VALUE"""),"United States")</f>
        <v>United States</v>
      </c>
      <c r="D151" s="4" t="str">
        <f>IFERROR(__xludf.DUMMYFUNCTION("""COMPUTED_VALUE"""),"Home and Garden")</f>
        <v>Home and Garden</v>
      </c>
      <c r="E151" s="4" t="str">
        <f>IFERROR(__xludf.DUMMYFUNCTION("""COMPUTED_VALUE"""),"Homemaking and Interior Decor")</f>
        <v>Homemaking and Interior Decor</v>
      </c>
      <c r="F151" s="4"/>
      <c r="G151" s="4"/>
      <c r="H151" s="4"/>
      <c r="I151" s="5" t="s">
        <v>15</v>
      </c>
      <c r="J151" s="5" t="s">
        <v>42</v>
      </c>
      <c r="K151" s="5" t="s">
        <v>17</v>
      </c>
      <c r="L151" s="6" t="s">
        <v>268</v>
      </c>
      <c r="M151" s="5" t="s">
        <v>19</v>
      </c>
      <c r="N151" s="5" t="s">
        <v>27</v>
      </c>
      <c r="O151" s="5">
        <v>7921.0</v>
      </c>
      <c r="P151" s="5">
        <v>50.0</v>
      </c>
      <c r="Q151" s="5">
        <v>4727.0</v>
      </c>
      <c r="R151" s="5">
        <v>6513.0</v>
      </c>
      <c r="S151" s="5">
        <v>11.0</v>
      </c>
      <c r="T151" s="5">
        <v>5379.00144</v>
      </c>
    </row>
    <row r="152">
      <c r="A152" s="4" t="s">
        <v>1775</v>
      </c>
      <c r="B152" s="4" t="str">
        <f>IFERROR(__xludf.DUMMYFUNCTION("SPLIT(A152:A878, ""&gt;"")"),"US ")</f>
        <v>US </v>
      </c>
      <c r="C152" s="4" t="str">
        <f>IFERROR(__xludf.DUMMYFUNCTION("""COMPUTED_VALUE""")," Sociodemographic ")</f>
        <v> Sociodemographic </v>
      </c>
      <c r="D152" s="4" t="str">
        <f>IFERROR(__xludf.DUMMYFUNCTION("""COMPUTED_VALUE""")," P$YCLE Premier Lifestage ")</f>
        <v> P$YCLE Premier Lifestage </v>
      </c>
      <c r="E152" s="4" t="str">
        <f>IFERROR(__xludf.DUMMYFUNCTION("""COMPUTED_VALUE""")," M2 Wealthy Achievers")</f>
        <v> M2 Wealthy Achievers</v>
      </c>
      <c r="F152" s="4"/>
      <c r="G152" s="4"/>
      <c r="H152" s="4"/>
      <c r="I152" s="5" t="s">
        <v>22</v>
      </c>
      <c r="J152" s="5" t="s">
        <v>42</v>
      </c>
      <c r="K152" s="5" t="s">
        <v>29</v>
      </c>
      <c r="L152" s="6" t="s">
        <v>271</v>
      </c>
      <c r="M152" s="5" t="s">
        <v>19</v>
      </c>
      <c r="N152" s="5" t="s">
        <v>27</v>
      </c>
      <c r="O152" s="5">
        <v>11025.0</v>
      </c>
      <c r="P152" s="5">
        <v>50.0</v>
      </c>
      <c r="Q152" s="5">
        <v>7974.0</v>
      </c>
      <c r="R152" s="5">
        <v>10311.0</v>
      </c>
      <c r="S152" s="5">
        <v>4.0</v>
      </c>
      <c r="T152" s="5">
        <v>1657.159766</v>
      </c>
    </row>
    <row r="153">
      <c r="A153" s="4" t="s">
        <v>1776</v>
      </c>
      <c r="B153" s="4" t="str">
        <f>IFERROR(__xludf.DUMMYFUNCTION("SPLIT(A153:A879, ""&gt;"")"),"US ")</f>
        <v>US </v>
      </c>
      <c r="C153" s="4" t="str">
        <f>IFERROR(__xludf.DUMMYFUNCTION("""COMPUTED_VALUE""")," Brand Propensities ")</f>
        <v> Brand Propensities </v>
      </c>
      <c r="D153" s="4" t="str">
        <f>IFERROR(__xludf.DUMMYFUNCTION("""COMPUTED_VALUE""")," Health ")</f>
        <v> Health </v>
      </c>
      <c r="E153" s="4" t="str">
        <f>IFERROR(__xludf.DUMMYFUNCTION("""COMPUTED_VALUE""")," Beauty and Cosmetics ")</f>
        <v> Beauty and Cosmetics </v>
      </c>
      <c r="F153" s="4" t="str">
        <f>IFERROR(__xludf.DUMMYFUNCTION("""COMPUTED_VALUE""")," Bare Escentuals Buyer Propensity")</f>
        <v> Bare Escentuals Buyer Propensity</v>
      </c>
      <c r="G153" s="4"/>
      <c r="H153" s="4"/>
      <c r="I153" s="5" t="s">
        <v>15</v>
      </c>
      <c r="J153" s="5" t="s">
        <v>42</v>
      </c>
      <c r="K153" s="5" t="s">
        <v>273</v>
      </c>
      <c r="L153" s="6" t="s">
        <v>271</v>
      </c>
      <c r="M153" s="5" t="s">
        <v>26</v>
      </c>
      <c r="N153" s="5" t="s">
        <v>27</v>
      </c>
      <c r="O153" s="5">
        <v>14922.0</v>
      </c>
      <c r="P153" s="5">
        <v>99.0</v>
      </c>
      <c r="Q153" s="5">
        <v>10713.0</v>
      </c>
      <c r="R153" s="5">
        <v>13992.0</v>
      </c>
      <c r="S153" s="5">
        <v>5.0</v>
      </c>
      <c r="T153" s="5">
        <v>1578.876432</v>
      </c>
    </row>
    <row r="154">
      <c r="A154" s="4" t="s">
        <v>1777</v>
      </c>
      <c r="B154" s="4" t="str">
        <f>IFERROR(__xludf.DUMMYFUNCTION("SPLIT(A154:A880, ""&gt;"")"),"Mobile - US ")</f>
        <v>Mobile - US </v>
      </c>
      <c r="C154" s="4" t="str">
        <f>IFERROR(__xludf.DUMMYFUNCTION("""COMPUTED_VALUE""")," Device Ownership ")</f>
        <v> Device Ownership </v>
      </c>
      <c r="D154" s="4" t="str">
        <f>IFERROR(__xludf.DUMMYFUNCTION("""COMPUTED_VALUE""")," Smartphones ")</f>
        <v> Smartphones </v>
      </c>
      <c r="E154" s="4" t="str">
        <f>IFERROR(__xludf.DUMMYFUNCTION("""COMPUTED_VALUE""")," Huawei")</f>
        <v> Huawei</v>
      </c>
      <c r="F154" s="4"/>
      <c r="G154" s="4"/>
      <c r="H154" s="4"/>
      <c r="I154" s="5" t="s">
        <v>15</v>
      </c>
      <c r="J154" s="5" t="s">
        <v>31</v>
      </c>
      <c r="K154" s="5" t="s">
        <v>66</v>
      </c>
      <c r="L154" s="6" t="s">
        <v>271</v>
      </c>
      <c r="M154" s="5" t="s">
        <v>19</v>
      </c>
      <c r="N154" s="5" t="s">
        <v>27</v>
      </c>
      <c r="O154" s="5">
        <v>7427.0</v>
      </c>
      <c r="P154" s="5">
        <v>0.0</v>
      </c>
      <c r="Q154" s="5">
        <v>4752.0</v>
      </c>
      <c r="R154" s="5">
        <v>6566.0</v>
      </c>
      <c r="S154" s="5">
        <v>1.0</v>
      </c>
      <c r="T154" s="5">
        <v>1504.784161</v>
      </c>
    </row>
    <row r="155">
      <c r="A155" s="4" t="s">
        <v>275</v>
      </c>
      <c r="B155" s="4" t="str">
        <f>IFERROR(__xludf.DUMMYFUNCTION("SPLIT(A155:A881, ""&gt;"")"),"Online Behavior")</f>
        <v>Online Behavior</v>
      </c>
      <c r="C155" s="4" t="str">
        <f>IFERROR(__xludf.DUMMYFUNCTION("""COMPUTED_VALUE"""),"United States")</f>
        <v>United States</v>
      </c>
      <c r="D155" s="4" t="str">
        <f>IFERROR(__xludf.DUMMYFUNCTION("""COMPUTED_VALUE"""),"Internet and Telecom")</f>
        <v>Internet and Telecom</v>
      </c>
      <c r="E155" s="4" t="str">
        <f>IFERROR(__xludf.DUMMYFUNCTION("""COMPUTED_VALUE"""),"Email and Messaging")</f>
        <v>Email and Messaging</v>
      </c>
      <c r="F155" s="4"/>
      <c r="G155" s="4"/>
      <c r="H155" s="4"/>
      <c r="I155" s="5" t="s">
        <v>22</v>
      </c>
      <c r="J155" s="5" t="s">
        <v>16</v>
      </c>
      <c r="K155" s="5" t="s">
        <v>55</v>
      </c>
      <c r="L155" s="6" t="s">
        <v>276</v>
      </c>
      <c r="M155" s="5" t="s">
        <v>48</v>
      </c>
      <c r="N155" s="5" t="s">
        <v>27</v>
      </c>
      <c r="O155" s="5">
        <v>14553.0</v>
      </c>
      <c r="P155" s="5">
        <v>47.0</v>
      </c>
      <c r="Q155" s="5">
        <v>6119.0</v>
      </c>
      <c r="R155" s="5">
        <v>12505.0</v>
      </c>
      <c r="S155" s="5">
        <v>11.0</v>
      </c>
      <c r="T155" s="5">
        <v>6968.00047</v>
      </c>
    </row>
    <row r="156">
      <c r="A156" s="4" t="s">
        <v>277</v>
      </c>
      <c r="B156" s="4" t="str">
        <f>IFERROR(__xludf.DUMMYFUNCTION("SPLIT(A156:A882, ""&gt;"")"),"Online Behavior")</f>
        <v>Online Behavior</v>
      </c>
      <c r="C156" s="4" t="str">
        <f>IFERROR(__xludf.DUMMYFUNCTION("""COMPUTED_VALUE"""),"United States")</f>
        <v>United States</v>
      </c>
      <c r="D156" s="4" t="str">
        <f>IFERROR(__xludf.DUMMYFUNCTION("""COMPUTED_VALUE"""),"Travel")</f>
        <v>Travel</v>
      </c>
      <c r="E156" s="4" t="str">
        <f>IFERROR(__xludf.DUMMYFUNCTION("""COMPUTED_VALUE"""),"Car Rental and Taxi Services")</f>
        <v>Car Rental and Taxi Services</v>
      </c>
      <c r="F156" s="4"/>
      <c r="G156" s="4"/>
      <c r="H156" s="4"/>
      <c r="I156" s="5" t="s">
        <v>61</v>
      </c>
      <c r="J156" s="5" t="s">
        <v>16</v>
      </c>
      <c r="K156" s="5" t="s">
        <v>17</v>
      </c>
      <c r="L156" s="6" t="s">
        <v>278</v>
      </c>
      <c r="M156" s="5" t="s">
        <v>26</v>
      </c>
      <c r="N156" s="5" t="s">
        <v>27</v>
      </c>
      <c r="O156" s="5">
        <v>10350.0</v>
      </c>
      <c r="P156" s="5">
        <v>66.0</v>
      </c>
      <c r="Q156" s="5">
        <v>723.0</v>
      </c>
      <c r="R156" s="5">
        <v>8720.0</v>
      </c>
      <c r="S156" s="5">
        <v>14.0</v>
      </c>
      <c r="T156" s="5">
        <v>6774.202636</v>
      </c>
    </row>
    <row r="157">
      <c r="A157" s="4" t="s">
        <v>1778</v>
      </c>
      <c r="B157" s="4" t="str">
        <f>IFERROR(__xludf.DUMMYFUNCTION("SPLIT(A157:A883, ""&gt;"")"),"Mobile - US ")</f>
        <v>Mobile - US </v>
      </c>
      <c r="C157" s="4" t="str">
        <f>IFERROR(__xludf.DUMMYFUNCTION("""COMPUTED_VALUE""")," Food ")</f>
        <v> Food </v>
      </c>
      <c r="D157" s="4" t="str">
        <f>IFERROR(__xludf.DUMMYFUNCTION("""COMPUTED_VALUE""")," Restaurant ")</f>
        <v> Restaurant </v>
      </c>
      <c r="E157" s="4" t="str">
        <f>IFERROR(__xludf.DUMMYFUNCTION("""COMPUTED_VALUE""")," Style ")</f>
        <v> Style </v>
      </c>
      <c r="F157" s="4" t="str">
        <f>IFERROR(__xludf.DUMMYFUNCTION("""COMPUTED_VALUE""")," Desserts")</f>
        <v> Desserts</v>
      </c>
      <c r="G157" s="4"/>
      <c r="H157" s="4"/>
      <c r="I157" s="5" t="s">
        <v>15</v>
      </c>
      <c r="J157" s="5" t="s">
        <v>23</v>
      </c>
      <c r="K157" s="5" t="s">
        <v>78</v>
      </c>
      <c r="L157" s="6" t="s">
        <v>278</v>
      </c>
      <c r="M157" s="5" t="s">
        <v>46</v>
      </c>
      <c r="N157" s="5" t="s">
        <v>20</v>
      </c>
      <c r="O157" s="5">
        <v>18028.0</v>
      </c>
      <c r="P157" s="5">
        <v>89.0</v>
      </c>
      <c r="Q157" s="5">
        <v>1851.0</v>
      </c>
      <c r="R157" s="5">
        <v>14926.0</v>
      </c>
      <c r="S157" s="5">
        <v>24.0</v>
      </c>
      <c r="T157" s="5">
        <v>1572.24171</v>
      </c>
    </row>
    <row r="158">
      <c r="A158" s="4" t="s">
        <v>1779</v>
      </c>
      <c r="B158" s="4" t="str">
        <f>IFERROR(__xludf.DUMMYFUNCTION("SPLIT(A158:A884, ""&gt;"")"),"US ")</f>
        <v>US </v>
      </c>
      <c r="C158" s="4" t="str">
        <f>IFERROR(__xludf.DUMMYFUNCTION("""COMPUTED_VALUE""")," AUTO ")</f>
        <v> AUTO </v>
      </c>
      <c r="D158" s="4" t="str">
        <f>IFERROR(__xludf.DUMMYFUNCTION("""COMPUTED_VALUE""")," Primary Vehicle ")</f>
        <v> Primary Vehicle </v>
      </c>
      <c r="E158" s="4" t="str">
        <f>IFERROR(__xludf.DUMMYFUNCTION("""COMPUTED_VALUE""")," New or Used ")</f>
        <v> New or Used </v>
      </c>
      <c r="F158" s="4" t="str">
        <f>IFERROR(__xludf.DUMMYFUNCTION("""COMPUTED_VALUE""")," New")</f>
        <v> New</v>
      </c>
      <c r="G158" s="4"/>
      <c r="H158" s="4"/>
      <c r="I158" s="5" t="s">
        <v>15</v>
      </c>
      <c r="J158" s="5" t="s">
        <v>23</v>
      </c>
      <c r="K158" s="5" t="s">
        <v>17</v>
      </c>
      <c r="L158" s="6" t="s">
        <v>281</v>
      </c>
      <c r="M158" s="5" t="s">
        <v>19</v>
      </c>
      <c r="N158" s="5" t="s">
        <v>27</v>
      </c>
      <c r="O158" s="5">
        <v>12391.0</v>
      </c>
      <c r="P158" s="5">
        <v>40.0</v>
      </c>
      <c r="Q158" s="5">
        <v>5756.0</v>
      </c>
      <c r="R158" s="5">
        <v>11636.0</v>
      </c>
      <c r="S158" s="5">
        <v>4.0</v>
      </c>
      <c r="T158" s="5">
        <v>3069.123483</v>
      </c>
    </row>
    <row r="159">
      <c r="A159" s="4" t="s">
        <v>1780</v>
      </c>
      <c r="B159" s="4" t="str">
        <f>IFERROR(__xludf.DUMMYFUNCTION("SPLIT(A159:A885, ""&gt;"")"),"US ")</f>
        <v>US </v>
      </c>
      <c r="C159" s="4" t="str">
        <f>IFERROR(__xludf.DUMMYFUNCTION("""COMPUTED_VALUE""")," B2B ")</f>
        <v> B2B </v>
      </c>
      <c r="D159" s="4" t="str">
        <f>IFERROR(__xludf.DUMMYFUNCTION("""COMPUTED_VALUE""")," B2B Decision Maker Responsibilities ")</f>
        <v> B2B Decision Maker Responsibilities </v>
      </c>
      <c r="E159" s="4" t="str">
        <f>IFERROR(__xludf.DUMMYFUNCTION("""COMPUTED_VALUE""")," Advertising Services")</f>
        <v> Advertising Services</v>
      </c>
      <c r="F159" s="4"/>
      <c r="G159" s="4"/>
      <c r="H159" s="4"/>
      <c r="I159" s="5" t="s">
        <v>22</v>
      </c>
      <c r="J159" s="5" t="s">
        <v>31</v>
      </c>
      <c r="K159" s="5" t="s">
        <v>32</v>
      </c>
      <c r="L159" s="6" t="s">
        <v>283</v>
      </c>
      <c r="M159" s="5" t="s">
        <v>46</v>
      </c>
      <c r="N159" s="5" t="s">
        <v>27</v>
      </c>
      <c r="O159" s="5">
        <v>14917.0</v>
      </c>
      <c r="P159" s="5">
        <v>10.0</v>
      </c>
      <c r="Q159" s="5">
        <v>3065.0</v>
      </c>
      <c r="R159" s="5">
        <v>13109.0</v>
      </c>
      <c r="S159" s="5">
        <v>3.0</v>
      </c>
      <c r="T159" s="5">
        <v>1583.537104</v>
      </c>
    </row>
    <row r="160">
      <c r="A160" s="4" t="s">
        <v>1215</v>
      </c>
      <c r="B160" s="4" t="str">
        <f>IFERROR(__xludf.DUMMYFUNCTION("SPLIT(A160:A886, ""&gt;"")"),"Online Behavior")</f>
        <v>Online Behavior</v>
      </c>
      <c r="C160" s="4" t="str">
        <f>IFERROR(__xludf.DUMMYFUNCTION("""COMPUTED_VALUE"""),"United States")</f>
        <v>United States</v>
      </c>
      <c r="D160" s="4" t="str">
        <f>IFERROR(__xludf.DUMMYFUNCTION("""COMPUTED_VALUE"""),"Intent ")</f>
        <v>Intent </v>
      </c>
      <c r="E160" s="4" t="str">
        <f>IFERROR(__xludf.DUMMYFUNCTION("""COMPUTED_VALUE""")," Travel")</f>
        <v> Travel</v>
      </c>
      <c r="F160" s="4" t="str">
        <f>IFERROR(__xludf.DUMMYFUNCTION("""COMPUTED_VALUE"""),"Cruises")</f>
        <v>Cruises</v>
      </c>
      <c r="G160" s="4"/>
      <c r="H160" s="4"/>
      <c r="I160" s="5" t="s">
        <v>61</v>
      </c>
      <c r="J160" s="5" t="s">
        <v>16</v>
      </c>
      <c r="K160" s="5" t="s">
        <v>29</v>
      </c>
      <c r="L160" s="6" t="s">
        <v>285</v>
      </c>
      <c r="M160" s="5" t="s">
        <v>117</v>
      </c>
      <c r="N160" s="5" t="s">
        <v>27</v>
      </c>
      <c r="O160" s="5">
        <v>9560.0</v>
      </c>
      <c r="P160" s="5">
        <v>98.0</v>
      </c>
      <c r="Q160" s="5">
        <v>3076.0</v>
      </c>
      <c r="R160" s="5">
        <v>6252.0</v>
      </c>
      <c r="S160" s="5">
        <v>17.0</v>
      </c>
      <c r="T160" s="5">
        <v>6420.218123</v>
      </c>
    </row>
    <row r="161">
      <c r="A161" s="4" t="s">
        <v>1781</v>
      </c>
      <c r="B161" s="4" t="str">
        <f>IFERROR(__xludf.DUMMYFUNCTION("SPLIT(A161:A887, ""&gt;"")"),"US ")</f>
        <v>US </v>
      </c>
      <c r="C161" s="4" t="str">
        <f>IFERROR(__xludf.DUMMYFUNCTION("""COMPUTED_VALUE""")," B2B ")</f>
        <v> B2B </v>
      </c>
      <c r="D161" s="4" t="str">
        <f>IFERROR(__xludf.DUMMYFUNCTION("""COMPUTED_VALUE""")," B2B Decision Maker Responsibilities ")</f>
        <v> B2B Decision Maker Responsibilities </v>
      </c>
      <c r="E161" s="4" t="str">
        <f>IFERROR(__xludf.DUMMYFUNCTION("""COMPUTED_VALUE""")," Accounting or Tax Services")</f>
        <v> Accounting or Tax Services</v>
      </c>
      <c r="F161" s="4"/>
      <c r="G161" s="4"/>
      <c r="H161" s="4"/>
      <c r="I161" s="5" t="s">
        <v>22</v>
      </c>
      <c r="J161" s="5" t="s">
        <v>23</v>
      </c>
      <c r="K161" s="5" t="s">
        <v>55</v>
      </c>
      <c r="L161" s="6" t="s">
        <v>287</v>
      </c>
      <c r="M161" s="5" t="s">
        <v>19</v>
      </c>
      <c r="N161" s="5" t="s">
        <v>27</v>
      </c>
      <c r="O161" s="5">
        <v>12606.0</v>
      </c>
      <c r="P161" s="5">
        <v>74.0</v>
      </c>
      <c r="Q161" s="5">
        <v>8332.0</v>
      </c>
      <c r="R161" s="5">
        <v>11170.0</v>
      </c>
      <c r="S161" s="5">
        <v>5.0</v>
      </c>
      <c r="T161" s="5">
        <v>2002.537989</v>
      </c>
    </row>
    <row r="162">
      <c r="A162" s="4" t="s">
        <v>288</v>
      </c>
      <c r="B162" s="4" t="str">
        <f>IFERROR(__xludf.DUMMYFUNCTION("SPLIT(A162:A888, ""&gt;"")"),"Online Behavior")</f>
        <v>Online Behavior</v>
      </c>
      <c r="C162" s="4" t="str">
        <f>IFERROR(__xludf.DUMMYFUNCTION("""COMPUTED_VALUE"""),"United States")</f>
        <v>United States</v>
      </c>
      <c r="D162" s="4" t="str">
        <f>IFERROR(__xludf.DUMMYFUNCTION("""COMPUTED_VALUE"""),"Beauty and Fitness")</f>
        <v>Beauty and Fitness</v>
      </c>
      <c r="E162" s="4" t="str">
        <f>IFERROR(__xludf.DUMMYFUNCTION("""COMPUTED_VALUE"""),"Cosmetology and Beauty Professionals")</f>
        <v>Cosmetology and Beauty Professionals</v>
      </c>
      <c r="F162" s="4"/>
      <c r="G162" s="4"/>
      <c r="H162" s="4"/>
      <c r="I162" s="5" t="s">
        <v>22</v>
      </c>
      <c r="J162" s="5" t="s">
        <v>16</v>
      </c>
      <c r="K162" s="5" t="s">
        <v>78</v>
      </c>
      <c r="L162" s="6" t="s">
        <v>289</v>
      </c>
      <c r="M162" s="5" t="s">
        <v>33</v>
      </c>
      <c r="N162" s="5" t="s">
        <v>27</v>
      </c>
      <c r="O162" s="5">
        <v>18022.0</v>
      </c>
      <c r="P162" s="5">
        <v>30.0</v>
      </c>
      <c r="Q162" s="5">
        <v>10618.0</v>
      </c>
      <c r="R162" s="5">
        <v>16643.0</v>
      </c>
      <c r="S162" s="5">
        <v>15.0</v>
      </c>
      <c r="T162" s="5">
        <v>4051.158749</v>
      </c>
    </row>
    <row r="163">
      <c r="A163" s="4" t="s">
        <v>1217</v>
      </c>
      <c r="B163" s="4" t="str">
        <f>IFERROR(__xludf.DUMMYFUNCTION("SPLIT(A163:A889, ""&gt;"")"),"Online Behavior")</f>
        <v>Online Behavior</v>
      </c>
      <c r="C163" s="4" t="str">
        <f>IFERROR(__xludf.DUMMYFUNCTION("""COMPUTED_VALUE"""),"United States")</f>
        <v>United States</v>
      </c>
      <c r="D163" s="4" t="str">
        <f>IFERROR(__xludf.DUMMYFUNCTION("""COMPUTED_VALUE"""),"Finance ")</f>
        <v>Finance </v>
      </c>
      <c r="E163" s="4" t="str">
        <f>IFERROR(__xludf.DUMMYFUNCTION("""COMPUTED_VALUE""")," Insurance")</f>
        <v> Insurance</v>
      </c>
      <c r="F163" s="4" t="str">
        <f>IFERROR(__xludf.DUMMYFUNCTION("""COMPUTED_VALUE"""),"Life Insurance")</f>
        <v>Life Insurance</v>
      </c>
      <c r="G163" s="4"/>
      <c r="H163" s="4"/>
      <c r="I163" s="5" t="s">
        <v>22</v>
      </c>
      <c r="J163" s="5" t="s">
        <v>16</v>
      </c>
      <c r="K163" s="5" t="s">
        <v>17</v>
      </c>
      <c r="L163" s="6" t="s">
        <v>291</v>
      </c>
      <c r="M163" s="5" t="s">
        <v>36</v>
      </c>
      <c r="N163" s="5" t="s">
        <v>27</v>
      </c>
      <c r="O163" s="5">
        <v>18401.0</v>
      </c>
      <c r="P163" s="5">
        <v>66.0</v>
      </c>
      <c r="Q163" s="5">
        <v>11051.0</v>
      </c>
      <c r="R163" s="5">
        <v>17202.0</v>
      </c>
      <c r="S163" s="5">
        <v>26.0</v>
      </c>
      <c r="T163" s="5">
        <v>6571.491552</v>
      </c>
    </row>
    <row r="164">
      <c r="A164" s="4" t="s">
        <v>292</v>
      </c>
      <c r="B164" s="4" t="str">
        <f>IFERROR(__xludf.DUMMYFUNCTION("SPLIT(A164:A890, ""&gt;"")"),"Online Behavior")</f>
        <v>Online Behavior</v>
      </c>
      <c r="C164" s="4" t="str">
        <f>IFERROR(__xludf.DUMMYFUNCTION("""COMPUTED_VALUE"""),"United States")</f>
        <v>United States</v>
      </c>
      <c r="D164" s="4" t="str">
        <f>IFERROR(__xludf.DUMMYFUNCTION("""COMPUTED_VALUE"""),"Food and Drink")</f>
        <v>Food and Drink</v>
      </c>
      <c r="E164" s="4" t="str">
        <f>IFERROR(__xludf.DUMMYFUNCTION("""COMPUTED_VALUE"""),"Food and Grocery Retailers")</f>
        <v>Food and Grocery Retailers</v>
      </c>
      <c r="F164" s="4"/>
      <c r="G164" s="4"/>
      <c r="H164" s="4"/>
      <c r="I164" s="5" t="s">
        <v>22</v>
      </c>
      <c r="J164" s="5" t="s">
        <v>16</v>
      </c>
      <c r="K164" s="5" t="s">
        <v>273</v>
      </c>
      <c r="L164" s="6" t="s">
        <v>291</v>
      </c>
      <c r="M164" s="5" t="s">
        <v>19</v>
      </c>
      <c r="N164" s="5" t="s">
        <v>27</v>
      </c>
      <c r="O164" s="5">
        <v>18412.0</v>
      </c>
      <c r="P164" s="5">
        <v>140.0</v>
      </c>
      <c r="Q164" s="5">
        <v>5668.0</v>
      </c>
      <c r="R164" s="5">
        <v>16711.0</v>
      </c>
      <c r="S164" s="5">
        <v>12.0</v>
      </c>
      <c r="T164" s="5">
        <v>5244.34174</v>
      </c>
    </row>
    <row r="165">
      <c r="A165" s="4" t="s">
        <v>1218</v>
      </c>
      <c r="B165" s="4" t="str">
        <f>IFERROR(__xludf.DUMMYFUNCTION("SPLIT(A165:A891, ""&gt;"")"),"Online Behavior")</f>
        <v>Online Behavior</v>
      </c>
      <c r="C165" s="4" t="str">
        <f>IFERROR(__xludf.DUMMYFUNCTION("""COMPUTED_VALUE"""),"United States")</f>
        <v>United States</v>
      </c>
      <c r="D165" s="4" t="str">
        <f>IFERROR(__xludf.DUMMYFUNCTION("""COMPUTED_VALUE"""),"Intent ")</f>
        <v>Intent </v>
      </c>
      <c r="E165" s="4" t="str">
        <f>IFERROR(__xludf.DUMMYFUNCTION("""COMPUTED_VALUE""")," Shopping")</f>
        <v> Shopping</v>
      </c>
      <c r="F165" s="4" t="str">
        <f>IFERROR(__xludf.DUMMYFUNCTION("""COMPUTED_VALUE"""),"Drug Stores ")</f>
        <v>Drug Stores </v>
      </c>
      <c r="G165" s="4" t="str">
        <f>IFERROR(__xludf.DUMMYFUNCTION("""COMPUTED_VALUE""")," CVS")</f>
        <v> CVS</v>
      </c>
      <c r="H165" s="4"/>
      <c r="I165" s="5" t="s">
        <v>15</v>
      </c>
      <c r="J165" s="5" t="s">
        <v>31</v>
      </c>
      <c r="K165" s="5" t="s">
        <v>29</v>
      </c>
      <c r="L165" s="6" t="s">
        <v>291</v>
      </c>
      <c r="M165" s="5" t="s">
        <v>46</v>
      </c>
      <c r="N165" s="5" t="s">
        <v>27</v>
      </c>
      <c r="O165" s="5">
        <v>11697.0</v>
      </c>
      <c r="P165" s="5">
        <v>64.0</v>
      </c>
      <c r="Q165" s="5">
        <v>6761.0</v>
      </c>
      <c r="R165" s="5">
        <v>10783.0</v>
      </c>
      <c r="S165" s="5">
        <v>3.0</v>
      </c>
      <c r="T165" s="5">
        <v>5218.070231</v>
      </c>
    </row>
    <row r="166">
      <c r="A166" s="4" t="s">
        <v>1782</v>
      </c>
      <c r="B166" s="4" t="str">
        <f>IFERROR(__xludf.DUMMYFUNCTION("SPLIT(A166:A892, ""&gt;"")"),"US ")</f>
        <v>US </v>
      </c>
      <c r="C166" s="4" t="str">
        <f>IFERROR(__xludf.DUMMYFUNCTION("""COMPUTED_VALUE""")," Composite Segment ")</f>
        <v> Composite Segment </v>
      </c>
      <c r="D166" s="4" t="str">
        <f>IFERROR(__xludf.DUMMYFUNCTION("""COMPUTED_VALUE""")," Women Born to Shop")</f>
        <v> Women Born to Shop</v>
      </c>
      <c r="E166" s="4"/>
      <c r="F166" s="4"/>
      <c r="G166" s="4"/>
      <c r="H166" s="4"/>
      <c r="I166" s="5" t="s">
        <v>22</v>
      </c>
      <c r="J166" s="5" t="s">
        <v>16</v>
      </c>
      <c r="K166" s="5" t="s">
        <v>29</v>
      </c>
      <c r="L166" s="6" t="s">
        <v>291</v>
      </c>
      <c r="M166" s="5" t="s">
        <v>36</v>
      </c>
      <c r="N166" s="5" t="s">
        <v>27</v>
      </c>
      <c r="O166" s="5">
        <v>12220.0</v>
      </c>
      <c r="P166" s="5">
        <v>54.0</v>
      </c>
      <c r="Q166" s="5">
        <v>7133.0</v>
      </c>
      <c r="R166" s="5">
        <v>11331.0</v>
      </c>
      <c r="S166" s="5">
        <v>3.0</v>
      </c>
      <c r="T166" s="5">
        <v>1478.392247</v>
      </c>
    </row>
    <row r="167">
      <c r="A167" s="4" t="s">
        <v>1220</v>
      </c>
      <c r="B167" s="4" t="str">
        <f>IFERROR(__xludf.DUMMYFUNCTION("SPLIT(A167:A893, ""&gt;"")"),"Real Estate ")</f>
        <v>Real Estate </v>
      </c>
      <c r="C167" s="4" t="str">
        <f>IFERROR(__xludf.DUMMYFUNCTION("""COMPUTED_VALUE""")," Rent Amount ")</f>
        <v> Rent Amount </v>
      </c>
      <c r="D167" s="4" t="str">
        <f>IFERROR(__xludf.DUMMYFUNCTION("""COMPUTED_VALUE""")," Sensible  Rentals ($1000-$3000)")</f>
        <v> Sensible  Rentals ($1000-$3000)</v>
      </c>
      <c r="E167" s="4"/>
      <c r="F167" s="4"/>
      <c r="G167" s="4"/>
      <c r="H167" s="4"/>
      <c r="I167" s="5" t="s">
        <v>15</v>
      </c>
      <c r="J167" s="5" t="s">
        <v>42</v>
      </c>
      <c r="K167" s="5" t="s">
        <v>17</v>
      </c>
      <c r="L167" s="6" t="s">
        <v>291</v>
      </c>
      <c r="M167" s="5" t="s">
        <v>136</v>
      </c>
      <c r="N167" s="5" t="s">
        <v>52</v>
      </c>
      <c r="O167" s="5">
        <v>49415.0</v>
      </c>
      <c r="P167" s="5">
        <v>144.0</v>
      </c>
      <c r="Q167" s="5">
        <v>24692.0</v>
      </c>
      <c r="R167" s="5">
        <v>45565.0</v>
      </c>
      <c r="S167" s="5">
        <v>3.0</v>
      </c>
      <c r="T167" s="5">
        <v>1471.175728</v>
      </c>
    </row>
    <row r="168">
      <c r="A168" s="4" t="s">
        <v>1221</v>
      </c>
      <c r="B168" s="4" t="str">
        <f>IFERROR(__xludf.DUMMYFUNCTION("SPLIT(A168:A894, ""&gt;"")"),"Online Behavior")</f>
        <v>Online Behavior</v>
      </c>
      <c r="C168" s="4" t="str">
        <f>IFERROR(__xludf.DUMMYFUNCTION("""COMPUTED_VALUE"""),"United States")</f>
        <v>United States</v>
      </c>
      <c r="D168" s="4" t="str">
        <f>IFERROR(__xludf.DUMMYFUNCTION("""COMPUTED_VALUE"""),"Finance ")</f>
        <v>Finance </v>
      </c>
      <c r="E168" s="4" t="str">
        <f>IFERROR(__xludf.DUMMYFUNCTION("""COMPUTED_VALUE""")," Credit and Lending")</f>
        <v> Credit and Lending</v>
      </c>
      <c r="F168" s="4" t="str">
        <f>IFERROR(__xludf.DUMMYFUNCTION("""COMPUTED_VALUE"""),"Loans")</f>
        <v>Loans</v>
      </c>
      <c r="G168" s="4"/>
      <c r="H168" s="4"/>
      <c r="I168" s="5" t="s">
        <v>15</v>
      </c>
      <c r="J168" s="5" t="s">
        <v>16</v>
      </c>
      <c r="K168" s="5" t="s">
        <v>35</v>
      </c>
      <c r="L168" s="6" t="s">
        <v>297</v>
      </c>
      <c r="M168" s="5" t="s">
        <v>19</v>
      </c>
      <c r="N168" s="5" t="s">
        <v>27</v>
      </c>
      <c r="O168" s="5">
        <v>1100942.0</v>
      </c>
      <c r="P168" s="5">
        <v>2984.0</v>
      </c>
      <c r="Q168" s="5">
        <v>629973.0</v>
      </c>
      <c r="R168" s="5">
        <v>1041225.0</v>
      </c>
      <c r="S168" s="5">
        <v>147.0</v>
      </c>
      <c r="T168" s="5">
        <v>7979.348589</v>
      </c>
    </row>
    <row r="169">
      <c r="A169" s="4" t="s">
        <v>1222</v>
      </c>
      <c r="B169" s="4" t="str">
        <f>IFERROR(__xludf.DUMMYFUNCTION("SPLIT(A169:A895, ""&gt;"")"),"Online Behavior")</f>
        <v>Online Behavior</v>
      </c>
      <c r="C169" s="4" t="str">
        <f>IFERROR(__xludf.DUMMYFUNCTION("""COMPUTED_VALUE"""),"United States")</f>
        <v>United States</v>
      </c>
      <c r="D169" s="4" t="str">
        <f>IFERROR(__xludf.DUMMYFUNCTION("""COMPUTED_VALUE"""),"Finance ")</f>
        <v>Finance </v>
      </c>
      <c r="E169" s="4" t="str">
        <f>IFERROR(__xludf.DUMMYFUNCTION("""COMPUTED_VALUE""")," Banking")</f>
        <v> Banking</v>
      </c>
      <c r="F169" s="4" t="str">
        <f>IFERROR(__xludf.DUMMYFUNCTION("""COMPUTED_VALUE"""),"Money Transfer and Wire Services")</f>
        <v>Money Transfer and Wire Services</v>
      </c>
      <c r="G169" s="4"/>
      <c r="H169" s="4"/>
      <c r="I169" s="5" t="s">
        <v>22</v>
      </c>
      <c r="J169" s="5" t="s">
        <v>16</v>
      </c>
      <c r="K169" s="5" t="s">
        <v>78</v>
      </c>
      <c r="L169" s="6" t="s">
        <v>297</v>
      </c>
      <c r="M169" s="5" t="s">
        <v>19</v>
      </c>
      <c r="N169" s="5" t="s">
        <v>27</v>
      </c>
      <c r="O169" s="5">
        <v>221720.0</v>
      </c>
      <c r="P169" s="5">
        <v>499.0</v>
      </c>
      <c r="Q169" s="5">
        <v>35178.0</v>
      </c>
      <c r="R169" s="5">
        <v>196583.0</v>
      </c>
      <c r="S169" s="5">
        <v>69.0</v>
      </c>
      <c r="T169" s="5">
        <v>7890.221963</v>
      </c>
    </row>
    <row r="170">
      <c r="A170" s="4" t="s">
        <v>299</v>
      </c>
      <c r="B170" s="4" t="str">
        <f>IFERROR(__xludf.DUMMYFUNCTION("SPLIT(A170:A896, ""&gt;"")"),"Online Behavior")</f>
        <v>Online Behavior</v>
      </c>
      <c r="C170" s="4" t="str">
        <f>IFERROR(__xludf.DUMMYFUNCTION("""COMPUTED_VALUE"""),"United States")</f>
        <v>United States</v>
      </c>
      <c r="D170" s="4" t="str">
        <f>IFERROR(__xludf.DUMMYFUNCTION("""COMPUTED_VALUE"""),"Travel")</f>
        <v>Travel</v>
      </c>
      <c r="E170" s="4" t="str">
        <f>IFERROR(__xludf.DUMMYFUNCTION("""COMPUTED_VALUE"""),"Tourist Destinations")</f>
        <v>Tourist Destinations</v>
      </c>
      <c r="F170" s="4"/>
      <c r="G170" s="4"/>
      <c r="H170" s="4"/>
      <c r="I170" s="5" t="s">
        <v>15</v>
      </c>
      <c r="J170" s="5" t="s">
        <v>31</v>
      </c>
      <c r="K170" s="5" t="s">
        <v>78</v>
      </c>
      <c r="L170" s="6" t="s">
        <v>297</v>
      </c>
      <c r="M170" s="5" t="s">
        <v>19</v>
      </c>
      <c r="N170" s="5" t="s">
        <v>27</v>
      </c>
      <c r="O170" s="5">
        <v>325152.0</v>
      </c>
      <c r="P170" s="5">
        <v>854.0</v>
      </c>
      <c r="Q170" s="5">
        <v>138319.0</v>
      </c>
      <c r="R170" s="5">
        <v>300133.0</v>
      </c>
      <c r="S170" s="5">
        <v>55.0</v>
      </c>
      <c r="T170" s="5">
        <v>7887.612662</v>
      </c>
    </row>
    <row r="171">
      <c r="A171" s="4" t="s">
        <v>1223</v>
      </c>
      <c r="B171" s="4" t="str">
        <f>IFERROR(__xludf.DUMMYFUNCTION("SPLIT(A171:A897, ""&gt;"")"),"Online Behavior")</f>
        <v>Online Behavior</v>
      </c>
      <c r="C171" s="4" t="str">
        <f>IFERROR(__xludf.DUMMYFUNCTION("""COMPUTED_VALUE"""),"United States")</f>
        <v>United States</v>
      </c>
      <c r="D171" s="4" t="str">
        <f>IFERROR(__xludf.DUMMYFUNCTION("""COMPUTED_VALUE"""),"Finance ")</f>
        <v>Finance </v>
      </c>
      <c r="E171" s="4" t="str">
        <f>IFERROR(__xludf.DUMMYFUNCTION("""COMPUTED_VALUE""")," Investing")</f>
        <v> Investing</v>
      </c>
      <c r="F171" s="4" t="str">
        <f>IFERROR(__xludf.DUMMYFUNCTION("""COMPUTED_VALUE"""),"Stocks and Bonds")</f>
        <v>Stocks and Bonds</v>
      </c>
      <c r="G171" s="4"/>
      <c r="H171" s="4"/>
      <c r="I171" s="5" t="s">
        <v>22</v>
      </c>
      <c r="J171" s="5" t="s">
        <v>16</v>
      </c>
      <c r="K171" s="5" t="s">
        <v>55</v>
      </c>
      <c r="L171" s="6" t="s">
        <v>297</v>
      </c>
      <c r="M171" s="5" t="s">
        <v>50</v>
      </c>
      <c r="N171" s="5" t="s">
        <v>27</v>
      </c>
      <c r="O171" s="5">
        <v>680912.0</v>
      </c>
      <c r="P171" s="5">
        <v>2000.0</v>
      </c>
      <c r="Q171" s="5">
        <v>388915.0</v>
      </c>
      <c r="R171" s="5">
        <v>648524.0</v>
      </c>
      <c r="S171" s="5">
        <v>39.0</v>
      </c>
      <c r="T171" s="5">
        <v>7814.262494</v>
      </c>
    </row>
    <row r="172">
      <c r="A172" s="4" t="s">
        <v>301</v>
      </c>
      <c r="B172" s="4" t="str">
        <f>IFERROR(__xludf.DUMMYFUNCTION("SPLIT(A172:A898, ""&gt;"")"),"Online Behavior")</f>
        <v>Online Behavior</v>
      </c>
      <c r="C172" s="4" t="str">
        <f>IFERROR(__xludf.DUMMYFUNCTION("""COMPUTED_VALUE"""),"United States")</f>
        <v>United States</v>
      </c>
      <c r="D172" s="4" t="str">
        <f>IFERROR(__xludf.DUMMYFUNCTION("""COMPUTED_VALUE"""),"Life Event")</f>
        <v>Life Event</v>
      </c>
      <c r="E172" s="4" t="str">
        <f>IFERROR(__xludf.DUMMYFUNCTION("""COMPUTED_VALUE"""),"New Parent")</f>
        <v>New Parent</v>
      </c>
      <c r="F172" s="4"/>
      <c r="G172" s="4"/>
      <c r="H172" s="4"/>
      <c r="I172" s="5" t="s">
        <v>15</v>
      </c>
      <c r="J172" s="5" t="s">
        <v>42</v>
      </c>
      <c r="K172" s="5" t="s">
        <v>39</v>
      </c>
      <c r="L172" s="6" t="s">
        <v>297</v>
      </c>
      <c r="M172" s="5" t="s">
        <v>33</v>
      </c>
      <c r="N172" s="5" t="s">
        <v>27</v>
      </c>
      <c r="O172" s="5">
        <v>569171.0</v>
      </c>
      <c r="P172" s="5">
        <v>1354.0</v>
      </c>
      <c r="Q172" s="5">
        <v>343050.0</v>
      </c>
      <c r="R172" s="5">
        <v>541133.0</v>
      </c>
      <c r="S172" s="5">
        <v>78.0</v>
      </c>
      <c r="T172" s="5">
        <v>7129.633287</v>
      </c>
    </row>
    <row r="173">
      <c r="A173" s="4" t="s">
        <v>1224</v>
      </c>
      <c r="B173" s="4" t="str">
        <f>IFERROR(__xludf.DUMMYFUNCTION("SPLIT(A173:A899, ""&gt;"")"),"Online Behavior")</f>
        <v>Online Behavior</v>
      </c>
      <c r="C173" s="4" t="str">
        <f>IFERROR(__xludf.DUMMYFUNCTION("""COMPUTED_VALUE"""),"United States")</f>
        <v>United States</v>
      </c>
      <c r="D173" s="4" t="str">
        <f>IFERROR(__xludf.DUMMYFUNCTION("""COMPUTED_VALUE"""),"Hobbies and Leisure")</f>
        <v>Hobbies and Leisure</v>
      </c>
      <c r="E173" s="4" t="str">
        <f>IFERROR(__xludf.DUMMYFUNCTION("""COMPUTED_VALUE"""),"Outdoors ")</f>
        <v>Outdoors </v>
      </c>
      <c r="F173" s="4" t="str">
        <f>IFERROR(__xludf.DUMMYFUNCTION("""COMPUTED_VALUE""")," Hiking and Camping")</f>
        <v> Hiking and Camping</v>
      </c>
      <c r="G173" s="4"/>
      <c r="H173" s="4"/>
      <c r="I173" s="5" t="s">
        <v>15</v>
      </c>
      <c r="J173" s="5" t="s">
        <v>42</v>
      </c>
      <c r="K173" s="5" t="s">
        <v>35</v>
      </c>
      <c r="L173" s="6" t="s">
        <v>297</v>
      </c>
      <c r="M173" s="5" t="s">
        <v>36</v>
      </c>
      <c r="N173" s="5" t="s">
        <v>20</v>
      </c>
      <c r="O173" s="5">
        <v>27592.0</v>
      </c>
      <c r="P173" s="5">
        <v>80.0</v>
      </c>
      <c r="Q173" s="5">
        <v>10901.0</v>
      </c>
      <c r="R173" s="5">
        <v>24980.0</v>
      </c>
      <c r="S173" s="5">
        <v>17.0</v>
      </c>
      <c r="T173" s="5">
        <v>6809.356022</v>
      </c>
    </row>
    <row r="174">
      <c r="A174" s="4" t="s">
        <v>1225</v>
      </c>
      <c r="B174" s="4" t="str">
        <f>IFERROR(__xludf.DUMMYFUNCTION("SPLIT(A174:A900, ""&gt;"")"),"Online Behavior")</f>
        <v>Online Behavior</v>
      </c>
      <c r="C174" s="4" t="str">
        <f>IFERROR(__xludf.DUMMYFUNCTION("""COMPUTED_VALUE"""),"United States")</f>
        <v>United States</v>
      </c>
      <c r="D174" s="4" t="str">
        <f>IFERROR(__xludf.DUMMYFUNCTION("""COMPUTED_VALUE"""),"Intent ")</f>
        <v>Intent </v>
      </c>
      <c r="E174" s="4" t="str">
        <f>IFERROR(__xludf.DUMMYFUNCTION("""COMPUTED_VALUE""")," Financial Intent")</f>
        <v> Financial Intent</v>
      </c>
      <c r="F174" s="4" t="str">
        <f>IFERROR(__xludf.DUMMYFUNCTION("""COMPUTED_VALUE"""),"Loans and Credit")</f>
        <v>Loans and Credit</v>
      </c>
      <c r="G174" s="4"/>
      <c r="H174" s="4"/>
      <c r="I174" s="5" t="s">
        <v>22</v>
      </c>
      <c r="J174" s="5" t="s">
        <v>31</v>
      </c>
      <c r="K174" s="5" t="s">
        <v>304</v>
      </c>
      <c r="L174" s="6" t="s">
        <v>297</v>
      </c>
      <c r="M174" s="5" t="s">
        <v>167</v>
      </c>
      <c r="N174" s="5" t="s">
        <v>27</v>
      </c>
      <c r="O174" s="5">
        <v>83957.0</v>
      </c>
      <c r="P174" s="5">
        <v>185.0</v>
      </c>
      <c r="Q174" s="5">
        <v>1420.0</v>
      </c>
      <c r="R174" s="5">
        <v>69246.0</v>
      </c>
      <c r="S174" s="5">
        <v>19.0</v>
      </c>
      <c r="T174" s="5">
        <v>6651.51451</v>
      </c>
    </row>
    <row r="175">
      <c r="A175" s="4" t="s">
        <v>305</v>
      </c>
      <c r="B175" s="4" t="str">
        <f>IFERROR(__xludf.DUMMYFUNCTION("SPLIT(A175:A901, ""&gt;"")"),"Online Behavior")</f>
        <v>Online Behavior</v>
      </c>
      <c r="C175" s="4" t="str">
        <f>IFERROR(__xludf.DUMMYFUNCTION("""COMPUTED_VALUE"""),"United States")</f>
        <v>United States</v>
      </c>
      <c r="D175" s="4" t="str">
        <f>IFERROR(__xludf.DUMMYFUNCTION("""COMPUTED_VALUE"""),"Real Estate")</f>
        <v>Real Estate</v>
      </c>
      <c r="E175" s="4" t="str">
        <f>IFERROR(__xludf.DUMMYFUNCTION("""COMPUTED_VALUE"""),"Homeowner")</f>
        <v>Homeowner</v>
      </c>
      <c r="F175" s="4"/>
      <c r="G175" s="4"/>
      <c r="H175" s="4"/>
      <c r="I175" s="5" t="s">
        <v>15</v>
      </c>
      <c r="J175" s="5" t="s">
        <v>42</v>
      </c>
      <c r="K175" s="5" t="s">
        <v>78</v>
      </c>
      <c r="L175" s="6" t="s">
        <v>297</v>
      </c>
      <c r="M175" s="5" t="s">
        <v>19</v>
      </c>
      <c r="N175" s="5" t="s">
        <v>27</v>
      </c>
      <c r="O175" s="5">
        <v>161178.0</v>
      </c>
      <c r="P175" s="5">
        <v>492.0</v>
      </c>
      <c r="Q175" s="5">
        <v>70181.0</v>
      </c>
      <c r="R175" s="5">
        <v>150003.0</v>
      </c>
      <c r="S175" s="5">
        <v>11.0</v>
      </c>
      <c r="T175" s="5">
        <v>5892.48218</v>
      </c>
    </row>
    <row r="176">
      <c r="A176" s="4" t="s">
        <v>1226</v>
      </c>
      <c r="B176" s="4" t="str">
        <f>IFERROR(__xludf.DUMMYFUNCTION("SPLIT(A176:A902, ""&gt;"")"),"Online Behavior")</f>
        <v>Online Behavior</v>
      </c>
      <c r="C176" s="4" t="str">
        <f>IFERROR(__xludf.DUMMYFUNCTION("""COMPUTED_VALUE"""),"United States")</f>
        <v>United States</v>
      </c>
      <c r="D176" s="4" t="str">
        <f>IFERROR(__xludf.DUMMYFUNCTION("""COMPUTED_VALUE"""),"Arts and Entertainment")</f>
        <v>Arts and Entertainment</v>
      </c>
      <c r="E176" s="4" t="str">
        <f>IFERROR(__xludf.DUMMYFUNCTION("""COMPUTED_VALUE"""),"Events and Listings ")</f>
        <v>Events and Listings </v>
      </c>
      <c r="F176" s="4" t="str">
        <f>IFERROR(__xludf.DUMMYFUNCTION("""COMPUTED_VALUE""")," Film Festivals")</f>
        <v> Film Festivals</v>
      </c>
      <c r="G176" s="4"/>
      <c r="H176" s="4"/>
      <c r="I176" s="5" t="s">
        <v>22</v>
      </c>
      <c r="J176" s="5" t="s">
        <v>31</v>
      </c>
      <c r="K176" s="5" t="s">
        <v>17</v>
      </c>
      <c r="L176" s="6" t="s">
        <v>297</v>
      </c>
      <c r="M176" s="5" t="s">
        <v>19</v>
      </c>
      <c r="N176" s="5" t="s">
        <v>27</v>
      </c>
      <c r="O176" s="5">
        <v>405957.0</v>
      </c>
      <c r="P176" s="5">
        <v>874.0</v>
      </c>
      <c r="Q176" s="5">
        <v>204189.0</v>
      </c>
      <c r="R176" s="5">
        <v>385654.0</v>
      </c>
      <c r="S176" s="5">
        <v>16.0</v>
      </c>
      <c r="T176" s="5">
        <v>5864.126493</v>
      </c>
    </row>
    <row r="177">
      <c r="A177" s="4" t="s">
        <v>307</v>
      </c>
      <c r="B177" s="4" t="str">
        <f>IFERROR(__xludf.DUMMYFUNCTION("SPLIT(A177:A903, ""&gt;"")"),"Online Behavior")</f>
        <v>Online Behavior</v>
      </c>
      <c r="C177" s="4" t="str">
        <f>IFERROR(__xludf.DUMMYFUNCTION("""COMPUTED_VALUE"""),"United States")</f>
        <v>United States</v>
      </c>
      <c r="D177" s="4" t="str">
        <f>IFERROR(__xludf.DUMMYFUNCTION("""COMPUTED_VALUE"""),"Travel")</f>
        <v>Travel</v>
      </c>
      <c r="E177" s="4" t="str">
        <f>IFERROR(__xludf.DUMMYFUNCTION("""COMPUTED_VALUE"""),"Cruises and Charters")</f>
        <v>Cruises and Charters</v>
      </c>
      <c r="F177" s="4"/>
      <c r="G177" s="4"/>
      <c r="H177" s="4"/>
      <c r="I177" s="5" t="s">
        <v>15</v>
      </c>
      <c r="J177" s="5" t="s">
        <v>31</v>
      </c>
      <c r="K177" s="5" t="s">
        <v>17</v>
      </c>
      <c r="L177" s="6" t="s">
        <v>297</v>
      </c>
      <c r="M177" s="5" t="s">
        <v>36</v>
      </c>
      <c r="N177" s="5" t="s">
        <v>20</v>
      </c>
      <c r="O177" s="5">
        <v>161222.0</v>
      </c>
      <c r="P177" s="5">
        <v>500.0</v>
      </c>
      <c r="Q177" s="5">
        <v>66740.0</v>
      </c>
      <c r="R177" s="5">
        <v>149743.0</v>
      </c>
      <c r="S177" s="5">
        <v>19.0</v>
      </c>
      <c r="T177" s="5">
        <v>5767.797381</v>
      </c>
    </row>
    <row r="178">
      <c r="A178" s="4" t="s">
        <v>1227</v>
      </c>
      <c r="B178" s="4" t="str">
        <f>IFERROR(__xludf.DUMMYFUNCTION("SPLIT(A178:A904, ""&gt;"")"),"Online Behavior")</f>
        <v>Online Behavior</v>
      </c>
      <c r="C178" s="4" t="str">
        <f>IFERROR(__xludf.DUMMYFUNCTION("""COMPUTED_VALUE"""),"United States")</f>
        <v>United States</v>
      </c>
      <c r="D178" s="4" t="str">
        <f>IFERROR(__xludf.DUMMYFUNCTION("""COMPUTED_VALUE"""),"B2B ")</f>
        <v>B2B </v>
      </c>
      <c r="E178" s="4" t="str">
        <f>IFERROR(__xludf.DUMMYFUNCTION("""COMPUTED_VALUE""")," Occupation")</f>
        <v> Occupation</v>
      </c>
      <c r="F178" s="4" t="str">
        <f>IFERROR(__xludf.DUMMYFUNCTION("""COMPUTED_VALUE"""),"Student")</f>
        <v>Student</v>
      </c>
      <c r="G178" s="4"/>
      <c r="H178" s="4"/>
      <c r="I178" s="5" t="s">
        <v>15</v>
      </c>
      <c r="J178" s="5" t="s">
        <v>42</v>
      </c>
      <c r="K178" s="5" t="s">
        <v>29</v>
      </c>
      <c r="L178" s="6" t="s">
        <v>297</v>
      </c>
      <c r="M178" s="5" t="s">
        <v>19</v>
      </c>
      <c r="N178" s="5" t="s">
        <v>52</v>
      </c>
      <c r="O178" s="5">
        <v>39163.0</v>
      </c>
      <c r="P178" s="5">
        <v>113.0</v>
      </c>
      <c r="Q178" s="5">
        <v>16254.0</v>
      </c>
      <c r="R178" s="5">
        <v>36526.0</v>
      </c>
      <c r="S178" s="5">
        <v>15.0</v>
      </c>
      <c r="T178" s="5">
        <v>5692.765813</v>
      </c>
    </row>
    <row r="179">
      <c r="A179" s="4" t="s">
        <v>309</v>
      </c>
      <c r="B179" s="4" t="str">
        <f>IFERROR(__xludf.DUMMYFUNCTION("SPLIT(A179:A905, ""&gt;"")"),"Online Behavior")</f>
        <v>Online Behavior</v>
      </c>
      <c r="C179" s="4" t="str">
        <f>IFERROR(__xludf.DUMMYFUNCTION("""COMPUTED_VALUE"""),"United States")</f>
        <v>United States</v>
      </c>
      <c r="D179" s="4" t="str">
        <f>IFERROR(__xludf.DUMMYFUNCTION("""COMPUTED_VALUE"""),"Online Communities")</f>
        <v>Online Communities</v>
      </c>
      <c r="E179" s="4" t="str">
        <f>IFERROR(__xludf.DUMMYFUNCTION("""COMPUTED_VALUE"""),"File Sharing and Hosting")</f>
        <v>File Sharing and Hosting</v>
      </c>
      <c r="F179" s="4"/>
      <c r="G179" s="4"/>
      <c r="H179" s="4"/>
      <c r="I179" s="5" t="s">
        <v>22</v>
      </c>
      <c r="J179" s="5" t="s">
        <v>23</v>
      </c>
      <c r="K179" s="5" t="s">
        <v>29</v>
      </c>
      <c r="L179" s="6" t="s">
        <v>297</v>
      </c>
      <c r="M179" s="5" t="s">
        <v>117</v>
      </c>
      <c r="N179" s="5" t="s">
        <v>27</v>
      </c>
      <c r="O179" s="5">
        <v>39794.0</v>
      </c>
      <c r="P179" s="5">
        <v>101.0</v>
      </c>
      <c r="Q179" s="5">
        <v>17539.0</v>
      </c>
      <c r="R179" s="5">
        <v>37664.0</v>
      </c>
      <c r="S179" s="5">
        <v>12.0</v>
      </c>
      <c r="T179" s="5">
        <v>5328.524514</v>
      </c>
    </row>
    <row r="180">
      <c r="A180" s="4" t="s">
        <v>1228</v>
      </c>
      <c r="B180" s="4" t="str">
        <f>IFERROR(__xludf.DUMMYFUNCTION("SPLIT(A180:A906, ""&gt;"")"),"Online Behavior")</f>
        <v>Online Behavior</v>
      </c>
      <c r="C180" s="4" t="str">
        <f>IFERROR(__xludf.DUMMYFUNCTION("""COMPUTED_VALUE"""),"United States")</f>
        <v>United States</v>
      </c>
      <c r="D180" s="4" t="str">
        <f>IFERROR(__xludf.DUMMYFUNCTION("""COMPUTED_VALUE"""),"Autos and Vehicles ")</f>
        <v>Autos and Vehicles </v>
      </c>
      <c r="E180" s="4" t="str">
        <f>IFERROR(__xludf.DUMMYFUNCTION("""COMPUTED_VALUE""")," Brands")</f>
        <v> Brands</v>
      </c>
      <c r="F180" s="4" t="str">
        <f>IFERROR(__xludf.DUMMYFUNCTION("""COMPUTED_VALUE"""),"LandRover")</f>
        <v>LandRover</v>
      </c>
      <c r="G180" s="4"/>
      <c r="H180" s="4"/>
      <c r="I180" s="5" t="s">
        <v>15</v>
      </c>
      <c r="J180" s="5" t="s">
        <v>31</v>
      </c>
      <c r="K180" s="5" t="s">
        <v>84</v>
      </c>
      <c r="L180" s="6" t="s">
        <v>297</v>
      </c>
      <c r="M180" s="5" t="s">
        <v>19</v>
      </c>
      <c r="N180" s="5" t="s">
        <v>20</v>
      </c>
      <c r="O180" s="5">
        <v>104538.0</v>
      </c>
      <c r="P180" s="5">
        <v>347.0</v>
      </c>
      <c r="Q180" s="5">
        <v>49049.0</v>
      </c>
      <c r="R180" s="5">
        <v>97093.0</v>
      </c>
      <c r="S180" s="5">
        <v>2.0</v>
      </c>
      <c r="T180" s="5">
        <v>5266.424233</v>
      </c>
    </row>
    <row r="181">
      <c r="A181" s="4" t="s">
        <v>311</v>
      </c>
      <c r="B181" s="4" t="str">
        <f>IFERROR(__xludf.DUMMYFUNCTION("SPLIT(A181:A907, ""&gt;"")"),"Online Behavior")</f>
        <v>Online Behavior</v>
      </c>
      <c r="C181" s="4" t="str">
        <f>IFERROR(__xludf.DUMMYFUNCTION("""COMPUTED_VALUE"""),"United States")</f>
        <v>United States</v>
      </c>
      <c r="D181" s="4" t="str">
        <f>IFERROR(__xludf.DUMMYFUNCTION("""COMPUTED_VALUE"""),"Food and Drink")</f>
        <v>Food and Drink</v>
      </c>
      <c r="E181" s="4" t="str">
        <f>IFERROR(__xludf.DUMMYFUNCTION("""COMPUTED_VALUE"""),"Food and Grocery Delivery")</f>
        <v>Food and Grocery Delivery</v>
      </c>
      <c r="F181" s="4"/>
      <c r="G181" s="4"/>
      <c r="H181" s="4"/>
      <c r="I181" s="5" t="s">
        <v>15</v>
      </c>
      <c r="J181" s="5" t="s">
        <v>31</v>
      </c>
      <c r="K181" s="5" t="s">
        <v>35</v>
      </c>
      <c r="L181" s="6" t="s">
        <v>297</v>
      </c>
      <c r="M181" s="5" t="s">
        <v>19</v>
      </c>
      <c r="N181" s="5" t="s">
        <v>27</v>
      </c>
      <c r="O181" s="5">
        <v>262807.0</v>
      </c>
      <c r="P181" s="5">
        <v>684.0</v>
      </c>
      <c r="Q181" s="5">
        <v>109871.0</v>
      </c>
      <c r="R181" s="5">
        <v>236426.0</v>
      </c>
      <c r="S181" s="5">
        <v>12.0</v>
      </c>
      <c r="T181" s="5">
        <v>5150.468923</v>
      </c>
    </row>
    <row r="182">
      <c r="A182" s="4" t="s">
        <v>1229</v>
      </c>
      <c r="B182" s="4" t="str">
        <f>IFERROR(__xludf.DUMMYFUNCTION("SPLIT(A182:A908, ""&gt;"")"),"Online Behavior")</f>
        <v>Online Behavior</v>
      </c>
      <c r="C182" s="4" t="str">
        <f>IFERROR(__xludf.DUMMYFUNCTION("""COMPUTED_VALUE"""),"United States")</f>
        <v>United States</v>
      </c>
      <c r="D182" s="4" t="str">
        <f>IFERROR(__xludf.DUMMYFUNCTION("""COMPUTED_VALUE"""),"Sports")</f>
        <v>Sports</v>
      </c>
      <c r="E182" s="4" t="str">
        <f>IFERROR(__xludf.DUMMYFUNCTION("""COMPUTED_VALUE"""),"Sports League ")</f>
        <v>Sports League </v>
      </c>
      <c r="F182" s="4" t="str">
        <f>IFERROR(__xludf.DUMMYFUNCTION("""COMPUTED_VALUE""")," NHL")</f>
        <v> NHL</v>
      </c>
      <c r="G182" s="4"/>
      <c r="H182" s="4"/>
      <c r="I182" s="5" t="s">
        <v>15</v>
      </c>
      <c r="J182" s="5" t="s">
        <v>31</v>
      </c>
      <c r="K182" s="5" t="s">
        <v>35</v>
      </c>
      <c r="L182" s="6" t="s">
        <v>297</v>
      </c>
      <c r="M182" s="5" t="s">
        <v>117</v>
      </c>
      <c r="N182" s="5" t="s">
        <v>27</v>
      </c>
      <c r="O182" s="5">
        <v>56945.0</v>
      </c>
      <c r="P182" s="5">
        <v>152.0</v>
      </c>
      <c r="Q182" s="5">
        <v>20750.0</v>
      </c>
      <c r="R182" s="5">
        <v>50714.0</v>
      </c>
      <c r="S182" s="5">
        <v>9.0</v>
      </c>
      <c r="T182" s="5">
        <v>5144.474371</v>
      </c>
    </row>
    <row r="183">
      <c r="A183" s="4" t="s">
        <v>1230</v>
      </c>
      <c r="B183" s="4" t="str">
        <f>IFERROR(__xludf.DUMMYFUNCTION("SPLIT(A183:A909, ""&gt;"")"),"Online Behavior")</f>
        <v>Online Behavior</v>
      </c>
      <c r="C183" s="4" t="str">
        <f>IFERROR(__xludf.DUMMYFUNCTION("""COMPUTED_VALUE"""),"United States")</f>
        <v>United States</v>
      </c>
      <c r="D183" s="4" t="str">
        <f>IFERROR(__xludf.DUMMYFUNCTION("""COMPUTED_VALUE"""),"Sports")</f>
        <v>Sports</v>
      </c>
      <c r="E183" s="4" t="str">
        <f>IFERROR(__xludf.DUMMYFUNCTION("""COMPUTED_VALUE"""),"Water Sports ")</f>
        <v>Water Sports </v>
      </c>
      <c r="F183" s="4" t="str">
        <f>IFERROR(__xludf.DUMMYFUNCTION("""COMPUTED_VALUE""")," Surfing")</f>
        <v> Surfing</v>
      </c>
      <c r="G183" s="4"/>
      <c r="H183" s="4"/>
      <c r="I183" s="5" t="s">
        <v>15</v>
      </c>
      <c r="J183" s="5" t="s">
        <v>23</v>
      </c>
      <c r="K183" s="5" t="s">
        <v>39</v>
      </c>
      <c r="L183" s="6" t="s">
        <v>297</v>
      </c>
      <c r="M183" s="5" t="s">
        <v>19</v>
      </c>
      <c r="N183" s="5" t="s">
        <v>27</v>
      </c>
      <c r="O183" s="5">
        <v>23983.0</v>
      </c>
      <c r="P183" s="5">
        <v>0.0</v>
      </c>
      <c r="Q183" s="5">
        <v>464.0</v>
      </c>
      <c r="R183" s="5">
        <v>19802.0</v>
      </c>
      <c r="S183" s="5">
        <v>9.0</v>
      </c>
      <c r="T183" s="5">
        <v>4574.34827</v>
      </c>
    </row>
    <row r="184">
      <c r="A184" s="4" t="s">
        <v>1783</v>
      </c>
      <c r="B184" s="4" t="str">
        <f>IFERROR(__xludf.DUMMYFUNCTION("SPLIT(A184:A910, ""&gt;"")"),"US ")</f>
        <v>US </v>
      </c>
      <c r="C184" s="4" t="str">
        <f>IFERROR(__xludf.DUMMYFUNCTION("""COMPUTED_VALUE""")," AUTO ")</f>
        <v> AUTO </v>
      </c>
      <c r="D184" s="4" t="str">
        <f>IFERROR(__xludf.DUMMYFUNCTION("""COMPUTED_VALUE""")," Decision Maker for Auto Purchase ")</f>
        <v> Decision Maker for Auto Purchase </v>
      </c>
      <c r="E184" s="4" t="str">
        <f>IFERROR(__xludf.DUMMYFUNCTION("""COMPUTED_VALUE""")," I shared equally in the decision")</f>
        <v> I shared equally in the decision</v>
      </c>
      <c r="F184" s="4"/>
      <c r="G184" s="4"/>
      <c r="H184" s="4"/>
      <c r="I184" s="5" t="s">
        <v>22</v>
      </c>
      <c r="J184" s="5" t="s">
        <v>23</v>
      </c>
      <c r="K184" s="5" t="s">
        <v>35</v>
      </c>
      <c r="L184" s="6" t="s">
        <v>297</v>
      </c>
      <c r="M184" s="5" t="s">
        <v>19</v>
      </c>
      <c r="N184" s="5" t="s">
        <v>27</v>
      </c>
      <c r="O184" s="5">
        <v>102884.0</v>
      </c>
      <c r="P184" s="5">
        <v>299.0</v>
      </c>
      <c r="Q184" s="5">
        <v>42841.0</v>
      </c>
      <c r="R184" s="5">
        <v>96539.0</v>
      </c>
      <c r="S184" s="5">
        <v>6.0</v>
      </c>
      <c r="T184" s="5">
        <v>2015.448331</v>
      </c>
    </row>
    <row r="185">
      <c r="A185" s="4" t="s">
        <v>1784</v>
      </c>
      <c r="B185" s="4" t="str">
        <f>IFERROR(__xludf.DUMMYFUNCTION("SPLIT(A185:A911, ""&gt;"")"),"US ")</f>
        <v>US </v>
      </c>
      <c r="C185" s="4" t="str">
        <f>IFERROR(__xludf.DUMMYFUNCTION("""COMPUTED_VALUE""")," B2B ")</f>
        <v> B2B </v>
      </c>
      <c r="D185" s="4" t="str">
        <f>IFERROR(__xludf.DUMMYFUNCTION("""COMPUTED_VALUE""")," B2B Decision Maker Responsibilities ")</f>
        <v> B2B Decision Maker Responsibilities </v>
      </c>
      <c r="E185" s="4" t="str">
        <f>IFERROR(__xludf.DUMMYFUNCTION("""COMPUTED_VALUE""")," Office Supplies or Equipment")</f>
        <v> Office Supplies or Equipment</v>
      </c>
      <c r="F185" s="4"/>
      <c r="G185" s="4"/>
      <c r="H185" s="4"/>
      <c r="I185" s="5" t="s">
        <v>15</v>
      </c>
      <c r="J185" s="5" t="s">
        <v>23</v>
      </c>
      <c r="K185" s="5" t="s">
        <v>17</v>
      </c>
      <c r="L185" s="6" t="s">
        <v>297</v>
      </c>
      <c r="M185" s="5" t="s">
        <v>19</v>
      </c>
      <c r="N185" s="5" t="s">
        <v>52</v>
      </c>
      <c r="O185" s="5">
        <v>55692.0</v>
      </c>
      <c r="P185" s="5">
        <v>184.0</v>
      </c>
      <c r="Q185" s="5">
        <v>3596.0</v>
      </c>
      <c r="R185" s="5">
        <v>51209.0</v>
      </c>
      <c r="S185" s="5">
        <v>9.0</v>
      </c>
      <c r="T185" s="5">
        <v>1981.050288</v>
      </c>
    </row>
    <row r="186">
      <c r="A186" s="4" t="s">
        <v>1785</v>
      </c>
      <c r="B186" s="4" t="str">
        <f>IFERROR(__xludf.DUMMYFUNCTION("SPLIT(A186:A912, ""&gt;"")"),"US ")</f>
        <v>US </v>
      </c>
      <c r="C186" s="4" t="str">
        <f>IFERROR(__xludf.DUMMYFUNCTION("""COMPUTED_VALUE""")," Reach ")</f>
        <v> Reach </v>
      </c>
      <c r="D186" s="4" t="str">
        <f>IFERROR(__xludf.DUMMYFUNCTION("""COMPUTED_VALUE""")," Propensity Models ")</f>
        <v> Propensity Models </v>
      </c>
      <c r="E186" s="4" t="str">
        <f>IFERROR(__xludf.DUMMYFUNCTION("""COMPUTED_VALUE""")," Hobbies and Interest ")</f>
        <v> Hobbies and Interest </v>
      </c>
      <c r="F186" s="4" t="str">
        <f>IFERROR(__xludf.DUMMYFUNCTION("""COMPUTED_VALUE""")," Pets ")</f>
        <v> Pets </v>
      </c>
      <c r="G186" s="4" t="str">
        <f>IFERROR(__xludf.DUMMYFUNCTION("""COMPUTED_VALUE""")," Cat Owners")</f>
        <v> Cat Owners</v>
      </c>
      <c r="H186" s="4"/>
      <c r="I186" s="5" t="s">
        <v>15</v>
      </c>
      <c r="J186" s="5" t="s">
        <v>23</v>
      </c>
      <c r="K186" s="5" t="s">
        <v>17</v>
      </c>
      <c r="L186" s="6" t="s">
        <v>297</v>
      </c>
      <c r="M186" s="5" t="s">
        <v>46</v>
      </c>
      <c r="N186" s="5" t="s">
        <v>20</v>
      </c>
      <c r="O186" s="5">
        <v>63460.0</v>
      </c>
      <c r="P186" s="5">
        <v>212.0</v>
      </c>
      <c r="Q186" s="5">
        <v>26978.0</v>
      </c>
      <c r="R186" s="5">
        <v>59516.0</v>
      </c>
      <c r="S186" s="5">
        <v>4.0</v>
      </c>
      <c r="T186" s="5">
        <v>1945.433188</v>
      </c>
    </row>
    <row r="187">
      <c r="A187" s="4" t="s">
        <v>1234</v>
      </c>
      <c r="B187" s="4" t="str">
        <f>IFERROR(__xludf.DUMMYFUNCTION("SPLIT(A187:A913, ""&gt;"")"),"OnAudience ")</f>
        <v>OnAudience </v>
      </c>
      <c r="C187" s="4" t="str">
        <f>IFERROR(__xludf.DUMMYFUNCTION("""COMPUTED_VALUE""")," Interest ")</f>
        <v> Interest </v>
      </c>
      <c r="D187" s="4" t="str">
        <f>IFERROR(__xludf.DUMMYFUNCTION("""COMPUTED_VALUE""")," Life Stage")</f>
        <v> Life Stage</v>
      </c>
      <c r="E187" s="4"/>
      <c r="F187" s="4"/>
      <c r="G187" s="4"/>
      <c r="H187" s="4"/>
      <c r="I187" s="5" t="s">
        <v>15</v>
      </c>
      <c r="J187" s="5" t="s">
        <v>42</v>
      </c>
      <c r="K187" s="5" t="s">
        <v>142</v>
      </c>
      <c r="L187" s="6" t="s">
        <v>297</v>
      </c>
      <c r="M187" s="5" t="s">
        <v>19</v>
      </c>
      <c r="N187" s="5" t="s">
        <v>27</v>
      </c>
      <c r="O187" s="5">
        <v>189462.0</v>
      </c>
      <c r="P187" s="5">
        <v>478.0</v>
      </c>
      <c r="Q187" s="5">
        <v>53431.0</v>
      </c>
      <c r="R187" s="5">
        <v>163634.0</v>
      </c>
      <c r="S187" s="5">
        <v>5.0</v>
      </c>
      <c r="T187" s="5">
        <v>1625.17488</v>
      </c>
    </row>
    <row r="188">
      <c r="A188" s="4" t="s">
        <v>1786</v>
      </c>
      <c r="B188" s="4" t="str">
        <f>IFERROR(__xludf.DUMMYFUNCTION("SPLIT(A188:A914, ""&gt;"")"),"US ")</f>
        <v>US </v>
      </c>
      <c r="C188" s="4" t="str">
        <f>IFERROR(__xludf.DUMMYFUNCTION("""COMPUTED_VALUE""")," Interest Propensities ")</f>
        <v> Interest Propensities </v>
      </c>
      <c r="D188" s="4" t="str">
        <f>IFERROR(__xludf.DUMMYFUNCTION("""COMPUTED_VALUE""")," Activities and Interests ")</f>
        <v> Activities and Interests </v>
      </c>
      <c r="E188" s="4" t="str">
        <f>IFERROR(__xludf.DUMMYFUNCTION("""COMPUTED_VALUE""")," Fashion")</f>
        <v> Fashion</v>
      </c>
      <c r="F188" s="4"/>
      <c r="G188" s="4"/>
      <c r="H188" s="4"/>
      <c r="I188" s="5" t="s">
        <v>15</v>
      </c>
      <c r="J188" s="5" t="s">
        <v>31</v>
      </c>
      <c r="K188" s="5" t="s">
        <v>95</v>
      </c>
      <c r="L188" s="6" t="s">
        <v>297</v>
      </c>
      <c r="M188" s="5" t="s">
        <v>26</v>
      </c>
      <c r="N188" s="5" t="s">
        <v>52</v>
      </c>
      <c r="O188" s="5">
        <v>61442.0</v>
      </c>
      <c r="P188" s="5">
        <v>190.0</v>
      </c>
      <c r="Q188" s="5">
        <v>17048.0</v>
      </c>
      <c r="R188" s="5">
        <v>54166.0</v>
      </c>
      <c r="S188" s="5">
        <v>1.0</v>
      </c>
      <c r="T188" s="5">
        <v>1609.149933</v>
      </c>
    </row>
    <row r="189">
      <c r="A189" s="4" t="s">
        <v>1787</v>
      </c>
      <c r="B189" s="4" t="str">
        <f>IFERROR(__xludf.DUMMYFUNCTION("SPLIT(A189:A915, ""&gt;"")"),"Mobile - US ")</f>
        <v>Mobile - US </v>
      </c>
      <c r="C189" s="4" t="str">
        <f>IFERROR(__xludf.DUMMYFUNCTION("""COMPUTED_VALUE""")," Travel ")</f>
        <v> Travel </v>
      </c>
      <c r="D189" s="4" t="str">
        <f>IFERROR(__xludf.DUMMYFUNCTION("""COMPUTED_VALUE""")," Car Rentals ")</f>
        <v> Car Rentals </v>
      </c>
      <c r="E189" s="4" t="str">
        <f>IFERROR(__xludf.DUMMYFUNCTION("""COMPUTED_VALUE""")," Hertz")</f>
        <v> Hertz</v>
      </c>
      <c r="F189" s="4"/>
      <c r="G189" s="4"/>
      <c r="H189" s="4"/>
      <c r="I189" s="5" t="s">
        <v>22</v>
      </c>
      <c r="J189" s="5" t="s">
        <v>23</v>
      </c>
      <c r="K189" s="5" t="s">
        <v>35</v>
      </c>
      <c r="L189" s="6" t="s">
        <v>297</v>
      </c>
      <c r="M189" s="5" t="s">
        <v>46</v>
      </c>
      <c r="N189" s="5" t="s">
        <v>27</v>
      </c>
      <c r="O189" s="5">
        <v>87287.0</v>
      </c>
      <c r="P189" s="5">
        <v>203.0</v>
      </c>
      <c r="Q189" s="5">
        <v>40039.0</v>
      </c>
      <c r="R189" s="5">
        <v>80040.0</v>
      </c>
      <c r="S189" s="5">
        <v>18.0</v>
      </c>
      <c r="T189" s="5">
        <v>1579.367346</v>
      </c>
    </row>
    <row r="190">
      <c r="A190" s="4" t="s">
        <v>1237</v>
      </c>
      <c r="B190" s="4" t="str">
        <f>IFERROR(__xludf.DUMMYFUNCTION("SPLIT(A190:A916, ""&gt;"")"),"OnAudience ")</f>
        <v>OnAudience </v>
      </c>
      <c r="C190" s="4" t="str">
        <f>IFERROR(__xludf.DUMMYFUNCTION("""COMPUTED_VALUE""")," Interest ")</f>
        <v> Interest </v>
      </c>
      <c r="D190" s="4" t="str">
        <f>IFERROR(__xludf.DUMMYFUNCTION("""COMPUTED_VALUE""")," Arts &amp; Entertainment ")</f>
        <v> Arts &amp; Entertainment </v>
      </c>
      <c r="E190" s="4" t="str">
        <f>IFERROR(__xludf.DUMMYFUNCTION("""COMPUTED_VALUE""")," Celebrity Fan ")</f>
        <v> Celebrity Fan </v>
      </c>
      <c r="F190" s="4" t="str">
        <f>IFERROR(__xludf.DUMMYFUNCTION("""COMPUTED_VALUE""")," Gossip")</f>
        <v> Gossip</v>
      </c>
      <c r="G190" s="4"/>
      <c r="H190" s="4"/>
      <c r="I190" s="5" t="s">
        <v>15</v>
      </c>
      <c r="J190" s="5" t="s">
        <v>16</v>
      </c>
      <c r="K190" s="5" t="s">
        <v>17</v>
      </c>
      <c r="L190" s="6" t="s">
        <v>297</v>
      </c>
      <c r="M190" s="5" t="s">
        <v>46</v>
      </c>
      <c r="N190" s="5" t="s">
        <v>27</v>
      </c>
      <c r="O190" s="5">
        <v>77703.0</v>
      </c>
      <c r="P190" s="5">
        <v>204.0</v>
      </c>
      <c r="Q190" s="5">
        <v>33478.0</v>
      </c>
      <c r="R190" s="5">
        <v>72874.0</v>
      </c>
      <c r="S190" s="5">
        <v>3.0</v>
      </c>
      <c r="T190" s="5">
        <v>1566.912406</v>
      </c>
    </row>
    <row r="191">
      <c r="A191" s="4" t="s">
        <v>1788</v>
      </c>
      <c r="B191" s="4" t="str">
        <f>IFERROR(__xludf.DUMMYFUNCTION("SPLIT(A191:A917, ""&gt;"")"),"Mobile - US ")</f>
        <v>Mobile - US </v>
      </c>
      <c r="C191" s="4" t="str">
        <f>IFERROR(__xludf.DUMMYFUNCTION("""COMPUTED_VALUE""")," Device Ownership ")</f>
        <v> Device Ownership </v>
      </c>
      <c r="D191" s="4" t="str">
        <f>IFERROR(__xludf.DUMMYFUNCTION("""COMPUTED_VALUE""")," Smartphones ")</f>
        <v> Smartphones </v>
      </c>
      <c r="E191" s="4" t="str">
        <f>IFERROR(__xludf.DUMMYFUNCTION("""COMPUTED_VALUE""")," ZTE")</f>
        <v> ZTE</v>
      </c>
      <c r="F191" s="4"/>
      <c r="G191" s="4"/>
      <c r="H191" s="4"/>
      <c r="I191" s="5" t="s">
        <v>15</v>
      </c>
      <c r="J191" s="5" t="s">
        <v>42</v>
      </c>
      <c r="K191" s="5" t="s">
        <v>84</v>
      </c>
      <c r="L191" s="6" t="s">
        <v>297</v>
      </c>
      <c r="M191" s="5" t="s">
        <v>46</v>
      </c>
      <c r="N191" s="5" t="s">
        <v>52</v>
      </c>
      <c r="O191" s="5">
        <v>74436.0</v>
      </c>
      <c r="P191" s="5">
        <v>175.0</v>
      </c>
      <c r="Q191" s="5">
        <v>30158.0</v>
      </c>
      <c r="R191" s="5">
        <v>69150.0</v>
      </c>
      <c r="S191" s="5">
        <v>21.0</v>
      </c>
      <c r="T191" s="5">
        <v>1558.549138</v>
      </c>
    </row>
    <row r="192">
      <c r="A192" s="4" t="s">
        <v>1789</v>
      </c>
      <c r="B192" s="4" t="str">
        <f>IFERROR(__xludf.DUMMYFUNCTION("SPLIT(A192:A918, ""&gt;"")"),"US ")</f>
        <v>US </v>
      </c>
      <c r="C192" s="4" t="str">
        <f>IFERROR(__xludf.DUMMYFUNCTION("""COMPUTED_VALUE""")," Brand Propensities ")</f>
        <v> Brand Propensities </v>
      </c>
      <c r="D192" s="4" t="str">
        <f>IFERROR(__xludf.DUMMYFUNCTION("""COMPUTED_VALUE""")," Health ")</f>
        <v> Health </v>
      </c>
      <c r="E192" s="4" t="str">
        <f>IFERROR(__xludf.DUMMYFUNCTION("""COMPUTED_VALUE""")," Beauty and Cosmetics ")</f>
        <v> Beauty and Cosmetics </v>
      </c>
      <c r="F192" s="4" t="str">
        <f>IFERROR(__xludf.DUMMYFUNCTION("""COMPUTED_VALUE""")," SkinCareRx Buyer Propensity")</f>
        <v> SkinCareRx Buyer Propensity</v>
      </c>
      <c r="G192" s="4"/>
      <c r="H192" s="4"/>
      <c r="I192" s="5" t="s">
        <v>15</v>
      </c>
      <c r="J192" s="5" t="s">
        <v>42</v>
      </c>
      <c r="K192" s="5" t="s">
        <v>39</v>
      </c>
      <c r="L192" s="6" t="s">
        <v>297</v>
      </c>
      <c r="M192" s="5" t="s">
        <v>50</v>
      </c>
      <c r="N192" s="5" t="s">
        <v>27</v>
      </c>
      <c r="O192" s="5">
        <v>435848.0</v>
      </c>
      <c r="P192" s="5">
        <v>1058.0</v>
      </c>
      <c r="Q192" s="5">
        <v>274912.0</v>
      </c>
      <c r="R192" s="5">
        <v>415601.0</v>
      </c>
      <c r="S192" s="5">
        <v>15.0</v>
      </c>
      <c r="T192" s="5">
        <v>1554.439959</v>
      </c>
    </row>
    <row r="193">
      <c r="A193" s="4" t="s">
        <v>1790</v>
      </c>
      <c r="B193" s="4" t="str">
        <f>IFERROR(__xludf.DUMMYFUNCTION("SPLIT(A193:A919, ""&gt;"")"),"Mobile - US ")</f>
        <v>Mobile - US </v>
      </c>
      <c r="C193" s="4" t="str">
        <f>IFERROR(__xludf.DUMMYFUNCTION("""COMPUTED_VALUE""")," Food ")</f>
        <v> Food </v>
      </c>
      <c r="D193" s="4" t="str">
        <f>IFERROR(__xludf.DUMMYFUNCTION("""COMPUTED_VALUE""")," Restaurant ")</f>
        <v> Restaurant </v>
      </c>
      <c r="E193" s="4" t="str">
        <f>IFERROR(__xludf.DUMMYFUNCTION("""COMPUTED_VALUE""")," Brand ")</f>
        <v> Brand </v>
      </c>
      <c r="F193" s="4" t="str">
        <f>IFERROR(__xludf.DUMMYFUNCTION("""COMPUTED_VALUE""")," Five Guys")</f>
        <v> Five Guys</v>
      </c>
      <c r="G193" s="4"/>
      <c r="H193" s="4"/>
      <c r="I193" s="5" t="s">
        <v>15</v>
      </c>
      <c r="J193" s="5" t="s">
        <v>42</v>
      </c>
      <c r="K193" s="5" t="s">
        <v>35</v>
      </c>
      <c r="L193" s="6" t="s">
        <v>297</v>
      </c>
      <c r="M193" s="5" t="s">
        <v>46</v>
      </c>
      <c r="N193" s="5" t="s">
        <v>27</v>
      </c>
      <c r="O193" s="5">
        <v>9210.0</v>
      </c>
      <c r="P193" s="5">
        <v>80.0</v>
      </c>
      <c r="Q193" s="5">
        <v>3798.0</v>
      </c>
      <c r="R193" s="5">
        <v>8619.0</v>
      </c>
      <c r="S193" s="5">
        <v>2.0</v>
      </c>
      <c r="T193" s="5">
        <v>1536.629068</v>
      </c>
    </row>
    <row r="194">
      <c r="A194" s="4" t="s">
        <v>1791</v>
      </c>
      <c r="B194" s="4" t="str">
        <f>IFERROR(__xludf.DUMMYFUNCTION("SPLIT(A194:A920, ""&gt;"")"),"US ")</f>
        <v>US </v>
      </c>
      <c r="C194" s="4" t="str">
        <f>IFERROR(__xludf.DUMMYFUNCTION("""COMPUTED_VALUE""")," Brand Propensities ")</f>
        <v> Brand Propensities </v>
      </c>
      <c r="D194" s="4" t="str">
        <f>IFERROR(__xludf.DUMMYFUNCTION("""COMPUTED_VALUE""")," Health ")</f>
        <v> Health </v>
      </c>
      <c r="E194" s="4" t="str">
        <f>IFERROR(__xludf.DUMMYFUNCTION("""COMPUTED_VALUE""")," Beauty and Cosmetics ")</f>
        <v> Beauty and Cosmetics </v>
      </c>
      <c r="F194" s="4" t="str">
        <f>IFERROR(__xludf.DUMMYFUNCTION("""COMPUTED_VALUE""")," Mary Kay Buyer Propensity")</f>
        <v> Mary Kay Buyer Propensity</v>
      </c>
      <c r="G194" s="4"/>
      <c r="H194" s="4"/>
      <c r="I194" s="5" t="s">
        <v>22</v>
      </c>
      <c r="J194" s="5" t="s">
        <v>31</v>
      </c>
      <c r="K194" s="5" t="s">
        <v>35</v>
      </c>
      <c r="L194" s="6" t="s">
        <v>297</v>
      </c>
      <c r="M194" s="5" t="s">
        <v>36</v>
      </c>
      <c r="N194" s="5" t="s">
        <v>27</v>
      </c>
      <c r="O194" s="5">
        <v>12088.0</v>
      </c>
      <c r="P194" s="5">
        <v>88.0</v>
      </c>
      <c r="Q194" s="5">
        <v>1124.0</v>
      </c>
      <c r="R194" s="5">
        <v>10003.0</v>
      </c>
      <c r="S194" s="5">
        <v>2.0</v>
      </c>
      <c r="T194" s="5">
        <v>1500.026152</v>
      </c>
    </row>
    <row r="195">
      <c r="A195" s="4" t="s">
        <v>1792</v>
      </c>
      <c r="B195" s="4" t="str">
        <f>IFERROR(__xludf.DUMMYFUNCTION("SPLIT(A195:A921, ""&gt;"")"),"US Financial ")</f>
        <v>US Financial </v>
      </c>
      <c r="C195" s="4" t="str">
        <f>IFERROR(__xludf.DUMMYFUNCTION("""COMPUTED_VALUE""")," Estimated Discretionary Spending ")</f>
        <v> Estimated Discretionary Spending </v>
      </c>
      <c r="D195" s="4" t="str">
        <f>IFERROR(__xludf.DUMMYFUNCTION("""COMPUTED_VALUE""")," Greater than $2,500")</f>
        <v> Greater than $2,500</v>
      </c>
      <c r="E195" s="4"/>
      <c r="F195" s="4"/>
      <c r="G195" s="4"/>
      <c r="H195" s="4"/>
      <c r="I195" s="5" t="s">
        <v>22</v>
      </c>
      <c r="J195" s="5" t="s">
        <v>31</v>
      </c>
      <c r="K195" s="5" t="s">
        <v>35</v>
      </c>
      <c r="L195" s="6" t="s">
        <v>297</v>
      </c>
      <c r="M195" s="5" t="s">
        <v>19</v>
      </c>
      <c r="N195" s="5" t="s">
        <v>27</v>
      </c>
      <c r="O195" s="5">
        <v>126337.0</v>
      </c>
      <c r="P195" s="5">
        <v>325.0</v>
      </c>
      <c r="Q195" s="5">
        <v>51394.0</v>
      </c>
      <c r="R195" s="5">
        <v>117635.0</v>
      </c>
      <c r="S195" s="5">
        <v>5.0</v>
      </c>
      <c r="T195" s="5">
        <v>1487.088288</v>
      </c>
    </row>
    <row r="196">
      <c r="A196" s="4" t="s">
        <v>1793</v>
      </c>
      <c r="B196" s="4" t="str">
        <f>IFERROR(__xludf.DUMMYFUNCTION("SPLIT(A196:A922, ""&gt;"")"),"US ")</f>
        <v>US </v>
      </c>
      <c r="C196" s="4" t="str">
        <f>IFERROR(__xludf.DUMMYFUNCTION("""COMPUTED_VALUE""")," Interest Propensities ")</f>
        <v> Interest Propensities </v>
      </c>
      <c r="D196" s="4" t="str">
        <f>IFERROR(__xludf.DUMMYFUNCTION("""COMPUTED_VALUE""")," Insurance ")</f>
        <v> Insurance </v>
      </c>
      <c r="E196" s="4" t="str">
        <f>IFERROR(__xludf.DUMMYFUNCTION("""COMPUTED_VALUE""")," Northwestern Mutual")</f>
        <v> Northwestern Mutual</v>
      </c>
      <c r="F196" s="4"/>
      <c r="G196" s="4"/>
      <c r="H196" s="4"/>
      <c r="I196" s="5" t="s">
        <v>15</v>
      </c>
      <c r="J196" s="5" t="s">
        <v>23</v>
      </c>
      <c r="K196" s="5" t="s">
        <v>35</v>
      </c>
      <c r="L196" s="6" t="s">
        <v>297</v>
      </c>
      <c r="M196" s="5" t="s">
        <v>327</v>
      </c>
      <c r="N196" s="5" t="s">
        <v>27</v>
      </c>
      <c r="O196" s="5">
        <v>229908.0</v>
      </c>
      <c r="P196" s="5">
        <v>489.0</v>
      </c>
      <c r="Q196" s="5">
        <v>98259.0</v>
      </c>
      <c r="R196" s="5">
        <v>212073.0</v>
      </c>
      <c r="S196" s="5">
        <v>4.0</v>
      </c>
      <c r="T196" s="5">
        <v>1464.348944</v>
      </c>
    </row>
    <row r="197">
      <c r="A197" s="4" t="s">
        <v>1244</v>
      </c>
      <c r="B197" s="4" t="str">
        <f>IFERROR(__xludf.DUMMYFUNCTION("SPLIT(A197:A923, ""&gt;"")"),"Transactional ")</f>
        <v>Transactional </v>
      </c>
      <c r="C197" s="4" t="str">
        <f>IFERROR(__xludf.DUMMYFUNCTION("""COMPUTED_VALUE""")," Q2 Graduation Gift Shoppers")</f>
        <v> Q2 Graduation Gift Shoppers</v>
      </c>
      <c r="D197" s="4"/>
      <c r="E197" s="4"/>
      <c r="F197" s="4"/>
      <c r="G197" s="4"/>
      <c r="H197" s="4"/>
      <c r="I197" s="5" t="s">
        <v>15</v>
      </c>
      <c r="J197" s="5" t="s">
        <v>23</v>
      </c>
      <c r="K197" s="5" t="s">
        <v>17</v>
      </c>
      <c r="L197" s="6" t="s">
        <v>297</v>
      </c>
      <c r="M197" s="5" t="s">
        <v>117</v>
      </c>
      <c r="N197" s="5" t="s">
        <v>27</v>
      </c>
      <c r="O197" s="5">
        <v>144088.0</v>
      </c>
      <c r="P197" s="5">
        <v>490.0</v>
      </c>
      <c r="Q197" s="5">
        <v>26416.0</v>
      </c>
      <c r="R197" s="5">
        <v>137369.0</v>
      </c>
      <c r="S197" s="5">
        <v>7.0</v>
      </c>
      <c r="T197" s="5">
        <v>1464.064235</v>
      </c>
    </row>
    <row r="198">
      <c r="A198" s="4" t="s">
        <v>1245</v>
      </c>
      <c r="B198" s="4" t="str">
        <f>IFERROR(__xludf.DUMMYFUNCTION("SPLIT(A198:A924, ""&gt;"")"),"OnAudience ")</f>
        <v>OnAudience </v>
      </c>
      <c r="C198" s="4" t="str">
        <f>IFERROR(__xludf.DUMMYFUNCTION("""COMPUTED_VALUE""")," Intent ")</f>
        <v> Intent </v>
      </c>
      <c r="D198" s="4" t="str">
        <f>IFERROR(__xludf.DUMMYFUNCTION("""COMPUTED_VALUE""")," Auto ")</f>
        <v> Auto </v>
      </c>
      <c r="E198" s="4" t="str">
        <f>IFERROR(__xludf.DUMMYFUNCTION("""COMPUTED_VALUE""")," Vehicle Parts &amp; Accessories")</f>
        <v> Vehicle Parts &amp; Accessories</v>
      </c>
      <c r="F198" s="4"/>
      <c r="G198" s="4"/>
      <c r="H198" s="4"/>
      <c r="I198" s="5" t="s">
        <v>22</v>
      </c>
      <c r="J198" s="5" t="s">
        <v>16</v>
      </c>
      <c r="K198" s="5" t="s">
        <v>32</v>
      </c>
      <c r="L198" s="6" t="s">
        <v>297</v>
      </c>
      <c r="M198" s="5" t="s">
        <v>46</v>
      </c>
      <c r="N198" s="5" t="s">
        <v>27</v>
      </c>
      <c r="O198" s="5">
        <v>37269.0</v>
      </c>
      <c r="P198" s="5">
        <v>106.0</v>
      </c>
      <c r="Q198" s="5">
        <v>11667.0</v>
      </c>
      <c r="R198" s="5">
        <v>33260.0</v>
      </c>
      <c r="S198" s="5">
        <v>6.0</v>
      </c>
      <c r="T198" s="5">
        <v>1453.075462</v>
      </c>
    </row>
    <row r="199">
      <c r="A199" s="4" t="s">
        <v>1246</v>
      </c>
      <c r="B199" s="4" t="str">
        <f>IFERROR(__xludf.DUMMYFUNCTION("SPLIT(A199:A925, ""&gt;"")"),"Lotame ")</f>
        <v>Lotame </v>
      </c>
      <c r="C199" s="4" t="str">
        <f>IFERROR(__xludf.DUMMYFUNCTION("""COMPUTED_VALUE""")," Offline CPG Purchasers ")</f>
        <v> Offline CPG Purchasers </v>
      </c>
      <c r="D199" s="4" t="str">
        <f>IFERROR(__xludf.DUMMYFUNCTION("""COMPUTED_VALUE""")," Product Segment ")</f>
        <v> Product Segment </v>
      </c>
      <c r="E199" s="4" t="str">
        <f>IFERROR(__xludf.DUMMYFUNCTION("""COMPUTED_VALUE""")," Home Supplies")</f>
        <v> Home Supplies</v>
      </c>
      <c r="F199" s="4"/>
      <c r="G199" s="4"/>
      <c r="H199" s="4"/>
      <c r="I199" s="5" t="s">
        <v>15</v>
      </c>
      <c r="J199" s="5" t="s">
        <v>23</v>
      </c>
      <c r="K199" s="5" t="s">
        <v>17</v>
      </c>
      <c r="L199" s="6" t="s">
        <v>297</v>
      </c>
      <c r="M199" s="5" t="s">
        <v>26</v>
      </c>
      <c r="N199" s="5" t="s">
        <v>27</v>
      </c>
      <c r="O199" s="5">
        <v>13326.0</v>
      </c>
      <c r="P199" s="5">
        <v>98.0</v>
      </c>
      <c r="Q199" s="5">
        <v>3568.0</v>
      </c>
      <c r="R199" s="5">
        <v>11388.0</v>
      </c>
      <c r="S199" s="5">
        <v>2.0</v>
      </c>
      <c r="T199" s="5">
        <v>1442.032183</v>
      </c>
    </row>
    <row r="200">
      <c r="A200" s="4" t="s">
        <v>1247</v>
      </c>
      <c r="B200" s="4" t="str">
        <f>IFERROR(__xludf.DUMMYFUNCTION("SPLIT(A200:A926, ""&gt;"")"),"Media and Entertainment ")</f>
        <v>Media and Entertainment </v>
      </c>
      <c r="C200" s="4" t="str">
        <f>IFERROR(__xludf.DUMMYFUNCTION("""COMPUTED_VALUE""")," Consumer Entertainment Technology")</f>
        <v> Consumer Entertainment Technology</v>
      </c>
      <c r="D200" s="4"/>
      <c r="E200" s="4"/>
      <c r="F200" s="4"/>
      <c r="G200" s="4"/>
      <c r="H200" s="4"/>
      <c r="I200" s="5" t="s">
        <v>15</v>
      </c>
      <c r="J200" s="5" t="s">
        <v>31</v>
      </c>
      <c r="K200" s="5" t="s">
        <v>78</v>
      </c>
      <c r="L200" s="6" t="s">
        <v>332</v>
      </c>
      <c r="M200" s="5" t="s">
        <v>19</v>
      </c>
      <c r="N200" s="5" t="s">
        <v>27</v>
      </c>
      <c r="O200" s="5">
        <v>10942.0</v>
      </c>
      <c r="P200" s="5">
        <v>66.0</v>
      </c>
      <c r="Q200" s="5">
        <v>4578.0</v>
      </c>
      <c r="R200" s="5">
        <v>9155.0</v>
      </c>
      <c r="S200" s="5">
        <v>3.0</v>
      </c>
      <c r="T200" s="5">
        <v>1595.752624</v>
      </c>
    </row>
    <row r="201">
      <c r="A201" s="4" t="s">
        <v>1248</v>
      </c>
      <c r="B201" s="4" t="str">
        <f>IFERROR(__xludf.DUMMYFUNCTION("SPLIT(A201:A927, ""&gt;"")"),"Online Behavior")</f>
        <v>Online Behavior</v>
      </c>
      <c r="C201" s="4" t="str">
        <f>IFERROR(__xludf.DUMMYFUNCTION("""COMPUTED_VALUE"""),"United States")</f>
        <v>United States</v>
      </c>
      <c r="D201" s="4" t="str">
        <f>IFERROR(__xludf.DUMMYFUNCTION("""COMPUTED_VALUE"""),"Autos and Vehicles ")</f>
        <v>Autos and Vehicles </v>
      </c>
      <c r="E201" s="4" t="str">
        <f>IFERROR(__xludf.DUMMYFUNCTION("""COMPUTED_VALUE""")," Brands")</f>
        <v> Brands</v>
      </c>
      <c r="F201" s="4" t="str">
        <f>IFERROR(__xludf.DUMMYFUNCTION("""COMPUTED_VALUE"""),"Cadillac")</f>
        <v>Cadillac</v>
      </c>
      <c r="G201" s="4"/>
      <c r="H201" s="4"/>
      <c r="I201" s="5" t="s">
        <v>22</v>
      </c>
      <c r="J201" s="5" t="s">
        <v>16</v>
      </c>
      <c r="K201" s="5" t="s">
        <v>150</v>
      </c>
      <c r="L201" s="6" t="s">
        <v>334</v>
      </c>
      <c r="M201" s="5" t="s">
        <v>19</v>
      </c>
      <c r="N201" s="5" t="s">
        <v>27</v>
      </c>
      <c r="O201" s="5">
        <v>14011.0</v>
      </c>
      <c r="P201" s="5">
        <v>40.0</v>
      </c>
      <c r="Q201" s="5">
        <v>5060.0</v>
      </c>
      <c r="R201" s="5">
        <v>12459.0</v>
      </c>
      <c r="S201" s="5">
        <v>5.0</v>
      </c>
      <c r="T201" s="5">
        <v>5632.087973</v>
      </c>
    </row>
    <row r="202">
      <c r="A202" s="4" t="s">
        <v>1249</v>
      </c>
      <c r="B202" s="4" t="str">
        <f>IFERROR(__xludf.DUMMYFUNCTION("SPLIT(A202:A928, ""&gt;"")"),"Lotame ")</f>
        <v>Lotame </v>
      </c>
      <c r="C202" s="4" t="str">
        <f>IFERROR(__xludf.DUMMYFUNCTION("""COMPUTED_VALUE""")," Travel ")</f>
        <v> Travel </v>
      </c>
      <c r="D202" s="4" t="str">
        <f>IFERROR(__xludf.DUMMYFUNCTION("""COMPUTED_VALUE""")," International Travel")</f>
        <v> International Travel</v>
      </c>
      <c r="E202" s="4"/>
      <c r="F202" s="4"/>
      <c r="G202" s="4"/>
      <c r="H202" s="4"/>
      <c r="I202" s="5" t="s">
        <v>15</v>
      </c>
      <c r="J202" s="5" t="s">
        <v>42</v>
      </c>
      <c r="K202" s="5" t="s">
        <v>29</v>
      </c>
      <c r="L202" s="6" t="s">
        <v>336</v>
      </c>
      <c r="M202" s="5" t="s">
        <v>19</v>
      </c>
      <c r="N202" s="5" t="s">
        <v>27</v>
      </c>
      <c r="O202" s="5">
        <v>13464.0</v>
      </c>
      <c r="P202" s="5">
        <v>84.0</v>
      </c>
      <c r="Q202" s="5">
        <v>1698.0</v>
      </c>
      <c r="R202" s="5">
        <v>11234.0</v>
      </c>
      <c r="S202" s="5">
        <v>1.0</v>
      </c>
      <c r="T202" s="5">
        <v>1466.285104</v>
      </c>
    </row>
    <row r="203">
      <c r="A203" s="4" t="s">
        <v>1250</v>
      </c>
      <c r="B203" s="4" t="str">
        <f>IFERROR(__xludf.DUMMYFUNCTION("SPLIT(A203:A929, ""&gt;"")"),"Online Behavior")</f>
        <v>Online Behavior</v>
      </c>
      <c r="C203" s="4" t="str">
        <f>IFERROR(__xludf.DUMMYFUNCTION("""COMPUTED_VALUE"""),"United States")</f>
        <v>United States</v>
      </c>
      <c r="D203" s="4" t="str">
        <f>IFERROR(__xludf.DUMMYFUNCTION("""COMPUTED_VALUE"""),"Validated Demographic ")</f>
        <v>Validated Demographic </v>
      </c>
      <c r="E203" s="4" t="str">
        <f>IFERROR(__xludf.DUMMYFUNCTION("""COMPUTED_VALUE""")," Gender and Age Combined")</f>
        <v> Gender and Age Combined</v>
      </c>
      <c r="F203" s="4" t="str">
        <f>IFERROR(__xludf.DUMMYFUNCTION("""COMPUTED_VALUE"""),"Females 35-44")</f>
        <v>Females 35-44</v>
      </c>
      <c r="G203" s="4"/>
      <c r="H203" s="4"/>
      <c r="I203" s="5" t="s">
        <v>15</v>
      </c>
      <c r="J203" s="5" t="s">
        <v>31</v>
      </c>
      <c r="K203" s="5" t="s">
        <v>84</v>
      </c>
      <c r="L203" s="6" t="s">
        <v>338</v>
      </c>
      <c r="M203" s="5" t="s">
        <v>26</v>
      </c>
      <c r="N203" s="5" t="s">
        <v>27</v>
      </c>
      <c r="O203" s="5">
        <v>121991.0</v>
      </c>
      <c r="P203" s="5">
        <v>369.0</v>
      </c>
      <c r="Q203" s="5">
        <v>43079.0</v>
      </c>
      <c r="R203" s="5">
        <v>99312.0</v>
      </c>
      <c r="S203" s="5">
        <v>4.0</v>
      </c>
      <c r="T203" s="5">
        <v>3993.214585</v>
      </c>
    </row>
    <row r="204">
      <c r="A204" s="4" t="s">
        <v>1251</v>
      </c>
      <c r="B204" s="4" t="str">
        <f>IFERROR(__xludf.DUMMYFUNCTION("SPLIT(A204:A930, ""&gt;"")"),"Online Behavior")</f>
        <v>Online Behavior</v>
      </c>
      <c r="C204" s="4" t="str">
        <f>IFERROR(__xludf.DUMMYFUNCTION("""COMPUTED_VALUE"""),"United States")</f>
        <v>United States</v>
      </c>
      <c r="D204" s="4" t="str">
        <f>IFERROR(__xludf.DUMMYFUNCTION("""COMPUTED_VALUE"""),"B2B ")</f>
        <v>B2B </v>
      </c>
      <c r="E204" s="4" t="str">
        <f>IFERROR(__xludf.DUMMYFUNCTION("""COMPUTED_VALUE""")," Occupation")</f>
        <v> Occupation</v>
      </c>
      <c r="F204" s="4" t="str">
        <f>IFERROR(__xludf.DUMMYFUNCTION("""COMPUTED_VALUE"""),"SystemsAnalyst")</f>
        <v>SystemsAnalyst</v>
      </c>
      <c r="G204" s="4"/>
      <c r="H204" s="4"/>
      <c r="I204" s="5" t="s">
        <v>22</v>
      </c>
      <c r="J204" s="5" t="s">
        <v>31</v>
      </c>
      <c r="K204" s="5" t="s">
        <v>35</v>
      </c>
      <c r="L204" s="6" t="s">
        <v>338</v>
      </c>
      <c r="M204" s="5" t="s">
        <v>19</v>
      </c>
      <c r="N204" s="5" t="s">
        <v>27</v>
      </c>
      <c r="O204" s="5">
        <v>95289.0</v>
      </c>
      <c r="P204" s="5">
        <v>199.0</v>
      </c>
      <c r="Q204" s="5">
        <v>19527.0</v>
      </c>
      <c r="R204" s="5">
        <v>82800.0</v>
      </c>
      <c r="S204" s="5">
        <v>5.0</v>
      </c>
      <c r="T204" s="5">
        <v>3223.535948</v>
      </c>
    </row>
    <row r="205">
      <c r="A205" s="4" t="s">
        <v>1252</v>
      </c>
      <c r="B205" s="4" t="str">
        <f>IFERROR(__xludf.DUMMYFUNCTION("SPLIT(A205:A931, ""&gt;"")"),"OnAudience ")</f>
        <v>OnAudience </v>
      </c>
      <c r="C205" s="4" t="str">
        <f>IFERROR(__xludf.DUMMYFUNCTION("""COMPUTED_VALUE""")," Interest ")</f>
        <v> Interest </v>
      </c>
      <c r="D205" s="4" t="str">
        <f>IFERROR(__xludf.DUMMYFUNCTION("""COMPUTED_VALUE""")," Personal Finance")</f>
        <v> Personal Finance</v>
      </c>
      <c r="E205" s="4"/>
      <c r="F205" s="4"/>
      <c r="G205" s="4"/>
      <c r="H205" s="4"/>
      <c r="I205" s="5" t="s">
        <v>22</v>
      </c>
      <c r="J205" s="5" t="s">
        <v>16</v>
      </c>
      <c r="K205" s="5" t="s">
        <v>35</v>
      </c>
      <c r="L205" s="6" t="s">
        <v>341</v>
      </c>
      <c r="M205" s="5" t="s">
        <v>19</v>
      </c>
      <c r="N205" s="5" t="s">
        <v>27</v>
      </c>
      <c r="O205" s="5">
        <v>80408.0</v>
      </c>
      <c r="P205" s="5">
        <v>199.0</v>
      </c>
      <c r="Q205" s="5">
        <v>13127.0</v>
      </c>
      <c r="R205" s="5">
        <v>67027.0</v>
      </c>
      <c r="S205" s="5">
        <v>9.0</v>
      </c>
      <c r="T205" s="5">
        <v>1788.111618</v>
      </c>
    </row>
    <row r="206">
      <c r="A206" s="4" t="s">
        <v>1794</v>
      </c>
      <c r="B206" s="4" t="str">
        <f>IFERROR(__xludf.DUMMYFUNCTION("SPLIT(A206:A932, ""&gt;"")"),"Mobile - US ")</f>
        <v>Mobile - US </v>
      </c>
      <c r="C206" s="4" t="str">
        <f>IFERROR(__xludf.DUMMYFUNCTION("""COMPUTED_VALUE""")," Demographics ")</f>
        <v> Demographics </v>
      </c>
      <c r="D206" s="4" t="str">
        <f>IFERROR(__xludf.DUMMYFUNCTION("""COMPUTED_VALUE""")," Education ")</f>
        <v> Education </v>
      </c>
      <c r="E206" s="4" t="str">
        <f>IFERROR(__xludf.DUMMYFUNCTION("""COMPUTED_VALUE""")," Lowest Education Achievement")</f>
        <v> Lowest Education Achievement</v>
      </c>
      <c r="F206" s="4"/>
      <c r="G206" s="4"/>
      <c r="H206" s="4"/>
      <c r="I206" s="5" t="s">
        <v>22</v>
      </c>
      <c r="J206" s="5" t="s">
        <v>42</v>
      </c>
      <c r="K206" s="5" t="s">
        <v>55</v>
      </c>
      <c r="L206" s="6" t="s">
        <v>341</v>
      </c>
      <c r="M206" s="5" t="s">
        <v>46</v>
      </c>
      <c r="N206" s="5" t="s">
        <v>27</v>
      </c>
      <c r="O206" s="5">
        <v>82916.0</v>
      </c>
      <c r="P206" s="5">
        <v>199.0</v>
      </c>
      <c r="Q206" s="5">
        <v>24951.0</v>
      </c>
      <c r="R206" s="5">
        <v>77333.0</v>
      </c>
      <c r="S206" s="5">
        <v>12.0</v>
      </c>
      <c r="T206" s="5">
        <v>1584.821247</v>
      </c>
    </row>
    <row r="207">
      <c r="A207" s="4" t="s">
        <v>1795</v>
      </c>
      <c r="B207" s="4" t="str">
        <f>IFERROR(__xludf.DUMMYFUNCTION("SPLIT(A207:A933, ""&gt;"")"),"Mobile - US ")</f>
        <v>Mobile - US </v>
      </c>
      <c r="C207" s="4" t="str">
        <f>IFERROR(__xludf.DUMMYFUNCTION("""COMPUTED_VALUE""")," Food ")</f>
        <v> Food </v>
      </c>
      <c r="D207" s="4" t="str">
        <f>IFERROR(__xludf.DUMMYFUNCTION("""COMPUTED_VALUE""")," Restaurant ")</f>
        <v> Restaurant </v>
      </c>
      <c r="E207" s="4" t="str">
        <f>IFERROR(__xludf.DUMMYFUNCTION("""COMPUTED_VALUE""")," Brand ")</f>
        <v> Brand </v>
      </c>
      <c r="F207" s="4" t="str">
        <f>IFERROR(__xludf.DUMMYFUNCTION("""COMPUTED_VALUE""")," Buffalo Wild Wings")</f>
        <v> Buffalo Wild Wings</v>
      </c>
      <c r="G207" s="4"/>
      <c r="H207" s="4"/>
      <c r="I207" s="5" t="s">
        <v>15</v>
      </c>
      <c r="J207" s="5" t="s">
        <v>16</v>
      </c>
      <c r="K207" s="5" t="s">
        <v>29</v>
      </c>
      <c r="L207" s="6" t="s">
        <v>344</v>
      </c>
      <c r="M207" s="5" t="s">
        <v>19</v>
      </c>
      <c r="N207" s="5" t="s">
        <v>52</v>
      </c>
      <c r="O207" s="5">
        <v>16354.0</v>
      </c>
      <c r="P207" s="5">
        <v>40.0</v>
      </c>
      <c r="Q207" s="5">
        <v>8061.0</v>
      </c>
      <c r="R207" s="5">
        <v>15667.0</v>
      </c>
      <c r="S207" s="5">
        <v>4.0</v>
      </c>
      <c r="T207" s="5">
        <v>1610.319977</v>
      </c>
    </row>
    <row r="208">
      <c r="A208" s="4" t="s">
        <v>1796</v>
      </c>
      <c r="B208" s="4" t="str">
        <f>IFERROR(__xludf.DUMMYFUNCTION("SPLIT(A208:A934, ""&gt;"")"),"US Interest ")</f>
        <v>US Interest </v>
      </c>
      <c r="C208" s="4" t="str">
        <f>IFERROR(__xludf.DUMMYFUNCTION("""COMPUTED_VALUE""")," Cooking ")</f>
        <v> Cooking </v>
      </c>
      <c r="D208" s="4" t="str">
        <f>IFERROR(__xludf.DUMMYFUNCTION("""COMPUTED_VALUE""")," General")</f>
        <v> General</v>
      </c>
      <c r="E208" s="4"/>
      <c r="F208" s="4"/>
      <c r="G208" s="4"/>
      <c r="H208" s="4"/>
      <c r="I208" s="5" t="s">
        <v>22</v>
      </c>
      <c r="J208" s="5" t="s">
        <v>31</v>
      </c>
      <c r="K208" s="5" t="s">
        <v>35</v>
      </c>
      <c r="L208" s="6" t="s">
        <v>346</v>
      </c>
      <c r="M208" s="5" t="s">
        <v>33</v>
      </c>
      <c r="N208" s="5" t="s">
        <v>27</v>
      </c>
      <c r="O208" s="5">
        <v>9920.0</v>
      </c>
      <c r="P208" s="5">
        <v>20.0</v>
      </c>
      <c r="Q208" s="5">
        <v>6702.0</v>
      </c>
      <c r="R208" s="5">
        <v>9096.0</v>
      </c>
      <c r="S208" s="5">
        <v>10.0</v>
      </c>
      <c r="T208" s="5">
        <v>1453.11439</v>
      </c>
    </row>
    <row r="209">
      <c r="A209" s="4" t="s">
        <v>1256</v>
      </c>
      <c r="B209" s="4" t="str">
        <f>IFERROR(__xludf.DUMMYFUNCTION("SPLIT(A209:A935, ""&gt;"")"),"Travel and Tourism ")</f>
        <v>Travel and Tourism </v>
      </c>
      <c r="C209" s="4" t="str">
        <f>IFERROR(__xludf.DUMMYFUNCTION("""COMPUTED_VALUE""")," Interest (Affinity) ")</f>
        <v> Interest (Affinity) </v>
      </c>
      <c r="D209" s="4" t="str">
        <f>IFERROR(__xludf.DUMMYFUNCTION("""COMPUTED_VALUE""")," Destinations ")</f>
        <v> Destinations </v>
      </c>
      <c r="E209" s="4" t="str">
        <f>IFERROR(__xludf.DUMMYFUNCTION("""COMPUTED_VALUE""")," Latin America")</f>
        <v> Latin America</v>
      </c>
      <c r="F209" s="4"/>
      <c r="G209" s="4"/>
      <c r="H209" s="4"/>
      <c r="I209" s="5" t="s">
        <v>22</v>
      </c>
      <c r="J209" s="5" t="s">
        <v>42</v>
      </c>
      <c r="K209" s="5" t="s">
        <v>24</v>
      </c>
      <c r="L209" s="6" t="s">
        <v>348</v>
      </c>
      <c r="M209" s="5" t="s">
        <v>36</v>
      </c>
      <c r="N209" s="5" t="s">
        <v>27</v>
      </c>
      <c r="O209" s="5">
        <v>31243.0</v>
      </c>
      <c r="P209" s="5">
        <v>100.0</v>
      </c>
      <c r="Q209" s="5">
        <v>16326.0</v>
      </c>
      <c r="R209" s="5">
        <v>25991.0</v>
      </c>
      <c r="S209" s="5">
        <v>21.0</v>
      </c>
      <c r="T209" s="5">
        <v>1452.59056</v>
      </c>
    </row>
    <row r="210">
      <c r="A210" s="4" t="s">
        <v>1257</v>
      </c>
      <c r="B210" s="4" t="str">
        <f>IFERROR(__xludf.DUMMYFUNCTION("SPLIT(A210:A936, ""&gt;"")"),"Online Behavior")</f>
        <v>Online Behavior</v>
      </c>
      <c r="C210" s="4" t="str">
        <f>IFERROR(__xludf.DUMMYFUNCTION("""COMPUTED_VALUE"""),"United States")</f>
        <v>United States</v>
      </c>
      <c r="D210" s="4" t="str">
        <f>IFERROR(__xludf.DUMMYFUNCTION("""COMPUTED_VALUE"""),"Intent ")</f>
        <v>Intent </v>
      </c>
      <c r="E210" s="4" t="str">
        <f>IFERROR(__xludf.DUMMYFUNCTION("""COMPUTED_VALUE""")," Shopping")</f>
        <v> Shopping</v>
      </c>
      <c r="F210" s="4" t="str">
        <f>IFERROR(__xludf.DUMMYFUNCTION("""COMPUTED_VALUE"""),"Consumer Electronics ")</f>
        <v>Consumer Electronics </v>
      </c>
      <c r="G210" s="4" t="str">
        <f>IFERROR(__xludf.DUMMYFUNCTION("""COMPUTED_VALUE""")," Video Game Consoles")</f>
        <v> Video Game Consoles</v>
      </c>
      <c r="H210" s="4"/>
      <c r="I210" s="5" t="s">
        <v>15</v>
      </c>
      <c r="J210" s="5" t="s">
        <v>42</v>
      </c>
      <c r="K210" s="5" t="s">
        <v>35</v>
      </c>
      <c r="L210" s="6" t="s">
        <v>350</v>
      </c>
      <c r="M210" s="5" t="s">
        <v>36</v>
      </c>
      <c r="N210" s="5" t="s">
        <v>20</v>
      </c>
      <c r="O210" s="5">
        <v>39314.0</v>
      </c>
      <c r="P210" s="5">
        <v>100.0</v>
      </c>
      <c r="Q210" s="5">
        <v>27671.0</v>
      </c>
      <c r="R210" s="5">
        <v>35488.0</v>
      </c>
      <c r="S210" s="5">
        <v>8.0</v>
      </c>
      <c r="T210" s="5">
        <v>5530.800458</v>
      </c>
    </row>
    <row r="211">
      <c r="A211" s="4" t="s">
        <v>1258</v>
      </c>
      <c r="B211" s="4" t="str">
        <f>IFERROR(__xludf.DUMMYFUNCTION("SPLIT(A211:A937, ""&gt;"")"),"Online Behavior")</f>
        <v>Online Behavior</v>
      </c>
      <c r="C211" s="4" t="str">
        <f>IFERROR(__xludf.DUMMYFUNCTION("""COMPUTED_VALUE"""),"United States")</f>
        <v>United States</v>
      </c>
      <c r="D211" s="4" t="str">
        <f>IFERROR(__xludf.DUMMYFUNCTION("""COMPUTED_VALUE"""),"Intent ")</f>
        <v>Intent </v>
      </c>
      <c r="E211" s="4" t="str">
        <f>IFERROR(__xludf.DUMMYFUNCTION("""COMPUTED_VALUE""")," Auto Buyers ")</f>
        <v> Auto Buyers </v>
      </c>
      <c r="F211" s="4" t="str">
        <f>IFERROR(__xludf.DUMMYFUNCTION("""COMPUTED_VALUE""")," Category")</f>
        <v> Category</v>
      </c>
      <c r="G211" s="4" t="str">
        <f>IFERROR(__xludf.DUMMYFUNCTION("""COMPUTED_VALUE"""),"Motorcycle")</f>
        <v>Motorcycle</v>
      </c>
      <c r="H211" s="4"/>
      <c r="I211" s="5" t="s">
        <v>22</v>
      </c>
      <c r="J211" s="5" t="s">
        <v>42</v>
      </c>
      <c r="K211" s="5" t="s">
        <v>17</v>
      </c>
      <c r="L211" s="6" t="s">
        <v>352</v>
      </c>
      <c r="M211" s="5" t="s">
        <v>33</v>
      </c>
      <c r="N211" s="5" t="s">
        <v>27</v>
      </c>
      <c r="O211" s="5">
        <v>15252.0</v>
      </c>
      <c r="P211" s="5">
        <v>55.0</v>
      </c>
      <c r="Q211" s="5">
        <v>2152.0</v>
      </c>
      <c r="R211" s="5">
        <v>3482.0</v>
      </c>
      <c r="S211" s="5">
        <v>7.0</v>
      </c>
      <c r="T211" s="5">
        <v>6211.200147</v>
      </c>
    </row>
    <row r="212">
      <c r="A212" s="4" t="s">
        <v>1797</v>
      </c>
      <c r="B212" s="4" t="str">
        <f>IFERROR(__xludf.DUMMYFUNCTION("SPLIT(A212:A938, ""&gt;"")"),"US Financial ")</f>
        <v>US Financial </v>
      </c>
      <c r="C212" s="4" t="str">
        <f>IFERROR(__xludf.DUMMYFUNCTION("""COMPUTED_VALUE""")," Credit Card Type ")</f>
        <v> Credit Card Type </v>
      </c>
      <c r="D212" s="4" t="str">
        <f>IFERROR(__xludf.DUMMYFUNCTION("""COMPUTED_VALUE""")," Credit Card Holder - Unknown Type")</f>
        <v> Credit Card Holder - Unknown Type</v>
      </c>
      <c r="E212" s="4"/>
      <c r="F212" s="4"/>
      <c r="G212" s="4"/>
      <c r="H212" s="4"/>
      <c r="I212" s="5" t="s">
        <v>61</v>
      </c>
      <c r="J212" s="5" t="s">
        <v>42</v>
      </c>
      <c r="K212" s="5" t="s">
        <v>304</v>
      </c>
      <c r="L212" s="6" t="s">
        <v>352</v>
      </c>
      <c r="M212" s="5" t="s">
        <v>19</v>
      </c>
      <c r="N212" s="5" t="s">
        <v>27</v>
      </c>
      <c r="O212" s="5">
        <v>7394.0</v>
      </c>
      <c r="P212" s="5">
        <v>20.0</v>
      </c>
      <c r="Q212" s="5">
        <v>3441.0</v>
      </c>
      <c r="R212" s="5">
        <v>6663.0</v>
      </c>
      <c r="S212" s="5">
        <v>1.0</v>
      </c>
      <c r="T212" s="5">
        <v>1624.840774</v>
      </c>
    </row>
    <row r="213">
      <c r="A213" s="4" t="s">
        <v>1798</v>
      </c>
      <c r="B213" s="4" t="str">
        <f>IFERROR(__xludf.DUMMYFUNCTION("SPLIT(A213:A939, ""&gt;"")"),"US ")</f>
        <v>US </v>
      </c>
      <c r="C213" s="4" t="str">
        <f>IFERROR(__xludf.DUMMYFUNCTION("""COMPUTED_VALUE""")," Brand Propensities ")</f>
        <v> Brand Propensities </v>
      </c>
      <c r="D213" s="4" t="str">
        <f>IFERROR(__xludf.DUMMYFUNCTION("""COMPUTED_VALUE""")," Travel ")</f>
        <v> Travel </v>
      </c>
      <c r="E213" s="4" t="str">
        <f>IFERROR(__xludf.DUMMYFUNCTION("""COMPUTED_VALUE""")," Booking.com Buyer Propensity")</f>
        <v> Booking.com Buyer Propensity</v>
      </c>
      <c r="F213" s="4"/>
      <c r="G213" s="4"/>
      <c r="H213" s="4"/>
      <c r="I213" s="5" t="s">
        <v>22</v>
      </c>
      <c r="J213" s="5" t="s">
        <v>16</v>
      </c>
      <c r="K213" s="5" t="s">
        <v>55</v>
      </c>
      <c r="L213" s="6" t="s">
        <v>352</v>
      </c>
      <c r="M213" s="5" t="s">
        <v>19</v>
      </c>
      <c r="N213" s="5" t="s">
        <v>27</v>
      </c>
      <c r="O213" s="5">
        <v>22259.0</v>
      </c>
      <c r="P213" s="5">
        <v>120.0</v>
      </c>
      <c r="Q213" s="5">
        <v>12405.0</v>
      </c>
      <c r="R213" s="5">
        <v>17609.0</v>
      </c>
      <c r="S213" s="5">
        <v>14.0</v>
      </c>
      <c r="T213" s="5">
        <v>1611.340211</v>
      </c>
    </row>
    <row r="214">
      <c r="A214" s="4" t="s">
        <v>1799</v>
      </c>
      <c r="B214" s="4" t="str">
        <f>IFERROR(__xludf.DUMMYFUNCTION("SPLIT(A214:A940, ""&gt;"")"),"US Financial ")</f>
        <v>US Financial </v>
      </c>
      <c r="C214" s="4" t="str">
        <f>IFERROR(__xludf.DUMMYFUNCTION("""COMPUTED_VALUE""")," Estimated Disposable Income ")</f>
        <v> Estimated Disposable Income </v>
      </c>
      <c r="D214" s="4" t="str">
        <f>IFERROR(__xludf.DUMMYFUNCTION("""COMPUTED_VALUE""")," $0 - $99,999")</f>
        <v> $0 - $99,999</v>
      </c>
      <c r="E214" s="4"/>
      <c r="F214" s="4"/>
      <c r="G214" s="4"/>
      <c r="H214" s="4"/>
      <c r="I214" s="5" t="s">
        <v>15</v>
      </c>
      <c r="J214" s="5" t="s">
        <v>16</v>
      </c>
      <c r="K214" s="5" t="s">
        <v>356</v>
      </c>
      <c r="L214" s="6" t="s">
        <v>352</v>
      </c>
      <c r="M214" s="5" t="s">
        <v>48</v>
      </c>
      <c r="N214" s="5" t="s">
        <v>52</v>
      </c>
      <c r="O214" s="5">
        <v>21143.0</v>
      </c>
      <c r="P214" s="5">
        <v>56.0</v>
      </c>
      <c r="Q214" s="5">
        <v>3798.0</v>
      </c>
      <c r="R214" s="5">
        <v>19588.0</v>
      </c>
      <c r="S214" s="5">
        <v>3.0</v>
      </c>
      <c r="T214" s="5">
        <v>1500.41822</v>
      </c>
    </row>
    <row r="215">
      <c r="A215" s="4" t="s">
        <v>357</v>
      </c>
      <c r="B215" s="4" t="str">
        <f>IFERROR(__xludf.DUMMYFUNCTION("SPLIT(A215:A941, ""&gt;"")"),"Online Behavior")</f>
        <v>Online Behavior</v>
      </c>
      <c r="C215" s="4" t="str">
        <f>IFERROR(__xludf.DUMMYFUNCTION("""COMPUTED_VALUE"""),"United States")</f>
        <v>United States</v>
      </c>
      <c r="D215" s="4" t="str">
        <f>IFERROR(__xludf.DUMMYFUNCTION("""COMPUTED_VALUE"""),"Autos and Vehicles")</f>
        <v>Autos and Vehicles</v>
      </c>
      <c r="E215" s="4" t="str">
        <f>IFERROR(__xludf.DUMMYFUNCTION("""COMPUTED_VALUE"""),"Boats and Watercraft")</f>
        <v>Boats and Watercraft</v>
      </c>
      <c r="F215" s="4"/>
      <c r="G215" s="4"/>
      <c r="H215" s="4"/>
      <c r="I215" s="5" t="s">
        <v>22</v>
      </c>
      <c r="J215" s="5" t="s">
        <v>16</v>
      </c>
      <c r="K215" s="5" t="s">
        <v>35</v>
      </c>
      <c r="L215" s="6" t="s">
        <v>358</v>
      </c>
      <c r="M215" s="5" t="s">
        <v>48</v>
      </c>
      <c r="N215" s="5" t="s">
        <v>27</v>
      </c>
      <c r="O215" s="5">
        <v>111624.0</v>
      </c>
      <c r="P215" s="5">
        <v>590.0</v>
      </c>
      <c r="Q215" s="5">
        <v>40343.0</v>
      </c>
      <c r="R215" s="5">
        <v>101306.0</v>
      </c>
      <c r="S215" s="5">
        <v>21.0</v>
      </c>
      <c r="T215" s="5">
        <v>6510.446656</v>
      </c>
    </row>
    <row r="216">
      <c r="A216" s="4" t="s">
        <v>1262</v>
      </c>
      <c r="B216" s="4" t="str">
        <f>IFERROR(__xludf.DUMMYFUNCTION("SPLIT(A216:A942, ""&gt;"")"),"Online Behavior")</f>
        <v>Online Behavior</v>
      </c>
      <c r="C216" s="4" t="str">
        <f>IFERROR(__xludf.DUMMYFUNCTION("""COMPUTED_VALUE"""),"United States")</f>
        <v>United States</v>
      </c>
      <c r="D216" s="4" t="str">
        <f>IFERROR(__xludf.DUMMYFUNCTION("""COMPUTED_VALUE"""),"Beauty and Fitness")</f>
        <v>Beauty and Fitness</v>
      </c>
      <c r="E216" s="4" t="str">
        <f>IFERROR(__xludf.DUMMYFUNCTION("""COMPUTED_VALUE"""),"Fitness ")</f>
        <v>Fitness </v>
      </c>
      <c r="F216" s="4" t="str">
        <f>IFERROR(__xludf.DUMMYFUNCTION("""COMPUTED_VALUE""")," Yoga and Pilates")</f>
        <v> Yoga and Pilates</v>
      </c>
      <c r="G216" s="4"/>
      <c r="H216" s="4"/>
      <c r="I216" s="5" t="s">
        <v>15</v>
      </c>
      <c r="J216" s="5" t="s">
        <v>42</v>
      </c>
      <c r="K216" s="5" t="s">
        <v>78</v>
      </c>
      <c r="L216" s="6" t="s">
        <v>358</v>
      </c>
      <c r="M216" s="5" t="s">
        <v>26</v>
      </c>
      <c r="N216" s="5" t="s">
        <v>52</v>
      </c>
      <c r="O216" s="5">
        <v>95644.0</v>
      </c>
      <c r="P216" s="5">
        <v>240.0</v>
      </c>
      <c r="Q216" s="5">
        <v>13294.0</v>
      </c>
      <c r="R216" s="5">
        <v>86775.0</v>
      </c>
      <c r="S216" s="5">
        <v>9.0</v>
      </c>
      <c r="T216" s="5">
        <v>5587.763675</v>
      </c>
    </row>
    <row r="217">
      <c r="A217" s="4" t="s">
        <v>1800</v>
      </c>
      <c r="B217" s="4" t="str">
        <f>IFERROR(__xludf.DUMMYFUNCTION("SPLIT(A217:A943, ""&gt;"")"),"US ")</f>
        <v>US </v>
      </c>
      <c r="C217" s="4" t="str">
        <f>IFERROR(__xludf.DUMMYFUNCTION("""COMPUTED_VALUE""")," Reach ")</f>
        <v> Reach </v>
      </c>
      <c r="D217" s="4" t="str">
        <f>IFERROR(__xludf.DUMMYFUNCTION("""COMPUTED_VALUE""")," Propensity Models ")</f>
        <v> Propensity Models </v>
      </c>
      <c r="E217" s="4" t="str">
        <f>IFERROR(__xludf.DUMMYFUNCTION("""COMPUTED_VALUE""")," Hobbies and Interest ")</f>
        <v> Hobbies and Interest </v>
      </c>
      <c r="F217" s="4" t="str">
        <f>IFERROR(__xludf.DUMMYFUNCTION("""COMPUTED_VALUE""")," Sports ")</f>
        <v> Sports </v>
      </c>
      <c r="G217" s="4" t="str">
        <f>IFERROR(__xludf.DUMMYFUNCTION("""COMPUTED_VALUE""")," Fitness Enthusiasts")</f>
        <v> Fitness Enthusiasts</v>
      </c>
      <c r="H217" s="4"/>
      <c r="I217" s="5" t="s">
        <v>15</v>
      </c>
      <c r="J217" s="5" t="s">
        <v>42</v>
      </c>
      <c r="K217" s="5" t="s">
        <v>35</v>
      </c>
      <c r="L217" s="6" t="s">
        <v>358</v>
      </c>
      <c r="M217" s="5" t="s">
        <v>19</v>
      </c>
      <c r="N217" s="5" t="s">
        <v>52</v>
      </c>
      <c r="O217" s="5">
        <v>65238.0</v>
      </c>
      <c r="P217" s="5">
        <v>240.0</v>
      </c>
      <c r="Q217" s="5">
        <v>23741.0</v>
      </c>
      <c r="R217" s="5">
        <v>59893.0</v>
      </c>
      <c r="S217" s="5">
        <v>15.0</v>
      </c>
      <c r="T217" s="5">
        <v>3132.519209</v>
      </c>
    </row>
    <row r="218">
      <c r="A218" s="4" t="s">
        <v>361</v>
      </c>
      <c r="B218" s="4" t="str">
        <f>IFERROR(__xludf.DUMMYFUNCTION("SPLIT(A218:A944, ""&gt;"")"),"Online Behavior")</f>
        <v>Online Behavior</v>
      </c>
      <c r="C218" s="4" t="str">
        <f>IFERROR(__xludf.DUMMYFUNCTION("""COMPUTED_VALUE"""),"United States")</f>
        <v>United States</v>
      </c>
      <c r="D218" s="4" t="str">
        <f>IFERROR(__xludf.DUMMYFUNCTION("""COMPUTED_VALUE"""),"News")</f>
        <v>News</v>
      </c>
      <c r="E218" s="4" t="str">
        <f>IFERROR(__xludf.DUMMYFUNCTION("""COMPUTED_VALUE"""),"Technology News")</f>
        <v>Technology News</v>
      </c>
      <c r="F218" s="4"/>
      <c r="G218" s="4"/>
      <c r="H218" s="4"/>
      <c r="I218" s="5" t="s">
        <v>61</v>
      </c>
      <c r="J218" s="5" t="s">
        <v>42</v>
      </c>
      <c r="K218" s="5" t="s">
        <v>55</v>
      </c>
      <c r="L218" s="6" t="s">
        <v>362</v>
      </c>
      <c r="M218" s="5" t="s">
        <v>46</v>
      </c>
      <c r="N218" s="5" t="s">
        <v>27</v>
      </c>
      <c r="O218" s="5">
        <v>115412.0</v>
      </c>
      <c r="P218" s="5">
        <v>490.0</v>
      </c>
      <c r="Q218" s="5">
        <v>71564.0</v>
      </c>
      <c r="R218" s="5">
        <v>81785.0</v>
      </c>
      <c r="S218" s="5">
        <v>21.0</v>
      </c>
      <c r="T218" s="5">
        <v>6861.53638</v>
      </c>
    </row>
    <row r="219">
      <c r="A219" s="4" t="s">
        <v>1264</v>
      </c>
      <c r="B219" s="4" t="str">
        <f>IFERROR(__xludf.DUMMYFUNCTION("SPLIT(A219:A945, ""&gt;"")"),"OnAudience ")</f>
        <v>OnAudience </v>
      </c>
      <c r="C219" s="4" t="str">
        <f>IFERROR(__xludf.DUMMYFUNCTION("""COMPUTED_VALUE""")," Interest ")</f>
        <v> Interest </v>
      </c>
      <c r="D219" s="4" t="str">
        <f>IFERROR(__xludf.DUMMYFUNCTION("""COMPUTED_VALUE""")," Sports")</f>
        <v> Sports</v>
      </c>
      <c r="E219" s="4"/>
      <c r="F219" s="4"/>
      <c r="G219" s="4"/>
      <c r="H219" s="4"/>
      <c r="I219" s="5" t="s">
        <v>15</v>
      </c>
      <c r="J219" s="5" t="s">
        <v>31</v>
      </c>
      <c r="K219" s="5" t="s">
        <v>35</v>
      </c>
      <c r="L219" s="6" t="s">
        <v>362</v>
      </c>
      <c r="M219" s="5" t="s">
        <v>19</v>
      </c>
      <c r="N219" s="5" t="s">
        <v>27</v>
      </c>
      <c r="O219" s="5">
        <v>11375.0</v>
      </c>
      <c r="P219" s="5">
        <v>87.0</v>
      </c>
      <c r="Q219" s="5">
        <v>7171.0</v>
      </c>
      <c r="R219" s="5">
        <v>8151.0</v>
      </c>
      <c r="S219" s="5">
        <v>4.0</v>
      </c>
      <c r="T219" s="5">
        <v>1763.784061</v>
      </c>
    </row>
    <row r="220">
      <c r="A220" s="4" t="s">
        <v>364</v>
      </c>
      <c r="B220" s="4" t="str">
        <f>IFERROR(__xludf.DUMMYFUNCTION("SPLIT(A220:A946, ""&gt;"")"),"Online Behavior")</f>
        <v>Online Behavior</v>
      </c>
      <c r="C220" s="4" t="str">
        <f>IFERROR(__xludf.DUMMYFUNCTION("""COMPUTED_VALUE"""),"United States")</f>
        <v>United States</v>
      </c>
      <c r="D220" s="4" t="str">
        <f>IFERROR(__xludf.DUMMYFUNCTION("""COMPUTED_VALUE"""),"Travel")</f>
        <v>Travel</v>
      </c>
      <c r="E220" s="4" t="str">
        <f>IFERROR(__xludf.DUMMYFUNCTION("""COMPUTED_VALUE"""),"Air Travel")</f>
        <v>Air Travel</v>
      </c>
      <c r="F220" s="4"/>
      <c r="G220" s="4"/>
      <c r="H220" s="4"/>
      <c r="I220" s="5" t="s">
        <v>15</v>
      </c>
      <c r="J220" s="5" t="s">
        <v>31</v>
      </c>
      <c r="K220" s="5" t="s">
        <v>35</v>
      </c>
      <c r="L220" s="6" t="s">
        <v>365</v>
      </c>
      <c r="M220" s="5" t="s">
        <v>19</v>
      </c>
      <c r="N220" s="5" t="s">
        <v>52</v>
      </c>
      <c r="O220" s="5">
        <v>27394.0</v>
      </c>
      <c r="P220" s="5">
        <v>74.0</v>
      </c>
      <c r="Q220" s="5">
        <v>16144.0</v>
      </c>
      <c r="R220" s="5">
        <v>24752.0</v>
      </c>
      <c r="S220" s="5">
        <v>78.0</v>
      </c>
      <c r="T220" s="5">
        <v>7264.58761</v>
      </c>
    </row>
    <row r="221">
      <c r="A221" s="4" t="s">
        <v>366</v>
      </c>
      <c r="B221" s="4" t="str">
        <f>IFERROR(__xludf.DUMMYFUNCTION("SPLIT(A221:A947, ""&gt;"")"),"Online Behavior")</f>
        <v>Online Behavior</v>
      </c>
      <c r="C221" s="4" t="str">
        <f>IFERROR(__xludf.DUMMYFUNCTION("""COMPUTED_VALUE"""),"United States")</f>
        <v>United States</v>
      </c>
      <c r="D221" s="4" t="str">
        <f>IFERROR(__xludf.DUMMYFUNCTION("""COMPUTED_VALUE"""),"Beauty and Fitness")</f>
        <v>Beauty and Fitness</v>
      </c>
      <c r="E221" s="4" t="str">
        <f>IFERROR(__xludf.DUMMYFUNCTION("""COMPUTED_VALUE"""),"Body Art")</f>
        <v>Body Art</v>
      </c>
      <c r="F221" s="4"/>
      <c r="G221" s="4"/>
      <c r="H221" s="4"/>
      <c r="I221" s="5" t="s">
        <v>22</v>
      </c>
      <c r="J221" s="5" t="s">
        <v>42</v>
      </c>
      <c r="K221" s="5" t="s">
        <v>39</v>
      </c>
      <c r="L221" s="6" t="s">
        <v>365</v>
      </c>
      <c r="M221" s="5" t="s">
        <v>19</v>
      </c>
      <c r="N221" s="5" t="s">
        <v>27</v>
      </c>
      <c r="O221" s="5">
        <v>22690.0</v>
      </c>
      <c r="P221" s="5">
        <v>68.0</v>
      </c>
      <c r="Q221" s="5">
        <v>10212.0</v>
      </c>
      <c r="R221" s="5">
        <v>19934.0</v>
      </c>
      <c r="S221" s="5">
        <v>19.0</v>
      </c>
      <c r="T221" s="5">
        <v>7210.686506</v>
      </c>
    </row>
    <row r="222">
      <c r="A222" s="4" t="s">
        <v>367</v>
      </c>
      <c r="B222" s="4" t="str">
        <f>IFERROR(__xludf.DUMMYFUNCTION("SPLIT(A222:A948, ""&gt;"")"),"Online Behavior")</f>
        <v>Online Behavior</v>
      </c>
      <c r="C222" s="4" t="str">
        <f>IFERROR(__xludf.DUMMYFUNCTION("""COMPUTED_VALUE"""),"United States")</f>
        <v>United States</v>
      </c>
      <c r="D222" s="4" t="str">
        <f>IFERROR(__xludf.DUMMYFUNCTION("""COMPUTED_VALUE"""),"Home and Garden")</f>
        <v>Home and Garden</v>
      </c>
      <c r="E222" s="4" t="str">
        <f>IFERROR(__xludf.DUMMYFUNCTION("""COMPUTED_VALUE"""),"Home Improvement")</f>
        <v>Home Improvement</v>
      </c>
      <c r="F222" s="4"/>
      <c r="G222" s="4"/>
      <c r="H222" s="4"/>
      <c r="I222" s="5" t="s">
        <v>22</v>
      </c>
      <c r="J222" s="5" t="s">
        <v>42</v>
      </c>
      <c r="K222" s="5" t="s">
        <v>78</v>
      </c>
      <c r="L222" s="6" t="s">
        <v>365</v>
      </c>
      <c r="M222" s="5" t="s">
        <v>36</v>
      </c>
      <c r="N222" s="5" t="s">
        <v>27</v>
      </c>
      <c r="O222" s="5">
        <v>76049.0</v>
      </c>
      <c r="P222" s="5">
        <v>199.0</v>
      </c>
      <c r="Q222" s="5">
        <v>34921.0</v>
      </c>
      <c r="R222" s="5">
        <v>69138.0</v>
      </c>
      <c r="S222" s="5">
        <v>8.0</v>
      </c>
      <c r="T222" s="5">
        <v>6942.800458</v>
      </c>
    </row>
    <row r="223">
      <c r="A223" s="4" t="s">
        <v>368</v>
      </c>
      <c r="B223" s="4" t="str">
        <f>IFERROR(__xludf.DUMMYFUNCTION("SPLIT(A223:A949, ""&gt;"")"),"Online Behavior")</f>
        <v>Online Behavior</v>
      </c>
      <c r="C223" s="4" t="str">
        <f>IFERROR(__xludf.DUMMYFUNCTION("""COMPUTED_VALUE"""),"United States")</f>
        <v>United States</v>
      </c>
      <c r="D223" s="4" t="str">
        <f>IFERROR(__xludf.DUMMYFUNCTION("""COMPUTED_VALUE"""),"News")</f>
        <v>News</v>
      </c>
      <c r="E223" s="4" t="str">
        <f>IFERROR(__xludf.DUMMYFUNCTION("""COMPUTED_VALUE"""),"Business News")</f>
        <v>Business News</v>
      </c>
      <c r="F223" s="4"/>
      <c r="G223" s="4"/>
      <c r="H223" s="4"/>
      <c r="I223" s="5" t="s">
        <v>22</v>
      </c>
      <c r="J223" s="5" t="s">
        <v>16</v>
      </c>
      <c r="K223" s="5" t="s">
        <v>173</v>
      </c>
      <c r="L223" s="6" t="s">
        <v>365</v>
      </c>
      <c r="M223" s="5" t="s">
        <v>48</v>
      </c>
      <c r="N223" s="5" t="s">
        <v>27</v>
      </c>
      <c r="O223" s="5">
        <v>44505.0</v>
      </c>
      <c r="P223" s="5">
        <v>125.0</v>
      </c>
      <c r="Q223" s="5">
        <v>18993.0</v>
      </c>
      <c r="R223" s="5">
        <v>39522.0</v>
      </c>
      <c r="S223" s="5">
        <v>16.0</v>
      </c>
      <c r="T223" s="5">
        <v>6766.475368</v>
      </c>
    </row>
    <row r="224">
      <c r="A224" s="4" t="s">
        <v>1266</v>
      </c>
      <c r="B224" s="4" t="str">
        <f>IFERROR(__xludf.DUMMYFUNCTION("SPLIT(A224:A950, ""&gt;"")"),"Online Behavior")</f>
        <v>Online Behavior</v>
      </c>
      <c r="C224" s="4" t="str">
        <f>IFERROR(__xludf.DUMMYFUNCTION("""COMPUTED_VALUE"""),"United States")</f>
        <v>United States</v>
      </c>
      <c r="D224" s="4" t="str">
        <f>IFERROR(__xludf.DUMMYFUNCTION("""COMPUTED_VALUE"""),"Intent ")</f>
        <v>Intent </v>
      </c>
      <c r="E224" s="4" t="str">
        <f>IFERROR(__xludf.DUMMYFUNCTION("""COMPUTED_VALUE""")," Auto Buyers ")</f>
        <v> Auto Buyers </v>
      </c>
      <c r="F224" s="4" t="str">
        <f>IFERROR(__xludf.DUMMYFUNCTION("""COMPUTED_VALUE""")," Car Make")</f>
        <v> Car Make</v>
      </c>
      <c r="G224" s="4" t="str">
        <f>IFERROR(__xludf.DUMMYFUNCTION("""COMPUTED_VALUE"""),"Opel")</f>
        <v>Opel</v>
      </c>
      <c r="H224" s="4"/>
      <c r="I224" s="5" t="s">
        <v>15</v>
      </c>
      <c r="J224" s="5" t="s">
        <v>16</v>
      </c>
      <c r="K224" s="5" t="s">
        <v>78</v>
      </c>
      <c r="L224" s="6" t="s">
        <v>365</v>
      </c>
      <c r="M224" s="5" t="s">
        <v>19</v>
      </c>
      <c r="N224" s="5" t="s">
        <v>27</v>
      </c>
      <c r="O224" s="5">
        <v>286998.0</v>
      </c>
      <c r="P224" s="5">
        <v>815.0</v>
      </c>
      <c r="Q224" s="5">
        <v>61586.0</v>
      </c>
      <c r="R224" s="5">
        <v>247500.0</v>
      </c>
      <c r="S224" s="5">
        <v>13.0</v>
      </c>
      <c r="T224" s="5">
        <v>6395.550624</v>
      </c>
    </row>
    <row r="225">
      <c r="A225" s="4" t="s">
        <v>370</v>
      </c>
      <c r="B225" s="4" t="str">
        <f>IFERROR(__xludf.DUMMYFUNCTION("SPLIT(A225:A951, ""&gt;"")"),"Online Behavior")</f>
        <v>Online Behavior</v>
      </c>
      <c r="C225" s="4" t="str">
        <f>IFERROR(__xludf.DUMMYFUNCTION("""COMPUTED_VALUE"""),"United States")</f>
        <v>United States</v>
      </c>
      <c r="D225" s="4" t="str">
        <f>IFERROR(__xludf.DUMMYFUNCTION("""COMPUTED_VALUE"""),"The Changing Consumer")</f>
        <v>The Changing Consumer</v>
      </c>
      <c r="E225" s="4" t="str">
        <f>IFERROR(__xludf.DUMMYFUNCTION("""COMPUTED_VALUE"""),"Active Facebook Users")</f>
        <v>Active Facebook Users</v>
      </c>
      <c r="F225" s="4"/>
      <c r="G225" s="4"/>
      <c r="H225" s="4"/>
      <c r="I225" s="5" t="s">
        <v>15</v>
      </c>
      <c r="J225" s="5" t="s">
        <v>23</v>
      </c>
      <c r="K225" s="5" t="s">
        <v>29</v>
      </c>
      <c r="L225" s="6" t="s">
        <v>365</v>
      </c>
      <c r="M225" s="5" t="s">
        <v>19</v>
      </c>
      <c r="N225" s="5" t="s">
        <v>52</v>
      </c>
      <c r="O225" s="5">
        <v>127090.0</v>
      </c>
      <c r="P225" s="5">
        <v>299.0</v>
      </c>
      <c r="Q225" s="5">
        <v>30178.0</v>
      </c>
      <c r="R225" s="5">
        <v>113438.0</v>
      </c>
      <c r="S225" s="5">
        <v>24.0</v>
      </c>
      <c r="T225" s="5">
        <v>5808.911254</v>
      </c>
    </row>
    <row r="226">
      <c r="A226" s="4" t="s">
        <v>1268</v>
      </c>
      <c r="B226" s="4" t="str">
        <f>IFERROR(__xludf.DUMMYFUNCTION("SPLIT(A226:A952, ""&gt;"")"),"Online Behavior")</f>
        <v>Online Behavior</v>
      </c>
      <c r="C226" s="4" t="str">
        <f>IFERROR(__xludf.DUMMYFUNCTION("""COMPUTED_VALUE"""),"United States")</f>
        <v>United States</v>
      </c>
      <c r="D226" s="4" t="str">
        <f>IFERROR(__xludf.DUMMYFUNCTION("""COMPUTED_VALUE"""),"Validated Demographic ")</f>
        <v>Validated Demographic </v>
      </c>
      <c r="E226" s="4" t="str">
        <f>IFERROR(__xludf.DUMMYFUNCTION("""COMPUTED_VALUE""")," Gender and Age Combined")</f>
        <v> Gender and Age Combined</v>
      </c>
      <c r="F226" s="4" t="str">
        <f>IFERROR(__xludf.DUMMYFUNCTION("""COMPUTED_VALUE"""),"Females 65 or older")</f>
        <v>Females 65 or older</v>
      </c>
      <c r="G226" s="4"/>
      <c r="H226" s="4"/>
      <c r="I226" s="5" t="s">
        <v>22</v>
      </c>
      <c r="J226" s="5" t="s">
        <v>23</v>
      </c>
      <c r="K226" s="5" t="s">
        <v>35</v>
      </c>
      <c r="L226" s="6" t="s">
        <v>365</v>
      </c>
      <c r="M226" s="5" t="s">
        <v>19</v>
      </c>
      <c r="N226" s="5" t="s">
        <v>27</v>
      </c>
      <c r="O226" s="5">
        <v>232470.0</v>
      </c>
      <c r="P226" s="5">
        <v>504.0</v>
      </c>
      <c r="Q226" s="5">
        <v>40870.0</v>
      </c>
      <c r="R226" s="5">
        <v>195447.0</v>
      </c>
      <c r="S226" s="5">
        <v>36.0</v>
      </c>
      <c r="T226" s="5">
        <v>5401.365085</v>
      </c>
    </row>
    <row r="227">
      <c r="A227" s="4" t="s">
        <v>1801</v>
      </c>
      <c r="B227" s="4" t="str">
        <f>IFERROR(__xludf.DUMMYFUNCTION("SPLIT(A227:A953, ""&gt;"")"),"US ")</f>
        <v>US </v>
      </c>
      <c r="C227" s="4" t="str">
        <f>IFERROR(__xludf.DUMMYFUNCTION("""COMPUTED_VALUE""")," B2B ")</f>
        <v> B2B </v>
      </c>
      <c r="D227" s="4" t="str">
        <f>IFERROR(__xludf.DUMMYFUNCTION("""COMPUTED_VALUE""")," B2B Decision Maker Responsibilities ")</f>
        <v> B2B Decision Maker Responsibilities </v>
      </c>
      <c r="E227" s="4" t="str">
        <f>IFERROR(__xludf.DUMMYFUNCTION("""COMPUTED_VALUE""")," Computer Hardware")</f>
        <v> Computer Hardware</v>
      </c>
      <c r="F227" s="4"/>
      <c r="G227" s="4"/>
      <c r="H227" s="4"/>
      <c r="I227" s="5" t="s">
        <v>22</v>
      </c>
      <c r="J227" s="5" t="s">
        <v>42</v>
      </c>
      <c r="K227" s="5" t="s">
        <v>29</v>
      </c>
      <c r="L227" s="6" t="s">
        <v>365</v>
      </c>
      <c r="M227" s="5" t="s">
        <v>191</v>
      </c>
      <c r="N227" s="5" t="s">
        <v>27</v>
      </c>
      <c r="O227" s="5">
        <v>51056.0</v>
      </c>
      <c r="P227" s="5">
        <v>120.0</v>
      </c>
      <c r="Q227" s="5">
        <v>24672.0</v>
      </c>
      <c r="R227" s="5">
        <v>45563.0</v>
      </c>
      <c r="S227" s="5">
        <v>4.0</v>
      </c>
      <c r="T227" s="5">
        <v>2215.631845</v>
      </c>
    </row>
    <row r="228">
      <c r="A228" s="4" t="s">
        <v>1802</v>
      </c>
      <c r="B228" s="4" t="str">
        <f>IFERROR(__xludf.DUMMYFUNCTION("SPLIT(A228:A954, ""&gt;"")"),"US ")</f>
        <v>US </v>
      </c>
      <c r="C228" s="4" t="str">
        <f>IFERROR(__xludf.DUMMYFUNCTION("""COMPUTED_VALUE""")," Brand Propensities ")</f>
        <v> Brand Propensities </v>
      </c>
      <c r="D228" s="4" t="str">
        <f>IFERROR(__xludf.DUMMYFUNCTION("""COMPUTED_VALUE""")," Media and Entertainment ")</f>
        <v> Media and Entertainment </v>
      </c>
      <c r="E228" s="4" t="str">
        <f>IFERROR(__xludf.DUMMYFUNCTION("""COMPUTED_VALUE""")," Regal Cinemas Buyer Propensity")</f>
        <v> Regal Cinemas Buyer Propensity</v>
      </c>
      <c r="F228" s="4"/>
      <c r="G228" s="4"/>
      <c r="H228" s="4"/>
      <c r="I228" s="5" t="s">
        <v>22</v>
      </c>
      <c r="J228" s="5" t="s">
        <v>42</v>
      </c>
      <c r="K228" s="5" t="s">
        <v>84</v>
      </c>
      <c r="L228" s="6" t="s">
        <v>365</v>
      </c>
      <c r="M228" s="5" t="s">
        <v>19</v>
      </c>
      <c r="N228" s="5" t="s">
        <v>27</v>
      </c>
      <c r="O228" s="5">
        <v>52582.0</v>
      </c>
      <c r="P228" s="5">
        <v>140.0</v>
      </c>
      <c r="Q228" s="5">
        <v>22065.0</v>
      </c>
      <c r="R228" s="5">
        <v>46126.0</v>
      </c>
      <c r="S228" s="5">
        <v>10.0</v>
      </c>
      <c r="T228" s="5">
        <v>1631.741712</v>
      </c>
    </row>
    <row r="229">
      <c r="A229" s="4" t="s">
        <v>1803</v>
      </c>
      <c r="B229" s="4" t="str">
        <f>IFERROR(__xludf.DUMMYFUNCTION("SPLIT(A229:A955, ""&gt;"")"),"US ")</f>
        <v>US </v>
      </c>
      <c r="C229" s="4" t="str">
        <f>IFERROR(__xludf.DUMMYFUNCTION("""COMPUTED_VALUE""")," Premium Entertainment and Pastimes ")</f>
        <v> Premium Entertainment and Pastimes </v>
      </c>
      <c r="D229" s="4" t="str">
        <f>IFERROR(__xludf.DUMMYFUNCTION("""COMPUTED_VALUE""")," Premium Magazine Enthusiasts")</f>
        <v> Premium Magazine Enthusiasts</v>
      </c>
      <c r="E229" s="4"/>
      <c r="F229" s="4"/>
      <c r="G229" s="4"/>
      <c r="H229" s="4"/>
      <c r="I229" s="5" t="s">
        <v>15</v>
      </c>
      <c r="J229" s="5" t="s">
        <v>16</v>
      </c>
      <c r="K229" s="5" t="s">
        <v>35</v>
      </c>
      <c r="L229" s="6" t="s">
        <v>365</v>
      </c>
      <c r="M229" s="5" t="s">
        <v>26</v>
      </c>
      <c r="N229" s="5" t="s">
        <v>27</v>
      </c>
      <c r="O229" s="5">
        <v>109567.0</v>
      </c>
      <c r="P229" s="5">
        <v>345.0</v>
      </c>
      <c r="Q229" s="5">
        <v>57620.0</v>
      </c>
      <c r="R229" s="5">
        <v>97903.0</v>
      </c>
      <c r="S229" s="5">
        <v>5.0</v>
      </c>
      <c r="T229" s="5">
        <v>1616.714722</v>
      </c>
    </row>
    <row r="230">
      <c r="A230" s="4" t="s">
        <v>1804</v>
      </c>
      <c r="B230" s="4" t="str">
        <f>IFERROR(__xludf.DUMMYFUNCTION("SPLIT(A230:A956, ""&gt;"")"),"Mobile - US ")</f>
        <v>Mobile - US </v>
      </c>
      <c r="C230" s="4" t="str">
        <f>IFERROR(__xludf.DUMMYFUNCTION("""COMPUTED_VALUE""")," Device Ownership ")</f>
        <v> Device Ownership </v>
      </c>
      <c r="D230" s="4" t="str">
        <f>IFERROR(__xludf.DUMMYFUNCTION("""COMPUTED_VALUE""")," Smartphones ")</f>
        <v> Smartphones </v>
      </c>
      <c r="E230" s="4" t="str">
        <f>IFERROR(__xludf.DUMMYFUNCTION("""COMPUTED_VALUE""")," iOS (Apple) ")</f>
        <v> iOS (Apple) </v>
      </c>
      <c r="F230" s="4" t="str">
        <f>IFERROR(__xludf.DUMMYFUNCTION("""COMPUTED_VALUE""")," iPhone X")</f>
        <v> iPhone X</v>
      </c>
      <c r="G230" s="4"/>
      <c r="H230" s="4"/>
      <c r="I230" s="5" t="s">
        <v>15</v>
      </c>
      <c r="J230" s="5" t="s">
        <v>31</v>
      </c>
      <c r="K230" s="5" t="s">
        <v>24</v>
      </c>
      <c r="L230" s="6" t="s">
        <v>365</v>
      </c>
      <c r="M230" s="5" t="s">
        <v>80</v>
      </c>
      <c r="N230" s="5" t="s">
        <v>52</v>
      </c>
      <c r="O230" s="5">
        <v>74426.0</v>
      </c>
      <c r="P230" s="5">
        <v>150.0</v>
      </c>
      <c r="Q230" s="5">
        <v>39257.0</v>
      </c>
      <c r="R230" s="5">
        <v>67151.0</v>
      </c>
      <c r="S230" s="5">
        <v>15.0</v>
      </c>
      <c r="T230" s="5">
        <v>1519.596552</v>
      </c>
    </row>
    <row r="231">
      <c r="A231" s="4" t="s">
        <v>1805</v>
      </c>
      <c r="B231" s="4" t="str">
        <f>IFERROR(__xludf.DUMMYFUNCTION("SPLIT(A231:A957, ""&gt;"")"),"Mobile - US ")</f>
        <v>Mobile - US </v>
      </c>
      <c r="C231" s="4" t="str">
        <f>IFERROR(__xludf.DUMMYFUNCTION("""COMPUTED_VALUE""")," Device Ownership ")</f>
        <v> Device Ownership </v>
      </c>
      <c r="D231" s="4" t="str">
        <f>IFERROR(__xludf.DUMMYFUNCTION("""COMPUTED_VALUE""")," Smartphones ")</f>
        <v> Smartphones </v>
      </c>
      <c r="E231" s="4" t="str">
        <f>IFERROR(__xludf.DUMMYFUNCTION("""COMPUTED_VALUE""")," iOS (Apple) ")</f>
        <v> iOS (Apple) </v>
      </c>
      <c r="F231" s="4" t="str">
        <f>IFERROR(__xludf.DUMMYFUNCTION("""COMPUTED_VALUE""")," iPhone 11")</f>
        <v> iPhone 11</v>
      </c>
      <c r="G231" s="4"/>
      <c r="H231" s="4"/>
      <c r="I231" s="5" t="s">
        <v>22</v>
      </c>
      <c r="J231" s="5" t="s">
        <v>42</v>
      </c>
      <c r="K231" s="5" t="s">
        <v>78</v>
      </c>
      <c r="L231" s="6" t="s">
        <v>365</v>
      </c>
      <c r="M231" s="5" t="s">
        <v>19</v>
      </c>
      <c r="N231" s="5" t="s">
        <v>27</v>
      </c>
      <c r="O231" s="5">
        <v>22163.0</v>
      </c>
      <c r="P231" s="5">
        <v>55.0</v>
      </c>
      <c r="Q231" s="5">
        <v>2368.0</v>
      </c>
      <c r="R231" s="5">
        <v>8130.0</v>
      </c>
      <c r="S231" s="5">
        <v>3.0</v>
      </c>
      <c r="T231" s="5">
        <v>1493.779328</v>
      </c>
    </row>
    <row r="232">
      <c r="A232" s="4" t="s">
        <v>377</v>
      </c>
      <c r="B232" s="4" t="str">
        <f>IFERROR(__xludf.DUMMYFUNCTION("SPLIT(A232:A958, ""&gt;"")"),"Online Behavior")</f>
        <v>Online Behavior</v>
      </c>
      <c r="C232" s="4" t="str">
        <f>IFERROR(__xludf.DUMMYFUNCTION("""COMPUTED_VALUE"""),"United States")</f>
        <v>United States</v>
      </c>
      <c r="D232" s="4" t="str">
        <f>IFERROR(__xludf.DUMMYFUNCTION("""COMPUTED_VALUE"""),"Games")</f>
        <v>Games</v>
      </c>
      <c r="E232" s="4" t="str">
        <f>IFERROR(__xludf.DUMMYFUNCTION("""COMPUTED_VALUE"""),"Family-Oriented Games and Activities")</f>
        <v>Family-Oriented Games and Activities</v>
      </c>
      <c r="F232" s="4"/>
      <c r="G232" s="4"/>
      <c r="H232" s="4"/>
      <c r="I232" s="5" t="s">
        <v>15</v>
      </c>
      <c r="J232" s="5" t="s">
        <v>31</v>
      </c>
      <c r="K232" s="5" t="s">
        <v>17</v>
      </c>
      <c r="L232" s="6" t="s">
        <v>378</v>
      </c>
      <c r="M232" s="5" t="s">
        <v>46</v>
      </c>
      <c r="N232" s="5" t="s">
        <v>52</v>
      </c>
      <c r="O232" s="5">
        <v>25021.0</v>
      </c>
      <c r="P232" s="5">
        <v>50.0</v>
      </c>
      <c r="Q232" s="5">
        <v>11084.0</v>
      </c>
      <c r="R232" s="5">
        <v>18079.0</v>
      </c>
      <c r="S232" s="5">
        <v>9.0</v>
      </c>
      <c r="T232" s="5">
        <v>4961.478884</v>
      </c>
    </row>
    <row r="233">
      <c r="A233" s="4" t="s">
        <v>1274</v>
      </c>
      <c r="B233" s="4" t="str">
        <f>IFERROR(__xludf.DUMMYFUNCTION("SPLIT(A233:A959, ""&gt;"")"),"Online Behavior")</f>
        <v>Online Behavior</v>
      </c>
      <c r="C233" s="4" t="str">
        <f>IFERROR(__xludf.DUMMYFUNCTION("""COMPUTED_VALUE"""),"United States")</f>
        <v>United States</v>
      </c>
      <c r="D233" s="4" t="str">
        <f>IFERROR(__xludf.DUMMYFUNCTION("""COMPUTED_VALUE"""),"Intent ")</f>
        <v>Intent </v>
      </c>
      <c r="E233" s="4" t="str">
        <f>IFERROR(__xludf.DUMMYFUNCTION("""COMPUTED_VALUE""")," Shopping")</f>
        <v> Shopping</v>
      </c>
      <c r="F233" s="4" t="str">
        <f>IFERROR(__xludf.DUMMYFUNCTION("""COMPUTED_VALUE"""),"Sports and Outdoors")</f>
        <v>Sports and Outdoors</v>
      </c>
      <c r="G233" s="4"/>
      <c r="H233" s="4"/>
      <c r="I233" s="5" t="s">
        <v>22</v>
      </c>
      <c r="J233" s="5" t="s">
        <v>16</v>
      </c>
      <c r="K233" s="5" t="s">
        <v>78</v>
      </c>
      <c r="L233" s="6" t="s">
        <v>378</v>
      </c>
      <c r="M233" s="5" t="s">
        <v>36</v>
      </c>
      <c r="N233" s="5" t="s">
        <v>27</v>
      </c>
      <c r="O233" s="5">
        <v>26304.0</v>
      </c>
      <c r="P233" s="5">
        <v>75.0</v>
      </c>
      <c r="Q233" s="5">
        <v>12354.0</v>
      </c>
      <c r="R233" s="5">
        <v>17500.0</v>
      </c>
      <c r="S233" s="5">
        <v>11.0</v>
      </c>
      <c r="T233" s="5">
        <v>4727.813916</v>
      </c>
    </row>
    <row r="234">
      <c r="A234" s="4" t="s">
        <v>1806</v>
      </c>
      <c r="B234" s="4" t="str">
        <f>IFERROR(__xludf.DUMMYFUNCTION("SPLIT(A234:A960, ""&gt;"")"),"US ")</f>
        <v>US </v>
      </c>
      <c r="C234" s="4" t="str">
        <f>IFERROR(__xludf.DUMMYFUNCTION("""COMPUTED_VALUE""")," Reach ")</f>
        <v> Reach </v>
      </c>
      <c r="D234" s="4" t="str">
        <f>IFERROR(__xludf.DUMMYFUNCTION("""COMPUTED_VALUE""")," Propensity Models ")</f>
        <v> Propensity Models </v>
      </c>
      <c r="E234" s="4" t="str">
        <f>IFERROR(__xludf.DUMMYFUNCTION("""COMPUTED_VALUE""")," Lifestyle ")</f>
        <v> Lifestyle </v>
      </c>
      <c r="F234" s="4" t="str">
        <f>IFERROR(__xludf.DUMMYFUNCTION("""COMPUTED_VALUE""")," Loyalty Programs ")</f>
        <v> Loyalty Programs </v>
      </c>
      <c r="G234" s="4" t="str">
        <f>IFERROR(__xludf.DUMMYFUNCTION("""COMPUTED_VALUE""")," Loyalty Card User")</f>
        <v> Loyalty Card User</v>
      </c>
      <c r="H234" s="4"/>
      <c r="I234" s="5" t="s">
        <v>15</v>
      </c>
      <c r="J234" s="5" t="s">
        <v>23</v>
      </c>
      <c r="K234" s="5" t="s">
        <v>78</v>
      </c>
      <c r="L234" s="6" t="s">
        <v>378</v>
      </c>
      <c r="M234" s="5" t="s">
        <v>26</v>
      </c>
      <c r="N234" s="5" t="s">
        <v>27</v>
      </c>
      <c r="O234" s="5">
        <v>13100.0</v>
      </c>
      <c r="P234" s="5">
        <v>80.0</v>
      </c>
      <c r="Q234" s="5">
        <v>6507.0</v>
      </c>
      <c r="R234" s="5">
        <v>10895.0</v>
      </c>
      <c r="S234" s="5">
        <v>5.0</v>
      </c>
      <c r="T234" s="5">
        <v>3411.590029</v>
      </c>
    </row>
    <row r="235">
      <c r="A235" s="4" t="s">
        <v>1276</v>
      </c>
      <c r="B235" s="4" t="str">
        <f>IFERROR(__xludf.DUMMYFUNCTION("SPLIT(A235:A961, ""&gt;"")"),"Online Behavior")</f>
        <v>Online Behavior</v>
      </c>
      <c r="C235" s="4" t="str">
        <f>IFERROR(__xludf.DUMMYFUNCTION("""COMPUTED_VALUE"""),"United States")</f>
        <v>United States</v>
      </c>
      <c r="D235" s="4" t="str">
        <f>IFERROR(__xludf.DUMMYFUNCTION("""COMPUTED_VALUE"""),"Intent ")</f>
        <v>Intent </v>
      </c>
      <c r="E235" s="4" t="str">
        <f>IFERROR(__xludf.DUMMYFUNCTION("""COMPUTED_VALUE""")," Shopping")</f>
        <v> Shopping</v>
      </c>
      <c r="F235" s="4" t="str">
        <f>IFERROR(__xludf.DUMMYFUNCTION("""COMPUTED_VALUE"""),"Consumer Electronics ")</f>
        <v>Consumer Electronics </v>
      </c>
      <c r="G235" s="4" t="str">
        <f>IFERROR(__xludf.DUMMYFUNCTION("""COMPUTED_VALUE""")," Tablets")</f>
        <v> Tablets</v>
      </c>
      <c r="H235" s="4"/>
      <c r="I235" s="5" t="s">
        <v>22</v>
      </c>
      <c r="J235" s="5" t="s">
        <v>16</v>
      </c>
      <c r="K235" s="5" t="s">
        <v>39</v>
      </c>
      <c r="L235" s="6" t="s">
        <v>382</v>
      </c>
      <c r="M235" s="5" t="s">
        <v>19</v>
      </c>
      <c r="N235" s="5" t="s">
        <v>27</v>
      </c>
      <c r="O235" s="5">
        <v>9533.0</v>
      </c>
      <c r="P235" s="5">
        <v>66.0</v>
      </c>
      <c r="Q235" s="5">
        <v>6548.0</v>
      </c>
      <c r="R235" s="5">
        <v>9042.0</v>
      </c>
      <c r="S235" s="5">
        <v>16.0</v>
      </c>
      <c r="T235" s="5">
        <v>5574.543505</v>
      </c>
    </row>
    <row r="236">
      <c r="A236" s="4" t="s">
        <v>1277</v>
      </c>
      <c r="B236" s="4" t="str">
        <f>IFERROR(__xludf.DUMMYFUNCTION("SPLIT(A236:A962, ""&gt;"")"),"Online Behavior")</f>
        <v>Online Behavior</v>
      </c>
      <c r="C236" s="4" t="str">
        <f>IFERROR(__xludf.DUMMYFUNCTION("""COMPUTED_VALUE"""),"United States")</f>
        <v>United States</v>
      </c>
      <c r="D236" s="4" t="str">
        <f>IFERROR(__xludf.DUMMYFUNCTION("""COMPUTED_VALUE"""),"Intent ")</f>
        <v>Intent </v>
      </c>
      <c r="E236" s="4" t="str">
        <f>IFERROR(__xludf.DUMMYFUNCTION("""COMPUTED_VALUE""")," Auto Buyers ")</f>
        <v> Auto Buyers </v>
      </c>
      <c r="F236" s="4" t="str">
        <f>IFERROR(__xludf.DUMMYFUNCTION("""COMPUTED_VALUE""")," Car Make")</f>
        <v> Car Make</v>
      </c>
      <c r="G236" s="4" t="str">
        <f>IFERROR(__xludf.DUMMYFUNCTION("""COMPUTED_VALUE"""),"BMW")</f>
        <v>BMW</v>
      </c>
      <c r="H236" s="4"/>
      <c r="I236" s="5" t="s">
        <v>15</v>
      </c>
      <c r="J236" s="5" t="s">
        <v>23</v>
      </c>
      <c r="K236" s="5" t="s">
        <v>95</v>
      </c>
      <c r="L236" s="6" t="s">
        <v>384</v>
      </c>
      <c r="M236" s="5" t="s">
        <v>46</v>
      </c>
      <c r="N236" s="5" t="s">
        <v>27</v>
      </c>
      <c r="O236" s="5">
        <v>12092.0</v>
      </c>
      <c r="P236" s="5">
        <v>30.0</v>
      </c>
      <c r="Q236" s="5">
        <v>2042.0</v>
      </c>
      <c r="R236" s="5">
        <v>10315.0</v>
      </c>
      <c r="S236" s="5">
        <v>8.0</v>
      </c>
      <c r="T236" s="5">
        <v>6245.134793</v>
      </c>
    </row>
    <row r="237">
      <c r="A237" s="4" t="s">
        <v>1278</v>
      </c>
      <c r="B237" s="4" t="str">
        <f>IFERROR(__xludf.DUMMYFUNCTION("SPLIT(A237:A963, ""&gt;"")"),"Online Behavior")</f>
        <v>Online Behavior</v>
      </c>
      <c r="C237" s="4" t="str">
        <f>IFERROR(__xludf.DUMMYFUNCTION("""COMPUTED_VALUE"""),"United States")</f>
        <v>United States</v>
      </c>
      <c r="D237" s="4" t="str">
        <f>IFERROR(__xludf.DUMMYFUNCTION("""COMPUTED_VALUE"""),"Travel")</f>
        <v>Travel</v>
      </c>
      <c r="E237" s="4" t="str">
        <f>IFERROR(__xludf.DUMMYFUNCTION("""COMPUTED_VALUE"""),"Tourist Destinations ")</f>
        <v>Tourist Destinations </v>
      </c>
      <c r="F237" s="4" t="str">
        <f>IFERROR(__xludf.DUMMYFUNCTION("""COMPUTED_VALUE""")," Lakes and Rivers")</f>
        <v> Lakes and Rivers</v>
      </c>
      <c r="G237" s="4"/>
      <c r="H237" s="4"/>
      <c r="I237" s="5" t="s">
        <v>15</v>
      </c>
      <c r="J237" s="5" t="s">
        <v>16</v>
      </c>
      <c r="K237" s="5" t="s">
        <v>35</v>
      </c>
      <c r="L237" s="6" t="s">
        <v>386</v>
      </c>
      <c r="M237" s="5" t="s">
        <v>117</v>
      </c>
      <c r="N237" s="5" t="s">
        <v>27</v>
      </c>
      <c r="O237" s="5">
        <v>12710.0</v>
      </c>
      <c r="P237" s="5">
        <v>10.0</v>
      </c>
      <c r="Q237" s="5">
        <v>8159.0</v>
      </c>
      <c r="R237" s="5">
        <v>11984.0</v>
      </c>
      <c r="S237" s="5">
        <v>11.0</v>
      </c>
      <c r="T237" s="5">
        <v>7851.397478</v>
      </c>
    </row>
    <row r="238">
      <c r="A238" s="4" t="s">
        <v>387</v>
      </c>
      <c r="B238" s="4" t="str">
        <f>IFERROR(__xludf.DUMMYFUNCTION("SPLIT(A238:A964, ""&gt;"")"),"Online Behavior")</f>
        <v>Online Behavior</v>
      </c>
      <c r="C238" s="4" t="str">
        <f>IFERROR(__xludf.DUMMYFUNCTION("""COMPUTED_VALUE"""),"United States")</f>
        <v>United States</v>
      </c>
      <c r="D238" s="4" t="str">
        <f>IFERROR(__xludf.DUMMYFUNCTION("""COMPUTED_VALUE"""),"Online Communities")</f>
        <v>Online Communities</v>
      </c>
      <c r="E238" s="4" t="str">
        <f>IFERROR(__xludf.DUMMYFUNCTION("""COMPUTED_VALUE"""),"Social Networks")</f>
        <v>Social Networks</v>
      </c>
      <c r="F238" s="4"/>
      <c r="G238" s="4"/>
      <c r="H238" s="4"/>
      <c r="I238" s="5" t="s">
        <v>22</v>
      </c>
      <c r="J238" s="5" t="s">
        <v>42</v>
      </c>
      <c r="K238" s="5" t="s">
        <v>35</v>
      </c>
      <c r="L238" s="6" t="s">
        <v>386</v>
      </c>
      <c r="M238" s="5" t="s">
        <v>19</v>
      </c>
      <c r="N238" s="5" t="s">
        <v>27</v>
      </c>
      <c r="O238" s="5">
        <v>9463.0</v>
      </c>
      <c r="P238" s="5">
        <v>56.0</v>
      </c>
      <c r="Q238" s="5">
        <v>1518.0</v>
      </c>
      <c r="R238" s="5">
        <v>8191.0</v>
      </c>
      <c r="S238" s="5">
        <v>4.0</v>
      </c>
      <c r="T238" s="5">
        <v>6879.601707</v>
      </c>
    </row>
    <row r="239">
      <c r="A239" s="4" t="s">
        <v>388</v>
      </c>
      <c r="B239" s="4" t="str">
        <f>IFERROR(__xludf.DUMMYFUNCTION("SPLIT(A239:A965, ""&gt;"")"),"Online Behavior")</f>
        <v>Online Behavior</v>
      </c>
      <c r="C239" s="4" t="str">
        <f>IFERROR(__xludf.DUMMYFUNCTION("""COMPUTED_VALUE"""),"United States")</f>
        <v>United States</v>
      </c>
      <c r="D239" s="4" t="str">
        <f>IFERROR(__xludf.DUMMYFUNCTION("""COMPUTED_VALUE"""),"Online Communities")</f>
        <v>Online Communities</v>
      </c>
      <c r="E239" s="4" t="str">
        <f>IFERROR(__xludf.DUMMYFUNCTION("""COMPUTED_VALUE"""),"Photo and Video Sharing")</f>
        <v>Photo and Video Sharing</v>
      </c>
      <c r="F239" s="4"/>
      <c r="G239" s="4"/>
      <c r="H239" s="4"/>
      <c r="I239" s="5" t="s">
        <v>15</v>
      </c>
      <c r="J239" s="5" t="s">
        <v>16</v>
      </c>
      <c r="K239" s="5" t="s">
        <v>35</v>
      </c>
      <c r="L239" s="6" t="s">
        <v>386</v>
      </c>
      <c r="M239" s="5" t="s">
        <v>26</v>
      </c>
      <c r="N239" s="5" t="s">
        <v>27</v>
      </c>
      <c r="O239" s="5">
        <v>12136.0</v>
      </c>
      <c r="P239" s="5">
        <v>97.0</v>
      </c>
      <c r="Q239" s="5">
        <v>2089.0</v>
      </c>
      <c r="R239" s="5">
        <v>11500.0</v>
      </c>
      <c r="S239" s="5">
        <v>3.0</v>
      </c>
      <c r="T239" s="5">
        <v>5224.932463</v>
      </c>
    </row>
    <row r="240">
      <c r="A240" s="4" t="s">
        <v>389</v>
      </c>
      <c r="B240" s="4" t="str">
        <f>IFERROR(__xludf.DUMMYFUNCTION("SPLIT(A240:A966, ""&gt;"")"),"Online Behavior")</f>
        <v>Online Behavior</v>
      </c>
      <c r="C240" s="4" t="str">
        <f>IFERROR(__xludf.DUMMYFUNCTION("""COMPUTED_VALUE"""),"United States")</f>
        <v>United States</v>
      </c>
      <c r="D240" s="4" t="str">
        <f>IFERROR(__xludf.DUMMYFUNCTION("""COMPUTED_VALUE"""),"Internet and Telecom")</f>
        <v>Internet and Telecom</v>
      </c>
      <c r="E240" s="4" t="str">
        <f>IFERROR(__xludf.DUMMYFUNCTION("""COMPUTED_VALUE"""),"Mobile and Wireless")</f>
        <v>Mobile and Wireless</v>
      </c>
      <c r="F240" s="4"/>
      <c r="G240" s="4"/>
      <c r="H240" s="4"/>
      <c r="I240" s="5" t="s">
        <v>22</v>
      </c>
      <c r="J240" s="5" t="s">
        <v>31</v>
      </c>
      <c r="K240" s="5" t="s">
        <v>39</v>
      </c>
      <c r="L240" s="6" t="s">
        <v>390</v>
      </c>
      <c r="M240" s="5" t="s">
        <v>19</v>
      </c>
      <c r="N240" s="5" t="s">
        <v>27</v>
      </c>
      <c r="O240" s="5">
        <v>15326.0</v>
      </c>
      <c r="P240" s="5">
        <v>68.0</v>
      </c>
      <c r="Q240" s="5">
        <v>7941.0</v>
      </c>
      <c r="R240" s="5">
        <v>14331.0</v>
      </c>
      <c r="S240" s="5">
        <v>8.0</v>
      </c>
      <c r="T240" s="5">
        <v>6943.515824</v>
      </c>
    </row>
    <row r="241">
      <c r="A241" s="4" t="s">
        <v>1279</v>
      </c>
      <c r="B241" s="4" t="str">
        <f>IFERROR(__xludf.DUMMYFUNCTION("SPLIT(A241:A967, ""&gt;"")"),"Online Behavior")</f>
        <v>Online Behavior</v>
      </c>
      <c r="C241" s="4" t="str">
        <f>IFERROR(__xludf.DUMMYFUNCTION("""COMPUTED_VALUE"""),"United States")</f>
        <v>United States</v>
      </c>
      <c r="D241" s="4" t="str">
        <f>IFERROR(__xludf.DUMMYFUNCTION("""COMPUTED_VALUE"""),"Beauty and Fitness")</f>
        <v>Beauty and Fitness</v>
      </c>
      <c r="E241" s="4" t="str">
        <f>IFERROR(__xludf.DUMMYFUNCTION("""COMPUTED_VALUE"""),"Fashion and Style ")</f>
        <v>Fashion and Style </v>
      </c>
      <c r="F241" s="4" t="str">
        <f>IFERROR(__xludf.DUMMYFUNCTION("""COMPUTED_VALUE""")," Fashion Modeling")</f>
        <v> Fashion Modeling</v>
      </c>
      <c r="G241" s="4"/>
      <c r="H241" s="4"/>
      <c r="I241" s="5" t="s">
        <v>22</v>
      </c>
      <c r="J241" s="5" t="s">
        <v>31</v>
      </c>
      <c r="K241" s="5" t="s">
        <v>35</v>
      </c>
      <c r="L241" s="6" t="s">
        <v>390</v>
      </c>
      <c r="M241" s="5" t="s">
        <v>19</v>
      </c>
      <c r="N241" s="5" t="s">
        <v>27</v>
      </c>
      <c r="O241" s="5">
        <v>18095.0</v>
      </c>
      <c r="P241" s="5">
        <v>50.0</v>
      </c>
      <c r="Q241" s="5">
        <v>10021.0</v>
      </c>
      <c r="R241" s="5">
        <v>16755.0</v>
      </c>
      <c r="S241" s="5">
        <v>24.0</v>
      </c>
      <c r="T241" s="5">
        <v>6768.758768</v>
      </c>
    </row>
    <row r="242">
      <c r="A242" s="4" t="s">
        <v>392</v>
      </c>
      <c r="B242" s="4" t="str">
        <f>IFERROR(__xludf.DUMMYFUNCTION("SPLIT(A242:A968, ""&gt;"")"),"Online Behavior")</f>
        <v>Online Behavior</v>
      </c>
      <c r="C242" s="4" t="str">
        <f>IFERROR(__xludf.DUMMYFUNCTION("""COMPUTED_VALUE"""),"United States")</f>
        <v>United States</v>
      </c>
      <c r="D242" s="4" t="str">
        <f>IFERROR(__xludf.DUMMYFUNCTION("""COMPUTED_VALUE"""),"Games")</f>
        <v>Games</v>
      </c>
      <c r="E242" s="4" t="str">
        <f>IFERROR(__xludf.DUMMYFUNCTION("""COMPUTED_VALUE"""),"Educational Games")</f>
        <v>Educational Games</v>
      </c>
      <c r="F242" s="4"/>
      <c r="G242" s="4"/>
      <c r="H242" s="4"/>
      <c r="I242" s="5" t="s">
        <v>61</v>
      </c>
      <c r="J242" s="5" t="s">
        <v>23</v>
      </c>
      <c r="K242" s="5" t="s">
        <v>55</v>
      </c>
      <c r="L242" s="6" t="s">
        <v>390</v>
      </c>
      <c r="M242" s="5" t="s">
        <v>19</v>
      </c>
      <c r="N242" s="5" t="s">
        <v>27</v>
      </c>
      <c r="O242" s="5">
        <v>119280.0</v>
      </c>
      <c r="P242" s="5">
        <v>400.0</v>
      </c>
      <c r="Q242" s="5">
        <v>55665.0</v>
      </c>
      <c r="R242" s="5">
        <v>112913.0</v>
      </c>
      <c r="S242" s="5">
        <v>23.0</v>
      </c>
      <c r="T242" s="5">
        <v>6492.676343</v>
      </c>
    </row>
    <row r="243">
      <c r="A243" s="4" t="s">
        <v>393</v>
      </c>
      <c r="B243" s="4" t="str">
        <f>IFERROR(__xludf.DUMMYFUNCTION("SPLIT(A243:A969, ""&gt;"")"),"Online Behavior")</f>
        <v>Online Behavior</v>
      </c>
      <c r="C243" s="4" t="str">
        <f>IFERROR(__xludf.DUMMYFUNCTION("""COMPUTED_VALUE"""),"United States")</f>
        <v>United States</v>
      </c>
      <c r="D243" s="4" t="str">
        <f>IFERROR(__xludf.DUMMYFUNCTION("""COMPUTED_VALUE"""),"Sports")</f>
        <v>Sports</v>
      </c>
      <c r="E243" s="4" t="str">
        <f>IFERROR(__xludf.DUMMYFUNCTION("""COMPUTED_VALUE"""),"Motor Sports")</f>
        <v>Motor Sports</v>
      </c>
      <c r="F243" s="4"/>
      <c r="G243" s="4"/>
      <c r="H243" s="4"/>
      <c r="I243" s="5" t="s">
        <v>22</v>
      </c>
      <c r="J243" s="5" t="s">
        <v>31</v>
      </c>
      <c r="K243" s="5" t="s">
        <v>150</v>
      </c>
      <c r="L243" s="6" t="s">
        <v>390</v>
      </c>
      <c r="M243" s="5" t="s">
        <v>46</v>
      </c>
      <c r="N243" s="5" t="s">
        <v>27</v>
      </c>
      <c r="O243" s="5">
        <v>8204.0</v>
      </c>
      <c r="P243" s="5">
        <v>20.0</v>
      </c>
      <c r="Q243" s="5">
        <v>1348.0</v>
      </c>
      <c r="R243" s="5">
        <v>7832.0</v>
      </c>
      <c r="S243" s="5">
        <v>1.0</v>
      </c>
      <c r="T243" s="5">
        <v>5973.379892</v>
      </c>
    </row>
    <row r="244">
      <c r="A244" s="4" t="s">
        <v>1280</v>
      </c>
      <c r="B244" s="4" t="str">
        <f>IFERROR(__xludf.DUMMYFUNCTION("SPLIT(A244:A970, ""&gt;"")"),"Online Behavior")</f>
        <v>Online Behavior</v>
      </c>
      <c r="C244" s="4" t="str">
        <f>IFERROR(__xludf.DUMMYFUNCTION("""COMPUTED_VALUE"""),"United States")</f>
        <v>United States</v>
      </c>
      <c r="D244" s="4" t="str">
        <f>IFERROR(__xludf.DUMMYFUNCTION("""COMPUTED_VALUE"""),"Autos and Vehicles ")</f>
        <v>Autos and Vehicles </v>
      </c>
      <c r="E244" s="4" t="str">
        <f>IFERROR(__xludf.DUMMYFUNCTION("""COMPUTED_VALUE""")," Brands")</f>
        <v> Brands</v>
      </c>
      <c r="F244" s="4" t="str">
        <f>IFERROR(__xludf.DUMMYFUNCTION("""COMPUTED_VALUE"""),"BMW")</f>
        <v>BMW</v>
      </c>
      <c r="G244" s="4"/>
      <c r="H244" s="4"/>
      <c r="I244" s="5" t="s">
        <v>61</v>
      </c>
      <c r="J244" s="5" t="s">
        <v>31</v>
      </c>
      <c r="K244" s="5" t="s">
        <v>95</v>
      </c>
      <c r="L244" s="6" t="s">
        <v>390</v>
      </c>
      <c r="M244" s="5" t="s">
        <v>161</v>
      </c>
      <c r="N244" s="5" t="s">
        <v>27</v>
      </c>
      <c r="O244" s="5">
        <v>88022.0</v>
      </c>
      <c r="P244" s="5">
        <v>370.0</v>
      </c>
      <c r="Q244" s="5">
        <v>45972.0</v>
      </c>
      <c r="R244" s="5">
        <v>83922.0</v>
      </c>
      <c r="S244" s="5">
        <v>11.0</v>
      </c>
      <c r="T244" s="5">
        <v>5669.14476</v>
      </c>
    </row>
    <row r="245">
      <c r="A245" s="4" t="s">
        <v>1281</v>
      </c>
      <c r="B245" s="4" t="str">
        <f>IFERROR(__xludf.DUMMYFUNCTION("SPLIT(A245:A971, ""&gt;"")"),"Online Behavior")</f>
        <v>Online Behavior</v>
      </c>
      <c r="C245" s="4" t="str">
        <f>IFERROR(__xludf.DUMMYFUNCTION("""COMPUTED_VALUE"""),"United States")</f>
        <v>United States</v>
      </c>
      <c r="D245" s="4" t="str">
        <f>IFERROR(__xludf.DUMMYFUNCTION("""COMPUTED_VALUE"""),"Food and Drink")</f>
        <v>Food and Drink</v>
      </c>
      <c r="E245" s="4" t="str">
        <f>IFERROR(__xludf.DUMMYFUNCTION("""COMPUTED_VALUE"""),"Beverages ")</f>
        <v>Beverages </v>
      </c>
      <c r="F245" s="4" t="str">
        <f>IFERROR(__xludf.DUMMYFUNCTION("""COMPUTED_VALUE""")," Bottled Water")</f>
        <v> Bottled Water</v>
      </c>
      <c r="G245" s="4"/>
      <c r="H245" s="4"/>
      <c r="I245" s="5" t="s">
        <v>22</v>
      </c>
      <c r="J245" s="5" t="s">
        <v>31</v>
      </c>
      <c r="K245" s="5" t="s">
        <v>78</v>
      </c>
      <c r="L245" s="6" t="s">
        <v>390</v>
      </c>
      <c r="M245" s="5" t="s">
        <v>19</v>
      </c>
      <c r="N245" s="5" t="s">
        <v>27</v>
      </c>
      <c r="O245" s="5">
        <v>12879.0</v>
      </c>
      <c r="P245" s="5">
        <v>71.0</v>
      </c>
      <c r="Q245" s="5">
        <v>7225.0</v>
      </c>
      <c r="R245" s="5">
        <v>12173.0</v>
      </c>
      <c r="S245" s="5">
        <v>9.0</v>
      </c>
      <c r="T245" s="5">
        <v>5099.28249</v>
      </c>
    </row>
    <row r="246">
      <c r="A246" s="4" t="s">
        <v>1807</v>
      </c>
      <c r="B246" s="4" t="str">
        <f>IFERROR(__xludf.DUMMYFUNCTION("SPLIT(A246:A972, ""&gt;"")"),"US ")</f>
        <v>US </v>
      </c>
      <c r="C246" s="4" t="str">
        <f>IFERROR(__xludf.DUMMYFUNCTION("""COMPUTED_VALUE""")," Reach ")</f>
        <v> Reach </v>
      </c>
      <c r="D246" s="4" t="str">
        <f>IFERROR(__xludf.DUMMYFUNCTION("""COMPUTED_VALUE""")," Sociodemographic ")</f>
        <v> Sociodemographic </v>
      </c>
      <c r="E246" s="4" t="str">
        <f>IFERROR(__xludf.DUMMYFUNCTION("""COMPUTED_VALUE""")," Age ")</f>
        <v> Age </v>
      </c>
      <c r="F246" s="4" t="str">
        <f>IFERROR(__xludf.DUMMYFUNCTION("""COMPUTED_VALUE""")," 45-49")</f>
        <v> 45-49</v>
      </c>
      <c r="G246" s="4"/>
      <c r="H246" s="4"/>
      <c r="I246" s="5" t="s">
        <v>15</v>
      </c>
      <c r="J246" s="5" t="s">
        <v>16</v>
      </c>
      <c r="K246" s="5" t="s">
        <v>39</v>
      </c>
      <c r="L246" s="6" t="s">
        <v>390</v>
      </c>
      <c r="M246" s="5" t="s">
        <v>19</v>
      </c>
      <c r="N246" s="5" t="s">
        <v>52</v>
      </c>
      <c r="O246" s="5">
        <v>69239.0</v>
      </c>
      <c r="P246" s="5">
        <v>160.0</v>
      </c>
      <c r="Q246" s="5">
        <v>23112.0</v>
      </c>
      <c r="R246" s="5">
        <v>65390.0</v>
      </c>
      <c r="S246" s="5">
        <v>1.0</v>
      </c>
      <c r="T246" s="5">
        <v>4514.952724</v>
      </c>
    </row>
    <row r="247">
      <c r="A247" s="4" t="s">
        <v>1808</v>
      </c>
      <c r="B247" s="4" t="str">
        <f>IFERROR(__xludf.DUMMYFUNCTION("SPLIT(A247:A973, ""&gt;"")"),"Real Estate ")</f>
        <v>Real Estate </v>
      </c>
      <c r="C247" s="4" t="str">
        <f>IFERROR(__xludf.DUMMYFUNCTION("""COMPUTED_VALUE""")," Sale Activity ")</f>
        <v> Sale Activity </v>
      </c>
      <c r="D247" s="4" t="str">
        <f>IFERROR(__xludf.DUMMYFUNCTION("""COMPUTED_VALUE""")," Just Sold")</f>
        <v> Just Sold</v>
      </c>
      <c r="E247" s="4"/>
      <c r="F247" s="4"/>
      <c r="G247" s="4"/>
      <c r="H247" s="4"/>
      <c r="I247" s="5" t="s">
        <v>22</v>
      </c>
      <c r="J247" s="5" t="s">
        <v>31</v>
      </c>
      <c r="K247" s="5" t="s">
        <v>398</v>
      </c>
      <c r="L247" s="6" t="s">
        <v>390</v>
      </c>
      <c r="M247" s="5" t="s">
        <v>19</v>
      </c>
      <c r="N247" s="5" t="s">
        <v>27</v>
      </c>
      <c r="O247" s="5">
        <v>111884.0</v>
      </c>
      <c r="P247" s="5">
        <v>220.0</v>
      </c>
      <c r="Q247" s="5">
        <v>53017.0</v>
      </c>
      <c r="R247" s="5">
        <v>106432.0</v>
      </c>
      <c r="S247" s="5">
        <v>7.0</v>
      </c>
      <c r="T247" s="5">
        <v>1786.105122</v>
      </c>
    </row>
    <row r="248">
      <c r="A248" s="4" t="s">
        <v>1809</v>
      </c>
      <c r="B248" s="4" t="str">
        <f>IFERROR(__xludf.DUMMYFUNCTION("SPLIT(A248:A974, ""&gt;"")"),"US ")</f>
        <v>US </v>
      </c>
      <c r="C248" s="4" t="str">
        <f>IFERROR(__xludf.DUMMYFUNCTION("""COMPUTED_VALUE""")," Sociodemographic ")</f>
        <v> Sociodemographic </v>
      </c>
      <c r="D248" s="4" t="str">
        <f>IFERROR(__xludf.DUMMYFUNCTION("""COMPUTED_VALUE""")," ConneXions Lifestage ")</f>
        <v> ConneXions Lifestage </v>
      </c>
      <c r="E248" s="4" t="str">
        <f>IFERROR(__xludf.DUMMYFUNCTION("""COMPUTED_VALUE""")," F1 Early Adopting Elite")</f>
        <v> F1 Early Adopting Elite</v>
      </c>
      <c r="F248" s="4"/>
      <c r="G248" s="4"/>
      <c r="H248" s="4"/>
      <c r="I248" s="5" t="s">
        <v>22</v>
      </c>
      <c r="J248" s="5" t="s">
        <v>23</v>
      </c>
      <c r="K248" s="5" t="s">
        <v>78</v>
      </c>
      <c r="L248" s="6" t="s">
        <v>390</v>
      </c>
      <c r="M248" s="5" t="s">
        <v>19</v>
      </c>
      <c r="N248" s="5" t="s">
        <v>27</v>
      </c>
      <c r="O248" s="5">
        <v>20899.0</v>
      </c>
      <c r="P248" s="5">
        <v>20.0</v>
      </c>
      <c r="Q248" s="5">
        <v>11394.0</v>
      </c>
      <c r="R248" s="5">
        <v>19576.0</v>
      </c>
      <c r="S248" s="5">
        <v>19.0</v>
      </c>
      <c r="T248" s="5">
        <v>1649.459852</v>
      </c>
    </row>
    <row r="249">
      <c r="A249" s="4" t="s">
        <v>1285</v>
      </c>
      <c r="B249" s="4" t="str">
        <f>IFERROR(__xludf.DUMMYFUNCTION("SPLIT(A249:A975, ""&gt;"")"),"OnAudience ")</f>
        <v>OnAudience </v>
      </c>
      <c r="C249" s="4" t="str">
        <f>IFERROR(__xludf.DUMMYFUNCTION("""COMPUTED_VALUE""")," Interest ")</f>
        <v> Interest </v>
      </c>
      <c r="D249" s="4" t="str">
        <f>IFERROR(__xludf.DUMMYFUNCTION("""COMPUTED_VALUE""")," Arts &amp; Entertainment ")</f>
        <v> Arts &amp; Entertainment </v>
      </c>
      <c r="E249" s="4" t="str">
        <f>IFERROR(__xludf.DUMMYFUNCTION("""COMPUTED_VALUE""")," Television")</f>
        <v> Television</v>
      </c>
      <c r="F249" s="4"/>
      <c r="G249" s="4"/>
      <c r="H249" s="4"/>
      <c r="I249" s="5" t="s">
        <v>15</v>
      </c>
      <c r="J249" s="5" t="s">
        <v>42</v>
      </c>
      <c r="K249" s="5" t="s">
        <v>121</v>
      </c>
      <c r="L249" s="6" t="s">
        <v>390</v>
      </c>
      <c r="M249" s="5" t="s">
        <v>19</v>
      </c>
      <c r="N249" s="5" t="s">
        <v>52</v>
      </c>
      <c r="O249" s="5">
        <v>22800.0</v>
      </c>
      <c r="P249" s="5">
        <v>79.0</v>
      </c>
      <c r="Q249" s="5">
        <v>8298.0</v>
      </c>
      <c r="R249" s="5">
        <v>21161.0</v>
      </c>
      <c r="S249" s="5">
        <v>24.0</v>
      </c>
      <c r="T249" s="5">
        <v>1620.1655</v>
      </c>
    </row>
    <row r="250">
      <c r="A250" s="4" t="s">
        <v>1810</v>
      </c>
      <c r="B250" s="4" t="str">
        <f>IFERROR(__xludf.DUMMYFUNCTION("SPLIT(A250:A976, ""&gt;"")"),"US Interest ")</f>
        <v>US Interest </v>
      </c>
      <c r="C250" s="4" t="str">
        <f>IFERROR(__xludf.DUMMYFUNCTION("""COMPUTED_VALUE""")," Consumer Electronics")</f>
        <v> Consumer Electronics</v>
      </c>
      <c r="D250" s="4"/>
      <c r="E250" s="4"/>
      <c r="F250" s="4"/>
      <c r="G250" s="4"/>
      <c r="H250" s="4"/>
      <c r="I250" s="5" t="s">
        <v>22</v>
      </c>
      <c r="J250" s="5" t="s">
        <v>31</v>
      </c>
      <c r="K250" s="5" t="s">
        <v>78</v>
      </c>
      <c r="L250" s="6" t="s">
        <v>390</v>
      </c>
      <c r="M250" s="5" t="s">
        <v>19</v>
      </c>
      <c r="N250" s="5" t="s">
        <v>27</v>
      </c>
      <c r="O250" s="5">
        <v>15441.0</v>
      </c>
      <c r="P250" s="5">
        <v>48.0</v>
      </c>
      <c r="Q250" s="5">
        <v>7626.0</v>
      </c>
      <c r="R250" s="5">
        <v>14456.0</v>
      </c>
      <c r="S250" s="5">
        <v>19.0</v>
      </c>
      <c r="T250" s="5">
        <v>1614.309013</v>
      </c>
    </row>
    <row r="251">
      <c r="A251" s="4" t="s">
        <v>1811</v>
      </c>
      <c r="B251" s="4" t="str">
        <f>IFERROR(__xludf.DUMMYFUNCTION("SPLIT(A251:A977, ""&gt;"")"),"US ")</f>
        <v>US </v>
      </c>
      <c r="C251" s="4" t="str">
        <f>IFERROR(__xludf.DUMMYFUNCTION("""COMPUTED_VALUE""")," Interest Propensities ")</f>
        <v> Interest Propensities </v>
      </c>
      <c r="D251" s="4" t="str">
        <f>IFERROR(__xludf.DUMMYFUNCTION("""COMPUTED_VALUE""")," Insurance ")</f>
        <v> Insurance </v>
      </c>
      <c r="E251" s="4" t="str">
        <f>IFERROR(__xludf.DUMMYFUNCTION("""COMPUTED_VALUE""")," Unitedhealth Group")</f>
        <v> Unitedhealth Group</v>
      </c>
      <c r="F251" s="4"/>
      <c r="G251" s="4"/>
      <c r="H251" s="4"/>
      <c r="I251" s="5" t="s">
        <v>22</v>
      </c>
      <c r="J251" s="5" t="s">
        <v>23</v>
      </c>
      <c r="K251" s="5" t="s">
        <v>78</v>
      </c>
      <c r="L251" s="6" t="s">
        <v>390</v>
      </c>
      <c r="M251" s="5" t="s">
        <v>19</v>
      </c>
      <c r="N251" s="5" t="s">
        <v>27</v>
      </c>
      <c r="O251" s="5">
        <v>33069.0</v>
      </c>
      <c r="P251" s="5">
        <v>140.0</v>
      </c>
      <c r="Q251" s="5">
        <v>17744.0</v>
      </c>
      <c r="R251" s="5">
        <v>31192.0</v>
      </c>
      <c r="S251" s="5">
        <v>14.0</v>
      </c>
      <c r="T251" s="5">
        <v>1543.310611</v>
      </c>
    </row>
    <row r="252">
      <c r="A252" s="4" t="s">
        <v>1812</v>
      </c>
      <c r="B252" s="4" t="str">
        <f>IFERROR(__xludf.DUMMYFUNCTION("SPLIT(A252:A978, ""&gt;"")"),"US ")</f>
        <v>US </v>
      </c>
      <c r="C252" s="4" t="str">
        <f>IFERROR(__xludf.DUMMYFUNCTION("""COMPUTED_VALUE""")," B2B ")</f>
        <v> B2B </v>
      </c>
      <c r="D252" s="4" t="str">
        <f>IFERROR(__xludf.DUMMYFUNCTION("""COMPUTED_VALUE""")," B2B Decision Maker Responsibilities ")</f>
        <v> B2B Decision Maker Responsibilities </v>
      </c>
      <c r="E252" s="4" t="str">
        <f>IFERROR(__xludf.DUMMYFUNCTION("""COMPUTED_VALUE""")," Marketing or Market Research")</f>
        <v> Marketing or Market Research</v>
      </c>
      <c r="F252" s="4"/>
      <c r="G252" s="4"/>
      <c r="H252" s="4"/>
      <c r="I252" s="5" t="s">
        <v>22</v>
      </c>
      <c r="J252" s="5" t="s">
        <v>31</v>
      </c>
      <c r="K252" s="5" t="s">
        <v>84</v>
      </c>
      <c r="L252" s="6" t="s">
        <v>404</v>
      </c>
      <c r="M252" s="5" t="s">
        <v>19</v>
      </c>
      <c r="N252" s="5" t="s">
        <v>27</v>
      </c>
      <c r="O252" s="5">
        <v>54134.0</v>
      </c>
      <c r="P252" s="5">
        <v>155.0</v>
      </c>
      <c r="Q252" s="5">
        <v>37418.0</v>
      </c>
      <c r="R252" s="5">
        <v>51299.0</v>
      </c>
      <c r="S252" s="5">
        <v>4.0</v>
      </c>
      <c r="T252" s="5">
        <v>1502.01775</v>
      </c>
    </row>
    <row r="253">
      <c r="A253" s="4" t="s">
        <v>405</v>
      </c>
      <c r="B253" s="4" t="str">
        <f>IFERROR(__xludf.DUMMYFUNCTION("SPLIT(A253:A979, ""&gt;"")"),"Online Behavior")</f>
        <v>Online Behavior</v>
      </c>
      <c r="C253" s="4" t="str">
        <f>IFERROR(__xludf.DUMMYFUNCTION("""COMPUTED_VALUE"""),"United States")</f>
        <v>United States</v>
      </c>
      <c r="D253" s="4" t="str">
        <f>IFERROR(__xludf.DUMMYFUNCTION("""COMPUTED_VALUE"""),"Arts and Entertainment")</f>
        <v>Arts and Entertainment</v>
      </c>
      <c r="E253" s="4" t="str">
        <f>IFERROR(__xludf.DUMMYFUNCTION("""COMPUTED_VALUE"""),"Comics and Animation")</f>
        <v>Comics and Animation</v>
      </c>
      <c r="F253" s="4"/>
      <c r="G253" s="4"/>
      <c r="H253" s="4"/>
      <c r="I253" s="5" t="s">
        <v>15</v>
      </c>
      <c r="J253" s="5" t="s">
        <v>16</v>
      </c>
      <c r="K253" s="5" t="s">
        <v>173</v>
      </c>
      <c r="L253" s="6" t="s">
        <v>406</v>
      </c>
      <c r="M253" s="5" t="s">
        <v>19</v>
      </c>
      <c r="N253" s="5" t="s">
        <v>27</v>
      </c>
      <c r="O253" s="5">
        <v>7583.0</v>
      </c>
      <c r="P253" s="5">
        <v>45.0</v>
      </c>
      <c r="Q253" s="5">
        <v>4608.0</v>
      </c>
      <c r="R253" s="5">
        <v>5881.0</v>
      </c>
      <c r="S253" s="5">
        <v>1.0</v>
      </c>
      <c r="T253" s="5">
        <v>5033.482578</v>
      </c>
    </row>
    <row r="254">
      <c r="A254" s="4" t="s">
        <v>1813</v>
      </c>
      <c r="B254" s="4" t="str">
        <f>IFERROR(__xludf.DUMMYFUNCTION("SPLIT(A254:A980, ""&gt;"")"),"US ")</f>
        <v>US </v>
      </c>
      <c r="C254" s="4" t="str">
        <f>IFERROR(__xludf.DUMMYFUNCTION("""COMPUTED_VALUE""")," Interest Propensities ")</f>
        <v> Interest Propensities </v>
      </c>
      <c r="D254" s="4" t="str">
        <f>IFERROR(__xludf.DUMMYFUNCTION("""COMPUTED_VALUE""")," Insurance ")</f>
        <v> Insurance </v>
      </c>
      <c r="E254" s="4" t="str">
        <f>IFERROR(__xludf.DUMMYFUNCTION("""COMPUTED_VALUE""")," Aetna Group")</f>
        <v> Aetna Group</v>
      </c>
      <c r="F254" s="4"/>
      <c r="G254" s="4"/>
      <c r="H254" s="4"/>
      <c r="I254" s="5" t="s">
        <v>15</v>
      </c>
      <c r="J254" s="5" t="s">
        <v>42</v>
      </c>
      <c r="K254" s="5" t="s">
        <v>39</v>
      </c>
      <c r="L254" s="6" t="s">
        <v>408</v>
      </c>
      <c r="M254" s="5" t="s">
        <v>19</v>
      </c>
      <c r="N254" s="5" t="s">
        <v>20</v>
      </c>
      <c r="O254" s="5">
        <v>12436.0</v>
      </c>
      <c r="P254" s="5">
        <v>84.0</v>
      </c>
      <c r="Q254" s="5">
        <v>7055.0</v>
      </c>
      <c r="R254" s="5">
        <v>11497.0</v>
      </c>
      <c r="S254" s="5">
        <v>9.0</v>
      </c>
      <c r="T254" s="5">
        <v>1720.870126</v>
      </c>
    </row>
    <row r="255">
      <c r="A255" s="4" t="s">
        <v>1291</v>
      </c>
      <c r="B255" s="4" t="str">
        <f>IFERROR(__xludf.DUMMYFUNCTION("SPLIT(A255:A981, ""&gt;"")"),"Online Behavior")</f>
        <v>Online Behavior</v>
      </c>
      <c r="C255" s="4" t="str">
        <f>IFERROR(__xludf.DUMMYFUNCTION("""COMPUTED_VALUE"""),"United States")</f>
        <v>United States</v>
      </c>
      <c r="D255" s="4" t="str">
        <f>IFERROR(__xludf.DUMMYFUNCTION("""COMPUTED_VALUE"""),"Finance ")</f>
        <v>Finance </v>
      </c>
      <c r="E255" s="4" t="str">
        <f>IFERROR(__xludf.DUMMYFUNCTION("""COMPUTED_VALUE""")," Insurance")</f>
        <v> Insurance</v>
      </c>
      <c r="F255" s="4" t="str">
        <f>IFERROR(__xludf.DUMMYFUNCTION("""COMPUTED_VALUE"""),"Insurance")</f>
        <v>Insurance</v>
      </c>
      <c r="G255" s="4"/>
      <c r="H255" s="4"/>
      <c r="I255" s="5" t="s">
        <v>22</v>
      </c>
      <c r="J255" s="5" t="s">
        <v>31</v>
      </c>
      <c r="K255" s="5" t="s">
        <v>35</v>
      </c>
      <c r="L255" s="6" t="s">
        <v>410</v>
      </c>
      <c r="M255" s="5" t="s">
        <v>36</v>
      </c>
      <c r="N255" s="5" t="s">
        <v>27</v>
      </c>
      <c r="O255" s="5">
        <v>122086.0</v>
      </c>
      <c r="P255" s="5">
        <v>299.0</v>
      </c>
      <c r="Q255" s="5">
        <v>82898.0</v>
      </c>
      <c r="R255" s="5">
        <v>116235.0</v>
      </c>
      <c r="S255" s="5">
        <v>16.0</v>
      </c>
      <c r="T255" s="5">
        <v>7663.695294</v>
      </c>
    </row>
    <row r="256">
      <c r="A256" s="4" t="s">
        <v>1292</v>
      </c>
      <c r="B256" s="4" t="str">
        <f>IFERROR(__xludf.DUMMYFUNCTION("SPLIT(A256:A982, ""&gt;"")"),"Online Behavior")</f>
        <v>Online Behavior</v>
      </c>
      <c r="C256" s="4" t="str">
        <f>IFERROR(__xludf.DUMMYFUNCTION("""COMPUTED_VALUE"""),"United States")</f>
        <v>United States</v>
      </c>
      <c r="D256" s="4" t="str">
        <f>IFERROR(__xludf.DUMMYFUNCTION("""COMPUTED_VALUE"""),"Food and Drink")</f>
        <v>Food and Drink</v>
      </c>
      <c r="E256" s="4" t="str">
        <f>IFERROR(__xludf.DUMMYFUNCTION("""COMPUTED_VALUE"""),"Beverages ")</f>
        <v>Beverages </v>
      </c>
      <c r="F256" s="4" t="str">
        <f>IFERROR(__xludf.DUMMYFUNCTION("""COMPUTED_VALUE""")," Coffee and Tea")</f>
        <v> Coffee and Tea</v>
      </c>
      <c r="G256" s="4"/>
      <c r="H256" s="4"/>
      <c r="I256" s="5" t="s">
        <v>22</v>
      </c>
      <c r="J256" s="5" t="s">
        <v>16</v>
      </c>
      <c r="K256" s="5" t="s">
        <v>66</v>
      </c>
      <c r="L256" s="6" t="s">
        <v>410</v>
      </c>
      <c r="M256" s="5" t="s">
        <v>46</v>
      </c>
      <c r="N256" s="5" t="s">
        <v>27</v>
      </c>
      <c r="O256" s="5">
        <v>63794.0</v>
      </c>
      <c r="P256" s="5">
        <v>200.0</v>
      </c>
      <c r="Q256" s="5">
        <v>46557.0</v>
      </c>
      <c r="R256" s="5">
        <v>60868.0</v>
      </c>
      <c r="S256" s="5">
        <v>9.0</v>
      </c>
      <c r="T256" s="5">
        <v>6832.940067</v>
      </c>
    </row>
    <row r="257">
      <c r="A257" s="4" t="s">
        <v>1293</v>
      </c>
      <c r="B257" s="4" t="str">
        <f>IFERROR(__xludf.DUMMYFUNCTION("SPLIT(A257:A983, ""&gt;"")"),"Online Behavior")</f>
        <v>Online Behavior</v>
      </c>
      <c r="C257" s="4" t="str">
        <f>IFERROR(__xludf.DUMMYFUNCTION("""COMPUTED_VALUE"""),"United States")</f>
        <v>United States</v>
      </c>
      <c r="D257" s="4" t="str">
        <f>IFERROR(__xludf.DUMMYFUNCTION("""COMPUTED_VALUE"""),"Intent ")</f>
        <v>Intent </v>
      </c>
      <c r="E257" s="4" t="str">
        <f>IFERROR(__xludf.DUMMYFUNCTION("""COMPUTED_VALUE""")," Auto Buyers ")</f>
        <v> Auto Buyers </v>
      </c>
      <c r="F257" s="4" t="str">
        <f>IFERROR(__xludf.DUMMYFUNCTION("""COMPUTED_VALUE""")," Car Make")</f>
        <v> Car Make</v>
      </c>
      <c r="G257" s="4" t="str">
        <f>IFERROR(__xludf.DUMMYFUNCTION("""COMPUTED_VALUE"""),"Ford")</f>
        <v>Ford</v>
      </c>
      <c r="H257" s="4"/>
      <c r="I257" s="5" t="s">
        <v>15</v>
      </c>
      <c r="J257" s="5" t="s">
        <v>42</v>
      </c>
      <c r="K257" s="5" t="s">
        <v>39</v>
      </c>
      <c r="L257" s="6" t="s">
        <v>410</v>
      </c>
      <c r="M257" s="5" t="s">
        <v>46</v>
      </c>
      <c r="N257" s="5" t="s">
        <v>20</v>
      </c>
      <c r="O257" s="5">
        <v>29323.0</v>
      </c>
      <c r="P257" s="5">
        <v>88.0</v>
      </c>
      <c r="Q257" s="5">
        <v>13822.0</v>
      </c>
      <c r="R257" s="5">
        <v>26934.0</v>
      </c>
      <c r="S257" s="5">
        <v>9.0</v>
      </c>
      <c r="T257" s="5">
        <v>6096.045521</v>
      </c>
    </row>
    <row r="258">
      <c r="A258" s="4" t="s">
        <v>1294</v>
      </c>
      <c r="B258" s="4" t="str">
        <f>IFERROR(__xludf.DUMMYFUNCTION("SPLIT(A258:A984, ""&gt;"")"),"Online Behavior")</f>
        <v>Online Behavior</v>
      </c>
      <c r="C258" s="4" t="str">
        <f>IFERROR(__xludf.DUMMYFUNCTION("""COMPUTED_VALUE"""),"United States")</f>
        <v>United States</v>
      </c>
      <c r="D258" s="4" t="str">
        <f>IFERROR(__xludf.DUMMYFUNCTION("""COMPUTED_VALUE"""),"Autos and Vehicles ")</f>
        <v>Autos and Vehicles </v>
      </c>
      <c r="E258" s="4" t="str">
        <f>IFERROR(__xludf.DUMMYFUNCTION("""COMPUTED_VALUE""")," Brands")</f>
        <v> Brands</v>
      </c>
      <c r="F258" s="4" t="str">
        <f>IFERROR(__xludf.DUMMYFUNCTION("""COMPUTED_VALUE"""),"Maserati")</f>
        <v>Maserati</v>
      </c>
      <c r="G258" s="4"/>
      <c r="H258" s="4"/>
      <c r="I258" s="5" t="s">
        <v>22</v>
      </c>
      <c r="J258" s="5" t="s">
        <v>23</v>
      </c>
      <c r="K258" s="5" t="s">
        <v>45</v>
      </c>
      <c r="L258" s="6" t="s">
        <v>410</v>
      </c>
      <c r="M258" s="5" t="s">
        <v>46</v>
      </c>
      <c r="N258" s="5" t="s">
        <v>27</v>
      </c>
      <c r="O258" s="5">
        <v>38408.0</v>
      </c>
      <c r="P258" s="5">
        <v>101.0</v>
      </c>
      <c r="Q258" s="5">
        <v>23557.0</v>
      </c>
      <c r="R258" s="5">
        <v>35247.0</v>
      </c>
      <c r="S258" s="5">
        <v>7.0</v>
      </c>
      <c r="T258" s="5">
        <v>5343.459431</v>
      </c>
    </row>
    <row r="259">
      <c r="A259" s="4" t="s">
        <v>1814</v>
      </c>
      <c r="B259" s="4" t="str">
        <f>IFERROR(__xludf.DUMMYFUNCTION("SPLIT(A259:A985, ""&gt;"")"),"US ")</f>
        <v>US </v>
      </c>
      <c r="C259" s="4" t="str">
        <f>IFERROR(__xludf.DUMMYFUNCTION("""COMPUTED_VALUE""")," Reach ")</f>
        <v> Reach </v>
      </c>
      <c r="D259" s="4" t="str">
        <f>IFERROR(__xludf.DUMMYFUNCTION("""COMPUTED_VALUE""")," Sociodemographic ")</f>
        <v> Sociodemographic </v>
      </c>
      <c r="E259" s="4" t="str">
        <f>IFERROR(__xludf.DUMMYFUNCTION("""COMPUTED_VALUE""")," Homeowner Status ")</f>
        <v> Homeowner Status </v>
      </c>
      <c r="F259" s="4" t="str">
        <f>IFERROR(__xludf.DUMMYFUNCTION("""COMPUTED_VALUE""")," Renter")</f>
        <v> Renter</v>
      </c>
      <c r="G259" s="4"/>
      <c r="H259" s="4"/>
      <c r="I259" s="5" t="s">
        <v>22</v>
      </c>
      <c r="J259" s="5" t="s">
        <v>23</v>
      </c>
      <c r="K259" s="5" t="s">
        <v>173</v>
      </c>
      <c r="L259" s="6" t="s">
        <v>410</v>
      </c>
      <c r="M259" s="5" t="s">
        <v>19</v>
      </c>
      <c r="N259" s="5" t="s">
        <v>27</v>
      </c>
      <c r="O259" s="5">
        <v>70134.0</v>
      </c>
      <c r="P259" s="5">
        <v>169.0</v>
      </c>
      <c r="Q259" s="5">
        <v>48862.0</v>
      </c>
      <c r="R259" s="5">
        <v>66739.0</v>
      </c>
      <c r="S259" s="5">
        <v>14.0</v>
      </c>
      <c r="T259" s="5">
        <v>2514.868116</v>
      </c>
    </row>
    <row r="260">
      <c r="A260" s="4" t="s">
        <v>1815</v>
      </c>
      <c r="B260" s="4" t="str">
        <f>IFERROR(__xludf.DUMMYFUNCTION("SPLIT(A260:A986, ""&gt;"")"),"US ")</f>
        <v>US </v>
      </c>
      <c r="C260" s="4" t="str">
        <f>IFERROR(__xludf.DUMMYFUNCTION("""COMPUTED_VALUE""")," B2B ")</f>
        <v> B2B </v>
      </c>
      <c r="D260" s="4" t="str">
        <f>IFERROR(__xludf.DUMMYFUNCTION("""COMPUTED_VALUE""")," B2B Decision Maker Responsibilities ")</f>
        <v> B2B Decision Maker Responsibilities </v>
      </c>
      <c r="E260" s="4" t="str">
        <f>IFERROR(__xludf.DUMMYFUNCTION("""COMPUTED_VALUE""")," HR or Personnel Services")</f>
        <v> HR or Personnel Services</v>
      </c>
      <c r="F260" s="4"/>
      <c r="G260" s="4"/>
      <c r="H260" s="4"/>
      <c r="I260" s="5" t="s">
        <v>15</v>
      </c>
      <c r="J260" s="5" t="s">
        <v>23</v>
      </c>
      <c r="K260" s="5" t="s">
        <v>17</v>
      </c>
      <c r="L260" s="6" t="s">
        <v>410</v>
      </c>
      <c r="M260" s="5" t="s">
        <v>19</v>
      </c>
      <c r="N260" s="5" t="s">
        <v>52</v>
      </c>
      <c r="O260" s="5">
        <v>51889.0</v>
      </c>
      <c r="P260" s="5">
        <v>174.0</v>
      </c>
      <c r="Q260" s="5">
        <v>33879.0</v>
      </c>
      <c r="R260" s="5">
        <v>49382.0</v>
      </c>
      <c r="S260" s="5">
        <v>5.0</v>
      </c>
      <c r="T260" s="5">
        <v>2172.841747</v>
      </c>
    </row>
    <row r="261">
      <c r="A261" s="4" t="s">
        <v>1816</v>
      </c>
      <c r="B261" s="4" t="str">
        <f>IFERROR(__xludf.DUMMYFUNCTION("SPLIT(A261:A987, ""&gt;"")"),"US ")</f>
        <v>US </v>
      </c>
      <c r="C261" s="4" t="str">
        <f>IFERROR(__xludf.DUMMYFUNCTION("""COMPUTED_VALUE""")," B2B ")</f>
        <v> B2B </v>
      </c>
      <c r="D261" s="4" t="str">
        <f>IFERROR(__xludf.DUMMYFUNCTION("""COMPUTED_VALUE""")," B2B Decision Maker Responsibilities ")</f>
        <v> B2B Decision Maker Responsibilities </v>
      </c>
      <c r="E261" s="4" t="str">
        <f>IFERROR(__xludf.DUMMYFUNCTION("""COMPUTED_VALUE""")," Sales")</f>
        <v> Sales</v>
      </c>
      <c r="F261" s="4"/>
      <c r="G261" s="4"/>
      <c r="H261" s="4"/>
      <c r="I261" s="5" t="s">
        <v>15</v>
      </c>
      <c r="J261" s="5" t="s">
        <v>23</v>
      </c>
      <c r="K261" s="5" t="s">
        <v>66</v>
      </c>
      <c r="L261" s="6" t="s">
        <v>410</v>
      </c>
      <c r="M261" s="5" t="s">
        <v>19</v>
      </c>
      <c r="N261" s="5" t="s">
        <v>52</v>
      </c>
      <c r="O261" s="5">
        <v>19951.0</v>
      </c>
      <c r="P261" s="5">
        <v>81.0</v>
      </c>
      <c r="Q261" s="5">
        <v>10511.0</v>
      </c>
      <c r="R261" s="5">
        <v>18132.0</v>
      </c>
      <c r="S261" s="5">
        <v>15.0</v>
      </c>
      <c r="T261" s="5">
        <v>1801.14885</v>
      </c>
    </row>
    <row r="262">
      <c r="A262" s="4" t="s">
        <v>1817</v>
      </c>
      <c r="B262" s="4" t="str">
        <f>IFERROR(__xludf.DUMMYFUNCTION("SPLIT(A262:A988, ""&gt;"")"),"Mobile - US ")</f>
        <v>Mobile - US </v>
      </c>
      <c r="C262" s="4" t="str">
        <f>IFERROR(__xludf.DUMMYFUNCTION("""COMPUTED_VALUE""")," Travel ")</f>
        <v> Travel </v>
      </c>
      <c r="D262" s="4" t="str">
        <f>IFERROR(__xludf.DUMMYFUNCTION("""COMPUTED_VALUE""")," Vacation Rentals ")</f>
        <v> Vacation Rentals </v>
      </c>
      <c r="E262" s="4" t="str">
        <f>IFERROR(__xludf.DUMMYFUNCTION("""COMPUTED_VALUE""")," HomeAway")</f>
        <v> HomeAway</v>
      </c>
      <c r="F262" s="4"/>
      <c r="G262" s="4"/>
      <c r="H262" s="4"/>
      <c r="I262" s="5" t="s">
        <v>22</v>
      </c>
      <c r="J262" s="5" t="s">
        <v>23</v>
      </c>
      <c r="K262" s="5" t="s">
        <v>240</v>
      </c>
      <c r="L262" s="6" t="s">
        <v>410</v>
      </c>
      <c r="M262" s="5" t="s">
        <v>19</v>
      </c>
      <c r="N262" s="5" t="s">
        <v>27</v>
      </c>
      <c r="O262" s="5">
        <v>91593.0</v>
      </c>
      <c r="P262" s="5">
        <v>40.0</v>
      </c>
      <c r="Q262" s="5">
        <v>51004.0</v>
      </c>
      <c r="R262" s="5">
        <v>82985.0</v>
      </c>
      <c r="S262" s="5">
        <v>18.0</v>
      </c>
      <c r="T262" s="5">
        <v>1731.584862</v>
      </c>
    </row>
    <row r="263">
      <c r="A263" s="4" t="s">
        <v>1299</v>
      </c>
      <c r="B263" s="4" t="str">
        <f>IFERROR(__xludf.DUMMYFUNCTION("SPLIT(A263:A989, ""&gt;"")"),"OnAudience ")</f>
        <v>OnAudience </v>
      </c>
      <c r="C263" s="4" t="str">
        <f>IFERROR(__xludf.DUMMYFUNCTION("""COMPUTED_VALUE""")," Interest ")</f>
        <v> Interest </v>
      </c>
      <c r="D263" s="4" t="str">
        <f>IFERROR(__xludf.DUMMYFUNCTION("""COMPUTED_VALUE""")," News ")</f>
        <v> News </v>
      </c>
      <c r="E263" s="4" t="str">
        <f>IFERROR(__xludf.DUMMYFUNCTION("""COMPUTED_VALUE""")," Local News")</f>
        <v> Local News</v>
      </c>
      <c r="F263" s="4"/>
      <c r="G263" s="4"/>
      <c r="H263" s="4"/>
      <c r="I263" s="5" t="s">
        <v>61</v>
      </c>
      <c r="J263" s="5" t="s">
        <v>31</v>
      </c>
      <c r="K263" s="5" t="s">
        <v>95</v>
      </c>
      <c r="L263" s="6" t="s">
        <v>410</v>
      </c>
      <c r="M263" s="5" t="s">
        <v>46</v>
      </c>
      <c r="N263" s="5" t="s">
        <v>27</v>
      </c>
      <c r="O263" s="5">
        <v>69722.0</v>
      </c>
      <c r="P263" s="5">
        <v>194.0</v>
      </c>
      <c r="Q263" s="5">
        <v>40640.0</v>
      </c>
      <c r="R263" s="5">
        <v>64819.0</v>
      </c>
      <c r="S263" s="5">
        <v>10.0</v>
      </c>
      <c r="T263" s="5">
        <v>1667.655895</v>
      </c>
    </row>
    <row r="264">
      <c r="A264" s="4" t="s">
        <v>1818</v>
      </c>
      <c r="B264" s="4" t="str">
        <f>IFERROR(__xludf.DUMMYFUNCTION("SPLIT(A264:A990, ""&gt;"")"),"OnAudience ")</f>
        <v>OnAudience </v>
      </c>
      <c r="C264" s="4" t="str">
        <f>IFERROR(__xludf.DUMMYFUNCTION("""COMPUTED_VALUE""")," Interest ")</f>
        <v> Interest </v>
      </c>
      <c r="D264" s="4" t="str">
        <f>IFERROR(__xludf.DUMMYFUNCTION("""COMPUTED_VALUE""")," Arts &amp; Entertainment ")</f>
        <v> Arts &amp; Entertainment </v>
      </c>
      <c r="E264" s="4" t="str">
        <f>IFERROR(__xludf.DUMMYFUNCTION("""COMPUTED_VALUE""")," Music Lovers")</f>
        <v> Music Lovers</v>
      </c>
      <c r="F264" s="4"/>
      <c r="G264" s="4"/>
      <c r="H264" s="4"/>
      <c r="I264" s="5" t="s">
        <v>15</v>
      </c>
      <c r="J264" s="5" t="s">
        <v>23</v>
      </c>
      <c r="K264" s="5" t="s">
        <v>95</v>
      </c>
      <c r="L264" s="6" t="s">
        <v>410</v>
      </c>
      <c r="M264" s="5" t="s">
        <v>48</v>
      </c>
      <c r="N264" s="5" t="s">
        <v>52</v>
      </c>
      <c r="O264" s="5">
        <v>76724.0</v>
      </c>
      <c r="P264" s="5">
        <v>187.0</v>
      </c>
      <c r="Q264" s="5">
        <v>43209.0</v>
      </c>
      <c r="R264" s="5">
        <v>69530.0</v>
      </c>
      <c r="S264" s="5">
        <v>9.0</v>
      </c>
      <c r="T264" s="5">
        <v>1493.204528</v>
      </c>
    </row>
    <row r="265">
      <c r="A265" s="4" t="s">
        <v>1819</v>
      </c>
      <c r="B265" s="4" t="str">
        <f>IFERROR(__xludf.DUMMYFUNCTION("SPLIT(A265:A991, ""&gt;"")"),"US ")</f>
        <v>US </v>
      </c>
      <c r="C265" s="4" t="str">
        <f>IFERROR(__xludf.DUMMYFUNCTION("""COMPUTED_VALUE""")," Sociodemographic ")</f>
        <v> Sociodemographic </v>
      </c>
      <c r="D265" s="4" t="str">
        <f>IFERROR(__xludf.DUMMYFUNCTION("""COMPUTED_VALUE""")," PRIZM Premier Social ")</f>
        <v> PRIZM Premier Social </v>
      </c>
      <c r="E265" s="4" t="str">
        <f>IFERROR(__xludf.DUMMYFUNCTION("""COMPUTED_VALUE""")," T2 Country Comfort")</f>
        <v> T2 Country Comfort</v>
      </c>
      <c r="F265" s="4"/>
      <c r="G265" s="4"/>
      <c r="H265" s="4"/>
      <c r="I265" s="5" t="s">
        <v>22</v>
      </c>
      <c r="J265" s="5" t="s">
        <v>16</v>
      </c>
      <c r="K265" s="5" t="s">
        <v>78</v>
      </c>
      <c r="L265" s="6" t="s">
        <v>410</v>
      </c>
      <c r="M265" s="5" t="s">
        <v>231</v>
      </c>
      <c r="N265" s="5" t="s">
        <v>27</v>
      </c>
      <c r="O265" s="5">
        <v>34959.0</v>
      </c>
      <c r="P265" s="5">
        <v>122.0</v>
      </c>
      <c r="Q265" s="5">
        <v>17511.0</v>
      </c>
      <c r="R265" s="5">
        <v>31974.0</v>
      </c>
      <c r="S265" s="5">
        <v>5.0</v>
      </c>
      <c r="T265" s="5">
        <v>1477.493357</v>
      </c>
    </row>
    <row r="266">
      <c r="A266" s="4" t="s">
        <v>421</v>
      </c>
      <c r="B266" s="4" t="str">
        <f>IFERROR(__xludf.DUMMYFUNCTION("SPLIT(A266:A992, ""&gt;"")"),"Online Behavior")</f>
        <v>Online Behavior</v>
      </c>
      <c r="C266" s="4" t="str">
        <f>IFERROR(__xludf.DUMMYFUNCTION("""COMPUTED_VALUE"""),"United States")</f>
        <v>United States</v>
      </c>
      <c r="D266" s="4" t="str">
        <f>IFERROR(__xludf.DUMMYFUNCTION("""COMPUTED_VALUE"""),"Arts and Entertainment")</f>
        <v>Arts and Entertainment</v>
      </c>
      <c r="E266" s="4" t="str">
        <f>IFERROR(__xludf.DUMMYFUNCTION("""COMPUTED_VALUE"""),"Movies")</f>
        <v>Movies</v>
      </c>
      <c r="F266" s="4"/>
      <c r="G266" s="4"/>
      <c r="H266" s="4"/>
      <c r="I266" s="5" t="s">
        <v>15</v>
      </c>
      <c r="J266" s="5" t="s">
        <v>42</v>
      </c>
      <c r="K266" s="5" t="s">
        <v>39</v>
      </c>
      <c r="L266" s="6" t="s">
        <v>422</v>
      </c>
      <c r="M266" s="5" t="s">
        <v>19</v>
      </c>
      <c r="N266" s="5" t="s">
        <v>27</v>
      </c>
      <c r="O266" s="5">
        <v>9273.0</v>
      </c>
      <c r="P266" s="5">
        <v>70.0</v>
      </c>
      <c r="Q266" s="5">
        <v>4648.0</v>
      </c>
      <c r="R266" s="5">
        <v>8751.0</v>
      </c>
      <c r="S266" s="5">
        <v>5.0</v>
      </c>
      <c r="T266" s="5">
        <v>4986.51937</v>
      </c>
    </row>
    <row r="267">
      <c r="A267" s="4" t="s">
        <v>1302</v>
      </c>
      <c r="B267" s="4" t="str">
        <f>IFERROR(__xludf.DUMMYFUNCTION("SPLIT(A267:A993, ""&gt;"")"),"Online Behavior")</f>
        <v>Online Behavior</v>
      </c>
      <c r="C267" s="4" t="str">
        <f>IFERROR(__xludf.DUMMYFUNCTION("""COMPUTED_VALUE"""),"United States")</f>
        <v>United States</v>
      </c>
      <c r="D267" s="4" t="str">
        <f>IFERROR(__xludf.DUMMYFUNCTION("""COMPUTED_VALUE"""),"Intent ")</f>
        <v>Intent </v>
      </c>
      <c r="E267" s="4" t="str">
        <f>IFERROR(__xludf.DUMMYFUNCTION("""COMPUTED_VALUE""")," Shopping")</f>
        <v> Shopping</v>
      </c>
      <c r="F267" s="4" t="str">
        <f>IFERROR(__xludf.DUMMYFUNCTION("""COMPUTED_VALUE"""),"Consumer Electronics ")</f>
        <v>Consumer Electronics </v>
      </c>
      <c r="G267" s="4" t="str">
        <f>IFERROR(__xludf.DUMMYFUNCTION("""COMPUTED_VALUE""")," Cameras and Photography Equip")</f>
        <v> Cameras and Photography Equip</v>
      </c>
      <c r="H267" s="4"/>
      <c r="I267" s="5" t="s">
        <v>15</v>
      </c>
      <c r="J267" s="5" t="s">
        <v>23</v>
      </c>
      <c r="K267" s="5" t="s">
        <v>35</v>
      </c>
      <c r="L267" s="6" t="s">
        <v>424</v>
      </c>
      <c r="M267" s="5" t="s">
        <v>46</v>
      </c>
      <c r="N267" s="5" t="s">
        <v>27</v>
      </c>
      <c r="O267" s="5">
        <v>11681.0</v>
      </c>
      <c r="P267" s="5">
        <v>88.0</v>
      </c>
      <c r="Q267" s="5">
        <v>4713.0</v>
      </c>
      <c r="R267" s="5">
        <v>8230.0</v>
      </c>
      <c r="S267" s="5">
        <v>4.0</v>
      </c>
      <c r="T267" s="5">
        <v>5216.648879</v>
      </c>
    </row>
    <row r="268">
      <c r="A268" s="4" t="s">
        <v>1820</v>
      </c>
      <c r="B268" s="4" t="str">
        <f>IFERROR(__xludf.DUMMYFUNCTION("SPLIT(A268:A994, ""&gt;"")"),"Online Behavior")</f>
        <v>Online Behavior</v>
      </c>
      <c r="C268" s="4" t="str">
        <f>IFERROR(__xludf.DUMMYFUNCTION("""COMPUTED_VALUE"""),"United States")</f>
        <v>United States</v>
      </c>
      <c r="D268" s="4" t="str">
        <f>IFERROR(__xludf.DUMMYFUNCTION("""COMPUTED_VALUE"""),"Intent ")</f>
        <v>Intent </v>
      </c>
      <c r="E268" s="4" t="str">
        <f>IFERROR(__xludf.DUMMYFUNCTION("""COMPUTED_VALUE""")," Travel")</f>
        <v> Travel</v>
      </c>
      <c r="F268" s="4" t="str">
        <f>IFERROR(__xludf.DUMMYFUNCTION("""COMPUTED_VALUE"""),"Business Travel")</f>
        <v>Business Travel</v>
      </c>
      <c r="G268" s="4"/>
      <c r="H268" s="4"/>
      <c r="I268" s="5" t="s">
        <v>15</v>
      </c>
      <c r="J268" s="5" t="s">
        <v>31</v>
      </c>
      <c r="K268" s="5" t="s">
        <v>78</v>
      </c>
      <c r="L268" s="6" t="s">
        <v>426</v>
      </c>
      <c r="M268" s="5" t="s">
        <v>19</v>
      </c>
      <c r="N268" s="5" t="s">
        <v>27</v>
      </c>
      <c r="O268" s="5">
        <v>17770.0</v>
      </c>
      <c r="P268" s="5">
        <v>70.0</v>
      </c>
      <c r="Q268" s="5">
        <v>12771.0</v>
      </c>
      <c r="R268" s="5">
        <v>16749.0</v>
      </c>
      <c r="S268" s="5">
        <v>9.0</v>
      </c>
      <c r="T268" s="5">
        <v>5195.234677</v>
      </c>
    </row>
    <row r="269">
      <c r="A269" s="4" t="s">
        <v>1821</v>
      </c>
      <c r="B269" s="4" t="str">
        <f>IFERROR(__xludf.DUMMYFUNCTION("SPLIT(A269:A995, ""&gt;"")"),"US Home ")</f>
        <v>US Home </v>
      </c>
      <c r="C269" s="4" t="str">
        <f>IFERROR(__xludf.DUMMYFUNCTION("""COMPUTED_VALUE""")," Dwelling Type ")</f>
        <v> Dwelling Type </v>
      </c>
      <c r="D269" s="4" t="str">
        <f>IFERROR(__xludf.DUMMYFUNCTION("""COMPUTED_VALUE""")," Single-Family")</f>
        <v> Single-Family</v>
      </c>
      <c r="E269" s="4"/>
      <c r="F269" s="4"/>
      <c r="G269" s="4"/>
      <c r="H269" s="4"/>
      <c r="I269" s="5" t="s">
        <v>15</v>
      </c>
      <c r="J269" s="5" t="s">
        <v>42</v>
      </c>
      <c r="K269" s="5" t="s">
        <v>35</v>
      </c>
      <c r="L269" s="6" t="s">
        <v>426</v>
      </c>
      <c r="M269" s="5" t="s">
        <v>19</v>
      </c>
      <c r="N269" s="5" t="s">
        <v>52</v>
      </c>
      <c r="O269" s="5">
        <v>16202.0</v>
      </c>
      <c r="P269" s="5">
        <v>80.0</v>
      </c>
      <c r="Q269" s="5">
        <v>11786.0</v>
      </c>
      <c r="R269" s="5">
        <v>15365.0</v>
      </c>
      <c r="S269" s="5">
        <v>2.0</v>
      </c>
      <c r="T269" s="5">
        <v>1570.34276</v>
      </c>
    </row>
    <row r="270">
      <c r="A270" s="4" t="s">
        <v>1305</v>
      </c>
      <c r="B270" s="4" t="str">
        <f>IFERROR(__xludf.DUMMYFUNCTION("SPLIT(A270:A996, ""&gt;"")"),"OnAudience ")</f>
        <v>OnAudience </v>
      </c>
      <c r="C270" s="4" t="str">
        <f>IFERROR(__xludf.DUMMYFUNCTION("""COMPUTED_VALUE""")," Interest ")</f>
        <v> Interest </v>
      </c>
      <c r="D270" s="4" t="str">
        <f>IFERROR(__xludf.DUMMYFUNCTION("""COMPUTED_VALUE""")," Games")</f>
        <v> Games</v>
      </c>
      <c r="E270" s="4"/>
      <c r="F270" s="4"/>
      <c r="G270" s="4"/>
      <c r="H270" s="4"/>
      <c r="I270" s="5" t="s">
        <v>22</v>
      </c>
      <c r="J270" s="5" t="s">
        <v>31</v>
      </c>
      <c r="K270" s="5" t="s">
        <v>17</v>
      </c>
      <c r="L270" s="6" t="s">
        <v>429</v>
      </c>
      <c r="M270" s="5" t="s">
        <v>46</v>
      </c>
      <c r="N270" s="5" t="s">
        <v>27</v>
      </c>
      <c r="O270" s="5">
        <v>13779.0</v>
      </c>
      <c r="P270" s="5">
        <v>96.0</v>
      </c>
      <c r="Q270" s="5">
        <v>3482.0</v>
      </c>
      <c r="R270" s="5">
        <v>12487.0</v>
      </c>
      <c r="S270" s="5">
        <v>4.0</v>
      </c>
      <c r="T270" s="5">
        <v>1530.041892</v>
      </c>
    </row>
    <row r="271">
      <c r="A271" s="4" t="s">
        <v>1822</v>
      </c>
      <c r="B271" s="4" t="str">
        <f>IFERROR(__xludf.DUMMYFUNCTION("SPLIT(A271:A997, ""&gt;"")"),"US ")</f>
        <v>US </v>
      </c>
      <c r="C271" s="4" t="str">
        <f>IFERROR(__xludf.DUMMYFUNCTION("""COMPUTED_VALUE""")," Response Performance ")</f>
        <v> Response Performance </v>
      </c>
      <c r="D271" s="4" t="str">
        <f>IFERROR(__xludf.DUMMYFUNCTION("""COMPUTED_VALUE""")," Direct Marketing Purchasers")</f>
        <v> Direct Marketing Purchasers</v>
      </c>
      <c r="E271" s="4"/>
      <c r="F271" s="4"/>
      <c r="G271" s="4"/>
      <c r="H271" s="4"/>
      <c r="I271" s="5" t="s">
        <v>15</v>
      </c>
      <c r="J271" s="5" t="s">
        <v>16</v>
      </c>
      <c r="K271" s="5" t="s">
        <v>43</v>
      </c>
      <c r="L271" s="6" t="s">
        <v>431</v>
      </c>
      <c r="M271" s="5" t="s">
        <v>19</v>
      </c>
      <c r="N271" s="5" t="s">
        <v>27</v>
      </c>
      <c r="O271" s="5">
        <v>13183.0</v>
      </c>
      <c r="P271" s="5">
        <v>100.0</v>
      </c>
      <c r="Q271" s="5">
        <v>4337.0</v>
      </c>
      <c r="R271" s="5">
        <v>10596.0</v>
      </c>
      <c r="S271" s="5">
        <v>1.0</v>
      </c>
      <c r="T271" s="5">
        <v>2430.243664</v>
      </c>
    </row>
    <row r="272">
      <c r="A272" s="4" t="s">
        <v>1307</v>
      </c>
      <c r="B272" s="4" t="str">
        <f>IFERROR(__xludf.DUMMYFUNCTION("SPLIT(A272:A998, ""&gt;"")"),"Online Behavior")</f>
        <v>Online Behavior</v>
      </c>
      <c r="C272" s="4" t="str">
        <f>IFERROR(__xludf.DUMMYFUNCTION("""COMPUTED_VALUE"""),"United States")</f>
        <v>United States</v>
      </c>
      <c r="D272" s="4" t="str">
        <f>IFERROR(__xludf.DUMMYFUNCTION("""COMPUTED_VALUE"""),"Autos and Vehicles ")</f>
        <v>Autos and Vehicles </v>
      </c>
      <c r="E272" s="4" t="str">
        <f>IFERROR(__xludf.DUMMYFUNCTION("""COMPUTED_VALUE""")," Brands")</f>
        <v> Brands</v>
      </c>
      <c r="F272" s="4" t="str">
        <f>IFERROR(__xludf.DUMMYFUNCTION("""COMPUTED_VALUE"""),"Saab")</f>
        <v>Saab</v>
      </c>
      <c r="G272" s="4"/>
      <c r="H272" s="4"/>
      <c r="I272" s="5" t="s">
        <v>22</v>
      </c>
      <c r="J272" s="5" t="s">
        <v>42</v>
      </c>
      <c r="K272" s="5" t="s">
        <v>433</v>
      </c>
      <c r="L272" s="6" t="s">
        <v>434</v>
      </c>
      <c r="M272" s="5" t="s">
        <v>19</v>
      </c>
      <c r="N272" s="5" t="s">
        <v>27</v>
      </c>
      <c r="O272" s="5">
        <v>109709.0</v>
      </c>
      <c r="P272" s="5">
        <v>278.0</v>
      </c>
      <c r="Q272" s="5">
        <v>3064.0</v>
      </c>
      <c r="R272" s="5">
        <v>15428.0</v>
      </c>
      <c r="S272" s="5">
        <v>20.0</v>
      </c>
      <c r="T272" s="5">
        <v>5409.083955</v>
      </c>
    </row>
    <row r="273">
      <c r="A273" s="4" t="s">
        <v>435</v>
      </c>
      <c r="B273" s="4" t="str">
        <f>IFERROR(__xludf.DUMMYFUNCTION("SPLIT(A273:A999, ""&gt;"")"),"Online Behavior")</f>
        <v>Online Behavior</v>
      </c>
      <c r="C273" s="4" t="str">
        <f>IFERROR(__xludf.DUMMYFUNCTION("""COMPUTED_VALUE"""),"United States")</f>
        <v>United States</v>
      </c>
      <c r="D273" s="4" t="str">
        <f>IFERROR(__xludf.DUMMYFUNCTION("""COMPUTED_VALUE"""),"Hobbies and Leisure")</f>
        <v>Hobbies and Leisure</v>
      </c>
      <c r="E273" s="4" t="str">
        <f>IFERROR(__xludf.DUMMYFUNCTION("""COMPUTED_VALUE"""),"Contests, Awards and Prizes")</f>
        <v>Contests, Awards and Prizes</v>
      </c>
      <c r="F273" s="4"/>
      <c r="G273" s="4"/>
      <c r="H273" s="4"/>
      <c r="I273" s="5" t="s">
        <v>15</v>
      </c>
      <c r="J273" s="5" t="s">
        <v>16</v>
      </c>
      <c r="K273" s="5" t="s">
        <v>17</v>
      </c>
      <c r="L273" s="6" t="s">
        <v>434</v>
      </c>
      <c r="M273" s="5" t="s">
        <v>46</v>
      </c>
      <c r="N273" s="5" t="s">
        <v>20</v>
      </c>
      <c r="O273" s="5">
        <v>120902.0</v>
      </c>
      <c r="P273" s="5">
        <v>333.0</v>
      </c>
      <c r="Q273" s="5">
        <v>9964.0</v>
      </c>
      <c r="R273" s="5">
        <v>70015.0</v>
      </c>
      <c r="S273" s="5">
        <v>15.0</v>
      </c>
      <c r="T273" s="5">
        <v>4669.013669</v>
      </c>
    </row>
    <row r="274">
      <c r="A274" s="4" t="s">
        <v>436</v>
      </c>
      <c r="B274" s="4" t="str">
        <f>IFERROR(__xludf.DUMMYFUNCTION("SPLIT(A274:A1000, ""&gt;"")"),"Online Behavior")</f>
        <v>Online Behavior</v>
      </c>
      <c r="C274" s="4" t="str">
        <f>IFERROR(__xludf.DUMMYFUNCTION("""COMPUTED_VALUE"""),"United States")</f>
        <v>United States</v>
      </c>
      <c r="D274" s="4" t="str">
        <f>IFERROR(__xludf.DUMMYFUNCTION("""COMPUTED_VALUE"""),"The Changing Consumer")</f>
        <v>The Changing Consumer</v>
      </c>
      <c r="E274" s="4" t="str">
        <f>IFERROR(__xludf.DUMMYFUNCTION("""COMPUTED_VALUE"""),"B2B Work from Home")</f>
        <v>B2B Work from Home</v>
      </c>
      <c r="F274" s="4"/>
      <c r="G274" s="4"/>
      <c r="H274" s="4"/>
      <c r="I274" s="5" t="s">
        <v>22</v>
      </c>
      <c r="J274" s="5" t="s">
        <v>42</v>
      </c>
      <c r="K274" s="5" t="s">
        <v>78</v>
      </c>
      <c r="L274" s="6" t="s">
        <v>434</v>
      </c>
      <c r="M274" s="5" t="s">
        <v>46</v>
      </c>
      <c r="N274" s="5" t="s">
        <v>27</v>
      </c>
      <c r="O274" s="5">
        <v>45397.0</v>
      </c>
      <c r="P274" s="5">
        <v>114.0</v>
      </c>
      <c r="Q274" s="5">
        <v>716.0</v>
      </c>
      <c r="R274" s="5">
        <v>6867.0</v>
      </c>
      <c r="S274" s="5">
        <v>15.0</v>
      </c>
      <c r="T274" s="5">
        <v>4582.453291</v>
      </c>
    </row>
    <row r="275">
      <c r="A275" s="4" t="s">
        <v>1823</v>
      </c>
      <c r="B275" s="4" t="str">
        <f>IFERROR(__xludf.DUMMYFUNCTION("SPLIT(A275:A1001, ""&gt;"")"),"US ")</f>
        <v>US </v>
      </c>
      <c r="C275" s="4" t="str">
        <f>IFERROR(__xludf.DUMMYFUNCTION("""COMPUTED_VALUE""")," Sociodemographic ")</f>
        <v> Sociodemographic </v>
      </c>
      <c r="D275" s="4" t="str">
        <f>IFERROR(__xludf.DUMMYFUNCTION("""COMPUTED_VALUE""")," ConneXions Lifestage ")</f>
        <v> ConneXions Lifestage </v>
      </c>
      <c r="E275" s="4" t="str">
        <f>IFERROR(__xludf.DUMMYFUNCTION("""COMPUTED_VALUE""")," M3 Offline Seniors")</f>
        <v> M3 Offline Seniors</v>
      </c>
      <c r="F275" s="4"/>
      <c r="G275" s="4"/>
      <c r="H275" s="4"/>
      <c r="I275" s="5" t="s">
        <v>22</v>
      </c>
      <c r="J275" s="5" t="s">
        <v>16</v>
      </c>
      <c r="K275" s="5" t="s">
        <v>84</v>
      </c>
      <c r="L275" s="6" t="s">
        <v>434</v>
      </c>
      <c r="M275" s="5" t="s">
        <v>117</v>
      </c>
      <c r="N275" s="5" t="s">
        <v>27</v>
      </c>
      <c r="O275" s="5">
        <v>13293.0</v>
      </c>
      <c r="P275" s="5">
        <v>74.0</v>
      </c>
      <c r="Q275" s="5">
        <v>9054.0</v>
      </c>
      <c r="R275" s="5">
        <v>12676.0</v>
      </c>
      <c r="S275" s="5">
        <v>5.0</v>
      </c>
      <c r="T275" s="5">
        <v>2901.209509</v>
      </c>
    </row>
    <row r="276">
      <c r="A276" s="4" t="s">
        <v>1824</v>
      </c>
      <c r="B276" s="4" t="str">
        <f>IFERROR(__xludf.DUMMYFUNCTION("SPLIT(A276:A1002, ""&gt;"")"),"US ")</f>
        <v>US </v>
      </c>
      <c r="C276" s="4" t="str">
        <f>IFERROR(__xludf.DUMMYFUNCTION("""COMPUTED_VALUE""")," Brand Propensities ")</f>
        <v> Brand Propensities </v>
      </c>
      <c r="D276" s="4" t="str">
        <f>IFERROR(__xludf.DUMMYFUNCTION("""COMPUTED_VALUE""")," Apparel ")</f>
        <v> Apparel </v>
      </c>
      <c r="E276" s="4" t="str">
        <f>IFERROR(__xludf.DUMMYFUNCTION("""COMPUTED_VALUE""")," JCPenney Buyer Propensity")</f>
        <v> JCPenney Buyer Propensity</v>
      </c>
      <c r="F276" s="4"/>
      <c r="G276" s="4"/>
      <c r="H276" s="4"/>
      <c r="I276" s="5" t="s">
        <v>15</v>
      </c>
      <c r="J276" s="5" t="s">
        <v>42</v>
      </c>
      <c r="K276" s="5" t="s">
        <v>17</v>
      </c>
      <c r="L276" s="6" t="s">
        <v>439</v>
      </c>
      <c r="M276" s="5" t="s">
        <v>46</v>
      </c>
      <c r="N276" s="5" t="s">
        <v>20</v>
      </c>
      <c r="O276" s="5">
        <v>12001.0</v>
      </c>
      <c r="P276" s="5">
        <v>40.0</v>
      </c>
      <c r="Q276" s="5">
        <v>7173.0</v>
      </c>
      <c r="R276" s="5">
        <v>11432.0</v>
      </c>
      <c r="S276" s="5">
        <v>2.0</v>
      </c>
      <c r="T276" s="5">
        <v>1659.932713</v>
      </c>
    </row>
    <row r="277">
      <c r="A277" s="4" t="s">
        <v>1310</v>
      </c>
      <c r="B277" s="4" t="str">
        <f>IFERROR(__xludf.DUMMYFUNCTION("SPLIT(A277:A1003, ""&gt;"")"),"OnAudience ")</f>
        <v>OnAudience </v>
      </c>
      <c r="C277" s="4" t="str">
        <f>IFERROR(__xludf.DUMMYFUNCTION("""COMPUTED_VALUE""")," Interest ")</f>
        <v> Interest </v>
      </c>
      <c r="D277" s="4" t="str">
        <f>IFERROR(__xludf.DUMMYFUNCTION("""COMPUTED_VALUE""")," News ")</f>
        <v> News </v>
      </c>
      <c r="E277" s="4" t="str">
        <f>IFERROR(__xludf.DUMMYFUNCTION("""COMPUTED_VALUE""")," National News")</f>
        <v> National News</v>
      </c>
      <c r="F277" s="4"/>
      <c r="G277" s="4"/>
      <c r="H277" s="4"/>
      <c r="I277" s="5" t="s">
        <v>61</v>
      </c>
      <c r="J277" s="5" t="s">
        <v>31</v>
      </c>
      <c r="K277" s="5" t="s">
        <v>17</v>
      </c>
      <c r="L277" s="6" t="s">
        <v>441</v>
      </c>
      <c r="M277" s="5" t="s">
        <v>19</v>
      </c>
      <c r="N277" s="5" t="s">
        <v>27</v>
      </c>
      <c r="O277" s="5">
        <v>20537.0</v>
      </c>
      <c r="P277" s="5">
        <v>84.0</v>
      </c>
      <c r="Q277" s="5">
        <v>15587.0</v>
      </c>
      <c r="R277" s="5">
        <v>19288.0</v>
      </c>
      <c r="S277" s="5">
        <v>10.0</v>
      </c>
      <c r="T277" s="5">
        <v>1609.880674</v>
      </c>
    </row>
    <row r="278">
      <c r="A278" s="4" t="s">
        <v>1825</v>
      </c>
      <c r="B278" s="4" t="str">
        <f>IFERROR(__xludf.DUMMYFUNCTION("SPLIT(A278:A1004, ""&gt;"")"),"US ")</f>
        <v>US </v>
      </c>
      <c r="C278" s="4" t="str">
        <f>IFERROR(__xludf.DUMMYFUNCTION("""COMPUTED_VALUE""")," Reach ")</f>
        <v> Reach </v>
      </c>
      <c r="D278" s="4" t="str">
        <f>IFERROR(__xludf.DUMMYFUNCTION("""COMPUTED_VALUE""")," Propensity Models ")</f>
        <v> Propensity Models </v>
      </c>
      <c r="E278" s="4" t="str">
        <f>IFERROR(__xludf.DUMMYFUNCTION("""COMPUTED_VALUE""")," Hobbies and Interest ")</f>
        <v> Hobbies and Interest </v>
      </c>
      <c r="F278" s="4" t="str">
        <f>IFERROR(__xludf.DUMMYFUNCTION("""COMPUTED_VALUE""")," Sports ")</f>
        <v> Sports </v>
      </c>
      <c r="G278" s="4" t="str">
        <f>IFERROR(__xludf.DUMMYFUNCTION("""COMPUTED_VALUE""")," Plays Soccer")</f>
        <v> Plays Soccer</v>
      </c>
      <c r="H278" s="4"/>
      <c r="I278" s="5" t="s">
        <v>15</v>
      </c>
      <c r="J278" s="5" t="s">
        <v>31</v>
      </c>
      <c r="K278" s="5" t="s">
        <v>304</v>
      </c>
      <c r="L278" s="6" t="s">
        <v>443</v>
      </c>
      <c r="M278" s="5" t="s">
        <v>19</v>
      </c>
      <c r="N278" s="5" t="s">
        <v>27</v>
      </c>
      <c r="O278" s="5">
        <v>8730.0</v>
      </c>
      <c r="P278" s="5">
        <v>22.0</v>
      </c>
      <c r="Q278" s="5">
        <v>3725.0</v>
      </c>
      <c r="R278" s="5">
        <v>7413.0</v>
      </c>
      <c r="S278" s="5">
        <v>3.0</v>
      </c>
      <c r="T278" s="5">
        <v>3268.007134</v>
      </c>
    </row>
    <row r="279">
      <c r="A279" s="4" t="s">
        <v>444</v>
      </c>
      <c r="B279" s="4" t="str">
        <f>IFERROR(__xludf.DUMMYFUNCTION("SPLIT(A279:A1005, ""&gt;"")"),"Online Behavior")</f>
        <v>Online Behavior</v>
      </c>
      <c r="C279" s="4" t="str">
        <f>IFERROR(__xludf.DUMMYFUNCTION("""COMPUTED_VALUE"""),"United States")</f>
        <v>United States</v>
      </c>
      <c r="D279" s="4" t="str">
        <f>IFERROR(__xludf.DUMMYFUNCTION("""COMPUTED_VALUE"""),"People and Society")</f>
        <v>People and Society</v>
      </c>
      <c r="E279" s="4" t="str">
        <f>IFERROR(__xludf.DUMMYFUNCTION("""COMPUTED_VALUE"""),"Seniors and Retirement")</f>
        <v>Seniors and Retirement</v>
      </c>
      <c r="F279" s="4"/>
      <c r="G279" s="4"/>
      <c r="H279" s="4"/>
      <c r="I279" s="5" t="s">
        <v>22</v>
      </c>
      <c r="J279" s="5" t="s">
        <v>31</v>
      </c>
      <c r="K279" s="5" t="s">
        <v>95</v>
      </c>
      <c r="L279" s="6" t="s">
        <v>445</v>
      </c>
      <c r="M279" s="5" t="s">
        <v>19</v>
      </c>
      <c r="N279" s="5" t="s">
        <v>27</v>
      </c>
      <c r="O279" s="5">
        <v>26820.0</v>
      </c>
      <c r="P279" s="5">
        <v>80.0</v>
      </c>
      <c r="Q279" s="5">
        <v>13553.0</v>
      </c>
      <c r="R279" s="5">
        <v>21192.0</v>
      </c>
      <c r="S279" s="5">
        <v>12.0</v>
      </c>
      <c r="T279" s="5">
        <v>6745.10344</v>
      </c>
    </row>
    <row r="280">
      <c r="A280" s="4" t="s">
        <v>446</v>
      </c>
      <c r="B280" s="4" t="str">
        <f>IFERROR(__xludf.DUMMYFUNCTION("SPLIT(A280:A1006, ""&gt;"")"),"Media Source")</f>
        <v>Media Source</v>
      </c>
      <c r="C280" s="4"/>
      <c r="D280" s="4"/>
      <c r="E280" s="4"/>
      <c r="F280" s="4"/>
      <c r="G280" s="4"/>
      <c r="H280" s="4"/>
      <c r="I280" s="5" t="s">
        <v>15</v>
      </c>
      <c r="J280" s="5" t="s">
        <v>42</v>
      </c>
      <c r="K280" s="5" t="s">
        <v>17</v>
      </c>
      <c r="L280" s="6" t="s">
        <v>447</v>
      </c>
      <c r="M280" s="5" t="s">
        <v>167</v>
      </c>
      <c r="N280" s="5" t="s">
        <v>27</v>
      </c>
      <c r="O280" s="5">
        <v>9149.0</v>
      </c>
      <c r="P280" s="5">
        <v>40.0</v>
      </c>
      <c r="Q280" s="5">
        <v>4568.0</v>
      </c>
      <c r="R280" s="5">
        <v>8648.0</v>
      </c>
      <c r="S280" s="5">
        <v>4.0</v>
      </c>
      <c r="T280" s="5">
        <v>1758.098365</v>
      </c>
    </row>
    <row r="281">
      <c r="A281" s="4" t="s">
        <v>1826</v>
      </c>
      <c r="B281" s="4" t="str">
        <f>IFERROR(__xludf.DUMMYFUNCTION("SPLIT(A281:A1007, ""&gt;"")"),"Mobile - US ")</f>
        <v>Mobile - US </v>
      </c>
      <c r="C281" s="4" t="str">
        <f>IFERROR(__xludf.DUMMYFUNCTION("""COMPUTED_VALUE""")," Sports ")</f>
        <v> Sports </v>
      </c>
      <c r="D281" s="4" t="str">
        <f>IFERROR(__xludf.DUMMYFUNCTION("""COMPUTED_VALUE""")," Water Sports ")</f>
        <v> Water Sports </v>
      </c>
      <c r="E281" s="4" t="str">
        <f>IFERROR(__xludf.DUMMYFUNCTION("""COMPUTED_VALUE""")," Boating")</f>
        <v> Boating</v>
      </c>
      <c r="F281" s="4"/>
      <c r="G281" s="4"/>
      <c r="H281" s="4"/>
      <c r="I281" s="5" t="s">
        <v>22</v>
      </c>
      <c r="J281" s="5" t="s">
        <v>42</v>
      </c>
      <c r="K281" s="5" t="s">
        <v>78</v>
      </c>
      <c r="L281" s="6" t="s">
        <v>449</v>
      </c>
      <c r="M281" s="5" t="s">
        <v>184</v>
      </c>
      <c r="N281" s="5" t="s">
        <v>27</v>
      </c>
      <c r="O281" s="5">
        <v>13655.0</v>
      </c>
      <c r="P281" s="5">
        <v>66.0</v>
      </c>
      <c r="Q281" s="5">
        <v>9519.0</v>
      </c>
      <c r="R281" s="5">
        <v>13041.0</v>
      </c>
      <c r="S281" s="5">
        <v>3.0</v>
      </c>
      <c r="T281" s="5">
        <v>1475.245119</v>
      </c>
    </row>
    <row r="282">
      <c r="A282" s="4" t="s">
        <v>450</v>
      </c>
      <c r="B282" s="4" t="str">
        <f>IFERROR(__xludf.DUMMYFUNCTION("SPLIT(A282:A1008, ""&gt;"")"),"Online Behavior")</f>
        <v>Online Behavior</v>
      </c>
      <c r="C282" s="4" t="str">
        <f>IFERROR(__xludf.DUMMYFUNCTION("""COMPUTED_VALUE"""),"United States")</f>
        <v>United States</v>
      </c>
      <c r="D282" s="4" t="str">
        <f>IFERROR(__xludf.DUMMYFUNCTION("""COMPUTED_VALUE"""),"Autos and Vehicles")</f>
        <v>Autos and Vehicles</v>
      </c>
      <c r="E282" s="4" t="str">
        <f>IFERROR(__xludf.DUMMYFUNCTION("""COMPUTED_VALUE"""),"Hybrid and Alternative Vehicles")</f>
        <v>Hybrid and Alternative Vehicles</v>
      </c>
      <c r="F282" s="4"/>
      <c r="G282" s="4"/>
      <c r="H282" s="4"/>
      <c r="I282" s="5" t="s">
        <v>61</v>
      </c>
      <c r="J282" s="5" t="s">
        <v>31</v>
      </c>
      <c r="K282" s="5" t="s">
        <v>78</v>
      </c>
      <c r="L282" s="6" t="s">
        <v>451</v>
      </c>
      <c r="M282" s="5" t="s">
        <v>19</v>
      </c>
      <c r="N282" s="5" t="s">
        <v>27</v>
      </c>
      <c r="O282" s="5">
        <v>17518.0</v>
      </c>
      <c r="P282" s="5">
        <v>60.0</v>
      </c>
      <c r="Q282" s="5">
        <v>11513.0</v>
      </c>
      <c r="R282" s="5">
        <v>16192.0</v>
      </c>
      <c r="S282" s="5">
        <v>12.0</v>
      </c>
      <c r="T282" s="5">
        <v>6765.0004</v>
      </c>
    </row>
    <row r="283">
      <c r="A283" s="4" t="s">
        <v>1827</v>
      </c>
      <c r="B283" s="4" t="str">
        <f>IFERROR(__xludf.DUMMYFUNCTION("SPLIT(A283:A1009, ""&gt;"")"),"Mobile - US ")</f>
        <v>Mobile - US </v>
      </c>
      <c r="C283" s="4" t="str">
        <f>IFERROR(__xludf.DUMMYFUNCTION("""COMPUTED_VALUE""")," Travel ")</f>
        <v> Travel </v>
      </c>
      <c r="D283" s="4" t="str">
        <f>IFERROR(__xludf.DUMMYFUNCTION("""COMPUTED_VALUE""")," Activity ")</f>
        <v> Activity </v>
      </c>
      <c r="E283" s="4" t="str">
        <f>IFERROR(__xludf.DUMMYFUNCTION("""COMPUTED_VALUE""")," Ski Travelers")</f>
        <v> Ski Travelers</v>
      </c>
      <c r="F283" s="4"/>
      <c r="G283" s="4"/>
      <c r="H283" s="4"/>
      <c r="I283" s="5" t="s">
        <v>22</v>
      </c>
      <c r="J283" s="5" t="s">
        <v>16</v>
      </c>
      <c r="K283" s="5" t="s">
        <v>55</v>
      </c>
      <c r="L283" s="6" t="s">
        <v>451</v>
      </c>
      <c r="M283" s="5" t="s">
        <v>19</v>
      </c>
      <c r="N283" s="5" t="s">
        <v>27</v>
      </c>
      <c r="O283" s="5">
        <v>16580.0</v>
      </c>
      <c r="P283" s="5">
        <v>84.0</v>
      </c>
      <c r="Q283" s="5">
        <v>11928.0</v>
      </c>
      <c r="R283" s="5">
        <v>14527.0</v>
      </c>
      <c r="S283" s="5">
        <v>6.0</v>
      </c>
      <c r="T283" s="5">
        <v>1965.738947</v>
      </c>
    </row>
    <row r="284">
      <c r="A284" s="4" t="s">
        <v>1828</v>
      </c>
      <c r="B284" s="4" t="str">
        <f>IFERROR(__xludf.DUMMYFUNCTION("SPLIT(A284:A1010, ""&gt;"")"),"US ")</f>
        <v>US </v>
      </c>
      <c r="C284" s="4" t="str">
        <f>IFERROR(__xludf.DUMMYFUNCTION("""COMPUTED_VALUE""")," Sociodemographic ")</f>
        <v> Sociodemographic </v>
      </c>
      <c r="D284" s="4" t="str">
        <f>IFERROR(__xludf.DUMMYFUNCTION("""COMPUTED_VALUE""")," P$YCLE Premier Lifestage ")</f>
        <v> P$YCLE Premier Lifestage </v>
      </c>
      <c r="E284" s="4" t="str">
        <f>IFERROR(__xludf.DUMMYFUNCTION("""COMPUTED_VALUE""")," M3 Upscale Empty Nests")</f>
        <v> M3 Upscale Empty Nests</v>
      </c>
      <c r="F284" s="4"/>
      <c r="G284" s="4"/>
      <c r="H284" s="4"/>
      <c r="I284" s="5" t="s">
        <v>22</v>
      </c>
      <c r="J284" s="5" t="s">
        <v>23</v>
      </c>
      <c r="K284" s="5" t="s">
        <v>55</v>
      </c>
      <c r="L284" s="6" t="s">
        <v>454</v>
      </c>
      <c r="M284" s="5" t="s">
        <v>46</v>
      </c>
      <c r="N284" s="5" t="s">
        <v>27</v>
      </c>
      <c r="O284" s="5">
        <v>14379.0</v>
      </c>
      <c r="P284" s="5">
        <v>30.0</v>
      </c>
      <c r="Q284" s="5">
        <v>6272.0</v>
      </c>
      <c r="R284" s="5">
        <v>11886.0</v>
      </c>
      <c r="S284" s="5">
        <v>18.0</v>
      </c>
      <c r="T284" s="5">
        <v>1973.562233</v>
      </c>
    </row>
    <row r="285">
      <c r="A285" s="4" t="s">
        <v>1317</v>
      </c>
      <c r="B285" s="4" t="str">
        <f>IFERROR(__xludf.DUMMYFUNCTION("SPLIT(A285:A1011, ""&gt;"")"),"Online Behavior")</f>
        <v>Online Behavior</v>
      </c>
      <c r="C285" s="4" t="str">
        <f>IFERROR(__xludf.DUMMYFUNCTION("""COMPUTED_VALUE"""),"United States")</f>
        <v>United States</v>
      </c>
      <c r="D285" s="4" t="str">
        <f>IFERROR(__xludf.DUMMYFUNCTION("""COMPUTED_VALUE"""),"Intent ")</f>
        <v>Intent </v>
      </c>
      <c r="E285" s="4" t="str">
        <f>IFERROR(__xludf.DUMMYFUNCTION("""COMPUTED_VALUE""")," Auto Buyers ")</f>
        <v> Auto Buyers </v>
      </c>
      <c r="F285" s="4" t="str">
        <f>IFERROR(__xludf.DUMMYFUNCTION("""COMPUTED_VALUE""")," Car Make")</f>
        <v> Car Make</v>
      </c>
      <c r="G285" s="4" t="str">
        <f>IFERROR(__xludf.DUMMYFUNCTION("""COMPUTED_VALUE"""),"Dodge")</f>
        <v>Dodge</v>
      </c>
      <c r="H285" s="4"/>
      <c r="I285" s="5" t="s">
        <v>22</v>
      </c>
      <c r="J285" s="5" t="s">
        <v>16</v>
      </c>
      <c r="K285" s="5" t="s">
        <v>43</v>
      </c>
      <c r="L285" s="6" t="s">
        <v>456</v>
      </c>
      <c r="M285" s="5" t="s">
        <v>19</v>
      </c>
      <c r="N285" s="5" t="s">
        <v>27</v>
      </c>
      <c r="O285" s="5">
        <v>138904.0</v>
      </c>
      <c r="P285" s="5">
        <v>399.0</v>
      </c>
      <c r="Q285" s="5">
        <v>98952.0</v>
      </c>
      <c r="R285" s="5">
        <v>120688.0</v>
      </c>
      <c r="S285" s="5">
        <v>25.0</v>
      </c>
      <c r="T285" s="5">
        <v>5038.644724</v>
      </c>
    </row>
    <row r="286">
      <c r="A286" s="4" t="s">
        <v>1318</v>
      </c>
      <c r="B286" s="4" t="str">
        <f>IFERROR(__xludf.DUMMYFUNCTION("SPLIT(A286:A1012, ""&gt;"")"),"Online Behavior")</f>
        <v>Online Behavior</v>
      </c>
      <c r="C286" s="4" t="str">
        <f>IFERROR(__xludf.DUMMYFUNCTION("""COMPUTED_VALUE"""),"United States")</f>
        <v>United States</v>
      </c>
      <c r="D286" s="4" t="str">
        <f>IFERROR(__xludf.DUMMYFUNCTION("""COMPUTED_VALUE"""),"Intent ")</f>
        <v>Intent </v>
      </c>
      <c r="E286" s="4" t="str">
        <f>IFERROR(__xludf.DUMMYFUNCTION("""COMPUTED_VALUE""")," Auto Buyers ")</f>
        <v> Auto Buyers </v>
      </c>
      <c r="F286" s="4" t="str">
        <f>IFERROR(__xludf.DUMMYFUNCTION("""COMPUTED_VALUE""")," Type")</f>
        <v> Type</v>
      </c>
      <c r="G286" s="4" t="str">
        <f>IFERROR(__xludf.DUMMYFUNCTION("""COMPUTED_VALUE"""),"SUV")</f>
        <v>SUV</v>
      </c>
      <c r="H286" s="4"/>
      <c r="I286" s="5" t="s">
        <v>15</v>
      </c>
      <c r="J286" s="5" t="s">
        <v>23</v>
      </c>
      <c r="K286" s="5" t="s">
        <v>78</v>
      </c>
      <c r="L286" s="6" t="s">
        <v>458</v>
      </c>
      <c r="M286" s="5" t="s">
        <v>46</v>
      </c>
      <c r="N286" s="5" t="s">
        <v>52</v>
      </c>
      <c r="O286" s="5">
        <v>99205.0</v>
      </c>
      <c r="P286" s="5">
        <v>230.0</v>
      </c>
      <c r="Q286" s="5">
        <v>49240.0</v>
      </c>
      <c r="R286" s="5">
        <v>72687.0</v>
      </c>
      <c r="S286" s="5">
        <v>21.0</v>
      </c>
      <c r="T286" s="5">
        <v>6185.002486</v>
      </c>
    </row>
    <row r="287">
      <c r="A287" s="4" t="s">
        <v>1319</v>
      </c>
      <c r="B287" s="4" t="str">
        <f>IFERROR(__xludf.DUMMYFUNCTION("SPLIT(A287:A1013, ""&gt;"")"),"Online Behavior")</f>
        <v>Online Behavior</v>
      </c>
      <c r="C287" s="4" t="str">
        <f>IFERROR(__xludf.DUMMYFUNCTION("""COMPUTED_VALUE"""),"United States")</f>
        <v>United States</v>
      </c>
      <c r="D287" s="4" t="str">
        <f>IFERROR(__xludf.DUMMYFUNCTION("""COMPUTED_VALUE"""),"Validated Demographic ")</f>
        <v>Validated Demographic </v>
      </c>
      <c r="E287" s="4" t="str">
        <f>IFERROR(__xludf.DUMMYFUNCTION("""COMPUTED_VALUE""")," Age")</f>
        <v> Age</v>
      </c>
      <c r="F287" s="4" t="str">
        <f>IFERROR(__xludf.DUMMYFUNCTION("""COMPUTED_VALUE"""),"35-44")</f>
        <v>35-44</v>
      </c>
      <c r="G287" s="4"/>
      <c r="H287" s="4"/>
      <c r="I287" s="5" t="s">
        <v>15</v>
      </c>
      <c r="J287" s="5" t="s">
        <v>42</v>
      </c>
      <c r="K287" s="5" t="s">
        <v>29</v>
      </c>
      <c r="L287" s="6" t="s">
        <v>460</v>
      </c>
      <c r="M287" s="5" t="s">
        <v>19</v>
      </c>
      <c r="N287" s="5" t="s">
        <v>52</v>
      </c>
      <c r="O287" s="5">
        <v>27473.0</v>
      </c>
      <c r="P287" s="5">
        <v>69.0</v>
      </c>
      <c r="Q287" s="5">
        <v>11306.0</v>
      </c>
      <c r="R287" s="5">
        <v>20625.0</v>
      </c>
      <c r="S287" s="5">
        <v>2.0</v>
      </c>
      <c r="T287" s="5">
        <v>2922.286102</v>
      </c>
    </row>
    <row r="288">
      <c r="A288" s="4" t="s">
        <v>1829</v>
      </c>
      <c r="B288" s="4" t="str">
        <f>IFERROR(__xludf.DUMMYFUNCTION("SPLIT(A288:A1014, ""&gt;"")"),"US Demographic ")</f>
        <v>US Demographic </v>
      </c>
      <c r="C288" s="4" t="str">
        <f>IFERROR(__xludf.DUMMYFUNCTION("""COMPUTED_VALUE""")," Preferred Language ")</f>
        <v> Preferred Language </v>
      </c>
      <c r="D288" s="4" t="str">
        <f>IFERROR(__xludf.DUMMYFUNCTION("""COMPUTED_VALUE""")," Individual ")</f>
        <v> Individual </v>
      </c>
      <c r="E288" s="4" t="str">
        <f>IFERROR(__xludf.DUMMYFUNCTION("""COMPUTED_VALUE""")," Non-Hispanic")</f>
        <v> Non-Hispanic</v>
      </c>
      <c r="F288" s="4"/>
      <c r="G288" s="4"/>
      <c r="H288" s="4"/>
      <c r="I288" s="5" t="s">
        <v>15</v>
      </c>
      <c r="J288" s="5" t="s">
        <v>16</v>
      </c>
      <c r="K288" s="5" t="s">
        <v>78</v>
      </c>
      <c r="L288" s="6" t="s">
        <v>462</v>
      </c>
      <c r="M288" s="5" t="s">
        <v>46</v>
      </c>
      <c r="N288" s="5" t="s">
        <v>27</v>
      </c>
      <c r="O288" s="5">
        <v>7356.0</v>
      </c>
      <c r="P288" s="5">
        <v>10.0</v>
      </c>
      <c r="Q288" s="5">
        <v>1588.0</v>
      </c>
      <c r="R288" s="5">
        <v>7088.0</v>
      </c>
      <c r="S288" s="5">
        <v>1.0</v>
      </c>
      <c r="T288" s="5">
        <v>1730.37357</v>
      </c>
    </row>
    <row r="289">
      <c r="A289" s="4" t="s">
        <v>463</v>
      </c>
      <c r="B289" s="4" t="str">
        <f>IFERROR(__xludf.DUMMYFUNCTION("SPLIT(A289:A1015, ""&gt;"")"),"Online Behavior")</f>
        <v>Online Behavior</v>
      </c>
      <c r="C289" s="4" t="str">
        <f>IFERROR(__xludf.DUMMYFUNCTION("""COMPUTED_VALUE"""),"United States")</f>
        <v>United States</v>
      </c>
      <c r="D289" s="4" t="str">
        <f>IFERROR(__xludf.DUMMYFUNCTION("""COMPUTED_VALUE"""),"Arts and Entertainment")</f>
        <v>Arts and Entertainment</v>
      </c>
      <c r="E289" s="4" t="str">
        <f>IFERROR(__xludf.DUMMYFUNCTION("""COMPUTED_VALUE"""),"Celebrities and Entertainment News")</f>
        <v>Celebrities and Entertainment News</v>
      </c>
      <c r="F289" s="4"/>
      <c r="G289" s="4"/>
      <c r="H289" s="4"/>
      <c r="I289" s="5" t="s">
        <v>22</v>
      </c>
      <c r="J289" s="5" t="s">
        <v>42</v>
      </c>
      <c r="K289" s="5" t="s">
        <v>24</v>
      </c>
      <c r="L289" s="6" t="s">
        <v>464</v>
      </c>
      <c r="M289" s="5" t="s">
        <v>19</v>
      </c>
      <c r="N289" s="5" t="s">
        <v>27</v>
      </c>
      <c r="O289" s="5">
        <v>9261.0</v>
      </c>
      <c r="P289" s="5">
        <v>66.0</v>
      </c>
      <c r="Q289" s="5">
        <v>3852.0</v>
      </c>
      <c r="R289" s="5">
        <v>8526.0</v>
      </c>
      <c r="S289" s="5">
        <v>9.0</v>
      </c>
      <c r="T289" s="5">
        <v>6511.029576</v>
      </c>
    </row>
    <row r="290">
      <c r="A290" s="4" t="s">
        <v>1322</v>
      </c>
      <c r="B290" s="4" t="str">
        <f>IFERROR(__xludf.DUMMYFUNCTION("SPLIT(A290:A1016, ""&gt;"")"),"OnAudience ")</f>
        <v>OnAudience </v>
      </c>
      <c r="C290" s="4" t="str">
        <f>IFERROR(__xludf.DUMMYFUNCTION("""COMPUTED_VALUE""")," Intent ")</f>
        <v> Intent </v>
      </c>
      <c r="D290" s="4" t="str">
        <f>IFERROR(__xludf.DUMMYFUNCTION("""COMPUTED_VALUE""")," Education")</f>
        <v> Education</v>
      </c>
      <c r="E290" s="4"/>
      <c r="F290" s="4"/>
      <c r="G290" s="4"/>
      <c r="H290" s="4"/>
      <c r="I290" s="5" t="s">
        <v>22</v>
      </c>
      <c r="J290" s="5" t="s">
        <v>16</v>
      </c>
      <c r="K290" s="5" t="s">
        <v>131</v>
      </c>
      <c r="L290" s="6" t="s">
        <v>464</v>
      </c>
      <c r="M290" s="5" t="s">
        <v>26</v>
      </c>
      <c r="N290" s="5" t="s">
        <v>27</v>
      </c>
      <c r="O290" s="5">
        <v>19344.0</v>
      </c>
      <c r="P290" s="5">
        <v>68.0</v>
      </c>
      <c r="Q290" s="5">
        <v>2353.0</v>
      </c>
      <c r="R290" s="5">
        <v>18261.0</v>
      </c>
      <c r="S290" s="5">
        <v>10.0</v>
      </c>
      <c r="T290" s="5">
        <v>1500.722291</v>
      </c>
    </row>
    <row r="291">
      <c r="A291" s="4" t="s">
        <v>1323</v>
      </c>
      <c r="B291" s="4" t="str">
        <f>IFERROR(__xludf.DUMMYFUNCTION("SPLIT(A291:A1017, ""&gt;"")"),"Online Behavior")</f>
        <v>Online Behavior</v>
      </c>
      <c r="C291" s="4" t="str">
        <f>IFERROR(__xludf.DUMMYFUNCTION("""COMPUTED_VALUE"""),"United States")</f>
        <v>United States</v>
      </c>
      <c r="D291" s="4" t="str">
        <f>IFERROR(__xludf.DUMMYFUNCTION("""COMPUTED_VALUE"""),"Intent ")</f>
        <v>Intent </v>
      </c>
      <c r="E291" s="4" t="str">
        <f>IFERROR(__xludf.DUMMYFUNCTION("""COMPUTED_VALUE""")," Auto Buyers ")</f>
        <v> Auto Buyers </v>
      </c>
      <c r="F291" s="4" t="str">
        <f>IFERROR(__xludf.DUMMYFUNCTION("""COMPUTED_VALUE""")," Car Make")</f>
        <v> Car Make</v>
      </c>
      <c r="G291" s="4" t="str">
        <f>IFERROR(__xludf.DUMMYFUNCTION("""COMPUTED_VALUE"""),"Mazda")</f>
        <v>Mazda</v>
      </c>
      <c r="H291" s="4"/>
      <c r="I291" s="5" t="s">
        <v>15</v>
      </c>
      <c r="J291" s="5" t="s">
        <v>42</v>
      </c>
      <c r="K291" s="5" t="s">
        <v>55</v>
      </c>
      <c r="L291" s="6" t="s">
        <v>467</v>
      </c>
      <c r="M291" s="5" t="s">
        <v>19</v>
      </c>
      <c r="N291" s="5" t="s">
        <v>27</v>
      </c>
      <c r="O291" s="5">
        <v>11672.0</v>
      </c>
      <c r="P291" s="5">
        <v>84.0</v>
      </c>
      <c r="Q291" s="5">
        <v>7619.0</v>
      </c>
      <c r="R291" s="5">
        <v>9999.0</v>
      </c>
      <c r="S291" s="5">
        <v>7.0</v>
      </c>
      <c r="T291" s="5">
        <v>5284.27704</v>
      </c>
    </row>
    <row r="292">
      <c r="A292" s="4" t="s">
        <v>1324</v>
      </c>
      <c r="B292" s="4" t="str">
        <f>IFERROR(__xludf.DUMMYFUNCTION("SPLIT(A292:A1018, ""&gt;"")"),"Online Behavior")</f>
        <v>Online Behavior</v>
      </c>
      <c r="C292" s="4" t="str">
        <f>IFERROR(__xludf.DUMMYFUNCTION("""COMPUTED_VALUE"""),"United States")</f>
        <v>United States</v>
      </c>
      <c r="D292" s="4" t="str">
        <f>IFERROR(__xludf.DUMMYFUNCTION("""COMPUTED_VALUE"""),"Validated Demographic ")</f>
        <v>Validated Demographic </v>
      </c>
      <c r="E292" s="4" t="str">
        <f>IFERROR(__xludf.DUMMYFUNCTION("""COMPUTED_VALUE""")," Gender and Age Combined")</f>
        <v> Gender and Age Combined</v>
      </c>
      <c r="F292" s="4" t="str">
        <f>IFERROR(__xludf.DUMMYFUNCTION("""COMPUTED_VALUE"""),"Females 25-34")</f>
        <v>Females 25-34</v>
      </c>
      <c r="G292" s="4"/>
      <c r="H292" s="4"/>
      <c r="I292" s="5" t="s">
        <v>15</v>
      </c>
      <c r="J292" s="5" t="s">
        <v>42</v>
      </c>
      <c r="K292" s="5" t="s">
        <v>17</v>
      </c>
      <c r="L292" s="6" t="s">
        <v>469</v>
      </c>
      <c r="M292" s="5" t="s">
        <v>117</v>
      </c>
      <c r="N292" s="5" t="s">
        <v>27</v>
      </c>
      <c r="O292" s="5">
        <v>8273.0</v>
      </c>
      <c r="P292" s="5">
        <v>24.0</v>
      </c>
      <c r="Q292" s="5">
        <v>1929.0</v>
      </c>
      <c r="R292" s="5">
        <v>7441.0</v>
      </c>
      <c r="S292" s="5">
        <v>3.0</v>
      </c>
      <c r="T292" s="5">
        <v>4689.521024</v>
      </c>
    </row>
    <row r="293">
      <c r="A293" s="4" t="s">
        <v>1325</v>
      </c>
      <c r="B293" s="4" t="str">
        <f>IFERROR(__xludf.DUMMYFUNCTION("SPLIT(A293:A1019, ""&gt;"")"),"OnAudience ")</f>
        <v>OnAudience </v>
      </c>
      <c r="C293" s="4" t="str">
        <f>IFERROR(__xludf.DUMMYFUNCTION("""COMPUTED_VALUE""")," Interest ")</f>
        <v> Interest </v>
      </c>
      <c r="D293" s="4" t="str">
        <f>IFERROR(__xludf.DUMMYFUNCTION("""COMPUTED_VALUE""")," Technology &amp; Computing ")</f>
        <v> Technology &amp; Computing </v>
      </c>
      <c r="E293" s="4" t="str">
        <f>IFERROR(__xludf.DUMMYFUNCTION("""COMPUTED_VALUE""")," Internet Technology")</f>
        <v> Internet Technology</v>
      </c>
      <c r="F293" s="4"/>
      <c r="G293" s="4"/>
      <c r="H293" s="4"/>
      <c r="I293" s="5" t="s">
        <v>15</v>
      </c>
      <c r="J293" s="5" t="s">
        <v>16</v>
      </c>
      <c r="K293" s="5" t="s">
        <v>471</v>
      </c>
      <c r="L293" s="6" t="s">
        <v>469</v>
      </c>
      <c r="M293" s="5" t="s">
        <v>48</v>
      </c>
      <c r="N293" s="5" t="s">
        <v>27</v>
      </c>
      <c r="O293" s="5">
        <v>13833.0</v>
      </c>
      <c r="P293" s="5">
        <v>84.0</v>
      </c>
      <c r="Q293" s="5">
        <v>7693.0</v>
      </c>
      <c r="R293" s="5">
        <v>13237.0</v>
      </c>
      <c r="S293" s="5">
        <v>6.0</v>
      </c>
      <c r="T293" s="5">
        <v>1526.787066</v>
      </c>
    </row>
    <row r="294">
      <c r="A294" s="4" t="s">
        <v>1830</v>
      </c>
      <c r="B294" s="4" t="str">
        <f>IFERROR(__xludf.DUMMYFUNCTION("SPLIT(A294:A1020, ""&gt;"")"),"Mobile - US ")</f>
        <v>Mobile - US </v>
      </c>
      <c r="C294" s="4" t="str">
        <f>IFERROR(__xludf.DUMMYFUNCTION("""COMPUTED_VALUE""")," Sports ")</f>
        <v> Sports </v>
      </c>
      <c r="D294" s="4" t="str">
        <f>IFERROR(__xludf.DUMMYFUNCTION("""COMPUTED_VALUE""")," UFC Fans")</f>
        <v> UFC Fans</v>
      </c>
      <c r="E294" s="4"/>
      <c r="F294" s="4"/>
      <c r="G294" s="4"/>
      <c r="H294" s="4"/>
      <c r="I294" s="5" t="s">
        <v>22</v>
      </c>
      <c r="J294" s="5" t="s">
        <v>23</v>
      </c>
      <c r="K294" s="5" t="s">
        <v>356</v>
      </c>
      <c r="L294" s="6" t="s">
        <v>469</v>
      </c>
      <c r="M294" s="5" t="s">
        <v>19</v>
      </c>
      <c r="N294" s="5" t="s">
        <v>27</v>
      </c>
      <c r="O294" s="5">
        <v>22180.0</v>
      </c>
      <c r="P294" s="5">
        <v>60.0</v>
      </c>
      <c r="Q294" s="5">
        <v>4835.0</v>
      </c>
      <c r="R294" s="5">
        <v>19291.0</v>
      </c>
      <c r="S294" s="5">
        <v>9.0</v>
      </c>
      <c r="T294" s="5">
        <v>1441.631095</v>
      </c>
    </row>
    <row r="295">
      <c r="A295" s="4" t="s">
        <v>1327</v>
      </c>
      <c r="B295" s="4" t="str">
        <f>IFERROR(__xludf.DUMMYFUNCTION("SPLIT(A295:A1021, ""&gt;"")"),"Online Behavior")</f>
        <v>Online Behavior</v>
      </c>
      <c r="C295" s="4" t="str">
        <f>IFERROR(__xludf.DUMMYFUNCTION("""COMPUTED_VALUE"""),"United States")</f>
        <v>United States</v>
      </c>
      <c r="D295" s="4" t="str">
        <f>IFERROR(__xludf.DUMMYFUNCTION("""COMPUTED_VALUE"""),"Intent ")</f>
        <v>Intent </v>
      </c>
      <c r="E295" s="4" t="str">
        <f>IFERROR(__xludf.DUMMYFUNCTION("""COMPUTED_VALUE""")," Shopping")</f>
        <v> Shopping</v>
      </c>
      <c r="F295" s="4" t="str">
        <f>IFERROR(__xludf.DUMMYFUNCTION("""COMPUTED_VALUE"""),"Auto Parts Stores")</f>
        <v>Auto Parts Stores</v>
      </c>
      <c r="G295" s="4"/>
      <c r="H295" s="4"/>
      <c r="I295" s="5" t="s">
        <v>22</v>
      </c>
      <c r="J295" s="5" t="s">
        <v>16</v>
      </c>
      <c r="K295" s="5" t="s">
        <v>95</v>
      </c>
      <c r="L295" s="6" t="s">
        <v>474</v>
      </c>
      <c r="M295" s="5" t="s">
        <v>19</v>
      </c>
      <c r="N295" s="5" t="s">
        <v>27</v>
      </c>
      <c r="O295" s="5">
        <v>102905.0</v>
      </c>
      <c r="P295" s="5">
        <v>421.0</v>
      </c>
      <c r="Q295" s="5">
        <v>45324.0</v>
      </c>
      <c r="R295" s="5">
        <v>99065.0</v>
      </c>
      <c r="S295" s="5">
        <v>1.0</v>
      </c>
      <c r="T295" s="5">
        <v>6407.581828</v>
      </c>
    </row>
    <row r="296">
      <c r="A296" s="4" t="s">
        <v>1328</v>
      </c>
      <c r="B296" s="4" t="str">
        <f>IFERROR(__xludf.DUMMYFUNCTION("SPLIT(A296:A1022, ""&gt;"")"),"Online Behavior")</f>
        <v>Online Behavior</v>
      </c>
      <c r="C296" s="4" t="str">
        <f>IFERROR(__xludf.DUMMYFUNCTION("""COMPUTED_VALUE"""),"United States")</f>
        <v>United States</v>
      </c>
      <c r="D296" s="4" t="str">
        <f>IFERROR(__xludf.DUMMYFUNCTION("""COMPUTED_VALUE"""),"Autos and Vehicles ")</f>
        <v>Autos and Vehicles </v>
      </c>
      <c r="E296" s="4" t="str">
        <f>IFERROR(__xludf.DUMMYFUNCTION("""COMPUTED_VALUE""")," Brands")</f>
        <v> Brands</v>
      </c>
      <c r="F296" s="4" t="str">
        <f>IFERROR(__xludf.DUMMYFUNCTION("""COMPUTED_VALUE"""),"Ford")</f>
        <v>Ford</v>
      </c>
      <c r="G296" s="4"/>
      <c r="H296" s="4"/>
      <c r="I296" s="5" t="s">
        <v>61</v>
      </c>
      <c r="J296" s="5" t="s">
        <v>23</v>
      </c>
      <c r="K296" s="5" t="s">
        <v>78</v>
      </c>
      <c r="L296" s="6" t="s">
        <v>474</v>
      </c>
      <c r="M296" s="5" t="s">
        <v>19</v>
      </c>
      <c r="N296" s="5" t="s">
        <v>27</v>
      </c>
      <c r="O296" s="5">
        <v>89744.0</v>
      </c>
      <c r="P296" s="5">
        <v>311.0</v>
      </c>
      <c r="Q296" s="5">
        <v>48786.0</v>
      </c>
      <c r="R296" s="5">
        <v>85900.0</v>
      </c>
      <c r="S296" s="5">
        <v>3.0</v>
      </c>
      <c r="T296" s="5">
        <v>6369.811226</v>
      </c>
    </row>
    <row r="297">
      <c r="A297" s="4" t="s">
        <v>1329</v>
      </c>
      <c r="B297" s="4" t="str">
        <f>IFERROR(__xludf.DUMMYFUNCTION("SPLIT(A297:A1023, ""&gt;"")"),"Lotame ")</f>
        <v>Lotame </v>
      </c>
      <c r="C297" s="4" t="str">
        <f>IFERROR(__xludf.DUMMYFUNCTION("""COMPUTED_VALUE""")," Technology ")</f>
        <v> Technology </v>
      </c>
      <c r="D297" s="4" t="str">
        <f>IFERROR(__xludf.DUMMYFUNCTION("""COMPUTED_VALUE""")," Mobile Phones")</f>
        <v> Mobile Phones</v>
      </c>
      <c r="E297" s="4"/>
      <c r="F297" s="4"/>
      <c r="G297" s="4"/>
      <c r="H297" s="4"/>
      <c r="I297" s="5" t="s">
        <v>15</v>
      </c>
      <c r="J297" s="5" t="s">
        <v>23</v>
      </c>
      <c r="K297" s="5" t="s">
        <v>43</v>
      </c>
      <c r="L297" s="6" t="s">
        <v>474</v>
      </c>
      <c r="M297" s="5" t="s">
        <v>26</v>
      </c>
      <c r="N297" s="5" t="s">
        <v>27</v>
      </c>
      <c r="O297" s="5">
        <v>39705.0</v>
      </c>
      <c r="P297" s="5">
        <v>190.0</v>
      </c>
      <c r="Q297" s="5">
        <v>12950.0</v>
      </c>
      <c r="R297" s="5">
        <v>38030.0</v>
      </c>
      <c r="S297" s="5">
        <v>3.0</v>
      </c>
      <c r="T297" s="5">
        <v>1476.419509</v>
      </c>
    </row>
    <row r="298">
      <c r="A298" s="4" t="s">
        <v>1330</v>
      </c>
      <c r="B298" s="4" t="str">
        <f>IFERROR(__xludf.DUMMYFUNCTION("SPLIT(A298:A1024, ""&gt;"")"),"Online Behavior")</f>
        <v>Online Behavior</v>
      </c>
      <c r="C298" s="4" t="str">
        <f>IFERROR(__xludf.DUMMYFUNCTION("""COMPUTED_VALUE"""),"United States")</f>
        <v>United States</v>
      </c>
      <c r="D298" s="4" t="str">
        <f>IFERROR(__xludf.DUMMYFUNCTION("""COMPUTED_VALUE"""),"Autos and Vehicles ")</f>
        <v>Autos and Vehicles </v>
      </c>
      <c r="E298" s="4" t="str">
        <f>IFERROR(__xludf.DUMMYFUNCTION("""COMPUTED_VALUE""")," Brands")</f>
        <v> Brands</v>
      </c>
      <c r="F298" s="4" t="str">
        <f>IFERROR(__xludf.DUMMYFUNCTION("""COMPUTED_VALUE"""),"Maybach")</f>
        <v>Maybach</v>
      </c>
      <c r="G298" s="4"/>
      <c r="H298" s="4"/>
      <c r="I298" s="5" t="s">
        <v>22</v>
      </c>
      <c r="J298" s="5" t="s">
        <v>23</v>
      </c>
      <c r="K298" s="5" t="s">
        <v>55</v>
      </c>
      <c r="L298" s="6" t="s">
        <v>478</v>
      </c>
      <c r="M298" s="5" t="s">
        <v>36</v>
      </c>
      <c r="N298" s="5" t="s">
        <v>27</v>
      </c>
      <c r="O298" s="5">
        <v>23941.0</v>
      </c>
      <c r="P298" s="5">
        <v>150.0</v>
      </c>
      <c r="Q298" s="5">
        <v>13054.0</v>
      </c>
      <c r="R298" s="5">
        <v>22276.0</v>
      </c>
      <c r="S298" s="5">
        <v>6.0</v>
      </c>
      <c r="T298" s="5">
        <v>2856.165425</v>
      </c>
    </row>
    <row r="299">
      <c r="A299" s="4" t="s">
        <v>479</v>
      </c>
      <c r="B299" s="4" t="str">
        <f>IFERROR(__xludf.DUMMYFUNCTION("SPLIT(A299:A1025, ""&gt;"")"),"Online Behavior")</f>
        <v>Online Behavior</v>
      </c>
      <c r="C299" s="4" t="str">
        <f>IFERROR(__xludf.DUMMYFUNCTION("""COMPUTED_VALUE"""),"United States")</f>
        <v>United States</v>
      </c>
      <c r="D299" s="4" t="str">
        <f>IFERROR(__xludf.DUMMYFUNCTION("""COMPUTED_VALUE"""),"The Changing Consumer")</f>
        <v>The Changing Consumer</v>
      </c>
      <c r="E299" s="4" t="str">
        <f>IFERROR(__xludf.DUMMYFUNCTION("""COMPUTED_VALUE"""),"Online Retailers")</f>
        <v>Online Retailers</v>
      </c>
      <c r="F299" s="4"/>
      <c r="G299" s="4"/>
      <c r="H299" s="4"/>
      <c r="I299" s="5" t="s">
        <v>22</v>
      </c>
      <c r="J299" s="5" t="s">
        <v>16</v>
      </c>
      <c r="K299" s="5" t="s">
        <v>35</v>
      </c>
      <c r="L299" s="6" t="s">
        <v>480</v>
      </c>
      <c r="M299" s="5" t="s">
        <v>19</v>
      </c>
      <c r="N299" s="5" t="s">
        <v>27</v>
      </c>
      <c r="O299" s="5">
        <v>42759.0</v>
      </c>
      <c r="P299" s="5">
        <v>177.0</v>
      </c>
      <c r="Q299" s="5">
        <v>17744.0</v>
      </c>
      <c r="R299" s="5">
        <v>34812.0</v>
      </c>
      <c r="S299" s="5">
        <v>12.0</v>
      </c>
      <c r="T299" s="5">
        <v>6316.488054</v>
      </c>
    </row>
    <row r="300">
      <c r="A300" s="4" t="s">
        <v>1331</v>
      </c>
      <c r="B300" s="4" t="str">
        <f>IFERROR(__xludf.DUMMYFUNCTION("SPLIT(A300:A1026, ""&gt;"")"),"Online Behavior")</f>
        <v>Online Behavior</v>
      </c>
      <c r="C300" s="4" t="str">
        <f>IFERROR(__xludf.DUMMYFUNCTION("""COMPUTED_VALUE"""),"United States")</f>
        <v>United States</v>
      </c>
      <c r="D300" s="4" t="str">
        <f>IFERROR(__xludf.DUMMYFUNCTION("""COMPUTED_VALUE"""),"Finance ")</f>
        <v>Finance </v>
      </c>
      <c r="E300" s="4" t="str">
        <f>IFERROR(__xludf.DUMMYFUNCTION("""COMPUTED_VALUE""")," Financial Planning and Management")</f>
        <v> Financial Planning and Management</v>
      </c>
      <c r="F300" s="4" t="str">
        <f>IFERROR(__xludf.DUMMYFUNCTION("""COMPUTED_VALUE"""),"Inheritance and Estate Planning")</f>
        <v>Inheritance and Estate Planning</v>
      </c>
      <c r="G300" s="4"/>
      <c r="H300" s="4"/>
      <c r="I300" s="5" t="s">
        <v>22</v>
      </c>
      <c r="J300" s="5" t="s">
        <v>23</v>
      </c>
      <c r="K300" s="5" t="s">
        <v>35</v>
      </c>
      <c r="L300" s="6" t="s">
        <v>480</v>
      </c>
      <c r="M300" s="5" t="s">
        <v>117</v>
      </c>
      <c r="N300" s="5" t="s">
        <v>27</v>
      </c>
      <c r="O300" s="5">
        <v>115673.0</v>
      </c>
      <c r="P300" s="5">
        <v>410.0</v>
      </c>
      <c r="Q300" s="5">
        <v>52475.0</v>
      </c>
      <c r="R300" s="5">
        <v>97166.0</v>
      </c>
      <c r="S300" s="5">
        <v>22.0</v>
      </c>
      <c r="T300" s="5">
        <v>5045.93793</v>
      </c>
    </row>
    <row r="301">
      <c r="A301" s="4" t="s">
        <v>1332</v>
      </c>
      <c r="B301" s="4" t="str">
        <f>IFERROR(__xludf.DUMMYFUNCTION("SPLIT(A301:A1027, ""&gt;"")"),"Lotame ")</f>
        <v>Lotame </v>
      </c>
      <c r="C301" s="4" t="str">
        <f>IFERROR(__xludf.DUMMYFUNCTION("""COMPUTED_VALUE""")," Travel ")</f>
        <v> Travel </v>
      </c>
      <c r="D301" s="4" t="str">
        <f>IFERROR(__xludf.DUMMYFUNCTION("""COMPUTED_VALUE""")," Winter Holiday Travel")</f>
        <v> Winter Holiday Travel</v>
      </c>
      <c r="E301" s="4"/>
      <c r="F301" s="4"/>
      <c r="G301" s="4"/>
      <c r="H301" s="4"/>
      <c r="I301" s="5" t="s">
        <v>15</v>
      </c>
      <c r="J301" s="5" t="s">
        <v>31</v>
      </c>
      <c r="K301" s="5" t="s">
        <v>29</v>
      </c>
      <c r="L301" s="6" t="s">
        <v>480</v>
      </c>
      <c r="M301" s="5" t="s">
        <v>36</v>
      </c>
      <c r="N301" s="5" t="s">
        <v>20</v>
      </c>
      <c r="O301" s="5">
        <v>81486.0</v>
      </c>
      <c r="P301" s="5">
        <v>193.0</v>
      </c>
      <c r="Q301" s="5">
        <v>57653.0</v>
      </c>
      <c r="R301" s="5">
        <v>76803.0</v>
      </c>
      <c r="S301" s="5">
        <v>6.0</v>
      </c>
      <c r="T301" s="5">
        <v>1463.842874</v>
      </c>
    </row>
    <row r="302">
      <c r="A302" s="4" t="s">
        <v>1831</v>
      </c>
      <c r="B302" s="4" t="str">
        <f>IFERROR(__xludf.DUMMYFUNCTION("SPLIT(A302:A1028, ""&gt;"")"),"US ")</f>
        <v>US </v>
      </c>
      <c r="C302" s="4" t="str">
        <f>IFERROR(__xludf.DUMMYFUNCTION("""COMPUTED_VALUE""")," Brand Propensities ")</f>
        <v> Brand Propensities </v>
      </c>
      <c r="D302" s="4" t="str">
        <f>IFERROR(__xludf.DUMMYFUNCTION("""COMPUTED_VALUE""")," Home and Household Goods ")</f>
        <v> Home and Household Goods </v>
      </c>
      <c r="E302" s="4" t="str">
        <f>IFERROR(__xludf.DUMMYFUNCTION("""COMPUTED_VALUE""")," Pottery Barn Kids Buyer Propensity")</f>
        <v> Pottery Barn Kids Buyer Propensity</v>
      </c>
      <c r="F302" s="4"/>
      <c r="G302" s="4"/>
      <c r="H302" s="4"/>
      <c r="I302" s="5" t="s">
        <v>15</v>
      </c>
      <c r="J302" s="5" t="s">
        <v>31</v>
      </c>
      <c r="K302" s="5" t="s">
        <v>55</v>
      </c>
      <c r="L302" s="6" t="s">
        <v>484</v>
      </c>
      <c r="M302" s="5" t="s">
        <v>48</v>
      </c>
      <c r="N302" s="5" t="s">
        <v>52</v>
      </c>
      <c r="O302" s="5">
        <v>31813.0</v>
      </c>
      <c r="P302" s="5">
        <v>84.0</v>
      </c>
      <c r="Q302" s="5">
        <v>14149.0</v>
      </c>
      <c r="R302" s="5">
        <v>21281.0</v>
      </c>
      <c r="S302" s="5">
        <v>13.0</v>
      </c>
      <c r="T302" s="5">
        <v>2060.993882</v>
      </c>
    </row>
    <row r="303">
      <c r="A303" s="4" t="s">
        <v>1334</v>
      </c>
      <c r="B303" s="4" t="str">
        <f>IFERROR(__xludf.DUMMYFUNCTION("SPLIT(A303:A1029, ""&gt;"")"),"Online Behavior")</f>
        <v>Online Behavior</v>
      </c>
      <c r="C303" s="4" t="str">
        <f>IFERROR(__xludf.DUMMYFUNCTION("""COMPUTED_VALUE"""),"United States")</f>
        <v>United States</v>
      </c>
      <c r="D303" s="4" t="str">
        <f>IFERROR(__xludf.DUMMYFUNCTION("""COMPUTED_VALUE"""),"Intent ")</f>
        <v>Intent </v>
      </c>
      <c r="E303" s="4" t="str">
        <f>IFERROR(__xludf.DUMMYFUNCTION("""COMPUTED_VALUE""")," Shopping")</f>
        <v> Shopping</v>
      </c>
      <c r="F303" s="4" t="str">
        <f>IFERROR(__xludf.DUMMYFUNCTION("""COMPUTED_VALUE"""),"Drug Stores")</f>
        <v>Drug Stores</v>
      </c>
      <c r="G303" s="4"/>
      <c r="H303" s="4"/>
      <c r="I303" s="5" t="s">
        <v>22</v>
      </c>
      <c r="J303" s="5" t="s">
        <v>31</v>
      </c>
      <c r="K303" s="5" t="s">
        <v>84</v>
      </c>
      <c r="L303" s="6" t="s">
        <v>486</v>
      </c>
      <c r="M303" s="5" t="s">
        <v>19</v>
      </c>
      <c r="N303" s="5" t="s">
        <v>27</v>
      </c>
      <c r="O303" s="5">
        <v>7687.0</v>
      </c>
      <c r="P303" s="5">
        <v>10.0</v>
      </c>
      <c r="Q303" s="5">
        <v>5311.0</v>
      </c>
      <c r="R303" s="5">
        <v>7266.0</v>
      </c>
      <c r="S303" s="5">
        <v>6.0</v>
      </c>
      <c r="T303" s="5">
        <v>6486.853909</v>
      </c>
    </row>
    <row r="304">
      <c r="A304" s="4" t="s">
        <v>1335</v>
      </c>
      <c r="B304" s="4" t="str">
        <f>IFERROR(__xludf.DUMMYFUNCTION("SPLIT(A304:A1030, ""&gt;"")"),"Media and Entertainment ")</f>
        <v>Media and Entertainment </v>
      </c>
      <c r="C304" s="4" t="str">
        <f>IFERROR(__xludf.DUMMYFUNCTION("""COMPUTED_VALUE""")," Sports and Recreational Activities ")</f>
        <v> Sports and Recreational Activities </v>
      </c>
      <c r="D304" s="4" t="str">
        <f>IFERROR(__xludf.DUMMYFUNCTION("""COMPUTED_VALUE""")," Interest (Affinity) ")</f>
        <v> Interest (Affinity) </v>
      </c>
      <c r="E304" s="4" t="str">
        <f>IFERROR(__xludf.DUMMYFUNCTION("""COMPUTED_VALUE""")," Individual Sports ")</f>
        <v> Individual Sports </v>
      </c>
      <c r="F304" s="4" t="str">
        <f>IFERROR(__xludf.DUMMYFUNCTION("""COMPUTED_VALUE""")," Tennis and Racquet Sports")</f>
        <v> Tennis and Racquet Sports</v>
      </c>
      <c r="G304" s="4"/>
      <c r="H304" s="4"/>
      <c r="I304" s="5" t="s">
        <v>15</v>
      </c>
      <c r="J304" s="5" t="s">
        <v>31</v>
      </c>
      <c r="K304" s="5" t="s">
        <v>24</v>
      </c>
      <c r="L304" s="6" t="s">
        <v>486</v>
      </c>
      <c r="M304" s="5" t="s">
        <v>46</v>
      </c>
      <c r="N304" s="5" t="s">
        <v>20</v>
      </c>
      <c r="O304" s="5">
        <v>17228.0</v>
      </c>
      <c r="P304" s="5">
        <v>30.0</v>
      </c>
      <c r="Q304" s="5">
        <v>11116.0</v>
      </c>
      <c r="R304" s="5">
        <v>16044.0</v>
      </c>
      <c r="S304" s="5">
        <v>3.0</v>
      </c>
      <c r="T304" s="5">
        <v>1547.513459</v>
      </c>
    </row>
    <row r="305">
      <c r="A305" s="4" t="s">
        <v>1832</v>
      </c>
      <c r="B305" s="4" t="str">
        <f>IFERROR(__xludf.DUMMYFUNCTION("SPLIT(A305:A1031, ""&gt;"")"),"US ")</f>
        <v>US </v>
      </c>
      <c r="C305" s="4" t="str">
        <f>IFERROR(__xludf.DUMMYFUNCTION("""COMPUTED_VALUE""")," Reach ")</f>
        <v> Reach </v>
      </c>
      <c r="D305" s="4" t="str">
        <f>IFERROR(__xludf.DUMMYFUNCTION("""COMPUTED_VALUE""")," Propensity Models ")</f>
        <v> Propensity Models </v>
      </c>
      <c r="E305" s="4" t="str">
        <f>IFERROR(__xludf.DUMMYFUNCTION("""COMPUTED_VALUE""")," Hobbies and Interest ")</f>
        <v> Hobbies and Interest </v>
      </c>
      <c r="F305" s="4" t="str">
        <f>IFERROR(__xludf.DUMMYFUNCTION("""COMPUTED_VALUE""")," Sports ")</f>
        <v> Sports </v>
      </c>
      <c r="G305" s="4" t="str">
        <f>IFERROR(__xludf.DUMMYFUNCTION("""COMPUTED_VALUE""")," NBA Enthusiast")</f>
        <v> NBA Enthusiast</v>
      </c>
      <c r="H305" s="4"/>
      <c r="I305" s="5" t="s">
        <v>22</v>
      </c>
      <c r="J305" s="5" t="s">
        <v>42</v>
      </c>
      <c r="K305" s="5" t="s">
        <v>78</v>
      </c>
      <c r="L305" s="6" t="s">
        <v>489</v>
      </c>
      <c r="M305" s="5" t="s">
        <v>48</v>
      </c>
      <c r="N305" s="5" t="s">
        <v>27</v>
      </c>
      <c r="O305" s="5">
        <v>21482.0</v>
      </c>
      <c r="P305" s="5">
        <v>67.0</v>
      </c>
      <c r="Q305" s="5">
        <v>10473.0</v>
      </c>
      <c r="R305" s="5">
        <v>19679.0</v>
      </c>
      <c r="S305" s="5">
        <v>3.0</v>
      </c>
      <c r="T305" s="5">
        <v>3563.098841</v>
      </c>
    </row>
    <row r="306">
      <c r="A306" s="4" t="s">
        <v>1833</v>
      </c>
      <c r="B306" s="4" t="str">
        <f>IFERROR(__xludf.DUMMYFUNCTION("SPLIT(A306:A1032, ""&gt;"")"),"Mobile - US ")</f>
        <v>Mobile - US </v>
      </c>
      <c r="C306" s="4" t="str">
        <f>IFERROR(__xludf.DUMMYFUNCTION("""COMPUTED_VALUE""")," Device Ownership ")</f>
        <v> Device Ownership </v>
      </c>
      <c r="D306" s="4" t="str">
        <f>IFERROR(__xludf.DUMMYFUNCTION("""COMPUTED_VALUE""")," Smartphones ")</f>
        <v> Smartphones </v>
      </c>
      <c r="E306" s="4" t="str">
        <f>IFERROR(__xludf.DUMMYFUNCTION("""COMPUTED_VALUE""")," Vivo")</f>
        <v> Vivo</v>
      </c>
      <c r="F306" s="4"/>
      <c r="G306" s="4"/>
      <c r="H306" s="4"/>
      <c r="I306" s="5" t="s">
        <v>61</v>
      </c>
      <c r="J306" s="5" t="s">
        <v>16</v>
      </c>
      <c r="K306" s="5" t="s">
        <v>17</v>
      </c>
      <c r="L306" s="6" t="s">
        <v>489</v>
      </c>
      <c r="M306" s="5" t="s">
        <v>19</v>
      </c>
      <c r="N306" s="5" t="s">
        <v>27</v>
      </c>
      <c r="O306" s="5">
        <v>9178.0</v>
      </c>
      <c r="P306" s="5">
        <v>25.0</v>
      </c>
      <c r="Q306" s="5">
        <v>4644.0</v>
      </c>
      <c r="R306" s="5">
        <v>8462.0</v>
      </c>
      <c r="S306" s="5">
        <v>2.0</v>
      </c>
      <c r="T306" s="5">
        <v>1503.205183</v>
      </c>
    </row>
    <row r="307">
      <c r="A307" s="4" t="s">
        <v>1338</v>
      </c>
      <c r="B307" s="4" t="str">
        <f>IFERROR(__xludf.DUMMYFUNCTION("SPLIT(A307:A1033, ""&gt;"")"),"Lotame ")</f>
        <v>Lotame </v>
      </c>
      <c r="C307" s="4" t="str">
        <f>IFERROR(__xludf.DUMMYFUNCTION("""COMPUTED_VALUE""")," Style, Fashion &amp; Clothing ")</f>
        <v> Style, Fashion &amp; Clothing </v>
      </c>
      <c r="D307" s="4" t="str">
        <f>IFERROR(__xludf.DUMMYFUNCTION("""COMPUTED_VALUE""")," Women's Clothing Shoppers")</f>
        <v> Women's Clothing Shoppers</v>
      </c>
      <c r="E307" s="4"/>
      <c r="F307" s="4"/>
      <c r="G307" s="4"/>
      <c r="H307" s="4"/>
      <c r="I307" s="5" t="s">
        <v>22</v>
      </c>
      <c r="J307" s="5" t="s">
        <v>16</v>
      </c>
      <c r="K307" s="5" t="s">
        <v>24</v>
      </c>
      <c r="L307" s="6" t="s">
        <v>489</v>
      </c>
      <c r="M307" s="5" t="s">
        <v>36</v>
      </c>
      <c r="N307" s="5" t="s">
        <v>27</v>
      </c>
      <c r="O307" s="5">
        <v>9040.0</v>
      </c>
      <c r="P307" s="5">
        <v>21.0</v>
      </c>
      <c r="Q307" s="5">
        <v>3585.0</v>
      </c>
      <c r="R307" s="5">
        <v>8450.0</v>
      </c>
      <c r="S307" s="5">
        <v>3.0</v>
      </c>
      <c r="T307" s="5">
        <v>1473.192464</v>
      </c>
    </row>
    <row r="308">
      <c r="A308" s="4" t="s">
        <v>1339</v>
      </c>
      <c r="B308" s="4" t="str">
        <f>IFERROR(__xludf.DUMMYFUNCTION("SPLIT(A308:A1034, ""&gt;"")"),"Online Behavior")</f>
        <v>Online Behavior</v>
      </c>
      <c r="C308" s="4" t="str">
        <f>IFERROR(__xludf.DUMMYFUNCTION("""COMPUTED_VALUE"""),"United States")</f>
        <v>United States</v>
      </c>
      <c r="D308" s="4" t="str">
        <f>IFERROR(__xludf.DUMMYFUNCTION("""COMPUTED_VALUE"""),"Intent ")</f>
        <v>Intent </v>
      </c>
      <c r="E308" s="4" t="str">
        <f>IFERROR(__xludf.DUMMYFUNCTION("""COMPUTED_VALUE""")," Shopping")</f>
        <v> Shopping</v>
      </c>
      <c r="F308" s="4" t="str">
        <f>IFERROR(__xludf.DUMMYFUNCTION("""COMPUTED_VALUE"""),"Office Supplies")</f>
        <v>Office Supplies</v>
      </c>
      <c r="G308" s="4"/>
      <c r="H308" s="4"/>
      <c r="I308" s="5" t="s">
        <v>22</v>
      </c>
      <c r="J308" s="5" t="s">
        <v>16</v>
      </c>
      <c r="K308" s="5" t="s">
        <v>78</v>
      </c>
      <c r="L308" s="6" t="s">
        <v>493</v>
      </c>
      <c r="M308" s="5" t="s">
        <v>36</v>
      </c>
      <c r="N308" s="5" t="s">
        <v>27</v>
      </c>
      <c r="O308" s="5">
        <v>96728.0</v>
      </c>
      <c r="P308" s="5">
        <v>341.0</v>
      </c>
      <c r="Q308" s="5">
        <v>69700.0</v>
      </c>
      <c r="R308" s="5">
        <v>91910.0</v>
      </c>
      <c r="S308" s="5">
        <v>15.0</v>
      </c>
      <c r="T308" s="5">
        <v>6587.243331</v>
      </c>
    </row>
    <row r="309">
      <c r="A309" s="4" t="s">
        <v>1340</v>
      </c>
      <c r="B309" s="4" t="str">
        <f>IFERROR(__xludf.DUMMYFUNCTION("SPLIT(A309:A1035, ""&gt;"")"),"Online Behavior")</f>
        <v>Online Behavior</v>
      </c>
      <c r="C309" s="4" t="str">
        <f>IFERROR(__xludf.DUMMYFUNCTION("""COMPUTED_VALUE"""),"United States")</f>
        <v>United States</v>
      </c>
      <c r="D309" s="4" t="str">
        <f>IFERROR(__xludf.DUMMYFUNCTION("""COMPUTED_VALUE"""),"Validated Demographic ")</f>
        <v>Validated Demographic </v>
      </c>
      <c r="E309" s="4" t="str">
        <f>IFERROR(__xludf.DUMMYFUNCTION("""COMPUTED_VALUE""")," Gender")</f>
        <v> Gender</v>
      </c>
      <c r="F309" s="4" t="str">
        <f>IFERROR(__xludf.DUMMYFUNCTION("""COMPUTED_VALUE"""),"Male")</f>
        <v>Male</v>
      </c>
      <c r="G309" s="4"/>
      <c r="H309" s="4"/>
      <c r="I309" s="5" t="s">
        <v>22</v>
      </c>
      <c r="J309" s="5" t="s">
        <v>23</v>
      </c>
      <c r="K309" s="5" t="s">
        <v>29</v>
      </c>
      <c r="L309" s="6" t="s">
        <v>493</v>
      </c>
      <c r="M309" s="5" t="s">
        <v>19</v>
      </c>
      <c r="N309" s="5" t="s">
        <v>27</v>
      </c>
      <c r="O309" s="5">
        <v>48947.0</v>
      </c>
      <c r="P309" s="5">
        <v>230.0</v>
      </c>
      <c r="Q309" s="5">
        <v>32089.0</v>
      </c>
      <c r="R309" s="5">
        <v>45597.0</v>
      </c>
      <c r="S309" s="5">
        <v>21.0</v>
      </c>
      <c r="T309" s="5">
        <v>5702.290265</v>
      </c>
    </row>
    <row r="310">
      <c r="A310" s="4" t="s">
        <v>495</v>
      </c>
      <c r="B310" s="4" t="str">
        <f>IFERROR(__xludf.DUMMYFUNCTION("SPLIT(A310:A1036, ""&gt;"")"),"Online Behavior")</f>
        <v>Online Behavior</v>
      </c>
      <c r="C310" s="4" t="str">
        <f>IFERROR(__xludf.DUMMYFUNCTION("""COMPUTED_VALUE"""),"United States")</f>
        <v>United States</v>
      </c>
      <c r="D310" s="4" t="str">
        <f>IFERROR(__xludf.DUMMYFUNCTION("""COMPUTED_VALUE"""),"The Changing Consumer")</f>
        <v>The Changing Consumer</v>
      </c>
      <c r="E310" s="4" t="str">
        <f>IFERROR(__xludf.DUMMYFUNCTION("""COMPUTED_VALUE"""),"Home Cooking")</f>
        <v>Home Cooking</v>
      </c>
      <c r="F310" s="4"/>
      <c r="G310" s="4"/>
      <c r="H310" s="4"/>
      <c r="I310" s="5" t="s">
        <v>61</v>
      </c>
      <c r="J310" s="5" t="s">
        <v>42</v>
      </c>
      <c r="K310" s="5" t="s">
        <v>78</v>
      </c>
      <c r="L310" s="6" t="s">
        <v>493</v>
      </c>
      <c r="M310" s="5" t="s">
        <v>19</v>
      </c>
      <c r="N310" s="5" t="s">
        <v>27</v>
      </c>
      <c r="O310" s="5">
        <v>58938.0</v>
      </c>
      <c r="P310" s="5">
        <v>175.0</v>
      </c>
      <c r="Q310" s="5">
        <v>41861.0</v>
      </c>
      <c r="R310" s="5">
        <v>55929.0</v>
      </c>
      <c r="S310" s="5">
        <v>9.0</v>
      </c>
      <c r="T310" s="5">
        <v>4881.198269</v>
      </c>
    </row>
    <row r="311">
      <c r="A311" s="4" t="s">
        <v>1341</v>
      </c>
      <c r="B311" s="4" t="str">
        <f>IFERROR(__xludf.DUMMYFUNCTION("SPLIT(A311:A1037, ""&gt;"")"),"Online Behavior")</f>
        <v>Online Behavior</v>
      </c>
      <c r="C311" s="4" t="str">
        <f>IFERROR(__xludf.DUMMYFUNCTION("""COMPUTED_VALUE"""),"United States")</f>
        <v>United States</v>
      </c>
      <c r="D311" s="4" t="str">
        <f>IFERROR(__xludf.DUMMYFUNCTION("""COMPUTED_VALUE"""),"B2B ")</f>
        <v>B2B </v>
      </c>
      <c r="E311" s="4" t="str">
        <f>IFERROR(__xludf.DUMMYFUNCTION("""COMPUTED_VALUE""")," Occupation")</f>
        <v> Occupation</v>
      </c>
      <c r="F311" s="4" t="str">
        <f>IFERROR(__xludf.DUMMYFUNCTION("""COMPUTED_VALUE"""),"Teacher")</f>
        <v>Teacher</v>
      </c>
      <c r="G311" s="4"/>
      <c r="H311" s="4"/>
      <c r="I311" s="5" t="s">
        <v>15</v>
      </c>
      <c r="J311" s="5" t="s">
        <v>23</v>
      </c>
      <c r="K311" s="5" t="s">
        <v>35</v>
      </c>
      <c r="L311" s="6" t="s">
        <v>493</v>
      </c>
      <c r="M311" s="5" t="s">
        <v>48</v>
      </c>
      <c r="N311" s="5" t="s">
        <v>27</v>
      </c>
      <c r="O311" s="5">
        <v>49014.0</v>
      </c>
      <c r="P311" s="5">
        <v>100.0</v>
      </c>
      <c r="Q311" s="5">
        <v>30349.0</v>
      </c>
      <c r="R311" s="5">
        <v>46446.0</v>
      </c>
      <c r="S311" s="5">
        <v>6.0</v>
      </c>
      <c r="T311" s="5">
        <v>3628.34617</v>
      </c>
    </row>
    <row r="312">
      <c r="A312" s="4" t="s">
        <v>1342</v>
      </c>
      <c r="B312" s="4" t="str">
        <f>IFERROR(__xludf.DUMMYFUNCTION("SPLIT(A312:A1038, ""&gt;"")"),"Online Behavior")</f>
        <v>Online Behavior</v>
      </c>
      <c r="C312" s="4" t="str">
        <f>IFERROR(__xludf.DUMMYFUNCTION("""COMPUTED_VALUE"""),"United States")</f>
        <v>United States</v>
      </c>
      <c r="D312" s="4" t="str">
        <f>IFERROR(__xludf.DUMMYFUNCTION("""COMPUTED_VALUE"""),"Finance ")</f>
        <v>Finance </v>
      </c>
      <c r="E312" s="4" t="str">
        <f>IFERROR(__xludf.DUMMYFUNCTION("""COMPUTED_VALUE""")," Accounting and Auditing")</f>
        <v> Accounting and Auditing</v>
      </c>
      <c r="F312" s="4" t="str">
        <f>IFERROR(__xludf.DUMMYFUNCTION("""COMPUTED_VALUE"""),"Bookkeeping")</f>
        <v>Bookkeeping</v>
      </c>
      <c r="G312" s="4"/>
      <c r="H312" s="4"/>
      <c r="I312" s="5" t="s">
        <v>22</v>
      </c>
      <c r="J312" s="5" t="s">
        <v>42</v>
      </c>
      <c r="K312" s="5" t="s">
        <v>433</v>
      </c>
      <c r="L312" s="6" t="s">
        <v>493</v>
      </c>
      <c r="M312" s="5" t="s">
        <v>46</v>
      </c>
      <c r="N312" s="5" t="s">
        <v>27</v>
      </c>
      <c r="O312" s="5">
        <v>69523.0</v>
      </c>
      <c r="P312" s="5">
        <v>174.0</v>
      </c>
      <c r="Q312" s="5">
        <v>48273.0</v>
      </c>
      <c r="R312" s="5">
        <v>65800.0</v>
      </c>
      <c r="S312" s="5">
        <v>9.0</v>
      </c>
      <c r="T312" s="5">
        <v>2649.997803</v>
      </c>
    </row>
    <row r="313">
      <c r="A313" s="4" t="s">
        <v>1343</v>
      </c>
      <c r="B313" s="4" t="str">
        <f>IFERROR(__xludf.DUMMYFUNCTION("SPLIT(A313:A1039, ""&gt;"")"),"OnAudience ")</f>
        <v>OnAudience </v>
      </c>
      <c r="C313" s="4" t="str">
        <f>IFERROR(__xludf.DUMMYFUNCTION("""COMPUTED_VALUE""")," Interest ")</f>
        <v> Interest </v>
      </c>
      <c r="D313" s="4" t="str">
        <f>IFERROR(__xludf.DUMMYFUNCTION("""COMPUTED_VALUE""")," Arts &amp; Entertainment ")</f>
        <v> Arts &amp; Entertainment </v>
      </c>
      <c r="E313" s="4" t="str">
        <f>IFERROR(__xludf.DUMMYFUNCTION("""COMPUTED_VALUE""")," Fine Art")</f>
        <v> Fine Art</v>
      </c>
      <c r="F313" s="4"/>
      <c r="G313" s="4"/>
      <c r="H313" s="4"/>
      <c r="I313" s="5" t="s">
        <v>61</v>
      </c>
      <c r="J313" s="5" t="s">
        <v>31</v>
      </c>
      <c r="K313" s="5" t="s">
        <v>95</v>
      </c>
      <c r="L313" s="6" t="s">
        <v>493</v>
      </c>
      <c r="M313" s="5" t="s">
        <v>46</v>
      </c>
      <c r="N313" s="5" t="s">
        <v>27</v>
      </c>
      <c r="O313" s="5">
        <v>37717.0</v>
      </c>
      <c r="P313" s="5">
        <v>69.0</v>
      </c>
      <c r="Q313" s="5">
        <v>26541.0</v>
      </c>
      <c r="R313" s="5">
        <v>35126.0</v>
      </c>
      <c r="S313" s="5">
        <v>5.0</v>
      </c>
      <c r="T313" s="5">
        <v>1725.271363</v>
      </c>
    </row>
    <row r="314">
      <c r="A314" s="4" t="s">
        <v>1344</v>
      </c>
      <c r="B314" s="4" t="str">
        <f>IFERROR(__xludf.DUMMYFUNCTION("SPLIT(A314:A1040, ""&gt;"")"),"Lotame ")</f>
        <v>Lotame </v>
      </c>
      <c r="C314" s="4" t="str">
        <f>IFERROR(__xludf.DUMMYFUNCTION("""COMPUTED_VALUE""")," Technology ")</f>
        <v> Technology </v>
      </c>
      <c r="D314" s="4" t="str">
        <f>IFERROR(__xludf.DUMMYFUNCTION("""COMPUTED_VALUE""")," Electronics &amp; Gadgets")</f>
        <v> Electronics &amp; Gadgets</v>
      </c>
      <c r="E314" s="4"/>
      <c r="F314" s="4"/>
      <c r="G314" s="4"/>
      <c r="H314" s="4"/>
      <c r="I314" s="5" t="s">
        <v>15</v>
      </c>
      <c r="J314" s="5" t="s">
        <v>42</v>
      </c>
      <c r="K314" s="5" t="s">
        <v>131</v>
      </c>
      <c r="L314" s="6" t="s">
        <v>493</v>
      </c>
      <c r="M314" s="5" t="s">
        <v>19</v>
      </c>
      <c r="N314" s="5" t="s">
        <v>20</v>
      </c>
      <c r="O314" s="5">
        <v>16236.0</v>
      </c>
      <c r="P314" s="5">
        <v>50.0</v>
      </c>
      <c r="Q314" s="5">
        <v>8669.0</v>
      </c>
      <c r="R314" s="5">
        <v>15208.0</v>
      </c>
      <c r="S314" s="5">
        <v>11.0</v>
      </c>
      <c r="T314" s="5">
        <v>1639.813696</v>
      </c>
    </row>
    <row r="315">
      <c r="A315" s="4" t="s">
        <v>1345</v>
      </c>
      <c r="B315" s="4" t="str">
        <f>IFERROR(__xludf.DUMMYFUNCTION("SPLIT(A315:A1041, ""&gt;"")"),"OnAudience ")</f>
        <v>OnAudience </v>
      </c>
      <c r="C315" s="4" t="str">
        <f>IFERROR(__xludf.DUMMYFUNCTION("""COMPUTED_VALUE""")," Intent ")</f>
        <v> Intent </v>
      </c>
      <c r="D315" s="4" t="str">
        <f>IFERROR(__xludf.DUMMYFUNCTION("""COMPUTED_VALUE""")," Toys &amp; Games")</f>
        <v> Toys &amp; Games</v>
      </c>
      <c r="E315" s="4"/>
      <c r="F315" s="4"/>
      <c r="G315" s="4"/>
      <c r="H315" s="4"/>
      <c r="I315" s="5" t="s">
        <v>22</v>
      </c>
      <c r="J315" s="5" t="s">
        <v>16</v>
      </c>
      <c r="K315" s="5" t="s">
        <v>35</v>
      </c>
      <c r="L315" s="6" t="s">
        <v>493</v>
      </c>
      <c r="M315" s="5" t="s">
        <v>19</v>
      </c>
      <c r="N315" s="5" t="s">
        <v>27</v>
      </c>
      <c r="O315" s="5">
        <v>9222.0</v>
      </c>
      <c r="P315" s="5">
        <v>33.0</v>
      </c>
      <c r="Q315" s="5">
        <v>5352.0</v>
      </c>
      <c r="R315" s="5">
        <v>8141.0</v>
      </c>
      <c r="S315" s="5">
        <v>2.0</v>
      </c>
      <c r="T315" s="5">
        <v>1583.164302</v>
      </c>
    </row>
    <row r="316">
      <c r="A316" s="4" t="s">
        <v>1346</v>
      </c>
      <c r="B316" s="4" t="str">
        <f>IFERROR(__xludf.DUMMYFUNCTION("SPLIT(A316:A1042, ""&gt;"")"),"Online Behavior")</f>
        <v>Online Behavior</v>
      </c>
      <c r="C316" s="4" t="str">
        <f>IFERROR(__xludf.DUMMYFUNCTION("""COMPUTED_VALUE"""),"United States")</f>
        <v>United States</v>
      </c>
      <c r="D316" s="4" t="str">
        <f>IFERROR(__xludf.DUMMYFUNCTION("""COMPUTED_VALUE"""),"Validated Demographic ")</f>
        <v>Validated Demographic </v>
      </c>
      <c r="E316" s="4" t="str">
        <f>IFERROR(__xludf.DUMMYFUNCTION("""COMPUTED_VALUE""")," Age")</f>
        <v> Age</v>
      </c>
      <c r="F316" s="4" t="str">
        <f>IFERROR(__xludf.DUMMYFUNCTION("""COMPUTED_VALUE"""),"25 or older")</f>
        <v>25 or older</v>
      </c>
      <c r="G316" s="4"/>
      <c r="H316" s="4"/>
      <c r="I316" s="5" t="s">
        <v>22</v>
      </c>
      <c r="J316" s="5" t="s">
        <v>42</v>
      </c>
      <c r="K316" s="5" t="s">
        <v>240</v>
      </c>
      <c r="L316" s="6" t="s">
        <v>502</v>
      </c>
      <c r="M316" s="5" t="s">
        <v>48</v>
      </c>
      <c r="N316" s="5" t="s">
        <v>27</v>
      </c>
      <c r="O316" s="5">
        <v>8233.0</v>
      </c>
      <c r="P316" s="5">
        <v>65.0</v>
      </c>
      <c r="Q316" s="5">
        <v>5361.0</v>
      </c>
      <c r="R316" s="5">
        <v>7643.0</v>
      </c>
      <c r="S316" s="5">
        <v>4.0</v>
      </c>
      <c r="T316" s="5">
        <v>6381.006576</v>
      </c>
    </row>
    <row r="317">
      <c r="A317" s="4" t="s">
        <v>1347</v>
      </c>
      <c r="B317" s="4" t="str">
        <f>IFERROR(__xludf.DUMMYFUNCTION("SPLIT(A317:A1043, ""&gt;"")"),"Lotame ")</f>
        <v>Lotame </v>
      </c>
      <c r="C317" s="4" t="str">
        <f>IFERROR(__xludf.DUMMYFUNCTION("""COMPUTED_VALUE""")," Style, Fashion &amp; Clothing ")</f>
        <v> Style, Fashion &amp; Clothing </v>
      </c>
      <c r="D317" s="4" t="str">
        <f>IFERROR(__xludf.DUMMYFUNCTION("""COMPUTED_VALUE""")," Children's Clothing Shoppers")</f>
        <v> Children's Clothing Shoppers</v>
      </c>
      <c r="E317" s="4"/>
      <c r="F317" s="4"/>
      <c r="G317" s="4"/>
      <c r="H317" s="4"/>
      <c r="I317" s="5" t="s">
        <v>22</v>
      </c>
      <c r="J317" s="5" t="s">
        <v>23</v>
      </c>
      <c r="K317" s="5" t="s">
        <v>173</v>
      </c>
      <c r="L317" s="6" t="s">
        <v>504</v>
      </c>
      <c r="M317" s="5" t="s">
        <v>167</v>
      </c>
      <c r="N317" s="5" t="s">
        <v>27</v>
      </c>
      <c r="O317" s="5">
        <v>9014.0</v>
      </c>
      <c r="P317" s="5">
        <v>26.0</v>
      </c>
      <c r="Q317" s="5">
        <v>5054.0</v>
      </c>
      <c r="R317" s="5">
        <v>7227.0</v>
      </c>
      <c r="S317" s="5">
        <v>4.0</v>
      </c>
      <c r="T317" s="5">
        <v>1539.60069</v>
      </c>
    </row>
    <row r="318">
      <c r="A318" s="4" t="s">
        <v>1348</v>
      </c>
      <c r="B318" s="4" t="str">
        <f>IFERROR(__xludf.DUMMYFUNCTION("SPLIT(A318:A1044, ""&gt;"")"),"Online Behavior")</f>
        <v>Online Behavior</v>
      </c>
      <c r="C318" s="4" t="str">
        <f>IFERROR(__xludf.DUMMYFUNCTION("""COMPUTED_VALUE"""),"United States")</f>
        <v>United States</v>
      </c>
      <c r="D318" s="4" t="str">
        <f>IFERROR(__xludf.DUMMYFUNCTION("""COMPUTED_VALUE"""),"Validated Demographic ")</f>
        <v>Validated Demographic </v>
      </c>
      <c r="E318" s="4" t="str">
        <f>IFERROR(__xludf.DUMMYFUNCTION("""COMPUTED_VALUE""")," Gender and Age Combined")</f>
        <v> Gender and Age Combined</v>
      </c>
      <c r="F318" s="4" t="str">
        <f>IFERROR(__xludf.DUMMYFUNCTION("""COMPUTED_VALUE"""),"Males 18-64")</f>
        <v>Males 18-64</v>
      </c>
      <c r="G318" s="4"/>
      <c r="H318" s="4"/>
      <c r="I318" s="5" t="s">
        <v>15</v>
      </c>
      <c r="J318" s="5" t="s">
        <v>23</v>
      </c>
      <c r="K318" s="5" t="s">
        <v>84</v>
      </c>
      <c r="L318" s="6" t="s">
        <v>506</v>
      </c>
      <c r="M318" s="5" t="s">
        <v>46</v>
      </c>
      <c r="N318" s="5" t="s">
        <v>27</v>
      </c>
      <c r="O318" s="5">
        <v>9702.0</v>
      </c>
      <c r="P318" s="5">
        <v>40.0</v>
      </c>
      <c r="Q318" s="5">
        <v>5564.0</v>
      </c>
      <c r="R318" s="5">
        <v>8210.0</v>
      </c>
      <c r="S318" s="5">
        <v>1.0</v>
      </c>
      <c r="T318" s="5">
        <v>5711.39201</v>
      </c>
    </row>
    <row r="319">
      <c r="A319" s="4" t="s">
        <v>1349</v>
      </c>
      <c r="B319" s="4" t="str">
        <f>IFERROR(__xludf.DUMMYFUNCTION("SPLIT(A319:A1045, ""&gt;"")"),"Online Behavior")</f>
        <v>Online Behavior</v>
      </c>
      <c r="C319" s="4" t="str">
        <f>IFERROR(__xludf.DUMMYFUNCTION("""COMPUTED_VALUE"""),"United States")</f>
        <v>United States</v>
      </c>
      <c r="D319" s="4" t="str">
        <f>IFERROR(__xludf.DUMMYFUNCTION("""COMPUTED_VALUE"""),"Food and Drink")</f>
        <v>Food and Drink</v>
      </c>
      <c r="E319" s="4" t="str">
        <f>IFERROR(__xludf.DUMMYFUNCTION("""COMPUTED_VALUE"""),"Beverages ")</f>
        <v>Beverages </v>
      </c>
      <c r="F319" s="4" t="str">
        <f>IFERROR(__xludf.DUMMYFUNCTION("""COMPUTED_VALUE""")," Soft Drinks")</f>
        <v> Soft Drinks</v>
      </c>
      <c r="G319" s="4"/>
      <c r="H319" s="4"/>
      <c r="I319" s="5" t="s">
        <v>15</v>
      </c>
      <c r="J319" s="5" t="s">
        <v>23</v>
      </c>
      <c r="K319" s="5" t="s">
        <v>173</v>
      </c>
      <c r="L319" s="6" t="s">
        <v>508</v>
      </c>
      <c r="M319" s="5" t="s">
        <v>36</v>
      </c>
      <c r="N319" s="5" t="s">
        <v>27</v>
      </c>
      <c r="O319" s="5">
        <v>150457.0</v>
      </c>
      <c r="P319" s="5">
        <v>420.0</v>
      </c>
      <c r="Q319" s="5">
        <v>58372.0</v>
      </c>
      <c r="R319" s="5">
        <v>135099.0</v>
      </c>
      <c r="S319" s="5">
        <v>14.0</v>
      </c>
      <c r="T319" s="5">
        <v>5906.830006</v>
      </c>
    </row>
    <row r="320">
      <c r="A320" s="4" t="s">
        <v>1350</v>
      </c>
      <c r="B320" s="4" t="str">
        <f>IFERROR(__xludf.DUMMYFUNCTION("SPLIT(A320:A1046, ""&gt;"")"),"Online Behavior")</f>
        <v>Online Behavior</v>
      </c>
      <c r="C320" s="4" t="str">
        <f>IFERROR(__xludf.DUMMYFUNCTION("""COMPUTED_VALUE"""),"United States")</f>
        <v>United States</v>
      </c>
      <c r="D320" s="4" t="str">
        <f>IFERROR(__xludf.DUMMYFUNCTION("""COMPUTED_VALUE"""),"Validated Demographic ")</f>
        <v>Validated Demographic </v>
      </c>
      <c r="E320" s="4" t="str">
        <f>IFERROR(__xludf.DUMMYFUNCTION("""COMPUTED_VALUE""")," Age")</f>
        <v> Age</v>
      </c>
      <c r="F320" s="4" t="str">
        <f>IFERROR(__xludf.DUMMYFUNCTION("""COMPUTED_VALUE"""),"25-34")</f>
        <v>25-34</v>
      </c>
      <c r="G320" s="4"/>
      <c r="H320" s="4"/>
      <c r="I320" s="5" t="s">
        <v>22</v>
      </c>
      <c r="J320" s="5" t="s">
        <v>42</v>
      </c>
      <c r="K320" s="5" t="s">
        <v>471</v>
      </c>
      <c r="L320" s="6" t="s">
        <v>508</v>
      </c>
      <c r="M320" s="5" t="s">
        <v>48</v>
      </c>
      <c r="N320" s="5" t="s">
        <v>27</v>
      </c>
      <c r="O320" s="5">
        <v>190592.0</v>
      </c>
      <c r="P320" s="5">
        <v>601.0</v>
      </c>
      <c r="Q320" s="5">
        <v>28906.0</v>
      </c>
      <c r="R320" s="5">
        <v>172515.0</v>
      </c>
      <c r="S320" s="5">
        <v>25.0</v>
      </c>
      <c r="T320" s="5">
        <v>4742.047766</v>
      </c>
    </row>
    <row r="321">
      <c r="A321" s="4" t="s">
        <v>1834</v>
      </c>
      <c r="B321" s="4" t="str">
        <f>IFERROR(__xludf.DUMMYFUNCTION("SPLIT(A321:A1047, ""&gt;"")"),"US ")</f>
        <v>US </v>
      </c>
      <c r="C321" s="4" t="str">
        <f>IFERROR(__xludf.DUMMYFUNCTION("""COMPUTED_VALUE""")," Reach ")</f>
        <v> Reach </v>
      </c>
      <c r="D321" s="4" t="str">
        <f>IFERROR(__xludf.DUMMYFUNCTION("""COMPUTED_VALUE""")," Propensity Models ")</f>
        <v> Propensity Models </v>
      </c>
      <c r="E321" s="4" t="str">
        <f>IFERROR(__xludf.DUMMYFUNCTION("""COMPUTED_VALUE""")," Finance ")</f>
        <v> Finance </v>
      </c>
      <c r="F321" s="4" t="str">
        <f>IFERROR(__xludf.DUMMYFUNCTION("""COMPUTED_VALUE""")," Credit ")</f>
        <v> Credit </v>
      </c>
      <c r="G321" s="4" t="str">
        <f>IFERROR(__xludf.DUMMYFUNCTION("""COMPUTED_VALUE""")," Debit Card ")</f>
        <v> Debit Card </v>
      </c>
      <c r="H321" s="4" t="str">
        <f>IFERROR(__xludf.DUMMYFUNCTION("""COMPUTED_VALUE""")," Major Credit Card User")</f>
        <v> Major Credit Card User</v>
      </c>
      <c r="I321" s="5" t="s">
        <v>22</v>
      </c>
      <c r="J321" s="5" t="s">
        <v>23</v>
      </c>
      <c r="K321" s="5" t="s">
        <v>35</v>
      </c>
      <c r="L321" s="6" t="s">
        <v>511</v>
      </c>
      <c r="M321" s="5" t="s">
        <v>46</v>
      </c>
      <c r="N321" s="5" t="s">
        <v>27</v>
      </c>
      <c r="O321" s="5">
        <v>12868.0</v>
      </c>
      <c r="P321" s="5">
        <v>80.0</v>
      </c>
      <c r="Q321" s="5">
        <v>6472.0</v>
      </c>
      <c r="R321" s="5">
        <v>11922.0</v>
      </c>
      <c r="S321" s="5">
        <v>6.0</v>
      </c>
      <c r="T321" s="5">
        <v>3137.143043</v>
      </c>
    </row>
    <row r="322">
      <c r="A322" s="4" t="s">
        <v>1352</v>
      </c>
      <c r="B322" s="4" t="str">
        <f>IFERROR(__xludf.DUMMYFUNCTION("SPLIT(A322:A1048, ""&gt;"")"),"Lotame ")</f>
        <v>Lotame </v>
      </c>
      <c r="C322" s="4" t="str">
        <f>IFERROR(__xludf.DUMMYFUNCTION("""COMPUTED_VALUE""")," Technology")</f>
        <v> Technology</v>
      </c>
      <c r="D322" s="4"/>
      <c r="E322" s="4"/>
      <c r="F322" s="4"/>
      <c r="G322" s="4"/>
      <c r="H322" s="4"/>
      <c r="I322" s="5" t="s">
        <v>22</v>
      </c>
      <c r="J322" s="5" t="s">
        <v>16</v>
      </c>
      <c r="K322" s="5" t="s">
        <v>29</v>
      </c>
      <c r="L322" s="6" t="s">
        <v>511</v>
      </c>
      <c r="M322" s="5" t="s">
        <v>19</v>
      </c>
      <c r="N322" s="5" t="s">
        <v>27</v>
      </c>
      <c r="O322" s="5">
        <v>9059.0</v>
      </c>
      <c r="P322" s="5">
        <v>22.0</v>
      </c>
      <c r="Q322" s="5">
        <v>589.0</v>
      </c>
      <c r="R322" s="5">
        <v>7480.0</v>
      </c>
      <c r="S322" s="5">
        <v>4.0</v>
      </c>
      <c r="T322" s="5">
        <v>1908.526117</v>
      </c>
    </row>
    <row r="323">
      <c r="A323" s="4" t="s">
        <v>1835</v>
      </c>
      <c r="B323" s="4" t="str">
        <f>IFERROR(__xludf.DUMMYFUNCTION("SPLIT(A323:A1049, ""&gt;"")"),"US ")</f>
        <v>US </v>
      </c>
      <c r="C323" s="4" t="str">
        <f>IFERROR(__xludf.DUMMYFUNCTION("""COMPUTED_VALUE""")," Reach ")</f>
        <v> Reach </v>
      </c>
      <c r="D323" s="4" t="str">
        <f>IFERROR(__xludf.DUMMYFUNCTION("""COMPUTED_VALUE""")," Propensity Models ")</f>
        <v> Propensity Models </v>
      </c>
      <c r="E323" s="4" t="str">
        <f>IFERROR(__xludf.DUMMYFUNCTION("""COMPUTED_VALUE""")," Real Estate ")</f>
        <v> Real Estate </v>
      </c>
      <c r="F323" s="4" t="str">
        <f>IFERROR(__xludf.DUMMYFUNCTION("""COMPUTED_VALUE""")," Mortgage Amount ")</f>
        <v> Mortgage Amount </v>
      </c>
      <c r="G323" s="4" t="str">
        <f>IFERROR(__xludf.DUMMYFUNCTION("""COMPUTED_VALUE""")," $120,000-$159,999")</f>
        <v> $120,000-$159,999</v>
      </c>
      <c r="H323" s="4"/>
      <c r="I323" s="5" t="s">
        <v>15</v>
      </c>
      <c r="J323" s="5" t="s">
        <v>23</v>
      </c>
      <c r="K323" s="5" t="s">
        <v>45</v>
      </c>
      <c r="L323" s="6" t="s">
        <v>511</v>
      </c>
      <c r="M323" s="5" t="s">
        <v>191</v>
      </c>
      <c r="N323" s="5" t="s">
        <v>52</v>
      </c>
      <c r="O323" s="5">
        <v>15904.0</v>
      </c>
      <c r="P323" s="5">
        <v>190.0</v>
      </c>
      <c r="Q323" s="5">
        <v>7523.0</v>
      </c>
      <c r="R323" s="5">
        <v>14815.0</v>
      </c>
      <c r="S323" s="5">
        <v>2.0</v>
      </c>
      <c r="T323" s="5">
        <v>1825.725708</v>
      </c>
    </row>
    <row r="324">
      <c r="A324" s="4" t="s">
        <v>1354</v>
      </c>
      <c r="B324" s="4" t="str">
        <f>IFERROR(__xludf.DUMMYFUNCTION("SPLIT(A324:A1050, ""&gt;"")"),"Online Behavior")</f>
        <v>Online Behavior</v>
      </c>
      <c r="C324" s="4" t="str">
        <f>IFERROR(__xludf.DUMMYFUNCTION("""COMPUTED_VALUE"""),"United States")</f>
        <v>United States</v>
      </c>
      <c r="D324" s="4" t="str">
        <f>IFERROR(__xludf.DUMMYFUNCTION("""COMPUTED_VALUE"""),"Food and Drink")</f>
        <v>Food and Drink</v>
      </c>
      <c r="E324" s="4" t="str">
        <f>IFERROR(__xludf.DUMMYFUNCTION("""COMPUTED_VALUE"""),"Restaurants ")</f>
        <v>Restaurants </v>
      </c>
      <c r="F324" s="4" t="str">
        <f>IFERROR(__xludf.DUMMYFUNCTION("""COMPUTED_VALUE""")," Fast Food")</f>
        <v> Fast Food</v>
      </c>
      <c r="G324" s="4"/>
      <c r="H324" s="4"/>
      <c r="I324" s="5" t="s">
        <v>61</v>
      </c>
      <c r="J324" s="5" t="s">
        <v>31</v>
      </c>
      <c r="K324" s="5" t="s">
        <v>35</v>
      </c>
      <c r="L324" s="6" t="s">
        <v>515</v>
      </c>
      <c r="M324" s="5" t="s">
        <v>19</v>
      </c>
      <c r="N324" s="5" t="s">
        <v>27</v>
      </c>
      <c r="O324" s="5">
        <v>7822.0</v>
      </c>
      <c r="P324" s="5">
        <v>25.0</v>
      </c>
      <c r="Q324" s="5">
        <v>3786.0</v>
      </c>
      <c r="R324" s="5">
        <v>7232.0</v>
      </c>
      <c r="S324" s="5">
        <v>13.0</v>
      </c>
      <c r="T324" s="5">
        <v>6781.821647</v>
      </c>
    </row>
    <row r="325">
      <c r="A325" s="4" t="s">
        <v>1355</v>
      </c>
      <c r="B325" s="4" t="str">
        <f>IFERROR(__xludf.DUMMYFUNCTION("SPLIT(A325:A1051, ""&gt;"")"),"Online Behavior")</f>
        <v>Online Behavior</v>
      </c>
      <c r="C325" s="4" t="str">
        <f>IFERROR(__xludf.DUMMYFUNCTION("""COMPUTED_VALUE"""),"United States")</f>
        <v>United States</v>
      </c>
      <c r="D325" s="4" t="str">
        <f>IFERROR(__xludf.DUMMYFUNCTION("""COMPUTED_VALUE"""),"Validated Demographic ")</f>
        <v>Validated Demographic </v>
      </c>
      <c r="E325" s="4" t="str">
        <f>IFERROR(__xludf.DUMMYFUNCTION("""COMPUTED_VALUE""")," Age")</f>
        <v> Age</v>
      </c>
      <c r="F325" s="4" t="str">
        <f>IFERROR(__xludf.DUMMYFUNCTION("""COMPUTED_VALUE"""),"18-54")</f>
        <v>18-54</v>
      </c>
      <c r="G325" s="4"/>
      <c r="H325" s="4"/>
      <c r="I325" s="5" t="s">
        <v>22</v>
      </c>
      <c r="J325" s="5" t="s">
        <v>42</v>
      </c>
      <c r="K325" s="5" t="s">
        <v>173</v>
      </c>
      <c r="L325" s="6" t="s">
        <v>515</v>
      </c>
      <c r="M325" s="5" t="s">
        <v>26</v>
      </c>
      <c r="N325" s="5" t="s">
        <v>27</v>
      </c>
      <c r="O325" s="5">
        <v>12214.0</v>
      </c>
      <c r="P325" s="5">
        <v>50.0</v>
      </c>
      <c r="Q325" s="5">
        <v>5376.0</v>
      </c>
      <c r="R325" s="5">
        <v>11490.0</v>
      </c>
      <c r="S325" s="5">
        <v>7.0</v>
      </c>
      <c r="T325" s="5">
        <v>5616.309402</v>
      </c>
    </row>
    <row r="326">
      <c r="A326" s="4" t="s">
        <v>1356</v>
      </c>
      <c r="B326" s="4" t="str">
        <f>IFERROR(__xludf.DUMMYFUNCTION("SPLIT(A326:A1052, ""&gt;"")"),"Online Behavior")</f>
        <v>Online Behavior</v>
      </c>
      <c r="C326" s="4" t="str">
        <f>IFERROR(__xludf.DUMMYFUNCTION("""COMPUTED_VALUE"""),"United States")</f>
        <v>United States</v>
      </c>
      <c r="D326" s="4" t="str">
        <f>IFERROR(__xludf.DUMMYFUNCTION("""COMPUTED_VALUE"""),"Travel")</f>
        <v>Travel</v>
      </c>
      <c r="E326" s="4" t="str">
        <f>IFERROR(__xludf.DUMMYFUNCTION("""COMPUTED_VALUE"""),"Air Travel ")</f>
        <v>Air Travel </v>
      </c>
      <c r="F326" s="4" t="str">
        <f>IFERROR(__xludf.DUMMYFUNCTION("""COMPUTED_VALUE""")," Airport Parking and Transportation")</f>
        <v> Airport Parking and Transportation</v>
      </c>
      <c r="G326" s="4"/>
      <c r="H326" s="4"/>
      <c r="I326" s="5" t="s">
        <v>15</v>
      </c>
      <c r="J326" s="5" t="s">
        <v>16</v>
      </c>
      <c r="K326" s="5" t="s">
        <v>55</v>
      </c>
      <c r="L326" s="6" t="s">
        <v>518</v>
      </c>
      <c r="M326" s="5" t="s">
        <v>19</v>
      </c>
      <c r="N326" s="5" t="s">
        <v>52</v>
      </c>
      <c r="O326" s="5">
        <v>141165.0</v>
      </c>
      <c r="P326" s="5">
        <v>250.0</v>
      </c>
      <c r="Q326" s="5">
        <v>102776.0</v>
      </c>
      <c r="R326" s="5">
        <v>128004.0</v>
      </c>
      <c r="S326" s="5">
        <v>28.0</v>
      </c>
      <c r="T326" s="5">
        <v>7222.211408</v>
      </c>
    </row>
    <row r="327">
      <c r="A327" s="4" t="s">
        <v>1357</v>
      </c>
      <c r="B327" s="4" t="str">
        <f>IFERROR(__xludf.DUMMYFUNCTION("SPLIT(A327:A1053, ""&gt;"")"),"Online Behavior")</f>
        <v>Online Behavior</v>
      </c>
      <c r="C327" s="4" t="str">
        <f>IFERROR(__xludf.DUMMYFUNCTION("""COMPUTED_VALUE"""),"United States")</f>
        <v>United States</v>
      </c>
      <c r="D327" s="4" t="str">
        <f>IFERROR(__xludf.DUMMYFUNCTION("""COMPUTED_VALUE"""),"Sports")</f>
        <v>Sports</v>
      </c>
      <c r="E327" s="4" t="str">
        <f>IFERROR(__xludf.DUMMYFUNCTION("""COMPUTED_VALUE"""),"Individual Sports ")</f>
        <v>Individual Sports </v>
      </c>
      <c r="F327" s="4" t="str">
        <f>IFERROR(__xludf.DUMMYFUNCTION("""COMPUTED_VALUE""")," Track and Field")</f>
        <v> Track and Field</v>
      </c>
      <c r="G327" s="4"/>
      <c r="H327" s="4"/>
      <c r="I327" s="5" t="s">
        <v>22</v>
      </c>
      <c r="J327" s="5" t="s">
        <v>31</v>
      </c>
      <c r="K327" s="5" t="s">
        <v>35</v>
      </c>
      <c r="L327" s="6" t="s">
        <v>518</v>
      </c>
      <c r="M327" s="5" t="s">
        <v>19</v>
      </c>
      <c r="N327" s="5" t="s">
        <v>27</v>
      </c>
      <c r="O327" s="5">
        <v>7514.0</v>
      </c>
      <c r="P327" s="5">
        <v>20.0</v>
      </c>
      <c r="Q327" s="5">
        <v>2646.0</v>
      </c>
      <c r="R327" s="5">
        <v>3373.0</v>
      </c>
      <c r="S327" s="5">
        <v>3.0</v>
      </c>
      <c r="T327" s="5">
        <v>6756.295179</v>
      </c>
    </row>
    <row r="328">
      <c r="A328" s="4" t="s">
        <v>1358</v>
      </c>
      <c r="B328" s="4" t="str">
        <f>IFERROR(__xludf.DUMMYFUNCTION("SPLIT(A328:A1054, ""&gt;"")"),"Online Behavior")</f>
        <v>Online Behavior</v>
      </c>
      <c r="C328" s="4" t="str">
        <f>IFERROR(__xludf.DUMMYFUNCTION("""COMPUTED_VALUE"""),"United States")</f>
        <v>United States</v>
      </c>
      <c r="D328" s="4" t="str">
        <f>IFERROR(__xludf.DUMMYFUNCTION("""COMPUTED_VALUE"""),"Sports")</f>
        <v>Sports</v>
      </c>
      <c r="E328" s="4" t="str">
        <f>IFERROR(__xludf.DUMMYFUNCTION("""COMPUTED_VALUE"""),"Individual Sports ")</f>
        <v>Individual Sports </v>
      </c>
      <c r="F328" s="4" t="str">
        <f>IFERROR(__xludf.DUMMYFUNCTION("""COMPUTED_VALUE""")," Bowling")</f>
        <v> Bowling</v>
      </c>
      <c r="G328" s="4"/>
      <c r="H328" s="4"/>
      <c r="I328" s="5" t="s">
        <v>15</v>
      </c>
      <c r="J328" s="5" t="s">
        <v>23</v>
      </c>
      <c r="K328" s="5" t="s">
        <v>32</v>
      </c>
      <c r="L328" s="6" t="s">
        <v>518</v>
      </c>
      <c r="M328" s="5" t="s">
        <v>136</v>
      </c>
      <c r="N328" s="5" t="s">
        <v>52</v>
      </c>
      <c r="O328" s="5">
        <v>30460.0</v>
      </c>
      <c r="P328" s="5">
        <v>95.0</v>
      </c>
      <c r="Q328" s="5">
        <v>21830.0</v>
      </c>
      <c r="R328" s="5">
        <v>27750.0</v>
      </c>
      <c r="S328" s="5">
        <v>25.0</v>
      </c>
      <c r="T328" s="5">
        <v>6643.966542</v>
      </c>
    </row>
    <row r="329">
      <c r="A329" s="4" t="s">
        <v>1359</v>
      </c>
      <c r="B329" s="4" t="str">
        <f>IFERROR(__xludf.DUMMYFUNCTION("SPLIT(A329:A1055, ""&gt;"")"),"Online Behavior")</f>
        <v>Online Behavior</v>
      </c>
      <c r="C329" s="4" t="str">
        <f>IFERROR(__xludf.DUMMYFUNCTION("""COMPUTED_VALUE"""),"United States")</f>
        <v>United States</v>
      </c>
      <c r="D329" s="4" t="str">
        <f>IFERROR(__xludf.DUMMYFUNCTION("""COMPUTED_VALUE"""),"Autos and Vehicles ")</f>
        <v>Autos and Vehicles </v>
      </c>
      <c r="E329" s="4" t="str">
        <f>IFERROR(__xludf.DUMMYFUNCTION("""COMPUTED_VALUE""")," Brands")</f>
        <v> Brands</v>
      </c>
      <c r="F329" s="4" t="str">
        <f>IFERROR(__xludf.DUMMYFUNCTION("""COMPUTED_VALUE"""),"SEAT")</f>
        <v>SEAT</v>
      </c>
      <c r="G329" s="4"/>
      <c r="H329" s="4"/>
      <c r="I329" s="5" t="s">
        <v>15</v>
      </c>
      <c r="J329" s="5" t="s">
        <v>31</v>
      </c>
      <c r="K329" s="5" t="s">
        <v>35</v>
      </c>
      <c r="L329" s="6" t="s">
        <v>518</v>
      </c>
      <c r="M329" s="5" t="s">
        <v>46</v>
      </c>
      <c r="N329" s="5" t="s">
        <v>27</v>
      </c>
      <c r="O329" s="5">
        <v>14083.0</v>
      </c>
      <c r="P329" s="5">
        <v>97.0</v>
      </c>
      <c r="Q329" s="5">
        <v>9945.0</v>
      </c>
      <c r="R329" s="5">
        <v>12878.0</v>
      </c>
      <c r="S329" s="5">
        <v>11.0</v>
      </c>
      <c r="T329" s="5">
        <v>5979.67</v>
      </c>
    </row>
    <row r="330">
      <c r="A330" s="4" t="s">
        <v>1360</v>
      </c>
      <c r="B330" s="4" t="str">
        <f>IFERROR(__xludf.DUMMYFUNCTION("SPLIT(A330:A1056, ""&gt;"")"),"Online Behavior")</f>
        <v>Online Behavior</v>
      </c>
      <c r="C330" s="4" t="str">
        <f>IFERROR(__xludf.DUMMYFUNCTION("""COMPUTED_VALUE"""),"United States")</f>
        <v>United States</v>
      </c>
      <c r="D330" s="4" t="str">
        <f>IFERROR(__xludf.DUMMYFUNCTION("""COMPUTED_VALUE"""),"Intent ")</f>
        <v>Intent </v>
      </c>
      <c r="E330" s="4" t="str">
        <f>IFERROR(__xludf.DUMMYFUNCTION("""COMPUTED_VALUE""")," Services")</f>
        <v> Services</v>
      </c>
      <c r="F330" s="4" t="str">
        <f>IFERROR(__xludf.DUMMYFUNCTION("""COMPUTED_VALUE"""),"Photography")</f>
        <v>Photography</v>
      </c>
      <c r="G330" s="4"/>
      <c r="H330" s="4"/>
      <c r="I330" s="5" t="s">
        <v>61</v>
      </c>
      <c r="J330" s="5" t="s">
        <v>42</v>
      </c>
      <c r="K330" s="5" t="s">
        <v>35</v>
      </c>
      <c r="L330" s="6" t="s">
        <v>518</v>
      </c>
      <c r="M330" s="5" t="s">
        <v>19</v>
      </c>
      <c r="N330" s="5" t="s">
        <v>27</v>
      </c>
      <c r="O330" s="5">
        <v>100058.0</v>
      </c>
      <c r="P330" s="5">
        <v>435.0</v>
      </c>
      <c r="Q330" s="5">
        <v>73422.0</v>
      </c>
      <c r="R330" s="5">
        <v>91976.0</v>
      </c>
      <c r="S330" s="5">
        <v>8.0</v>
      </c>
      <c r="T330" s="5">
        <v>5831.225793</v>
      </c>
    </row>
    <row r="331">
      <c r="A331" s="4" t="s">
        <v>1361</v>
      </c>
      <c r="B331" s="4" t="str">
        <f>IFERROR(__xludf.DUMMYFUNCTION("SPLIT(A331:A1057, ""&gt;"")"),"Online Behavior")</f>
        <v>Online Behavior</v>
      </c>
      <c r="C331" s="4" t="str">
        <f>IFERROR(__xludf.DUMMYFUNCTION("""COMPUTED_VALUE"""),"United States")</f>
        <v>United States</v>
      </c>
      <c r="D331" s="4" t="str">
        <f>IFERROR(__xludf.DUMMYFUNCTION("""COMPUTED_VALUE"""),"Autos and Vehicles ")</f>
        <v>Autos and Vehicles </v>
      </c>
      <c r="E331" s="4" t="str">
        <f>IFERROR(__xludf.DUMMYFUNCTION("""COMPUTED_VALUE""")," Brands")</f>
        <v> Brands</v>
      </c>
      <c r="F331" s="4" t="str">
        <f>IFERROR(__xludf.DUMMYFUNCTION("""COMPUTED_VALUE"""),"Acura")</f>
        <v>Acura</v>
      </c>
      <c r="G331" s="4"/>
      <c r="H331" s="4"/>
      <c r="I331" s="5" t="s">
        <v>15</v>
      </c>
      <c r="J331" s="5" t="s">
        <v>16</v>
      </c>
      <c r="K331" s="5" t="s">
        <v>78</v>
      </c>
      <c r="L331" s="6" t="s">
        <v>518</v>
      </c>
      <c r="M331" s="5" t="s">
        <v>19</v>
      </c>
      <c r="N331" s="5" t="s">
        <v>52</v>
      </c>
      <c r="O331" s="5">
        <v>83854.0</v>
      </c>
      <c r="P331" s="5">
        <v>197.0</v>
      </c>
      <c r="Q331" s="5">
        <v>60626.0</v>
      </c>
      <c r="R331" s="5">
        <v>76071.0</v>
      </c>
      <c r="S331" s="5">
        <v>15.0</v>
      </c>
      <c r="T331" s="5">
        <v>5783.843758</v>
      </c>
    </row>
    <row r="332">
      <c r="A332" s="4" t="s">
        <v>524</v>
      </c>
      <c r="B332" s="4" t="str">
        <f>IFERROR(__xludf.DUMMYFUNCTION("SPLIT(A332:A1058, ""&gt;"")"),"Online Behavior")</f>
        <v>Online Behavior</v>
      </c>
      <c r="C332" s="4" t="str">
        <f>IFERROR(__xludf.DUMMYFUNCTION("""COMPUTED_VALUE"""),"United States")</f>
        <v>United States</v>
      </c>
      <c r="D332" s="4" t="str">
        <f>IFERROR(__xludf.DUMMYFUNCTION("""COMPUTED_VALUE"""),"The Changing Consumer")</f>
        <v>The Changing Consumer</v>
      </c>
      <c r="E332" s="4" t="str">
        <f>IFERROR(__xludf.DUMMYFUNCTION("""COMPUTED_VALUE"""),"Delivery Services and Quick Service Restaurants")</f>
        <v>Delivery Services and Quick Service Restaurants</v>
      </c>
      <c r="F332" s="4"/>
      <c r="G332" s="4"/>
      <c r="H332" s="4"/>
      <c r="I332" s="5" t="s">
        <v>15</v>
      </c>
      <c r="J332" s="5" t="s">
        <v>16</v>
      </c>
      <c r="K332" s="5" t="s">
        <v>17</v>
      </c>
      <c r="L332" s="6" t="s">
        <v>518</v>
      </c>
      <c r="M332" s="5" t="s">
        <v>26</v>
      </c>
      <c r="N332" s="5" t="s">
        <v>27</v>
      </c>
      <c r="O332" s="5">
        <v>103665.0</v>
      </c>
      <c r="P332" s="5">
        <v>270.0</v>
      </c>
      <c r="Q332" s="5">
        <v>77283.0</v>
      </c>
      <c r="R332" s="5">
        <v>94019.0</v>
      </c>
      <c r="S332" s="5">
        <v>4.0</v>
      </c>
      <c r="T332" s="5">
        <v>5284.685565</v>
      </c>
    </row>
    <row r="333">
      <c r="A333" s="4" t="s">
        <v>1362</v>
      </c>
      <c r="B333" s="4" t="str">
        <f>IFERROR(__xludf.DUMMYFUNCTION("SPLIT(A333:A1059, ""&gt;"")"),"Online Behavior")</f>
        <v>Online Behavior</v>
      </c>
      <c r="C333" s="4" t="str">
        <f>IFERROR(__xludf.DUMMYFUNCTION("""COMPUTED_VALUE"""),"United States")</f>
        <v>United States</v>
      </c>
      <c r="D333" s="4" t="str">
        <f>IFERROR(__xludf.DUMMYFUNCTION("""COMPUTED_VALUE"""),"Intent ")</f>
        <v>Intent </v>
      </c>
      <c r="E333" s="4" t="str">
        <f>IFERROR(__xludf.DUMMYFUNCTION("""COMPUTED_VALUE""")," Auto Buyers ")</f>
        <v> Auto Buyers </v>
      </c>
      <c r="F333" s="4" t="str">
        <f>IFERROR(__xludf.DUMMYFUNCTION("""COMPUTED_VALUE""")," Type")</f>
        <v> Type</v>
      </c>
      <c r="G333" s="4" t="str">
        <f>IFERROR(__xludf.DUMMYFUNCTION("""COMPUTED_VALUE"""),"Sedan")</f>
        <v>Sedan</v>
      </c>
      <c r="H333" s="4"/>
      <c r="I333" s="5" t="s">
        <v>15</v>
      </c>
      <c r="J333" s="5" t="s">
        <v>23</v>
      </c>
      <c r="K333" s="5" t="s">
        <v>35</v>
      </c>
      <c r="L333" s="6" t="s">
        <v>518</v>
      </c>
      <c r="M333" s="5" t="s">
        <v>117</v>
      </c>
      <c r="N333" s="5" t="s">
        <v>52</v>
      </c>
      <c r="O333" s="5">
        <v>25889.0</v>
      </c>
      <c r="P333" s="5">
        <v>110.0</v>
      </c>
      <c r="Q333" s="5">
        <v>18382.0</v>
      </c>
      <c r="R333" s="5">
        <v>23328.0</v>
      </c>
      <c r="S333" s="5">
        <v>15.0</v>
      </c>
      <c r="T333" s="5">
        <v>4977.784794</v>
      </c>
    </row>
    <row r="334">
      <c r="A334" s="4" t="s">
        <v>1363</v>
      </c>
      <c r="B334" s="4" t="str">
        <f>IFERROR(__xludf.DUMMYFUNCTION("SPLIT(A334:A1060, ""&gt;"")"),"Online Behavior")</f>
        <v>Online Behavior</v>
      </c>
      <c r="C334" s="4" t="str">
        <f>IFERROR(__xludf.DUMMYFUNCTION("""COMPUTED_VALUE"""),"United States")</f>
        <v>United States</v>
      </c>
      <c r="D334" s="4" t="str">
        <f>IFERROR(__xludf.DUMMYFUNCTION("""COMPUTED_VALUE"""),"Finance ")</f>
        <v>Finance </v>
      </c>
      <c r="E334" s="4" t="str">
        <f>IFERROR(__xludf.DUMMYFUNCTION("""COMPUTED_VALUE""")," Grants, Scholarships and Financial Aid")</f>
        <v> Grants, Scholarships and Financial Aid</v>
      </c>
      <c r="F334" s="4" t="str">
        <f>IFERROR(__xludf.DUMMYFUNCTION("""COMPUTED_VALUE"""),"Study Grants and Scholarships")</f>
        <v>Study Grants and Scholarships</v>
      </c>
      <c r="G334" s="4"/>
      <c r="H334" s="4"/>
      <c r="I334" s="5" t="s">
        <v>61</v>
      </c>
      <c r="J334" s="5" t="s">
        <v>42</v>
      </c>
      <c r="K334" s="5" t="s">
        <v>24</v>
      </c>
      <c r="L334" s="6" t="s">
        <v>518</v>
      </c>
      <c r="M334" s="5" t="s">
        <v>19</v>
      </c>
      <c r="N334" s="5" t="s">
        <v>27</v>
      </c>
      <c r="O334" s="5">
        <v>39844.0</v>
      </c>
      <c r="P334" s="5">
        <v>101.0</v>
      </c>
      <c r="Q334" s="5">
        <v>28001.0</v>
      </c>
      <c r="R334" s="5">
        <v>36335.0</v>
      </c>
      <c r="S334" s="5">
        <v>3.0</v>
      </c>
      <c r="T334" s="5">
        <v>4439.368082</v>
      </c>
    </row>
    <row r="335">
      <c r="A335" s="4" t="s">
        <v>1364</v>
      </c>
      <c r="B335" s="4" t="str">
        <f>IFERROR(__xludf.DUMMYFUNCTION("SPLIT(A335:A1061, ""&gt;"")"),"Online Behavior")</f>
        <v>Online Behavior</v>
      </c>
      <c r="C335" s="4" t="str">
        <f>IFERROR(__xludf.DUMMYFUNCTION("""COMPUTED_VALUE"""),"United States")</f>
        <v>United States</v>
      </c>
      <c r="D335" s="4" t="str">
        <f>IFERROR(__xludf.DUMMYFUNCTION("""COMPUTED_VALUE"""),"Arts and Entertainment")</f>
        <v>Arts and Entertainment</v>
      </c>
      <c r="E335" s="4" t="str">
        <f>IFERROR(__xludf.DUMMYFUNCTION("""COMPUTED_VALUE"""),"Events and Listings ")</f>
        <v>Events and Listings </v>
      </c>
      <c r="F335" s="4" t="str">
        <f>IFERROR(__xludf.DUMMYFUNCTION("""COMPUTED_VALUE""")," Food and Beverage Events")</f>
        <v> Food and Beverage Events</v>
      </c>
      <c r="G335" s="4"/>
      <c r="H335" s="4"/>
      <c r="I335" s="5" t="s">
        <v>15</v>
      </c>
      <c r="J335" s="5" t="s">
        <v>23</v>
      </c>
      <c r="K335" s="5" t="s">
        <v>17</v>
      </c>
      <c r="L335" s="6" t="s">
        <v>518</v>
      </c>
      <c r="M335" s="5" t="s">
        <v>19</v>
      </c>
      <c r="N335" s="5" t="s">
        <v>27</v>
      </c>
      <c r="O335" s="5">
        <v>224359.0</v>
      </c>
      <c r="P335" s="5">
        <v>480.0</v>
      </c>
      <c r="Q335" s="5">
        <v>163149.0</v>
      </c>
      <c r="R335" s="5">
        <v>200859.0</v>
      </c>
      <c r="S335" s="5">
        <v>5.0</v>
      </c>
      <c r="T335" s="5">
        <v>4196.936777</v>
      </c>
    </row>
    <row r="336">
      <c r="A336" s="4" t="s">
        <v>1836</v>
      </c>
      <c r="B336" s="4" t="str">
        <f>IFERROR(__xludf.DUMMYFUNCTION("SPLIT(A336:A1062, ""&gt;"")"),"US ")</f>
        <v>US </v>
      </c>
      <c r="C336" s="4" t="str">
        <f>IFERROR(__xludf.DUMMYFUNCTION("""COMPUTED_VALUE""")," Reach ")</f>
        <v> Reach </v>
      </c>
      <c r="D336" s="4" t="str">
        <f>IFERROR(__xludf.DUMMYFUNCTION("""COMPUTED_VALUE""")," Propensity Models ")</f>
        <v> Propensity Models </v>
      </c>
      <c r="E336" s="4" t="str">
        <f>IFERROR(__xludf.DUMMYFUNCTION("""COMPUTED_VALUE""")," Hobbies and Interest ")</f>
        <v> Hobbies and Interest </v>
      </c>
      <c r="F336" s="4" t="str">
        <f>IFERROR(__xludf.DUMMYFUNCTION("""COMPUTED_VALUE""")," Music ")</f>
        <v> Music </v>
      </c>
      <c r="G336" s="4" t="str">
        <f>IFERROR(__xludf.DUMMYFUNCTION("""COMPUTED_VALUE""")," Streaming")</f>
        <v> Streaming</v>
      </c>
      <c r="H336" s="4"/>
      <c r="I336" s="5" t="s">
        <v>22</v>
      </c>
      <c r="J336" s="5" t="s">
        <v>16</v>
      </c>
      <c r="K336" s="5" t="s">
        <v>240</v>
      </c>
      <c r="L336" s="6" t="s">
        <v>518</v>
      </c>
      <c r="M336" s="5" t="s">
        <v>36</v>
      </c>
      <c r="N336" s="5" t="s">
        <v>27</v>
      </c>
      <c r="O336" s="5">
        <v>15399.0</v>
      </c>
      <c r="P336" s="5">
        <v>35.0</v>
      </c>
      <c r="Q336" s="5">
        <v>3398.0</v>
      </c>
      <c r="R336" s="5">
        <v>4324.0</v>
      </c>
      <c r="S336" s="5">
        <v>3.0</v>
      </c>
      <c r="T336" s="5">
        <v>3434.731153</v>
      </c>
    </row>
    <row r="337">
      <c r="A337" s="4" t="s">
        <v>1837</v>
      </c>
      <c r="B337" s="4" t="str">
        <f>IFERROR(__xludf.DUMMYFUNCTION("SPLIT(A337:A1063, ""&gt;"")"),"US ")</f>
        <v>US </v>
      </c>
      <c r="C337" s="4" t="str">
        <f>IFERROR(__xludf.DUMMYFUNCTION("""COMPUTED_VALUE""")," B2B ")</f>
        <v> B2B </v>
      </c>
      <c r="D337" s="4" t="str">
        <f>IFERROR(__xludf.DUMMYFUNCTION("""COMPUTED_VALUE""")," B2B Decision Maker Responsibilities ")</f>
        <v> B2B Decision Maker Responsibilities </v>
      </c>
      <c r="E337" s="4" t="str">
        <f>IFERROR(__xludf.DUMMYFUNCTION("""COMPUTED_VALUE""")," Computer Software")</f>
        <v> Computer Software</v>
      </c>
      <c r="F337" s="4"/>
      <c r="G337" s="4"/>
      <c r="H337" s="4"/>
      <c r="I337" s="5" t="s">
        <v>15</v>
      </c>
      <c r="J337" s="5" t="s">
        <v>16</v>
      </c>
      <c r="K337" s="5" t="s">
        <v>17</v>
      </c>
      <c r="L337" s="6" t="s">
        <v>518</v>
      </c>
      <c r="M337" s="5" t="s">
        <v>46</v>
      </c>
      <c r="N337" s="5" t="s">
        <v>27</v>
      </c>
      <c r="O337" s="5">
        <v>136733.0</v>
      </c>
      <c r="P337" s="5">
        <v>110.0</v>
      </c>
      <c r="Q337" s="5">
        <v>102728.0</v>
      </c>
      <c r="R337" s="5">
        <v>127130.0</v>
      </c>
      <c r="S337" s="5">
        <v>4.0</v>
      </c>
      <c r="T337" s="5">
        <v>1946.050447</v>
      </c>
    </row>
    <row r="338">
      <c r="A338" s="4" t="s">
        <v>1838</v>
      </c>
      <c r="B338" s="4" t="str">
        <f>IFERROR(__xludf.DUMMYFUNCTION("SPLIT(A338:A1064, ""&gt;"")"),"US ")</f>
        <v>US </v>
      </c>
      <c r="C338" s="4" t="str">
        <f>IFERROR(__xludf.DUMMYFUNCTION("""COMPUTED_VALUE""")," Brand Propensities ")</f>
        <v> Brand Propensities </v>
      </c>
      <c r="D338" s="4" t="str">
        <f>IFERROR(__xludf.DUMMYFUNCTION("""COMPUTED_VALUE""")," Health ")</f>
        <v> Health </v>
      </c>
      <c r="E338" s="4" t="str">
        <f>IFERROR(__xludf.DUMMYFUNCTION("""COMPUTED_VALUE""")," Beauty and Cosmetics ")</f>
        <v> Beauty and Cosmetics </v>
      </c>
      <c r="F338" s="4" t="str">
        <f>IFERROR(__xludf.DUMMYFUNCTION("""COMPUTED_VALUE""")," ULTA Buyer Propensity")</f>
        <v> ULTA Buyer Propensity</v>
      </c>
      <c r="G338" s="4"/>
      <c r="H338" s="4"/>
      <c r="I338" s="5" t="s">
        <v>22</v>
      </c>
      <c r="J338" s="5" t="s">
        <v>31</v>
      </c>
      <c r="K338" s="5" t="s">
        <v>531</v>
      </c>
      <c r="L338" s="6" t="s">
        <v>518</v>
      </c>
      <c r="M338" s="5" t="s">
        <v>19</v>
      </c>
      <c r="N338" s="5" t="s">
        <v>27</v>
      </c>
      <c r="O338" s="5">
        <v>198754.0</v>
      </c>
      <c r="P338" s="5">
        <v>480.0</v>
      </c>
      <c r="Q338" s="5">
        <v>137649.0</v>
      </c>
      <c r="R338" s="5">
        <v>178415.0</v>
      </c>
      <c r="S338" s="5">
        <v>4.0</v>
      </c>
      <c r="T338" s="5">
        <v>1803.081497</v>
      </c>
    </row>
    <row r="339">
      <c r="A339" s="4" t="s">
        <v>1839</v>
      </c>
      <c r="B339" s="4" t="str">
        <f>IFERROR(__xludf.DUMMYFUNCTION("SPLIT(A339:A1065, ""&gt;"")"),"US ")</f>
        <v>US </v>
      </c>
      <c r="C339" s="4" t="str">
        <f>IFERROR(__xludf.DUMMYFUNCTION("""COMPUTED_VALUE""")," Home and Garden Interests ")</f>
        <v> Home and Garden Interests </v>
      </c>
      <c r="D339" s="4" t="str">
        <f>IFERROR(__xludf.DUMMYFUNCTION("""COMPUTED_VALUE""")," House and Garden Merchandise Buyers")</f>
        <v> House and Garden Merchandise Buyers</v>
      </c>
      <c r="E339" s="4"/>
      <c r="F339" s="4"/>
      <c r="G339" s="4"/>
      <c r="H339" s="4"/>
      <c r="I339" s="5" t="s">
        <v>15</v>
      </c>
      <c r="J339" s="5" t="s">
        <v>16</v>
      </c>
      <c r="K339" s="5" t="s">
        <v>84</v>
      </c>
      <c r="L339" s="6" t="s">
        <v>518</v>
      </c>
      <c r="M339" s="5" t="s">
        <v>117</v>
      </c>
      <c r="N339" s="5" t="s">
        <v>27</v>
      </c>
      <c r="O339" s="5">
        <v>15033.0</v>
      </c>
      <c r="P339" s="5">
        <v>76.0</v>
      </c>
      <c r="Q339" s="5">
        <v>5495.0</v>
      </c>
      <c r="R339" s="5">
        <v>7050.0</v>
      </c>
      <c r="S339" s="5">
        <v>3.0</v>
      </c>
      <c r="T339" s="5">
        <v>1650.72301</v>
      </c>
    </row>
    <row r="340">
      <c r="A340" s="4" t="s">
        <v>1369</v>
      </c>
      <c r="B340" s="4" t="str">
        <f>IFERROR(__xludf.DUMMYFUNCTION("SPLIT(A340:A1066, ""&gt;"")"),"Lotame ")</f>
        <v>Lotame </v>
      </c>
      <c r="C340" s="4" t="str">
        <f>IFERROR(__xludf.DUMMYFUNCTION("""COMPUTED_VALUE""")," Offline CPG Purchasers ")</f>
        <v> Offline CPG Purchasers </v>
      </c>
      <c r="D340" s="4" t="str">
        <f>IFERROR(__xludf.DUMMYFUNCTION("""COMPUTED_VALUE""")," Product Segment")</f>
        <v> Product Segment</v>
      </c>
      <c r="E340" s="4"/>
      <c r="F340" s="4"/>
      <c r="G340" s="4"/>
      <c r="H340" s="4"/>
      <c r="I340" s="5" t="s">
        <v>15</v>
      </c>
      <c r="J340" s="5" t="s">
        <v>16</v>
      </c>
      <c r="K340" s="5" t="s">
        <v>78</v>
      </c>
      <c r="L340" s="6" t="s">
        <v>518</v>
      </c>
      <c r="M340" s="5" t="s">
        <v>19</v>
      </c>
      <c r="N340" s="5" t="s">
        <v>27</v>
      </c>
      <c r="O340" s="5">
        <v>92806.0</v>
      </c>
      <c r="P340" s="5">
        <v>212.0</v>
      </c>
      <c r="Q340" s="5">
        <v>67534.0</v>
      </c>
      <c r="R340" s="5">
        <v>85013.0</v>
      </c>
      <c r="S340" s="5">
        <v>11.0</v>
      </c>
      <c r="T340" s="5">
        <v>1579.379602</v>
      </c>
    </row>
    <row r="341">
      <c r="A341" s="4" t="s">
        <v>1840</v>
      </c>
      <c r="B341" s="4" t="str">
        <f>IFERROR(__xludf.DUMMYFUNCTION("SPLIT(A341:A1067, ""&gt;"")"),"US ")</f>
        <v>US </v>
      </c>
      <c r="C341" s="4" t="str">
        <f>IFERROR(__xludf.DUMMYFUNCTION("""COMPUTED_VALUE""")," Brand Propensities ")</f>
        <v> Brand Propensities </v>
      </c>
      <c r="D341" s="4" t="str">
        <f>IFERROR(__xludf.DUMMYFUNCTION("""COMPUTED_VALUE""")," Apparel ")</f>
        <v> Apparel </v>
      </c>
      <c r="E341" s="4" t="str">
        <f>IFERROR(__xludf.DUMMYFUNCTION("""COMPUTED_VALUE""")," Bare Necessities Buyer Propensity")</f>
        <v> Bare Necessities Buyer Propensity</v>
      </c>
      <c r="F341" s="4"/>
      <c r="G341" s="4"/>
      <c r="H341" s="4"/>
      <c r="I341" s="5" t="s">
        <v>22</v>
      </c>
      <c r="J341" s="5" t="s">
        <v>16</v>
      </c>
      <c r="K341" s="5" t="s">
        <v>29</v>
      </c>
      <c r="L341" s="6" t="s">
        <v>518</v>
      </c>
      <c r="M341" s="5" t="s">
        <v>46</v>
      </c>
      <c r="N341" s="5" t="s">
        <v>27</v>
      </c>
      <c r="O341" s="5">
        <v>186702.0</v>
      </c>
      <c r="P341" s="5">
        <v>370.0</v>
      </c>
      <c r="Q341" s="5">
        <v>132038.0</v>
      </c>
      <c r="R341" s="5">
        <v>167406.0</v>
      </c>
      <c r="S341" s="5">
        <v>4.0</v>
      </c>
      <c r="T341" s="5">
        <v>1568.73602</v>
      </c>
    </row>
    <row r="342">
      <c r="A342" s="4" t="s">
        <v>1841</v>
      </c>
      <c r="B342" s="4" t="str">
        <f>IFERROR(__xludf.DUMMYFUNCTION("SPLIT(A342:A1068, ""&gt;"")"),"Mobile - US ")</f>
        <v>Mobile - US </v>
      </c>
      <c r="C342" s="4" t="str">
        <f>IFERROR(__xludf.DUMMYFUNCTION("""COMPUTED_VALUE""")," Travel ")</f>
        <v> Travel </v>
      </c>
      <c r="D342" s="4" t="str">
        <f>IFERROR(__xludf.DUMMYFUNCTION("""COMPUTED_VALUE""")," Destination ")</f>
        <v> Destination </v>
      </c>
      <c r="E342" s="4" t="str">
        <f>IFERROR(__xludf.DUMMYFUNCTION("""COMPUTED_VALUE""")," International Travelers ")</f>
        <v> International Travelers </v>
      </c>
      <c r="F342" s="4" t="str">
        <f>IFERROR(__xludf.DUMMYFUNCTION("""COMPUTED_VALUE""")," yes")</f>
        <v> yes</v>
      </c>
      <c r="G342" s="4"/>
      <c r="H342" s="4"/>
      <c r="I342" s="5" t="s">
        <v>22</v>
      </c>
      <c r="J342" s="5" t="s">
        <v>23</v>
      </c>
      <c r="K342" s="5" t="s">
        <v>29</v>
      </c>
      <c r="L342" s="6" t="s">
        <v>518</v>
      </c>
      <c r="M342" s="5" t="s">
        <v>46</v>
      </c>
      <c r="N342" s="5" t="s">
        <v>27</v>
      </c>
      <c r="O342" s="5">
        <v>69136.0</v>
      </c>
      <c r="P342" s="5">
        <v>190.0</v>
      </c>
      <c r="Q342" s="5">
        <v>40571.0</v>
      </c>
      <c r="R342" s="5">
        <v>63614.0</v>
      </c>
      <c r="S342" s="5">
        <v>3.0</v>
      </c>
      <c r="T342" s="5">
        <v>1507.946851</v>
      </c>
    </row>
    <row r="343">
      <c r="A343" s="4" t="s">
        <v>1842</v>
      </c>
      <c r="B343" s="4" t="str">
        <f>IFERROR(__xludf.DUMMYFUNCTION("SPLIT(A343:A1069, ""&gt;"")"),"US ")</f>
        <v>US </v>
      </c>
      <c r="C343" s="4" t="str">
        <f>IFERROR(__xludf.DUMMYFUNCTION("""COMPUTED_VALUE""")," Brand Propensities ")</f>
        <v> Brand Propensities </v>
      </c>
      <c r="D343" s="4" t="str">
        <f>IFERROR(__xludf.DUMMYFUNCTION("""COMPUTED_VALUE""")," Media and Entertainment ")</f>
        <v> Media and Entertainment </v>
      </c>
      <c r="E343" s="4" t="str">
        <f>IFERROR(__xludf.DUMMYFUNCTION("""COMPUTED_VALUE""")," Sony Network Entertainment International Buyer Propensity")</f>
        <v> Sony Network Entertainment International Buyer Propensity</v>
      </c>
      <c r="F343" s="4"/>
      <c r="G343" s="4"/>
      <c r="H343" s="4"/>
      <c r="I343" s="5" t="s">
        <v>15</v>
      </c>
      <c r="J343" s="5" t="s">
        <v>42</v>
      </c>
      <c r="K343" s="5" t="s">
        <v>95</v>
      </c>
      <c r="L343" s="6" t="s">
        <v>518</v>
      </c>
      <c r="M343" s="5" t="s">
        <v>26</v>
      </c>
      <c r="N343" s="5" t="s">
        <v>52</v>
      </c>
      <c r="O343" s="5">
        <v>32173.0</v>
      </c>
      <c r="P343" s="5">
        <v>104.0</v>
      </c>
      <c r="Q343" s="5">
        <v>24427.0</v>
      </c>
      <c r="R343" s="5">
        <v>30084.0</v>
      </c>
      <c r="S343" s="5">
        <v>11.0</v>
      </c>
      <c r="T343" s="5">
        <v>1498.29154</v>
      </c>
    </row>
    <row r="344">
      <c r="A344" s="4" t="s">
        <v>1373</v>
      </c>
      <c r="B344" s="4" t="str">
        <f>IFERROR(__xludf.DUMMYFUNCTION("SPLIT(A344:A1070, ""&gt;"")"),"Travel and Tourism ")</f>
        <v>Travel and Tourism </v>
      </c>
      <c r="C344" s="4" t="str">
        <f>IFERROR(__xludf.DUMMYFUNCTION("""COMPUTED_VALUE""")," Interest (Affinity) ")</f>
        <v> Interest (Affinity) </v>
      </c>
      <c r="D344" s="4" t="str">
        <f>IFERROR(__xludf.DUMMYFUNCTION("""COMPUTED_VALUE""")," Destinations ")</f>
        <v> Destinations </v>
      </c>
      <c r="E344" s="4" t="str">
        <f>IFERROR(__xludf.DUMMYFUNCTION("""COMPUTED_VALUE""")," Europe")</f>
        <v> Europe</v>
      </c>
      <c r="F344" s="4"/>
      <c r="G344" s="4"/>
      <c r="H344" s="4"/>
      <c r="I344" s="5" t="s">
        <v>22</v>
      </c>
      <c r="J344" s="5" t="s">
        <v>23</v>
      </c>
      <c r="K344" s="5" t="s">
        <v>24</v>
      </c>
      <c r="L344" s="6" t="s">
        <v>518</v>
      </c>
      <c r="M344" s="5" t="s">
        <v>36</v>
      </c>
      <c r="N344" s="5" t="s">
        <v>27</v>
      </c>
      <c r="O344" s="5">
        <v>88819.0</v>
      </c>
      <c r="P344" s="5">
        <v>200.0</v>
      </c>
      <c r="Q344" s="5">
        <v>65488.0</v>
      </c>
      <c r="R344" s="5">
        <v>80451.0</v>
      </c>
      <c r="S344" s="5">
        <v>6.0</v>
      </c>
      <c r="T344" s="5">
        <v>1442.22799</v>
      </c>
    </row>
    <row r="345">
      <c r="A345" s="4" t="s">
        <v>1374</v>
      </c>
      <c r="B345" s="4" t="str">
        <f>IFERROR(__xludf.DUMMYFUNCTION("SPLIT(A345:A1071, ""&gt;"")"),"Online Behavior")</f>
        <v>Online Behavior</v>
      </c>
      <c r="C345" s="4" t="str">
        <f>IFERROR(__xludf.DUMMYFUNCTION("""COMPUTED_VALUE"""),"United States")</f>
        <v>United States</v>
      </c>
      <c r="D345" s="4" t="str">
        <f>IFERROR(__xludf.DUMMYFUNCTION("""COMPUTED_VALUE"""),"Finance ")</f>
        <v>Finance </v>
      </c>
      <c r="E345" s="4" t="str">
        <f>IFERROR(__xludf.DUMMYFUNCTION("""COMPUTED_VALUE""")," Financial Planning and Management")</f>
        <v> Financial Planning and Management</v>
      </c>
      <c r="F345" s="4" t="str">
        <f>IFERROR(__xludf.DUMMYFUNCTION("""COMPUTED_VALUE"""),"Financial Planning and Management")</f>
        <v>Financial Planning and Management</v>
      </c>
      <c r="G345" s="4"/>
      <c r="H345" s="4"/>
      <c r="I345" s="5" t="s">
        <v>22</v>
      </c>
      <c r="J345" s="5" t="s">
        <v>42</v>
      </c>
      <c r="K345" s="5" t="s">
        <v>35</v>
      </c>
      <c r="L345" s="6" t="s">
        <v>539</v>
      </c>
      <c r="M345" s="5" t="s">
        <v>33</v>
      </c>
      <c r="N345" s="5" t="s">
        <v>27</v>
      </c>
      <c r="O345" s="5">
        <v>1323451.0</v>
      </c>
      <c r="P345" s="5">
        <v>3414.0</v>
      </c>
      <c r="Q345" s="5">
        <v>737990.0</v>
      </c>
      <c r="R345" s="5">
        <v>1177859.0</v>
      </c>
      <c r="S345" s="5">
        <v>123.0</v>
      </c>
      <c r="T345" s="5">
        <v>8187.114541</v>
      </c>
    </row>
    <row r="346">
      <c r="A346" s="4" t="s">
        <v>540</v>
      </c>
      <c r="B346" s="4" t="str">
        <f>IFERROR(__xludf.DUMMYFUNCTION("SPLIT(A346:A1072, ""&gt;"")"),"Online Behavior")</f>
        <v>Online Behavior</v>
      </c>
      <c r="C346" s="4" t="str">
        <f>IFERROR(__xludf.DUMMYFUNCTION("""COMPUTED_VALUE"""),"United States")</f>
        <v>United States</v>
      </c>
      <c r="D346" s="4" t="str">
        <f>IFERROR(__xludf.DUMMYFUNCTION("""COMPUTED_VALUE"""),"Beauty and Fitness")</f>
        <v>Beauty and Fitness</v>
      </c>
      <c r="E346" s="4" t="str">
        <f>IFERROR(__xludf.DUMMYFUNCTION("""COMPUTED_VALUE"""),"Fitness")</f>
        <v>Fitness</v>
      </c>
      <c r="F346" s="4"/>
      <c r="G346" s="4"/>
      <c r="H346" s="4"/>
      <c r="I346" s="5" t="s">
        <v>15</v>
      </c>
      <c r="J346" s="5" t="s">
        <v>42</v>
      </c>
      <c r="K346" s="5" t="s">
        <v>35</v>
      </c>
      <c r="L346" s="6" t="s">
        <v>539</v>
      </c>
      <c r="M346" s="5" t="s">
        <v>46</v>
      </c>
      <c r="N346" s="5" t="s">
        <v>27</v>
      </c>
      <c r="O346" s="5">
        <v>728841.0</v>
      </c>
      <c r="P346" s="5">
        <v>2174.0</v>
      </c>
      <c r="Q346" s="5">
        <v>424340.0</v>
      </c>
      <c r="R346" s="5">
        <v>634059.0</v>
      </c>
      <c r="S346" s="5">
        <v>37.0</v>
      </c>
      <c r="T346" s="5">
        <v>8054.141368</v>
      </c>
    </row>
    <row r="347">
      <c r="A347" s="4" t="s">
        <v>1843</v>
      </c>
      <c r="B347" s="4" t="str">
        <f>IFERROR(__xludf.DUMMYFUNCTION("SPLIT(A347:A1073, ""&gt;"")"),"Online Behavior")</f>
        <v>Online Behavior</v>
      </c>
      <c r="C347" s="4" t="str">
        <f>IFERROR(__xludf.DUMMYFUNCTION("""COMPUTED_VALUE"""),"United States")</f>
        <v>United States</v>
      </c>
      <c r="D347" s="4" t="str">
        <f>IFERROR(__xludf.DUMMYFUNCTION("""COMPUTED_VALUE"""),"The Changing Consumer")</f>
        <v>The Changing Consumer</v>
      </c>
      <c r="E347" s="4" t="str">
        <f>IFERROR(__xludf.DUMMYFUNCTION("""COMPUTED_VALUE"""),"Data For Good ")</f>
        <v>Data For Good </v>
      </c>
      <c r="F347" s="4" t="str">
        <f>IFERROR(__xludf.DUMMYFUNCTION("""COMPUTED_VALUE""")," Current Affairs - Social Justice")</f>
        <v> Current Affairs - Social Justice</v>
      </c>
      <c r="G347" s="4"/>
      <c r="H347" s="4"/>
      <c r="I347" s="5" t="s">
        <v>22</v>
      </c>
      <c r="J347" s="5" t="s">
        <v>31</v>
      </c>
      <c r="K347" s="5" t="s">
        <v>78</v>
      </c>
      <c r="L347" s="6" t="s">
        <v>539</v>
      </c>
      <c r="M347" s="5" t="s">
        <v>36</v>
      </c>
      <c r="N347" s="5" t="s">
        <v>27</v>
      </c>
      <c r="O347" s="5">
        <v>1010148.0</v>
      </c>
      <c r="P347" s="5">
        <v>2874.0</v>
      </c>
      <c r="Q347" s="5">
        <v>699834.0</v>
      </c>
      <c r="R347" s="5">
        <v>955905.0</v>
      </c>
      <c r="S347" s="5">
        <v>31.0</v>
      </c>
      <c r="T347" s="5">
        <v>7788.701621</v>
      </c>
    </row>
    <row r="348">
      <c r="A348" s="4" t="s">
        <v>1376</v>
      </c>
      <c r="B348" s="4" t="str">
        <f>IFERROR(__xludf.DUMMYFUNCTION("SPLIT(A348:A1074, ""&gt;"")"),"Online Behavior")</f>
        <v>Online Behavior</v>
      </c>
      <c r="C348" s="4" t="str">
        <f>IFERROR(__xludf.DUMMYFUNCTION("""COMPUTED_VALUE"""),"United States")</f>
        <v>United States</v>
      </c>
      <c r="D348" s="4" t="str">
        <f>IFERROR(__xludf.DUMMYFUNCTION("""COMPUTED_VALUE"""),"Sports")</f>
        <v>Sports</v>
      </c>
      <c r="E348" s="4" t="str">
        <f>IFERROR(__xludf.DUMMYFUNCTION("""COMPUTED_VALUE"""),"Team Sports ")</f>
        <v>Team Sports </v>
      </c>
      <c r="F348" s="4" t="str">
        <f>IFERROR(__xludf.DUMMYFUNCTION("""COMPUTED_VALUE""")," Rugby")</f>
        <v> Rugby</v>
      </c>
      <c r="G348" s="4"/>
      <c r="H348" s="4"/>
      <c r="I348" s="5" t="s">
        <v>15</v>
      </c>
      <c r="J348" s="5" t="s">
        <v>42</v>
      </c>
      <c r="K348" s="5" t="s">
        <v>78</v>
      </c>
      <c r="L348" s="6" t="s">
        <v>539</v>
      </c>
      <c r="M348" s="5" t="s">
        <v>46</v>
      </c>
      <c r="N348" s="5" t="s">
        <v>27</v>
      </c>
      <c r="O348" s="5">
        <v>1956642.0</v>
      </c>
      <c r="P348" s="5">
        <v>4563.0</v>
      </c>
      <c r="Q348" s="5">
        <v>981461.0</v>
      </c>
      <c r="R348" s="5">
        <v>1731673.0</v>
      </c>
      <c r="S348" s="5">
        <v>106.0</v>
      </c>
      <c r="T348" s="5">
        <v>7730.240616</v>
      </c>
    </row>
    <row r="349">
      <c r="A349" s="4" t="s">
        <v>1377</v>
      </c>
      <c r="B349" s="4" t="str">
        <f>IFERROR(__xludf.DUMMYFUNCTION("SPLIT(A349:A1075, ""&gt;"")"),"Online Behavior")</f>
        <v>Online Behavior</v>
      </c>
      <c r="C349" s="4" t="str">
        <f>IFERROR(__xludf.DUMMYFUNCTION("""COMPUTED_VALUE"""),"United States")</f>
        <v>United States</v>
      </c>
      <c r="D349" s="4" t="str">
        <f>IFERROR(__xludf.DUMMYFUNCTION("""COMPUTED_VALUE"""),"Beauty and Fitness")</f>
        <v>Beauty and Fitness</v>
      </c>
      <c r="E349" s="4" t="str">
        <f>IFERROR(__xludf.DUMMYFUNCTION("""COMPUTED_VALUE"""),"Fashion and Style ")</f>
        <v>Fashion and Style </v>
      </c>
      <c r="F349" s="4" t="str">
        <f>IFERROR(__xludf.DUMMYFUNCTION("""COMPUTED_VALUE""")," Fashion Designers and Collections")</f>
        <v> Fashion Designers and Collections</v>
      </c>
      <c r="G349" s="4"/>
      <c r="H349" s="4"/>
      <c r="I349" s="5" t="s">
        <v>15</v>
      </c>
      <c r="J349" s="5" t="s">
        <v>31</v>
      </c>
      <c r="K349" s="5" t="s">
        <v>55</v>
      </c>
      <c r="L349" s="6" t="s">
        <v>539</v>
      </c>
      <c r="M349" s="5" t="s">
        <v>19</v>
      </c>
      <c r="N349" s="5" t="s">
        <v>27</v>
      </c>
      <c r="O349" s="5">
        <v>23774.0</v>
      </c>
      <c r="P349" s="5">
        <v>60.0</v>
      </c>
      <c r="Q349" s="5">
        <v>10735.0</v>
      </c>
      <c r="R349" s="5">
        <v>21076.0</v>
      </c>
      <c r="S349" s="5">
        <v>24.0</v>
      </c>
      <c r="T349" s="5">
        <v>7657.108034</v>
      </c>
    </row>
    <row r="350">
      <c r="A350" s="4" t="s">
        <v>544</v>
      </c>
      <c r="B350" s="4" t="str">
        <f>IFERROR(__xludf.DUMMYFUNCTION("SPLIT(A350:A1076, ""&gt;"")"),"Online Behavior")</f>
        <v>Online Behavior</v>
      </c>
      <c r="C350" s="4" t="str">
        <f>IFERROR(__xludf.DUMMYFUNCTION("""COMPUTED_VALUE"""),"United States")</f>
        <v>United States</v>
      </c>
      <c r="D350" s="4" t="str">
        <f>IFERROR(__xludf.DUMMYFUNCTION("""COMPUTED_VALUE"""),"Beauty and Fitness")</f>
        <v>Beauty and Fitness</v>
      </c>
      <c r="E350" s="4" t="str">
        <f>IFERROR(__xludf.DUMMYFUNCTION("""COMPUTED_VALUE"""),"Weight Loss")</f>
        <v>Weight Loss</v>
      </c>
      <c r="F350" s="4"/>
      <c r="G350" s="4"/>
      <c r="H350" s="4"/>
      <c r="I350" s="5" t="s">
        <v>61</v>
      </c>
      <c r="J350" s="5" t="s">
        <v>31</v>
      </c>
      <c r="K350" s="5" t="s">
        <v>35</v>
      </c>
      <c r="L350" s="6" t="s">
        <v>539</v>
      </c>
      <c r="M350" s="5" t="s">
        <v>36</v>
      </c>
      <c r="N350" s="5" t="s">
        <v>27</v>
      </c>
      <c r="O350" s="5">
        <v>1083050.0</v>
      </c>
      <c r="P350" s="5">
        <v>3984.0</v>
      </c>
      <c r="Q350" s="5">
        <v>590156.0</v>
      </c>
      <c r="R350" s="5">
        <v>953556.0</v>
      </c>
      <c r="S350" s="5">
        <v>19.0</v>
      </c>
      <c r="T350" s="5">
        <v>7495.749847</v>
      </c>
    </row>
    <row r="351">
      <c r="A351" s="4" t="s">
        <v>545</v>
      </c>
      <c r="B351" s="4" t="str">
        <f>IFERROR(__xludf.DUMMYFUNCTION("SPLIT(A351:A1077, ""&gt;"")"),"Online Behavior")</f>
        <v>Online Behavior</v>
      </c>
      <c r="C351" s="4" t="str">
        <f>IFERROR(__xludf.DUMMYFUNCTION("""COMPUTED_VALUE"""),"United States")</f>
        <v>United States</v>
      </c>
      <c r="D351" s="4" t="str">
        <f>IFERROR(__xludf.DUMMYFUNCTION("""COMPUTED_VALUE"""),"Travel")</f>
        <v>Travel</v>
      </c>
      <c r="E351" s="4" t="str">
        <f>IFERROR(__xludf.DUMMYFUNCTION("""COMPUTED_VALUE"""),"Travel Agencies and Services")</f>
        <v>Travel Agencies and Services</v>
      </c>
      <c r="F351" s="4"/>
      <c r="G351" s="4"/>
      <c r="H351" s="4"/>
      <c r="I351" s="5" t="s">
        <v>61</v>
      </c>
      <c r="J351" s="5" t="s">
        <v>16</v>
      </c>
      <c r="K351" s="5" t="s">
        <v>78</v>
      </c>
      <c r="L351" s="6" t="s">
        <v>539</v>
      </c>
      <c r="M351" s="5" t="s">
        <v>19</v>
      </c>
      <c r="N351" s="5" t="s">
        <v>27</v>
      </c>
      <c r="O351" s="5">
        <v>184622.0</v>
      </c>
      <c r="P351" s="5">
        <v>180.0</v>
      </c>
      <c r="Q351" s="5">
        <v>98938.0</v>
      </c>
      <c r="R351" s="5">
        <v>161848.0</v>
      </c>
      <c r="S351" s="5">
        <v>13.0</v>
      </c>
      <c r="T351" s="5">
        <v>7149.816075</v>
      </c>
    </row>
    <row r="352">
      <c r="A352" s="4" t="s">
        <v>1378</v>
      </c>
      <c r="B352" s="4" t="str">
        <f>IFERROR(__xludf.DUMMYFUNCTION("SPLIT(A352:A1078, ""&gt;"")"),"Online Behavior")</f>
        <v>Online Behavior</v>
      </c>
      <c r="C352" s="4" t="str">
        <f>IFERROR(__xludf.DUMMYFUNCTION("""COMPUTED_VALUE"""),"United States")</f>
        <v>United States</v>
      </c>
      <c r="D352" s="4" t="str">
        <f>IFERROR(__xludf.DUMMYFUNCTION("""COMPUTED_VALUE"""),"Validated Demographic ")</f>
        <v>Validated Demographic </v>
      </c>
      <c r="E352" s="4" t="str">
        <f>IFERROR(__xludf.DUMMYFUNCTION("""COMPUTED_VALUE""")," Gender and Age Combined")</f>
        <v> Gender and Age Combined</v>
      </c>
      <c r="F352" s="4" t="str">
        <f>IFERROR(__xludf.DUMMYFUNCTION("""COMPUTED_VALUE"""),"Females 18-64")</f>
        <v>Females 18-64</v>
      </c>
      <c r="G352" s="4"/>
      <c r="H352" s="4"/>
      <c r="I352" s="5" t="s">
        <v>22</v>
      </c>
      <c r="J352" s="5" t="s">
        <v>31</v>
      </c>
      <c r="K352" s="5" t="s">
        <v>35</v>
      </c>
      <c r="L352" s="6" t="s">
        <v>539</v>
      </c>
      <c r="M352" s="5" t="s">
        <v>50</v>
      </c>
      <c r="N352" s="5" t="s">
        <v>27</v>
      </c>
      <c r="O352" s="5">
        <v>742281.0</v>
      </c>
      <c r="P352" s="5">
        <v>1999.0</v>
      </c>
      <c r="Q352" s="5">
        <v>432673.0</v>
      </c>
      <c r="R352" s="5">
        <v>642404.0</v>
      </c>
      <c r="S352" s="5">
        <v>11.0</v>
      </c>
      <c r="T352" s="5">
        <v>6024.422487</v>
      </c>
    </row>
    <row r="353">
      <c r="A353" s="4" t="s">
        <v>1379</v>
      </c>
      <c r="B353" s="4" t="str">
        <f>IFERROR(__xludf.DUMMYFUNCTION("SPLIT(A353:A1079, ""&gt;"")"),"Online Behavior")</f>
        <v>Online Behavior</v>
      </c>
      <c r="C353" s="4" t="str">
        <f>IFERROR(__xludf.DUMMYFUNCTION("""COMPUTED_VALUE"""),"United States")</f>
        <v>United States</v>
      </c>
      <c r="D353" s="4" t="str">
        <f>IFERROR(__xludf.DUMMYFUNCTION("""COMPUTED_VALUE"""),"Travel")</f>
        <v>Travel</v>
      </c>
      <c r="E353" s="4" t="str">
        <f>IFERROR(__xludf.DUMMYFUNCTION("""COMPUTED_VALUE"""),"Specialty Travel ")</f>
        <v>Specialty Travel </v>
      </c>
      <c r="F353" s="4" t="str">
        <f>IFERROR(__xludf.DUMMYFUNCTION("""COMPUTED_VALUE""")," Agritourism")</f>
        <v> Agritourism</v>
      </c>
      <c r="G353" s="4"/>
      <c r="H353" s="4"/>
      <c r="I353" s="5" t="s">
        <v>15</v>
      </c>
      <c r="J353" s="5" t="s">
        <v>16</v>
      </c>
      <c r="K353" s="5" t="s">
        <v>17</v>
      </c>
      <c r="L353" s="6" t="s">
        <v>539</v>
      </c>
      <c r="M353" s="5" t="s">
        <v>26</v>
      </c>
      <c r="N353" s="5" t="s">
        <v>27</v>
      </c>
      <c r="O353" s="5">
        <v>1720462.0</v>
      </c>
      <c r="P353" s="5">
        <v>4865.0</v>
      </c>
      <c r="Q353" s="5">
        <v>940296.0</v>
      </c>
      <c r="R353" s="5">
        <v>1516537.0</v>
      </c>
      <c r="S353" s="5">
        <v>20.0</v>
      </c>
      <c r="T353" s="5">
        <v>5906.464967</v>
      </c>
    </row>
    <row r="354">
      <c r="A354" s="4" t="s">
        <v>1380</v>
      </c>
      <c r="B354" s="4" t="str">
        <f>IFERROR(__xludf.DUMMYFUNCTION("SPLIT(A354:A1080, ""&gt;"")"),"Online Behavior")</f>
        <v>Online Behavior</v>
      </c>
      <c r="C354" s="4" t="str">
        <f>IFERROR(__xludf.DUMMYFUNCTION("""COMPUTED_VALUE"""),"United States")</f>
        <v>United States</v>
      </c>
      <c r="D354" s="4" t="str">
        <f>IFERROR(__xludf.DUMMYFUNCTION("""COMPUTED_VALUE"""),"Validated Demographic ")</f>
        <v>Validated Demographic </v>
      </c>
      <c r="E354" s="4" t="str">
        <f>IFERROR(__xludf.DUMMYFUNCTION("""COMPUTED_VALUE""")," Gender and Age Combined")</f>
        <v> Gender and Age Combined</v>
      </c>
      <c r="F354" s="4" t="str">
        <f>IFERROR(__xludf.DUMMYFUNCTION("""COMPUTED_VALUE"""),"Females 25-64")</f>
        <v>Females 25-64</v>
      </c>
      <c r="G354" s="4"/>
      <c r="H354" s="4"/>
      <c r="I354" s="5" t="s">
        <v>15</v>
      </c>
      <c r="J354" s="5" t="s">
        <v>16</v>
      </c>
      <c r="K354" s="5" t="s">
        <v>45</v>
      </c>
      <c r="L354" s="6" t="s">
        <v>539</v>
      </c>
      <c r="M354" s="5" t="s">
        <v>19</v>
      </c>
      <c r="N354" s="5" t="s">
        <v>27</v>
      </c>
      <c r="O354" s="5">
        <v>766674.0</v>
      </c>
      <c r="P354" s="5">
        <v>1984.0</v>
      </c>
      <c r="Q354" s="5">
        <v>344201.0</v>
      </c>
      <c r="R354" s="5">
        <v>720606.0</v>
      </c>
      <c r="S354" s="5">
        <v>17.0</v>
      </c>
      <c r="T354" s="5">
        <v>5816.234619</v>
      </c>
    </row>
    <row r="355">
      <c r="A355" s="4" t="s">
        <v>549</v>
      </c>
      <c r="B355" s="4" t="str">
        <f>IFERROR(__xludf.DUMMYFUNCTION("SPLIT(A355:A1081, ""&gt;"")"),"Online Behavior")</f>
        <v>Online Behavior</v>
      </c>
      <c r="C355" s="4" t="str">
        <f>IFERROR(__xludf.DUMMYFUNCTION("""COMPUTED_VALUE"""),"United States")</f>
        <v>United States</v>
      </c>
      <c r="D355" s="4" t="str">
        <f>IFERROR(__xludf.DUMMYFUNCTION("""COMPUTED_VALUE"""),"The Changing Consumer")</f>
        <v>The Changing Consumer</v>
      </c>
      <c r="E355" s="4" t="str">
        <f>IFERROR(__xludf.DUMMYFUNCTION("""COMPUTED_VALUE"""),"Home Entertaining")</f>
        <v>Home Entertaining</v>
      </c>
      <c r="F355" s="4"/>
      <c r="G355" s="4"/>
      <c r="H355" s="4"/>
      <c r="I355" s="5" t="s">
        <v>15</v>
      </c>
      <c r="J355" s="5" t="s">
        <v>23</v>
      </c>
      <c r="K355" s="5" t="s">
        <v>131</v>
      </c>
      <c r="L355" s="6" t="s">
        <v>539</v>
      </c>
      <c r="M355" s="5" t="s">
        <v>19</v>
      </c>
      <c r="N355" s="5" t="s">
        <v>27</v>
      </c>
      <c r="O355" s="5">
        <v>14730.0</v>
      </c>
      <c r="P355" s="5">
        <v>86.0</v>
      </c>
      <c r="Q355" s="5">
        <v>6410.0</v>
      </c>
      <c r="R355" s="5">
        <v>10860.0</v>
      </c>
      <c r="S355" s="5">
        <v>6.0</v>
      </c>
      <c r="T355" s="5">
        <v>5287.567528</v>
      </c>
    </row>
    <row r="356">
      <c r="A356" s="4" t="s">
        <v>1381</v>
      </c>
      <c r="B356" s="4" t="str">
        <f>IFERROR(__xludf.DUMMYFUNCTION("SPLIT(A356:A1082, ""&gt;"")"),"Online Behavior")</f>
        <v>Online Behavior</v>
      </c>
      <c r="C356" s="4" t="str">
        <f>IFERROR(__xludf.DUMMYFUNCTION("""COMPUTED_VALUE"""),"United States")</f>
        <v>United States</v>
      </c>
      <c r="D356" s="4" t="str">
        <f>IFERROR(__xludf.DUMMYFUNCTION("""COMPUTED_VALUE"""),"Validated Demographic ")</f>
        <v>Validated Demographic </v>
      </c>
      <c r="E356" s="4" t="str">
        <f>IFERROR(__xludf.DUMMYFUNCTION("""COMPUTED_VALUE""")," Gender and Age Combined")</f>
        <v> Gender and Age Combined</v>
      </c>
      <c r="F356" s="4" t="str">
        <f>IFERROR(__xludf.DUMMYFUNCTION("""COMPUTED_VALUE"""),"Females 18-44")</f>
        <v>Females 18-44</v>
      </c>
      <c r="G356" s="4"/>
      <c r="H356" s="4"/>
      <c r="I356" s="5" t="s">
        <v>22</v>
      </c>
      <c r="J356" s="5" t="s">
        <v>42</v>
      </c>
      <c r="K356" s="5" t="s">
        <v>121</v>
      </c>
      <c r="L356" s="6" t="s">
        <v>539</v>
      </c>
      <c r="M356" s="5" t="s">
        <v>26</v>
      </c>
      <c r="N356" s="5" t="s">
        <v>27</v>
      </c>
      <c r="O356" s="5">
        <v>207685.0</v>
      </c>
      <c r="P356" s="5">
        <v>512.0</v>
      </c>
      <c r="Q356" s="5">
        <v>20134.0</v>
      </c>
      <c r="R356" s="5">
        <v>30708.0</v>
      </c>
      <c r="S356" s="5">
        <v>34.0</v>
      </c>
      <c r="T356" s="5">
        <v>5239.204787</v>
      </c>
    </row>
    <row r="357">
      <c r="A357" s="4" t="s">
        <v>551</v>
      </c>
      <c r="B357" s="4" t="str">
        <f>IFERROR(__xludf.DUMMYFUNCTION("SPLIT(A357:A1083, ""&gt;"")"),"Online Behavior")</f>
        <v>Online Behavior</v>
      </c>
      <c r="C357" s="4" t="str">
        <f>IFERROR(__xludf.DUMMYFUNCTION("""COMPUTED_VALUE"""),"United States")</f>
        <v>United States</v>
      </c>
      <c r="D357" s="4" t="str">
        <f>IFERROR(__xludf.DUMMYFUNCTION("""COMPUTED_VALUE"""),"Food and Drink")</f>
        <v>Food and Drink</v>
      </c>
      <c r="E357" s="4" t="str">
        <f>IFERROR(__xludf.DUMMYFUNCTION("""COMPUTED_VALUE"""),"Restaurants")</f>
        <v>Restaurants</v>
      </c>
      <c r="F357" s="4"/>
      <c r="G357" s="4"/>
      <c r="H357" s="4"/>
      <c r="I357" s="5" t="s">
        <v>15</v>
      </c>
      <c r="J357" s="5" t="s">
        <v>23</v>
      </c>
      <c r="K357" s="5" t="s">
        <v>17</v>
      </c>
      <c r="L357" s="6" t="s">
        <v>539</v>
      </c>
      <c r="M357" s="5" t="s">
        <v>80</v>
      </c>
      <c r="N357" s="5" t="s">
        <v>27</v>
      </c>
      <c r="O357" s="5">
        <v>908899.0</v>
      </c>
      <c r="P357" s="5">
        <v>1984.0</v>
      </c>
      <c r="Q357" s="5">
        <v>644697.0</v>
      </c>
      <c r="R357" s="5">
        <v>853964.0</v>
      </c>
      <c r="S357" s="5">
        <v>32.0</v>
      </c>
      <c r="T357" s="5">
        <v>5181.087383</v>
      </c>
    </row>
    <row r="358">
      <c r="A358" s="4" t="s">
        <v>1382</v>
      </c>
      <c r="B358" s="4" t="str">
        <f>IFERROR(__xludf.DUMMYFUNCTION("SPLIT(A358:A1084, ""&gt;"")"),"Online Behavior")</f>
        <v>Online Behavior</v>
      </c>
      <c r="C358" s="4" t="str">
        <f>IFERROR(__xludf.DUMMYFUNCTION("""COMPUTED_VALUE"""),"United States")</f>
        <v>United States</v>
      </c>
      <c r="D358" s="4" t="str">
        <f>IFERROR(__xludf.DUMMYFUNCTION("""COMPUTED_VALUE"""),"Sports")</f>
        <v>Sports</v>
      </c>
      <c r="E358" s="4" t="str">
        <f>IFERROR(__xludf.DUMMYFUNCTION("""COMPUTED_VALUE"""),"Winter Sports ")</f>
        <v>Winter Sports </v>
      </c>
      <c r="F358" s="4" t="str">
        <f>IFERROR(__xludf.DUMMYFUNCTION("""COMPUTED_VALUE""")," Ice Skating")</f>
        <v> Ice Skating</v>
      </c>
      <c r="G358" s="4"/>
      <c r="H358" s="4"/>
      <c r="I358" s="5" t="s">
        <v>15</v>
      </c>
      <c r="J358" s="5" t="s">
        <v>31</v>
      </c>
      <c r="K358" s="5" t="s">
        <v>35</v>
      </c>
      <c r="L358" s="6" t="s">
        <v>539</v>
      </c>
      <c r="M358" s="5" t="s">
        <v>19</v>
      </c>
      <c r="N358" s="5" t="s">
        <v>27</v>
      </c>
      <c r="O358" s="5">
        <v>470192.0</v>
      </c>
      <c r="P358" s="5">
        <v>940.0</v>
      </c>
      <c r="Q358" s="5">
        <v>336480.0</v>
      </c>
      <c r="R358" s="5">
        <v>443202.0</v>
      </c>
      <c r="S358" s="5">
        <v>3.0</v>
      </c>
      <c r="T358" s="5">
        <v>4963.966251</v>
      </c>
    </row>
    <row r="359">
      <c r="A359" s="4" t="s">
        <v>1844</v>
      </c>
      <c r="B359" s="4" t="str">
        <f>IFERROR(__xludf.DUMMYFUNCTION("SPLIT(A359:A1085, ""&gt;"")"),"US ")</f>
        <v>US </v>
      </c>
      <c r="C359" s="4" t="str">
        <f>IFERROR(__xludf.DUMMYFUNCTION("""COMPUTED_VALUE""")," Reach ")</f>
        <v> Reach </v>
      </c>
      <c r="D359" s="4" t="str">
        <f>IFERROR(__xludf.DUMMYFUNCTION("""COMPUTED_VALUE""")," Propensity Models ")</f>
        <v> Propensity Models </v>
      </c>
      <c r="E359" s="4" t="str">
        <f>IFERROR(__xludf.DUMMYFUNCTION("""COMPUTED_VALUE""")," Hobbies and Interest ")</f>
        <v> Hobbies and Interest </v>
      </c>
      <c r="F359" s="4" t="str">
        <f>IFERROR(__xludf.DUMMYFUNCTION("""COMPUTED_VALUE""")," Sports ")</f>
        <v> Sports </v>
      </c>
      <c r="G359" s="4" t="str">
        <f>IFERROR(__xludf.DUMMYFUNCTION("""COMPUTED_VALUE""")," PGA Tour Enthusiast")</f>
        <v> PGA Tour Enthusiast</v>
      </c>
      <c r="H359" s="4"/>
      <c r="I359" s="5" t="s">
        <v>22</v>
      </c>
      <c r="J359" s="5" t="s">
        <v>31</v>
      </c>
      <c r="K359" s="5" t="s">
        <v>78</v>
      </c>
      <c r="L359" s="6" t="s">
        <v>539</v>
      </c>
      <c r="M359" s="5" t="s">
        <v>26</v>
      </c>
      <c r="N359" s="5" t="s">
        <v>27</v>
      </c>
      <c r="O359" s="5">
        <v>65257.0</v>
      </c>
      <c r="P359" s="5">
        <v>201.0</v>
      </c>
      <c r="Q359" s="5">
        <v>12749.0</v>
      </c>
      <c r="R359" s="5">
        <v>19274.0</v>
      </c>
      <c r="S359" s="5">
        <v>3.0</v>
      </c>
      <c r="T359" s="5">
        <v>2468.135837</v>
      </c>
    </row>
    <row r="360">
      <c r="A360" s="4" t="s">
        <v>1845</v>
      </c>
      <c r="B360" s="4" t="str">
        <f>IFERROR(__xludf.DUMMYFUNCTION("SPLIT(A360:A1086, ""&gt;"")"),"US ")</f>
        <v>US </v>
      </c>
      <c r="C360" s="4" t="str">
        <f>IFERROR(__xludf.DUMMYFUNCTION("""COMPUTED_VALUE""")," Sociodemographic ")</f>
        <v> Sociodemographic </v>
      </c>
      <c r="D360" s="4" t="str">
        <f>IFERROR(__xludf.DUMMYFUNCTION("""COMPUTED_VALUE""")," ConneXions Lifestage ")</f>
        <v> ConneXions Lifestage </v>
      </c>
      <c r="E360" s="4" t="str">
        <f>IFERROR(__xludf.DUMMYFUNCTION("""COMPUTED_VALUE""")," M4 Elderly Traditionalists")</f>
        <v> M4 Elderly Traditionalists</v>
      </c>
      <c r="F360" s="4"/>
      <c r="G360" s="4"/>
      <c r="H360" s="4"/>
      <c r="I360" s="5" t="s">
        <v>22</v>
      </c>
      <c r="J360" s="5" t="s">
        <v>23</v>
      </c>
      <c r="K360" s="5" t="s">
        <v>66</v>
      </c>
      <c r="L360" s="6" t="s">
        <v>539</v>
      </c>
      <c r="M360" s="5" t="s">
        <v>19</v>
      </c>
      <c r="N360" s="5" t="s">
        <v>27</v>
      </c>
      <c r="O360" s="5">
        <v>31003.0</v>
      </c>
      <c r="P360" s="5">
        <v>87.0</v>
      </c>
      <c r="Q360" s="5">
        <v>12591.0</v>
      </c>
      <c r="R360" s="5">
        <v>22656.0</v>
      </c>
      <c r="S360" s="5">
        <v>8.0</v>
      </c>
      <c r="T360" s="5">
        <v>2294.003778</v>
      </c>
    </row>
    <row r="361">
      <c r="A361" s="4" t="s">
        <v>1846</v>
      </c>
      <c r="B361" s="4" t="str">
        <f>IFERROR(__xludf.DUMMYFUNCTION("SPLIT(A361:A1087, ""&gt;"")"),"US ")</f>
        <v>US </v>
      </c>
      <c r="C361" s="4" t="str">
        <f>IFERROR(__xludf.DUMMYFUNCTION("""COMPUTED_VALUE""")," Reach ")</f>
        <v> Reach </v>
      </c>
      <c r="D361" s="4" t="str">
        <f>IFERROR(__xludf.DUMMYFUNCTION("""COMPUTED_VALUE""")," Propensity Models ")</f>
        <v> Propensity Models </v>
      </c>
      <c r="E361" s="4" t="str">
        <f>IFERROR(__xludf.DUMMYFUNCTION("""COMPUTED_VALUE""")," Hobbies and Interest ")</f>
        <v> Hobbies and Interest </v>
      </c>
      <c r="F361" s="4" t="str">
        <f>IFERROR(__xludf.DUMMYFUNCTION("""COMPUTED_VALUE""")," Sports ")</f>
        <v> Sports </v>
      </c>
      <c r="G361" s="4" t="str">
        <f>IFERROR(__xludf.DUMMYFUNCTION("""COMPUTED_VALUE""")," NASCAR Enthusiast")</f>
        <v> NASCAR Enthusiast</v>
      </c>
      <c r="H361" s="4"/>
      <c r="I361" s="5" t="s">
        <v>15</v>
      </c>
      <c r="J361" s="5" t="s">
        <v>31</v>
      </c>
      <c r="K361" s="5" t="s">
        <v>55</v>
      </c>
      <c r="L361" s="6" t="s">
        <v>539</v>
      </c>
      <c r="M361" s="5" t="s">
        <v>19</v>
      </c>
      <c r="N361" s="5" t="s">
        <v>27</v>
      </c>
      <c r="O361" s="5">
        <v>12988.0</v>
      </c>
      <c r="P361" s="5">
        <v>69.0</v>
      </c>
      <c r="Q361" s="5">
        <v>6514.0</v>
      </c>
      <c r="R361" s="5">
        <v>9378.0</v>
      </c>
      <c r="S361" s="5">
        <v>4.0</v>
      </c>
      <c r="T361" s="5">
        <v>2236.485099</v>
      </c>
    </row>
    <row r="362">
      <c r="A362" s="4" t="s">
        <v>1847</v>
      </c>
      <c r="B362" s="4" t="str">
        <f>IFERROR(__xludf.DUMMYFUNCTION("SPLIT(A362:A1088, ""&gt;"")"),"Mobile - US ")</f>
        <v>Mobile - US </v>
      </c>
      <c r="C362" s="4" t="str">
        <f>IFERROR(__xludf.DUMMYFUNCTION("""COMPUTED_VALUE""")," Automotive ")</f>
        <v> Automotive </v>
      </c>
      <c r="D362" s="4" t="str">
        <f>IFERROR(__xludf.DUMMYFUNCTION("""COMPUTED_VALUE""")," Vehicle Ownership ")</f>
        <v> Vehicle Ownership </v>
      </c>
      <c r="E362" s="4" t="str">
        <f>IFERROR(__xludf.DUMMYFUNCTION("""COMPUTED_VALUE""")," yes")</f>
        <v> yes</v>
      </c>
      <c r="F362" s="4"/>
      <c r="G362" s="4"/>
      <c r="H362" s="4"/>
      <c r="I362" s="5" t="s">
        <v>61</v>
      </c>
      <c r="J362" s="5" t="s">
        <v>23</v>
      </c>
      <c r="K362" s="5" t="s">
        <v>35</v>
      </c>
      <c r="L362" s="6" t="s">
        <v>539</v>
      </c>
      <c r="M362" s="5" t="s">
        <v>19</v>
      </c>
      <c r="N362" s="5" t="s">
        <v>27</v>
      </c>
      <c r="O362" s="5">
        <v>562103.0</v>
      </c>
      <c r="P362" s="5">
        <v>1450.0</v>
      </c>
      <c r="Q362" s="5">
        <v>340616.0</v>
      </c>
      <c r="R362" s="5">
        <v>488921.0</v>
      </c>
      <c r="S362" s="5">
        <v>8.0</v>
      </c>
      <c r="T362" s="5">
        <v>1733.830172</v>
      </c>
    </row>
    <row r="363">
      <c r="A363" s="4" t="s">
        <v>1848</v>
      </c>
      <c r="B363" s="4" t="str">
        <f>IFERROR(__xludf.DUMMYFUNCTION("SPLIT(A363:A1089, ""&gt;"")"),"US ")</f>
        <v>US </v>
      </c>
      <c r="C363" s="4" t="str">
        <f>IFERROR(__xludf.DUMMYFUNCTION("""COMPUTED_VALUE""")," Brand Propensities ")</f>
        <v> Brand Propensities </v>
      </c>
      <c r="D363" s="4" t="str">
        <f>IFERROR(__xludf.DUMMYFUNCTION("""COMPUTED_VALUE""")," Media and Entertainment ")</f>
        <v> Media and Entertainment </v>
      </c>
      <c r="E363" s="4" t="str">
        <f>IFERROR(__xludf.DUMMYFUNCTION("""COMPUTED_VALUE""")," Steam Community Buyer Propensity")</f>
        <v> Steam Community Buyer Propensity</v>
      </c>
      <c r="F363" s="4"/>
      <c r="G363" s="4"/>
      <c r="H363" s="4"/>
      <c r="I363" s="5" t="s">
        <v>22</v>
      </c>
      <c r="J363" s="5" t="s">
        <v>23</v>
      </c>
      <c r="K363" s="5" t="s">
        <v>29</v>
      </c>
      <c r="L363" s="6" t="s">
        <v>539</v>
      </c>
      <c r="M363" s="5" t="s">
        <v>19</v>
      </c>
      <c r="N363" s="5" t="s">
        <v>27</v>
      </c>
      <c r="O363" s="5">
        <v>780475.0</v>
      </c>
      <c r="P363" s="5">
        <v>2186.0</v>
      </c>
      <c r="Q363" s="5">
        <v>453974.0</v>
      </c>
      <c r="R363" s="5">
        <v>691696.0</v>
      </c>
      <c r="S363" s="5">
        <v>11.0</v>
      </c>
      <c r="T363" s="5">
        <v>1726.249457</v>
      </c>
    </row>
    <row r="364">
      <c r="A364" s="4" t="s">
        <v>1388</v>
      </c>
      <c r="B364" s="4" t="str">
        <f>IFERROR(__xludf.DUMMYFUNCTION("SPLIT(A364:A1090, ""&gt;"")"),"OnAudience ")</f>
        <v>OnAudience </v>
      </c>
      <c r="C364" s="4" t="str">
        <f>IFERROR(__xludf.DUMMYFUNCTION("""COMPUTED_VALUE""")," Interest ")</f>
        <v> Interest </v>
      </c>
      <c r="D364" s="4" t="str">
        <f>IFERROR(__xludf.DUMMYFUNCTION("""COMPUTED_VALUE""")," Travel")</f>
        <v> Travel</v>
      </c>
      <c r="E364" s="4"/>
      <c r="F364" s="4"/>
      <c r="G364" s="4"/>
      <c r="H364" s="4"/>
      <c r="I364" s="5" t="s">
        <v>15</v>
      </c>
      <c r="J364" s="5" t="s">
        <v>16</v>
      </c>
      <c r="K364" s="5" t="s">
        <v>78</v>
      </c>
      <c r="L364" s="6" t="s">
        <v>539</v>
      </c>
      <c r="M364" s="5" t="s">
        <v>46</v>
      </c>
      <c r="N364" s="5" t="s">
        <v>27</v>
      </c>
      <c r="O364" s="5">
        <v>7540.0</v>
      </c>
      <c r="P364" s="5">
        <v>10.0</v>
      </c>
      <c r="Q364" s="5">
        <v>1475.0</v>
      </c>
      <c r="R364" s="5">
        <v>2054.0</v>
      </c>
      <c r="S364" s="5">
        <v>1.0</v>
      </c>
      <c r="T364" s="5">
        <v>1713.978863</v>
      </c>
    </row>
    <row r="365">
      <c r="A365" s="4" t="s">
        <v>1849</v>
      </c>
      <c r="B365" s="4" t="str">
        <f>IFERROR(__xludf.DUMMYFUNCTION("SPLIT(A365:A1091, ""&gt;"")"),"US ")</f>
        <v>US </v>
      </c>
      <c r="C365" s="4" t="str">
        <f>IFERROR(__xludf.DUMMYFUNCTION("""COMPUTED_VALUE""")," Brand Propensities ")</f>
        <v> Brand Propensities </v>
      </c>
      <c r="D365" s="4" t="str">
        <f>IFERROR(__xludf.DUMMYFUNCTION("""COMPUTED_VALUE""")," Automotive ")</f>
        <v> Automotive </v>
      </c>
      <c r="E365" s="4" t="str">
        <f>IFERROR(__xludf.DUMMYFUNCTION("""COMPUTED_VALUE""")," Tirerack.com Buyer Propensity")</f>
        <v> Tirerack.com Buyer Propensity</v>
      </c>
      <c r="F365" s="4"/>
      <c r="G365" s="4"/>
      <c r="H365" s="4"/>
      <c r="I365" s="5" t="s">
        <v>15</v>
      </c>
      <c r="J365" s="5" t="s">
        <v>23</v>
      </c>
      <c r="K365" s="5" t="s">
        <v>39</v>
      </c>
      <c r="L365" s="6" t="s">
        <v>539</v>
      </c>
      <c r="M365" s="5" t="s">
        <v>19</v>
      </c>
      <c r="N365" s="5" t="s">
        <v>27</v>
      </c>
      <c r="O365" s="5">
        <v>482834.0</v>
      </c>
      <c r="P365" s="5">
        <v>1269.0</v>
      </c>
      <c r="Q365" s="5">
        <v>292059.0</v>
      </c>
      <c r="R365" s="5">
        <v>428761.0</v>
      </c>
      <c r="S365" s="5">
        <v>7.0</v>
      </c>
      <c r="T365" s="5">
        <v>1594.463397</v>
      </c>
    </row>
    <row r="366">
      <c r="A366" s="4" t="s">
        <v>1390</v>
      </c>
      <c r="B366" s="4" t="str">
        <f>IFERROR(__xludf.DUMMYFUNCTION("SPLIT(A366:A1092, ""&gt;"")"),"Lotame ")</f>
        <v>Lotame </v>
      </c>
      <c r="C366" s="4" t="str">
        <f>IFERROR(__xludf.DUMMYFUNCTION("""COMPUTED_VALUE""")," Style, Fashion &amp; Clothing ")</f>
        <v> Style, Fashion &amp; Clothing </v>
      </c>
      <c r="D366" s="4" t="str">
        <f>IFERROR(__xludf.DUMMYFUNCTION("""COMPUTED_VALUE""")," Clothing Shoppers")</f>
        <v> Clothing Shoppers</v>
      </c>
      <c r="E366" s="4"/>
      <c r="F366" s="4"/>
      <c r="G366" s="4"/>
      <c r="H366" s="4"/>
      <c r="I366" s="5" t="s">
        <v>15</v>
      </c>
      <c r="J366" s="5" t="s">
        <v>16</v>
      </c>
      <c r="K366" s="5" t="s">
        <v>39</v>
      </c>
      <c r="L366" s="6" t="s">
        <v>539</v>
      </c>
      <c r="M366" s="5" t="s">
        <v>117</v>
      </c>
      <c r="N366" s="5" t="s">
        <v>27</v>
      </c>
      <c r="O366" s="5">
        <v>19464.0</v>
      </c>
      <c r="P366" s="5">
        <v>68.0</v>
      </c>
      <c r="Q366" s="5">
        <v>11814.0</v>
      </c>
      <c r="R366" s="5">
        <v>17040.0</v>
      </c>
      <c r="S366" s="5">
        <v>9.0</v>
      </c>
      <c r="T366" s="5">
        <v>1540.46935</v>
      </c>
    </row>
    <row r="367">
      <c r="A367" s="4" t="s">
        <v>1391</v>
      </c>
      <c r="B367" s="4" t="str">
        <f>IFERROR(__xludf.DUMMYFUNCTION("SPLIT(A367:A1093, ""&gt;"")"),"Transactional ")</f>
        <v>Transactional </v>
      </c>
      <c r="C367" s="4" t="str">
        <f>IFERROR(__xludf.DUMMYFUNCTION("""COMPUTED_VALUE""")," Q3 Home Entertainers")</f>
        <v> Q3 Home Entertainers</v>
      </c>
      <c r="D367" s="4"/>
      <c r="E367" s="4"/>
      <c r="F367" s="4"/>
      <c r="G367" s="4"/>
      <c r="H367" s="4"/>
      <c r="I367" s="5" t="s">
        <v>22</v>
      </c>
      <c r="J367" s="5" t="s">
        <v>16</v>
      </c>
      <c r="K367" s="5" t="s">
        <v>17</v>
      </c>
      <c r="L367" s="6" t="s">
        <v>539</v>
      </c>
      <c r="M367" s="5" t="s">
        <v>26</v>
      </c>
      <c r="N367" s="5" t="s">
        <v>27</v>
      </c>
      <c r="O367" s="5">
        <v>50838.0</v>
      </c>
      <c r="P367" s="5">
        <v>130.0</v>
      </c>
      <c r="Q367" s="5">
        <v>23274.0</v>
      </c>
      <c r="R367" s="5">
        <v>35934.0</v>
      </c>
      <c r="S367" s="5">
        <v>11.0</v>
      </c>
      <c r="T367" s="5">
        <v>1521.372273</v>
      </c>
    </row>
    <row r="368">
      <c r="A368" s="4" t="s">
        <v>1392</v>
      </c>
      <c r="B368" s="4" t="str">
        <f>IFERROR(__xludf.DUMMYFUNCTION("SPLIT(A368:A1094, ""&gt;"")"),"Travel and Tourism ")</f>
        <v>Travel and Tourism </v>
      </c>
      <c r="C368" s="4" t="str">
        <f>IFERROR(__xludf.DUMMYFUNCTION("""COMPUTED_VALUE""")," Interest (Affinity) ")</f>
        <v> Interest (Affinity) </v>
      </c>
      <c r="D368" s="4" t="str">
        <f>IFERROR(__xludf.DUMMYFUNCTION("""COMPUTED_VALUE""")," Products ")</f>
        <v> Products </v>
      </c>
      <c r="E368" s="4" t="str">
        <f>IFERROR(__xludf.DUMMYFUNCTION("""COMPUTED_VALUE""")," Hotels and Lodging")</f>
        <v> Hotels and Lodging</v>
      </c>
      <c r="F368" s="4"/>
      <c r="G368" s="4"/>
      <c r="H368" s="4"/>
      <c r="I368" s="5" t="s">
        <v>15</v>
      </c>
      <c r="J368" s="5" t="s">
        <v>23</v>
      </c>
      <c r="K368" s="5" t="s">
        <v>55</v>
      </c>
      <c r="L368" s="6" t="s">
        <v>539</v>
      </c>
      <c r="M368" s="5" t="s">
        <v>136</v>
      </c>
      <c r="N368" s="5" t="s">
        <v>27</v>
      </c>
      <c r="O368" s="5">
        <v>679098.0</v>
      </c>
      <c r="P368" s="5">
        <v>1984.0</v>
      </c>
      <c r="Q368" s="5">
        <v>467726.0</v>
      </c>
      <c r="R368" s="5">
        <v>634589.0</v>
      </c>
      <c r="S368" s="5">
        <v>9.0</v>
      </c>
      <c r="T368" s="5">
        <v>1477.424856</v>
      </c>
    </row>
    <row r="369">
      <c r="A369" s="4" t="s">
        <v>1850</v>
      </c>
      <c r="B369" s="4" t="str">
        <f>IFERROR(__xludf.DUMMYFUNCTION("SPLIT(A369:A1095, ""&gt;"")"),"US ")</f>
        <v>US </v>
      </c>
      <c r="C369" s="4" t="str">
        <f>IFERROR(__xludf.DUMMYFUNCTION("""COMPUTED_VALUE""")," Demographic ")</f>
        <v> Demographic </v>
      </c>
      <c r="D369" s="4" t="str">
        <f>IFERROR(__xludf.DUMMYFUNCTION("""COMPUTED_VALUE""")," Family ")</f>
        <v> Family </v>
      </c>
      <c r="E369" s="4" t="str">
        <f>IFERROR(__xludf.DUMMYFUNCTION("""COMPUTED_VALUE""")," Households with 3 Adults")</f>
        <v> Households with 3 Adults</v>
      </c>
      <c r="F369" s="4"/>
      <c r="G369" s="4"/>
      <c r="H369" s="4"/>
      <c r="I369" s="5" t="s">
        <v>15</v>
      </c>
      <c r="J369" s="5" t="s">
        <v>42</v>
      </c>
      <c r="K369" s="5" t="s">
        <v>29</v>
      </c>
      <c r="L369" s="6" t="s">
        <v>539</v>
      </c>
      <c r="M369" s="5" t="s">
        <v>19</v>
      </c>
      <c r="N369" s="5" t="s">
        <v>52</v>
      </c>
      <c r="O369" s="5">
        <v>32436.0</v>
      </c>
      <c r="P369" s="5">
        <v>56.0</v>
      </c>
      <c r="Q369" s="5">
        <v>17531.0</v>
      </c>
      <c r="R369" s="5">
        <v>28429.0</v>
      </c>
      <c r="S369" s="5">
        <v>6.0</v>
      </c>
      <c r="T369" s="5">
        <v>1470.670167</v>
      </c>
    </row>
    <row r="370">
      <c r="A370" s="4" t="s">
        <v>1394</v>
      </c>
      <c r="B370" s="4" t="str">
        <f>IFERROR(__xludf.DUMMYFUNCTION("SPLIT(A370:A1096, ""&gt;"")"),"Online Behavior")</f>
        <v>Online Behavior</v>
      </c>
      <c r="C370" s="4" t="str">
        <f>IFERROR(__xludf.DUMMYFUNCTION("""COMPUTED_VALUE"""),"United States")</f>
        <v>United States</v>
      </c>
      <c r="D370" s="4" t="str">
        <f>IFERROR(__xludf.DUMMYFUNCTION("""COMPUTED_VALUE"""),"Intent ")</f>
        <v>Intent </v>
      </c>
      <c r="E370" s="4" t="str">
        <f>IFERROR(__xludf.DUMMYFUNCTION("""COMPUTED_VALUE""")," Shopping")</f>
        <v> Shopping</v>
      </c>
      <c r="F370" s="4" t="str">
        <f>IFERROR(__xludf.DUMMYFUNCTION("""COMPUTED_VALUE"""),"Entertainment")</f>
        <v>Entertainment</v>
      </c>
      <c r="G370" s="4"/>
      <c r="H370" s="4"/>
      <c r="I370" s="5" t="s">
        <v>61</v>
      </c>
      <c r="J370" s="5" t="s">
        <v>23</v>
      </c>
      <c r="K370" s="5" t="s">
        <v>78</v>
      </c>
      <c r="L370" s="6" t="s">
        <v>565</v>
      </c>
      <c r="M370" s="5" t="s">
        <v>117</v>
      </c>
      <c r="N370" s="5" t="s">
        <v>27</v>
      </c>
      <c r="O370" s="5">
        <v>11734.0</v>
      </c>
      <c r="P370" s="5">
        <v>78.0</v>
      </c>
      <c r="Q370" s="5">
        <v>8741.0</v>
      </c>
      <c r="R370" s="5">
        <v>10606.0</v>
      </c>
      <c r="S370" s="5">
        <v>5.0</v>
      </c>
      <c r="T370" s="5">
        <v>6439.283498</v>
      </c>
    </row>
    <row r="371">
      <c r="A371" s="4" t="s">
        <v>566</v>
      </c>
      <c r="B371" s="4" t="str">
        <f>IFERROR(__xludf.DUMMYFUNCTION("SPLIT(A371:A1097, ""&gt;"")"),"Online Behavior")</f>
        <v>Online Behavior</v>
      </c>
      <c r="C371" s="4" t="str">
        <f>IFERROR(__xludf.DUMMYFUNCTION("""COMPUTED_VALUE"""),"United States")</f>
        <v>United States</v>
      </c>
      <c r="D371" s="4" t="str">
        <f>IFERROR(__xludf.DUMMYFUNCTION("""COMPUTED_VALUE"""),"The Changing Consumer")</f>
        <v>The Changing Consumer</v>
      </c>
      <c r="E371" s="4" t="str">
        <f>IFERROR(__xludf.DUMMYFUNCTION("""COMPUTED_VALUE"""),"Personal Budgeting")</f>
        <v>Personal Budgeting</v>
      </c>
      <c r="F371" s="4"/>
      <c r="G371" s="4"/>
      <c r="H371" s="4"/>
      <c r="I371" s="5" t="s">
        <v>22</v>
      </c>
      <c r="J371" s="5" t="s">
        <v>23</v>
      </c>
      <c r="K371" s="5" t="s">
        <v>147</v>
      </c>
      <c r="L371" s="6" t="s">
        <v>565</v>
      </c>
      <c r="M371" s="5" t="s">
        <v>36</v>
      </c>
      <c r="N371" s="5" t="s">
        <v>27</v>
      </c>
      <c r="O371" s="5">
        <v>27371.0</v>
      </c>
      <c r="P371" s="5">
        <v>60.0</v>
      </c>
      <c r="Q371" s="5">
        <v>22256.0</v>
      </c>
      <c r="R371" s="5">
        <v>25986.0</v>
      </c>
      <c r="S371" s="5">
        <v>5.0</v>
      </c>
      <c r="T371" s="5">
        <v>4984.485583</v>
      </c>
    </row>
    <row r="372">
      <c r="A372" s="4" t="s">
        <v>1851</v>
      </c>
      <c r="B372" s="4" t="str">
        <f>IFERROR(__xludf.DUMMYFUNCTION("SPLIT(A372:A1098, ""&gt;"")"),"Mobile - US ")</f>
        <v>Mobile - US </v>
      </c>
      <c r="C372" s="4" t="str">
        <f>IFERROR(__xludf.DUMMYFUNCTION("""COMPUTED_VALUE""")," Food ")</f>
        <v> Food </v>
      </c>
      <c r="D372" s="4" t="str">
        <f>IFERROR(__xludf.DUMMYFUNCTION("""COMPUTED_VALUE""")," Restaurant ")</f>
        <v> Restaurant </v>
      </c>
      <c r="E372" s="4" t="str">
        <f>IFERROR(__xludf.DUMMYFUNCTION("""COMPUTED_VALUE""")," Brand ")</f>
        <v> Brand </v>
      </c>
      <c r="F372" s="4" t="str">
        <f>IFERROR(__xludf.DUMMYFUNCTION("""COMPUTED_VALUE""")," Moes Southwest Grill")</f>
        <v> Moes Southwest Grill</v>
      </c>
      <c r="G372" s="4"/>
      <c r="H372" s="4"/>
      <c r="I372" s="5" t="s">
        <v>22</v>
      </c>
      <c r="J372" s="5" t="s">
        <v>23</v>
      </c>
      <c r="K372" s="5" t="s">
        <v>84</v>
      </c>
      <c r="L372" s="6" t="s">
        <v>565</v>
      </c>
      <c r="M372" s="5" t="s">
        <v>117</v>
      </c>
      <c r="N372" s="5" t="s">
        <v>27</v>
      </c>
      <c r="O372" s="5">
        <v>21903.0</v>
      </c>
      <c r="P372" s="5">
        <v>124.0</v>
      </c>
      <c r="Q372" s="5">
        <v>18831.0</v>
      </c>
      <c r="R372" s="5">
        <v>20922.0</v>
      </c>
      <c r="S372" s="5">
        <v>4.0</v>
      </c>
      <c r="T372" s="5">
        <v>1661.167909</v>
      </c>
    </row>
    <row r="373">
      <c r="A373" s="4" t="s">
        <v>1396</v>
      </c>
      <c r="B373" s="4" t="str">
        <f>IFERROR(__xludf.DUMMYFUNCTION("SPLIT(A373:A1099, ""&gt;"")"),"Online Behavior")</f>
        <v>Online Behavior</v>
      </c>
      <c r="C373" s="4" t="str">
        <f>IFERROR(__xludf.DUMMYFUNCTION("""COMPUTED_VALUE"""),"United States")</f>
        <v>United States</v>
      </c>
      <c r="D373" s="4" t="str">
        <f>IFERROR(__xludf.DUMMYFUNCTION("""COMPUTED_VALUE"""),"Validated Demographic ")</f>
        <v>Validated Demographic </v>
      </c>
      <c r="E373" s="4" t="str">
        <f>IFERROR(__xludf.DUMMYFUNCTION("""COMPUTED_VALUE""")," Gender and Age Combined")</f>
        <v> Gender and Age Combined</v>
      </c>
      <c r="F373" s="4" t="str">
        <f>IFERROR(__xludf.DUMMYFUNCTION("""COMPUTED_VALUE"""),"Males 25-54")</f>
        <v>Males 25-54</v>
      </c>
      <c r="G373" s="4"/>
      <c r="H373" s="4"/>
      <c r="I373" s="5" t="s">
        <v>15</v>
      </c>
      <c r="J373" s="5" t="s">
        <v>16</v>
      </c>
      <c r="K373" s="5" t="s">
        <v>35</v>
      </c>
      <c r="L373" s="6" t="s">
        <v>569</v>
      </c>
      <c r="M373" s="5" t="s">
        <v>184</v>
      </c>
      <c r="N373" s="5" t="s">
        <v>27</v>
      </c>
      <c r="O373" s="5">
        <v>9725.0</v>
      </c>
      <c r="P373" s="5">
        <v>80.0</v>
      </c>
      <c r="Q373" s="5">
        <v>6616.0</v>
      </c>
      <c r="R373" s="5">
        <v>8778.0</v>
      </c>
      <c r="S373" s="5">
        <v>1.0</v>
      </c>
      <c r="T373" s="5">
        <v>4942.283987</v>
      </c>
    </row>
    <row r="374">
      <c r="A374" s="4" t="s">
        <v>570</v>
      </c>
      <c r="B374" s="4" t="str">
        <f>IFERROR(__xludf.DUMMYFUNCTION("SPLIT(A374:A1100, ""&gt;"")"),"Online Behavior")</f>
        <v>Online Behavior</v>
      </c>
      <c r="C374" s="4" t="str">
        <f>IFERROR(__xludf.DUMMYFUNCTION("""COMPUTED_VALUE"""),"United States")</f>
        <v>United States</v>
      </c>
      <c r="D374" s="4" t="str">
        <f>IFERROR(__xludf.DUMMYFUNCTION("""COMPUTED_VALUE"""),"Travel")</f>
        <v>Travel</v>
      </c>
      <c r="E374" s="4" t="str">
        <f>IFERROR(__xludf.DUMMYFUNCTION("""COMPUTED_VALUE"""),"Business Travel")</f>
        <v>Business Travel</v>
      </c>
      <c r="F374" s="4"/>
      <c r="G374" s="4"/>
      <c r="H374" s="4"/>
      <c r="I374" s="5" t="s">
        <v>22</v>
      </c>
      <c r="J374" s="5" t="s">
        <v>23</v>
      </c>
      <c r="K374" s="5" t="s">
        <v>35</v>
      </c>
      <c r="L374" s="6" t="s">
        <v>569</v>
      </c>
      <c r="M374" s="5" t="s">
        <v>19</v>
      </c>
      <c r="N374" s="5" t="s">
        <v>27</v>
      </c>
      <c r="O374" s="5">
        <v>45965.0</v>
      </c>
      <c r="P374" s="5">
        <v>190.0</v>
      </c>
      <c r="Q374" s="5">
        <v>10028.0</v>
      </c>
      <c r="R374" s="5">
        <v>37295.0</v>
      </c>
      <c r="S374" s="5">
        <v>1.0</v>
      </c>
      <c r="T374" s="5">
        <v>4718.836114</v>
      </c>
    </row>
    <row r="375">
      <c r="A375" s="4" t="s">
        <v>1852</v>
      </c>
      <c r="B375" s="4" t="str">
        <f>IFERROR(__xludf.DUMMYFUNCTION("SPLIT(A375:A1101, ""&gt;"")"),"US Financial ")</f>
        <v>US Financial </v>
      </c>
      <c r="C375" s="4" t="str">
        <f>IFERROR(__xludf.DUMMYFUNCTION("""COMPUTED_VALUE""")," Likely In Market Timing ")</f>
        <v> Likely In Market Timing </v>
      </c>
      <c r="D375" s="4" t="str">
        <f>IFERROR(__xludf.DUMMYFUNCTION("""COMPUTED_VALUE""")," Not At All Likely to Purchase ")</f>
        <v> Not At All Likely to Purchase </v>
      </c>
      <c r="E375" s="4" t="str">
        <f>IFERROR(__xludf.DUMMYFUNCTION("""COMPUTED_VALUE""")," Second House/Residence In The Next Year (Financial)")</f>
        <v> Second House/Residence In The Next Year (Financial)</v>
      </c>
      <c r="F375" s="4"/>
      <c r="G375" s="4"/>
      <c r="H375" s="4"/>
      <c r="I375" s="5" t="s">
        <v>15</v>
      </c>
      <c r="J375" s="5" t="s">
        <v>31</v>
      </c>
      <c r="K375" s="5" t="s">
        <v>17</v>
      </c>
      <c r="L375" s="6" t="s">
        <v>572</v>
      </c>
      <c r="M375" s="5" t="s">
        <v>19</v>
      </c>
      <c r="N375" s="5" t="s">
        <v>27</v>
      </c>
      <c r="O375" s="5">
        <v>8944.0</v>
      </c>
      <c r="P375" s="5">
        <v>45.0</v>
      </c>
      <c r="Q375" s="5">
        <v>3002.0</v>
      </c>
      <c r="R375" s="5">
        <v>6361.0</v>
      </c>
      <c r="S375" s="5">
        <v>6.0</v>
      </c>
      <c r="T375" s="5">
        <v>1755.484542</v>
      </c>
    </row>
    <row r="376">
      <c r="A376" s="4" t="s">
        <v>1399</v>
      </c>
      <c r="B376" s="4" t="str">
        <f>IFERROR(__xludf.DUMMYFUNCTION("SPLIT(A376:A1102, ""&gt;"")"),"Online Behavior")</f>
        <v>Online Behavior</v>
      </c>
      <c r="C376" s="4" t="str">
        <f>IFERROR(__xludf.DUMMYFUNCTION("""COMPUTED_VALUE"""),"United States")</f>
        <v>United States</v>
      </c>
      <c r="D376" s="4" t="str">
        <f>IFERROR(__xludf.DUMMYFUNCTION("""COMPUTED_VALUE"""),"Hobbies and Leisure")</f>
        <v>Hobbies and Leisure</v>
      </c>
      <c r="E376" s="4" t="str">
        <f>IFERROR(__xludf.DUMMYFUNCTION("""COMPUTED_VALUE"""),"Special Occasions ")</f>
        <v>Special Occasions </v>
      </c>
      <c r="F376" s="4" t="str">
        <f>IFERROR(__xludf.DUMMYFUNCTION("""COMPUTED_VALUE""")," Party Planning")</f>
        <v> Party Planning</v>
      </c>
      <c r="G376" s="4"/>
      <c r="H376" s="4"/>
      <c r="I376" s="5" t="s">
        <v>15</v>
      </c>
      <c r="J376" s="5" t="s">
        <v>42</v>
      </c>
      <c r="K376" s="5" t="s">
        <v>29</v>
      </c>
      <c r="L376" s="6" t="s">
        <v>574</v>
      </c>
      <c r="M376" s="5" t="s">
        <v>117</v>
      </c>
      <c r="N376" s="5" t="s">
        <v>27</v>
      </c>
      <c r="O376" s="5">
        <v>14398.0</v>
      </c>
      <c r="P376" s="5">
        <v>30.0</v>
      </c>
      <c r="Q376" s="5">
        <v>2807.0</v>
      </c>
      <c r="R376" s="5">
        <v>13393.0</v>
      </c>
      <c r="S376" s="5">
        <v>7.0</v>
      </c>
      <c r="T376" s="5">
        <v>5154.644555</v>
      </c>
    </row>
    <row r="377">
      <c r="A377" s="4" t="s">
        <v>1400</v>
      </c>
      <c r="B377" s="4" t="str">
        <f>IFERROR(__xludf.DUMMYFUNCTION("SPLIT(A377:A1103, ""&gt;"")"),"Online Behavior")</f>
        <v>Online Behavior</v>
      </c>
      <c r="C377" s="4" t="str">
        <f>IFERROR(__xludf.DUMMYFUNCTION("""COMPUTED_VALUE"""),"United States")</f>
        <v>United States</v>
      </c>
      <c r="D377" s="4" t="str">
        <f>IFERROR(__xludf.DUMMYFUNCTION("""COMPUTED_VALUE"""),"Sports")</f>
        <v>Sports</v>
      </c>
      <c r="E377" s="4" t="str">
        <f>IFERROR(__xludf.DUMMYFUNCTION("""COMPUTED_VALUE"""),"Individual Sports ")</f>
        <v>Individual Sports </v>
      </c>
      <c r="F377" s="4" t="str">
        <f>IFERROR(__xludf.DUMMYFUNCTION("""COMPUTED_VALUE""")," Skate Sports")</f>
        <v> Skate Sports</v>
      </c>
      <c r="G377" s="4"/>
      <c r="H377" s="4"/>
      <c r="I377" s="5" t="s">
        <v>22</v>
      </c>
      <c r="J377" s="5" t="s">
        <v>23</v>
      </c>
      <c r="K377" s="5" t="s">
        <v>214</v>
      </c>
      <c r="L377" s="6" t="s">
        <v>576</v>
      </c>
      <c r="M377" s="5" t="s">
        <v>50</v>
      </c>
      <c r="N377" s="5" t="s">
        <v>27</v>
      </c>
      <c r="O377" s="5">
        <v>117879.0</v>
      </c>
      <c r="P377" s="5">
        <v>390.0</v>
      </c>
      <c r="Q377" s="5">
        <v>52098.0</v>
      </c>
      <c r="R377" s="5">
        <v>86127.0</v>
      </c>
      <c r="S377" s="5">
        <v>1.0</v>
      </c>
      <c r="T377" s="5">
        <v>5102.706729</v>
      </c>
    </row>
    <row r="378">
      <c r="A378" s="4" t="s">
        <v>1853</v>
      </c>
      <c r="B378" s="4" t="str">
        <f>IFERROR(__xludf.DUMMYFUNCTION("SPLIT(A378:A1104, ""&gt;"")"),"US ")</f>
        <v>US </v>
      </c>
      <c r="C378" s="4" t="str">
        <f>IFERROR(__xludf.DUMMYFUNCTION("""COMPUTED_VALUE""")," Reach ")</f>
        <v> Reach </v>
      </c>
      <c r="D378" s="4" t="str">
        <f>IFERROR(__xludf.DUMMYFUNCTION("""COMPUTED_VALUE""")," Propensity Models ")</f>
        <v> Propensity Models </v>
      </c>
      <c r="E378" s="4" t="str">
        <f>IFERROR(__xludf.DUMMYFUNCTION("""COMPUTED_VALUE""")," Hobbies and Interest ")</f>
        <v> Hobbies and Interest </v>
      </c>
      <c r="F378" s="4" t="str">
        <f>IFERROR(__xludf.DUMMYFUNCTION("""COMPUTED_VALUE""")," Sports ")</f>
        <v> Sports </v>
      </c>
      <c r="G378" s="4" t="str">
        <f>IFERROR(__xludf.DUMMYFUNCTION("""COMPUTED_VALUE""")," NFL Enthusiast")</f>
        <v> NFL Enthusiast</v>
      </c>
      <c r="H378" s="4"/>
      <c r="I378" s="5" t="s">
        <v>15</v>
      </c>
      <c r="J378" s="5" t="s">
        <v>31</v>
      </c>
      <c r="K378" s="5" t="s">
        <v>32</v>
      </c>
      <c r="L378" s="6" t="s">
        <v>578</v>
      </c>
      <c r="M378" s="5" t="s">
        <v>19</v>
      </c>
      <c r="N378" s="5" t="s">
        <v>27</v>
      </c>
      <c r="O378" s="5">
        <v>22444.0</v>
      </c>
      <c r="P378" s="5">
        <v>160.0</v>
      </c>
      <c r="Q378" s="5">
        <v>12672.0</v>
      </c>
      <c r="R378" s="5">
        <v>21345.0</v>
      </c>
      <c r="S378" s="5">
        <v>5.0</v>
      </c>
      <c r="T378" s="5">
        <v>2539.200563</v>
      </c>
    </row>
    <row r="379">
      <c r="A379" s="4" t="s">
        <v>1854</v>
      </c>
      <c r="B379" s="4" t="str">
        <f>IFERROR(__xludf.DUMMYFUNCTION("SPLIT(A379:A1105, ""&gt;"")"),"Mobile - US ")</f>
        <v>Mobile - US </v>
      </c>
      <c r="C379" s="4" t="str">
        <f>IFERROR(__xludf.DUMMYFUNCTION("""COMPUTED_VALUE""")," Device Ownership ")</f>
        <v> Device Ownership </v>
      </c>
      <c r="D379" s="4" t="str">
        <f>IFERROR(__xludf.DUMMYFUNCTION("""COMPUTED_VALUE""")," Tablets ")</f>
        <v> Tablets </v>
      </c>
      <c r="E379" s="4" t="str">
        <f>IFERROR(__xludf.DUMMYFUNCTION("""COMPUTED_VALUE""")," yes")</f>
        <v> yes</v>
      </c>
      <c r="F379" s="4"/>
      <c r="G379" s="4"/>
      <c r="H379" s="4"/>
      <c r="I379" s="5" t="s">
        <v>15</v>
      </c>
      <c r="J379" s="5" t="s">
        <v>31</v>
      </c>
      <c r="K379" s="5" t="s">
        <v>173</v>
      </c>
      <c r="L379" s="6" t="s">
        <v>578</v>
      </c>
      <c r="M379" s="5" t="s">
        <v>46</v>
      </c>
      <c r="N379" s="5" t="s">
        <v>20</v>
      </c>
      <c r="O379" s="5">
        <v>17645.0</v>
      </c>
      <c r="P379" s="5">
        <v>40.0</v>
      </c>
      <c r="Q379" s="5">
        <v>9673.0</v>
      </c>
      <c r="R379" s="5">
        <v>15088.0</v>
      </c>
      <c r="S379" s="5">
        <v>15.0</v>
      </c>
      <c r="T379" s="5">
        <v>1591.772246</v>
      </c>
    </row>
    <row r="380">
      <c r="A380" s="4" t="s">
        <v>1855</v>
      </c>
      <c r="B380" s="4" t="str">
        <f>IFERROR(__xludf.DUMMYFUNCTION("SPLIT(A380:A1106, ""&gt;"")"),"US ")</f>
        <v>US </v>
      </c>
      <c r="C380" s="4" t="str">
        <f>IFERROR(__xludf.DUMMYFUNCTION("""COMPUTED_VALUE""")," Health and Wellbeing ")</f>
        <v> Health and Wellbeing </v>
      </c>
      <c r="D380" s="4" t="str">
        <f>IFERROR(__xludf.DUMMYFUNCTION("""COMPUTED_VALUE""")," Health and Wellbeing")</f>
        <v> Health and Wellbeing</v>
      </c>
      <c r="E380" s="4"/>
      <c r="F380" s="4"/>
      <c r="G380" s="4"/>
      <c r="H380" s="4"/>
      <c r="I380" s="5" t="s">
        <v>22</v>
      </c>
      <c r="J380" s="5" t="s">
        <v>23</v>
      </c>
      <c r="K380" s="5" t="s">
        <v>35</v>
      </c>
      <c r="L380" s="6" t="s">
        <v>578</v>
      </c>
      <c r="M380" s="5" t="s">
        <v>36</v>
      </c>
      <c r="N380" s="5" t="s">
        <v>27</v>
      </c>
      <c r="O380" s="5">
        <v>9881.0</v>
      </c>
      <c r="P380" s="5">
        <v>15.0</v>
      </c>
      <c r="Q380" s="5">
        <v>2344.0</v>
      </c>
      <c r="R380" s="5">
        <v>7324.0</v>
      </c>
      <c r="S380" s="5">
        <v>1.0</v>
      </c>
      <c r="T380" s="5">
        <v>1505.01155</v>
      </c>
    </row>
    <row r="381">
      <c r="A381" s="4" t="s">
        <v>1856</v>
      </c>
      <c r="B381" s="4" t="str">
        <f>IFERROR(__xludf.DUMMYFUNCTION("SPLIT(A381:A1107, ""&gt;"")"),"US ")</f>
        <v>US </v>
      </c>
      <c r="C381" s="4" t="str">
        <f>IFERROR(__xludf.DUMMYFUNCTION("""COMPUTED_VALUE""")," Brand Propensities ")</f>
        <v> Brand Propensities </v>
      </c>
      <c r="D381" s="4" t="str">
        <f>IFERROR(__xludf.DUMMYFUNCTION("""COMPUTED_VALUE""")," Telecom and Service Providers ")</f>
        <v> Telecom and Service Providers </v>
      </c>
      <c r="E381" s="4" t="str">
        <f>IFERROR(__xludf.DUMMYFUNCTION("""COMPUTED_VALUE""")," Page Plus Cellular Buyer Propensity")</f>
        <v> Page Plus Cellular Buyer Propensity</v>
      </c>
      <c r="F381" s="4"/>
      <c r="G381" s="4"/>
      <c r="H381" s="4"/>
      <c r="I381" s="5" t="s">
        <v>22</v>
      </c>
      <c r="J381" s="5" t="s">
        <v>23</v>
      </c>
      <c r="K381" s="5" t="s">
        <v>273</v>
      </c>
      <c r="L381" s="6" t="s">
        <v>582</v>
      </c>
      <c r="M381" s="5" t="s">
        <v>167</v>
      </c>
      <c r="N381" s="5" t="s">
        <v>27</v>
      </c>
      <c r="O381" s="5">
        <v>12148.0</v>
      </c>
      <c r="P381" s="5">
        <v>40.0</v>
      </c>
      <c r="Q381" s="5">
        <v>7950.0</v>
      </c>
      <c r="R381" s="5">
        <v>11360.0</v>
      </c>
      <c r="S381" s="5">
        <v>9.0</v>
      </c>
      <c r="T381" s="5">
        <v>1936.008049</v>
      </c>
    </row>
    <row r="382">
      <c r="A382" s="4" t="s">
        <v>1857</v>
      </c>
      <c r="B382" s="4" t="str">
        <f>IFERROR(__xludf.DUMMYFUNCTION("SPLIT(A382:A1108, ""&gt;"")"),"US ")</f>
        <v>US </v>
      </c>
      <c r="C382" s="4" t="str">
        <f>IFERROR(__xludf.DUMMYFUNCTION("""COMPUTED_VALUE""")," Reach ")</f>
        <v> Reach </v>
      </c>
      <c r="D382" s="4" t="str">
        <f>IFERROR(__xludf.DUMMYFUNCTION("""COMPUTED_VALUE""")," Propensity Models ")</f>
        <v> Propensity Models </v>
      </c>
      <c r="E382" s="4" t="str">
        <f>IFERROR(__xludf.DUMMYFUNCTION("""COMPUTED_VALUE""")," Hobbies and Interest ")</f>
        <v> Hobbies and Interest </v>
      </c>
      <c r="F382" s="4" t="str">
        <f>IFERROR(__xludf.DUMMYFUNCTION("""COMPUTED_VALUE""")," Music ")</f>
        <v> Music </v>
      </c>
      <c r="G382" s="4" t="str">
        <f>IFERROR(__xludf.DUMMYFUNCTION("""COMPUTED_VALUE""")," Listens to Pop Music")</f>
        <v> Listens to Pop Music</v>
      </c>
      <c r="H382" s="4"/>
      <c r="I382" s="5" t="s">
        <v>22</v>
      </c>
      <c r="J382" s="5" t="s">
        <v>23</v>
      </c>
      <c r="K382" s="5" t="s">
        <v>29</v>
      </c>
      <c r="L382" s="6" t="s">
        <v>584</v>
      </c>
      <c r="M382" s="5" t="s">
        <v>19</v>
      </c>
      <c r="N382" s="5" t="s">
        <v>27</v>
      </c>
      <c r="O382" s="5">
        <v>18771.0</v>
      </c>
      <c r="P382" s="5">
        <v>69.0</v>
      </c>
      <c r="Q382" s="5">
        <v>10871.0</v>
      </c>
      <c r="R382" s="5">
        <v>17138.0</v>
      </c>
      <c r="S382" s="5">
        <v>6.0</v>
      </c>
      <c r="T382" s="5">
        <v>3827.366381</v>
      </c>
    </row>
    <row r="383">
      <c r="A383" s="4" t="s">
        <v>1406</v>
      </c>
      <c r="B383" s="4" t="str">
        <f>IFERROR(__xludf.DUMMYFUNCTION("SPLIT(A383:A1109, ""&gt;"")"),"Media and Entertainment ")</f>
        <v>Media and Entertainment </v>
      </c>
      <c r="C383" s="4" t="str">
        <f>IFERROR(__xludf.DUMMYFUNCTION("""COMPUTED_VALUE""")," Sports and Recreational Activities ")</f>
        <v> Sports and Recreational Activities </v>
      </c>
      <c r="D383" s="4" t="str">
        <f>IFERROR(__xludf.DUMMYFUNCTION("""COMPUTED_VALUE""")," Interest (Affinity) ")</f>
        <v> Interest (Affinity) </v>
      </c>
      <c r="E383" s="4" t="str">
        <f>IFERROR(__xludf.DUMMYFUNCTION("""COMPUTED_VALUE""")," Team Sports ")</f>
        <v> Team Sports </v>
      </c>
      <c r="F383" s="4" t="str">
        <f>IFERROR(__xludf.DUMMYFUNCTION("""COMPUTED_VALUE""")," Soccer (Football)")</f>
        <v> Soccer (Football)</v>
      </c>
      <c r="G383" s="4"/>
      <c r="H383" s="4"/>
      <c r="I383" s="5" t="s">
        <v>15</v>
      </c>
      <c r="J383" s="5" t="s">
        <v>23</v>
      </c>
      <c r="K383" s="5" t="s">
        <v>39</v>
      </c>
      <c r="L383" s="6" t="s">
        <v>584</v>
      </c>
      <c r="M383" s="5" t="s">
        <v>46</v>
      </c>
      <c r="N383" s="5" t="s">
        <v>27</v>
      </c>
      <c r="O383" s="5">
        <v>7402.0</v>
      </c>
      <c r="P383" s="5">
        <v>9.0</v>
      </c>
      <c r="Q383" s="5">
        <v>3860.0</v>
      </c>
      <c r="R383" s="5">
        <v>6406.0</v>
      </c>
      <c r="S383" s="5">
        <v>1.0</v>
      </c>
      <c r="T383" s="5">
        <v>1560.449936</v>
      </c>
    </row>
    <row r="384">
      <c r="A384" s="4" t="s">
        <v>1407</v>
      </c>
      <c r="B384" s="4" t="str">
        <f>IFERROR(__xludf.DUMMYFUNCTION("SPLIT(A384:A1110, ""&gt;"")"),"Online Behavior")</f>
        <v>Online Behavior</v>
      </c>
      <c r="C384" s="4" t="str">
        <f>IFERROR(__xludf.DUMMYFUNCTION("""COMPUTED_VALUE"""),"United States")</f>
        <v>United States</v>
      </c>
      <c r="D384" s="4" t="str">
        <f>IFERROR(__xludf.DUMMYFUNCTION("""COMPUTED_VALUE"""),"B2B ")</f>
        <v>B2B </v>
      </c>
      <c r="E384" s="4" t="str">
        <f>IFERROR(__xludf.DUMMYFUNCTION("""COMPUTED_VALUE""")," Occupation")</f>
        <v> Occupation</v>
      </c>
      <c r="F384" s="4" t="str">
        <f>IFERROR(__xludf.DUMMYFUNCTION("""COMPUTED_VALUE"""),"ElectricalEngineer")</f>
        <v>ElectricalEngineer</v>
      </c>
      <c r="G384" s="4"/>
      <c r="H384" s="4"/>
      <c r="I384" s="5" t="s">
        <v>22</v>
      </c>
      <c r="J384" s="5" t="s">
        <v>23</v>
      </c>
      <c r="K384" s="5" t="s">
        <v>35</v>
      </c>
      <c r="L384" s="6" t="s">
        <v>587</v>
      </c>
      <c r="M384" s="5" t="s">
        <v>19</v>
      </c>
      <c r="N384" s="5" t="s">
        <v>27</v>
      </c>
      <c r="O384" s="5">
        <v>38735.0</v>
      </c>
      <c r="P384" s="5">
        <v>114.0</v>
      </c>
      <c r="Q384" s="5">
        <v>28719.0</v>
      </c>
      <c r="R384" s="5">
        <v>36629.0</v>
      </c>
      <c r="S384" s="5">
        <v>4.0</v>
      </c>
      <c r="T384" s="5">
        <v>2127.824066</v>
      </c>
    </row>
    <row r="385">
      <c r="A385" s="4" t="s">
        <v>588</v>
      </c>
      <c r="B385" s="4" t="str">
        <f>IFERROR(__xludf.DUMMYFUNCTION("SPLIT(A385:A1111, ""&gt;"")"),"Online Behavior")</f>
        <v>Online Behavior</v>
      </c>
      <c r="C385" s="4" t="str">
        <f>IFERROR(__xludf.DUMMYFUNCTION("""COMPUTED_VALUE"""),"United States")</f>
        <v>United States</v>
      </c>
      <c r="D385" s="4" t="str">
        <f>IFERROR(__xludf.DUMMYFUNCTION("""COMPUTED_VALUE"""),"Beauty and Fitness")</f>
        <v>Beauty and Fitness</v>
      </c>
      <c r="E385" s="4" t="str">
        <f>IFERROR(__xludf.DUMMYFUNCTION("""COMPUTED_VALUE"""),"Fashion and Style")</f>
        <v>Fashion and Style</v>
      </c>
      <c r="F385" s="4"/>
      <c r="G385" s="4"/>
      <c r="H385" s="4"/>
      <c r="I385" s="5" t="s">
        <v>22</v>
      </c>
      <c r="J385" s="5" t="s">
        <v>42</v>
      </c>
      <c r="K385" s="5" t="s">
        <v>55</v>
      </c>
      <c r="L385" s="6" t="s">
        <v>587</v>
      </c>
      <c r="M385" s="5" t="s">
        <v>33</v>
      </c>
      <c r="N385" s="5" t="s">
        <v>27</v>
      </c>
      <c r="O385" s="5">
        <v>7320.0</v>
      </c>
      <c r="P385" s="5">
        <v>33.0</v>
      </c>
      <c r="Q385" s="5">
        <v>4020.0</v>
      </c>
      <c r="R385" s="5">
        <v>6692.0</v>
      </c>
      <c r="S385" s="5">
        <v>15.0</v>
      </c>
      <c r="T385" s="5">
        <v>1730.37357</v>
      </c>
    </row>
    <row r="386">
      <c r="A386" s="4" t="s">
        <v>1408</v>
      </c>
      <c r="B386" s="4" t="str">
        <f>IFERROR(__xludf.DUMMYFUNCTION("SPLIT(A386:A1112, ""&gt;"")"),"Online Behavior")</f>
        <v>Online Behavior</v>
      </c>
      <c r="C386" s="4" t="str">
        <f>IFERROR(__xludf.DUMMYFUNCTION("""COMPUTED_VALUE"""),"United States")</f>
        <v>United States</v>
      </c>
      <c r="D386" s="4" t="str">
        <f>IFERROR(__xludf.DUMMYFUNCTION("""COMPUTED_VALUE"""),"Autos and Vehicles ")</f>
        <v>Autos and Vehicles </v>
      </c>
      <c r="E386" s="4" t="str">
        <f>IFERROR(__xludf.DUMMYFUNCTION("""COMPUTED_VALUE""")," Brands")</f>
        <v> Brands</v>
      </c>
      <c r="F386" s="4" t="str">
        <f>IFERROR(__xludf.DUMMYFUNCTION("""COMPUTED_VALUE"""),"Honda")</f>
        <v>Honda</v>
      </c>
      <c r="G386" s="4"/>
      <c r="H386" s="4"/>
      <c r="I386" s="5" t="s">
        <v>22</v>
      </c>
      <c r="J386" s="5" t="s">
        <v>42</v>
      </c>
      <c r="K386" s="5" t="s">
        <v>356</v>
      </c>
      <c r="L386" s="6" t="s">
        <v>590</v>
      </c>
      <c r="M386" s="5" t="s">
        <v>26</v>
      </c>
      <c r="N386" s="5" t="s">
        <v>27</v>
      </c>
      <c r="O386" s="5">
        <v>90463.0</v>
      </c>
      <c r="P386" s="5">
        <v>204.0</v>
      </c>
      <c r="Q386" s="5">
        <v>803.0</v>
      </c>
      <c r="R386" s="5">
        <v>2465.0</v>
      </c>
      <c r="S386" s="5">
        <v>9.0</v>
      </c>
      <c r="T386" s="5">
        <v>6120.602514</v>
      </c>
    </row>
    <row r="387">
      <c r="A387" s="4" t="s">
        <v>1409</v>
      </c>
      <c r="B387" s="4" t="str">
        <f>IFERROR(__xludf.DUMMYFUNCTION("SPLIT(A387:A1113, ""&gt;"")"),"Online Behavior")</f>
        <v>Online Behavior</v>
      </c>
      <c r="C387" s="4" t="str">
        <f>IFERROR(__xludf.DUMMYFUNCTION("""COMPUTED_VALUE"""),"United States")</f>
        <v>United States</v>
      </c>
      <c r="D387" s="4" t="str">
        <f>IFERROR(__xludf.DUMMYFUNCTION("""COMPUTED_VALUE"""),"Validated Demographic ")</f>
        <v>Validated Demographic </v>
      </c>
      <c r="E387" s="4" t="str">
        <f>IFERROR(__xludf.DUMMYFUNCTION("""COMPUTED_VALUE""")," Age")</f>
        <v> Age</v>
      </c>
      <c r="F387" s="4" t="str">
        <f>IFERROR(__xludf.DUMMYFUNCTION("""COMPUTED_VALUE"""),"25-64")</f>
        <v>25-64</v>
      </c>
      <c r="G387" s="4"/>
      <c r="H387" s="4"/>
      <c r="I387" s="5" t="s">
        <v>22</v>
      </c>
      <c r="J387" s="5" t="s">
        <v>31</v>
      </c>
      <c r="K387" s="5" t="s">
        <v>304</v>
      </c>
      <c r="L387" s="6" t="s">
        <v>590</v>
      </c>
      <c r="M387" s="5" t="s">
        <v>36</v>
      </c>
      <c r="N387" s="5" t="s">
        <v>27</v>
      </c>
      <c r="O387" s="5">
        <v>252170.0</v>
      </c>
      <c r="P387" s="5">
        <v>650.0</v>
      </c>
      <c r="Q387" s="5">
        <v>9248.0</v>
      </c>
      <c r="R387" s="5">
        <v>14192.0</v>
      </c>
      <c r="S387" s="5">
        <v>1.0</v>
      </c>
      <c r="T387" s="5">
        <v>5874.00478</v>
      </c>
    </row>
    <row r="388">
      <c r="A388" s="4" t="s">
        <v>1858</v>
      </c>
      <c r="B388" s="4" t="str">
        <f>IFERROR(__xludf.DUMMYFUNCTION("SPLIT(A388:A1114, ""&gt;"")"),"US ")</f>
        <v>US </v>
      </c>
      <c r="C388" s="4" t="str">
        <f>IFERROR(__xludf.DUMMYFUNCTION("""COMPUTED_VALUE""")," Reach ")</f>
        <v> Reach </v>
      </c>
      <c r="D388" s="4" t="str">
        <f>IFERROR(__xludf.DUMMYFUNCTION("""COMPUTED_VALUE""")," Propensity Models ")</f>
        <v> Propensity Models </v>
      </c>
      <c r="E388" s="4" t="str">
        <f>IFERROR(__xludf.DUMMYFUNCTION("""COMPUTED_VALUE""")," Household Consumer Expenditures ")</f>
        <v> Household Consumer Expenditures </v>
      </c>
      <c r="F388" s="4" t="str">
        <f>IFERROR(__xludf.DUMMYFUNCTION("""COMPUTED_VALUE""")," Furniture")</f>
        <v> Furniture</v>
      </c>
      <c r="G388" s="4"/>
      <c r="H388" s="4"/>
      <c r="I388" s="5" t="s">
        <v>22</v>
      </c>
      <c r="J388" s="5" t="s">
        <v>16</v>
      </c>
      <c r="K388" s="5" t="s">
        <v>593</v>
      </c>
      <c r="L388" s="6" t="s">
        <v>590</v>
      </c>
      <c r="M388" s="5" t="s">
        <v>26</v>
      </c>
      <c r="N388" s="5" t="s">
        <v>27</v>
      </c>
      <c r="O388" s="5">
        <v>68114.0</v>
      </c>
      <c r="P388" s="5">
        <v>174.0</v>
      </c>
      <c r="Q388" s="5">
        <v>569.0</v>
      </c>
      <c r="R388" s="5">
        <v>2059.0</v>
      </c>
      <c r="S388" s="5">
        <v>15.0</v>
      </c>
      <c r="T388" s="5">
        <v>2753.711986</v>
      </c>
    </row>
    <row r="389">
      <c r="A389" s="4" t="s">
        <v>1859</v>
      </c>
      <c r="B389" s="4" t="str">
        <f>IFERROR(__xludf.DUMMYFUNCTION("SPLIT(A389:A1115, ""&gt;"")"),"US ")</f>
        <v>US </v>
      </c>
      <c r="C389" s="4" t="str">
        <f>IFERROR(__xludf.DUMMYFUNCTION("""COMPUTED_VALUE""")," Reach ")</f>
        <v> Reach </v>
      </c>
      <c r="D389" s="4" t="str">
        <f>IFERROR(__xludf.DUMMYFUNCTION("""COMPUTED_VALUE""")," Propensity Models ")</f>
        <v> Propensity Models </v>
      </c>
      <c r="E389" s="4" t="str">
        <f>IFERROR(__xludf.DUMMYFUNCTION("""COMPUTED_VALUE""")," Hobbies and Interest ")</f>
        <v> Hobbies and Interest </v>
      </c>
      <c r="F389" s="4" t="str">
        <f>IFERROR(__xludf.DUMMYFUNCTION("""COMPUTED_VALUE""")," Music ")</f>
        <v> Music </v>
      </c>
      <c r="G389" s="4" t="str">
        <f>IFERROR(__xludf.DUMMYFUNCTION("""COMPUTED_VALUE""")," Listens to Country Music")</f>
        <v> Listens to Country Music</v>
      </c>
      <c r="H389" s="4"/>
      <c r="I389" s="5" t="s">
        <v>15</v>
      </c>
      <c r="J389" s="5" t="s">
        <v>42</v>
      </c>
      <c r="K389" s="5" t="s">
        <v>29</v>
      </c>
      <c r="L389" s="6" t="s">
        <v>590</v>
      </c>
      <c r="M389" s="5" t="s">
        <v>231</v>
      </c>
      <c r="N389" s="5" t="s">
        <v>27</v>
      </c>
      <c r="O389" s="5">
        <v>292578.0</v>
      </c>
      <c r="P389" s="5">
        <v>812.0</v>
      </c>
      <c r="Q389" s="5">
        <v>6474.0</v>
      </c>
      <c r="R389" s="5">
        <v>12323.0</v>
      </c>
      <c r="S389" s="5">
        <v>4.0</v>
      </c>
      <c r="T389" s="5">
        <v>1826.318738</v>
      </c>
    </row>
    <row r="390">
      <c r="A390" s="4" t="s">
        <v>1412</v>
      </c>
      <c r="B390" s="4" t="str">
        <f>IFERROR(__xludf.DUMMYFUNCTION("SPLIT(A390:A1116, ""&gt;"")"),"Online Behavior")</f>
        <v>Online Behavior</v>
      </c>
      <c r="C390" s="4" t="str">
        <f>IFERROR(__xludf.DUMMYFUNCTION("""COMPUTED_VALUE"""),"United States")</f>
        <v>United States</v>
      </c>
      <c r="D390" s="4" t="str">
        <f>IFERROR(__xludf.DUMMYFUNCTION("""COMPUTED_VALUE"""),"Intent ")</f>
        <v>Intent </v>
      </c>
      <c r="E390" s="4" t="str">
        <f>IFERROR(__xludf.DUMMYFUNCTION("""COMPUTED_VALUE""")," Shopping")</f>
        <v> Shopping</v>
      </c>
      <c r="F390" s="4" t="str">
        <f>IFERROR(__xludf.DUMMYFUNCTION("""COMPUTED_VALUE"""),"Wireless Providers")</f>
        <v>Wireless Providers</v>
      </c>
      <c r="G390" s="4"/>
      <c r="H390" s="4"/>
      <c r="I390" s="5" t="s">
        <v>15</v>
      </c>
      <c r="J390" s="5" t="s">
        <v>42</v>
      </c>
      <c r="K390" s="5" t="s">
        <v>17</v>
      </c>
      <c r="L390" s="6" t="s">
        <v>596</v>
      </c>
      <c r="M390" s="5" t="s">
        <v>19</v>
      </c>
      <c r="N390" s="5" t="s">
        <v>20</v>
      </c>
      <c r="O390" s="5">
        <v>39725.0</v>
      </c>
      <c r="P390" s="5">
        <v>144.0</v>
      </c>
      <c r="Q390" s="5">
        <v>5402.0</v>
      </c>
      <c r="R390" s="5">
        <v>36080.0</v>
      </c>
      <c r="S390" s="5">
        <v>12.0</v>
      </c>
      <c r="T390" s="5">
        <v>6431.555152</v>
      </c>
    </row>
    <row r="391">
      <c r="A391" s="4" t="s">
        <v>1413</v>
      </c>
      <c r="B391" s="4" t="str">
        <f>IFERROR(__xludf.DUMMYFUNCTION("SPLIT(A391:A1117, ""&gt;"")"),"Online Behavior")</f>
        <v>Online Behavior</v>
      </c>
      <c r="C391" s="4" t="str">
        <f>IFERROR(__xludf.DUMMYFUNCTION("""COMPUTED_VALUE"""),"United States")</f>
        <v>United States</v>
      </c>
      <c r="D391" s="4" t="str">
        <f>IFERROR(__xludf.DUMMYFUNCTION("""COMPUTED_VALUE"""),"Hobbies and Leisure")</f>
        <v>Hobbies and Leisure</v>
      </c>
      <c r="E391" s="4" t="str">
        <f>IFERROR(__xludf.DUMMYFUNCTION("""COMPUTED_VALUE"""),"Outdoors ")</f>
        <v>Outdoors </v>
      </c>
      <c r="F391" s="4" t="str">
        <f>IFERROR(__xludf.DUMMYFUNCTION("""COMPUTED_VALUE""")," Fishing")</f>
        <v> Fishing</v>
      </c>
      <c r="G391" s="4"/>
      <c r="H391" s="4"/>
      <c r="I391" s="5" t="s">
        <v>15</v>
      </c>
      <c r="J391" s="5" t="s">
        <v>23</v>
      </c>
      <c r="K391" s="5" t="s">
        <v>78</v>
      </c>
      <c r="L391" s="6" t="s">
        <v>598</v>
      </c>
      <c r="M391" s="5" t="s">
        <v>26</v>
      </c>
      <c r="N391" s="5" t="s">
        <v>52</v>
      </c>
      <c r="O391" s="5">
        <v>25206.0</v>
      </c>
      <c r="P391" s="5">
        <v>75.0</v>
      </c>
      <c r="Q391" s="5">
        <v>3588.0</v>
      </c>
      <c r="R391" s="5">
        <v>23556.0</v>
      </c>
      <c r="S391" s="5">
        <v>19.0</v>
      </c>
      <c r="T391" s="5">
        <v>6846.356434</v>
      </c>
    </row>
    <row r="392">
      <c r="A392" s="4" t="s">
        <v>1414</v>
      </c>
      <c r="B392" s="4" t="str">
        <f>IFERROR(__xludf.DUMMYFUNCTION("SPLIT(A392:A1118, ""&gt;"")"),"Online Behavior")</f>
        <v>Online Behavior</v>
      </c>
      <c r="C392" s="4" t="str">
        <f>IFERROR(__xludf.DUMMYFUNCTION("""COMPUTED_VALUE"""),"United States")</f>
        <v>United States</v>
      </c>
      <c r="D392" s="4" t="str">
        <f>IFERROR(__xludf.DUMMYFUNCTION("""COMPUTED_VALUE"""),"Autos and Vehicles ")</f>
        <v>Autos and Vehicles </v>
      </c>
      <c r="E392" s="4" t="str">
        <f>IFERROR(__xludf.DUMMYFUNCTION("""COMPUTED_VALUE""")," Brands")</f>
        <v> Brands</v>
      </c>
      <c r="F392" s="4" t="str">
        <f>IFERROR(__xludf.DUMMYFUNCTION("""COMPUTED_VALUE"""),"Volkswagen")</f>
        <v>Volkswagen</v>
      </c>
      <c r="G392" s="4"/>
      <c r="H392" s="4"/>
      <c r="I392" s="5" t="s">
        <v>15</v>
      </c>
      <c r="J392" s="5" t="s">
        <v>16</v>
      </c>
      <c r="K392" s="5" t="s">
        <v>45</v>
      </c>
      <c r="L392" s="6" t="s">
        <v>598</v>
      </c>
      <c r="M392" s="5" t="s">
        <v>19</v>
      </c>
      <c r="N392" s="5" t="s">
        <v>27</v>
      </c>
      <c r="O392" s="5">
        <v>7789.0</v>
      </c>
      <c r="P392" s="5">
        <v>30.0</v>
      </c>
      <c r="Q392" s="5">
        <v>4655.0</v>
      </c>
      <c r="R392" s="5">
        <v>7434.0</v>
      </c>
      <c r="S392" s="5">
        <v>1.0</v>
      </c>
      <c r="T392" s="5">
        <v>6396.868763</v>
      </c>
    </row>
    <row r="393">
      <c r="A393" s="4" t="s">
        <v>1415</v>
      </c>
      <c r="B393" s="4" t="str">
        <f>IFERROR(__xludf.DUMMYFUNCTION("SPLIT(A393:A1119, ""&gt;"")"),"Online Behavior")</f>
        <v>Online Behavior</v>
      </c>
      <c r="C393" s="4" t="str">
        <f>IFERROR(__xludf.DUMMYFUNCTION("""COMPUTED_VALUE"""),"United States")</f>
        <v>United States</v>
      </c>
      <c r="D393" s="4" t="str">
        <f>IFERROR(__xludf.DUMMYFUNCTION("""COMPUTED_VALUE"""),"Autos and Vehicles ")</f>
        <v>Autos and Vehicles </v>
      </c>
      <c r="E393" s="4" t="str">
        <f>IFERROR(__xludf.DUMMYFUNCTION("""COMPUTED_VALUE""")," Brands")</f>
        <v> Brands</v>
      </c>
      <c r="F393" s="4" t="str">
        <f>IFERROR(__xludf.DUMMYFUNCTION("""COMPUTED_VALUE"""),"Jaguar")</f>
        <v>Jaguar</v>
      </c>
      <c r="G393" s="4"/>
      <c r="H393" s="4"/>
      <c r="I393" s="5" t="s">
        <v>22</v>
      </c>
      <c r="J393" s="5" t="s">
        <v>31</v>
      </c>
      <c r="K393" s="5" t="s">
        <v>35</v>
      </c>
      <c r="L393" s="6" t="s">
        <v>598</v>
      </c>
      <c r="M393" s="5" t="s">
        <v>19</v>
      </c>
      <c r="N393" s="5" t="s">
        <v>27</v>
      </c>
      <c r="O393" s="5">
        <v>38396.0</v>
      </c>
      <c r="P393" s="5">
        <v>87.0</v>
      </c>
      <c r="Q393" s="5">
        <v>6305.0</v>
      </c>
      <c r="R393" s="5">
        <v>35118.0</v>
      </c>
      <c r="S393" s="5">
        <v>9.0</v>
      </c>
      <c r="T393" s="5">
        <v>5740.164546</v>
      </c>
    </row>
    <row r="394">
      <c r="A394" s="4" t="s">
        <v>1860</v>
      </c>
      <c r="B394" s="4" t="str">
        <f>IFERROR(__xludf.DUMMYFUNCTION("SPLIT(A394:A1120, ""&gt;"")"),"US ")</f>
        <v>US </v>
      </c>
      <c r="C394" s="4" t="str">
        <f>IFERROR(__xludf.DUMMYFUNCTION("""COMPUTED_VALUE""")," Interest Propensities ")</f>
        <v> Interest Propensities </v>
      </c>
      <c r="D394" s="4" t="str">
        <f>IFERROR(__xludf.DUMMYFUNCTION("""COMPUTED_VALUE""")," Celebrities ")</f>
        <v> Celebrities </v>
      </c>
      <c r="E394" s="4" t="str">
        <f>IFERROR(__xludf.DUMMYFUNCTION("""COMPUTED_VALUE""")," Celebrity Fan Gossip")</f>
        <v> Celebrity Fan Gossip</v>
      </c>
      <c r="F394" s="4"/>
      <c r="G394" s="4"/>
      <c r="H394" s="4"/>
      <c r="I394" s="5" t="s">
        <v>22</v>
      </c>
      <c r="J394" s="5" t="s">
        <v>16</v>
      </c>
      <c r="K394" s="5" t="s">
        <v>78</v>
      </c>
      <c r="L394" s="6" t="s">
        <v>598</v>
      </c>
      <c r="M394" s="5" t="s">
        <v>19</v>
      </c>
      <c r="N394" s="5" t="s">
        <v>27</v>
      </c>
      <c r="O394" s="5">
        <v>10012.0</v>
      </c>
      <c r="P394" s="5">
        <v>25.0</v>
      </c>
      <c r="Q394" s="5">
        <v>5734.0</v>
      </c>
      <c r="R394" s="5">
        <v>9413.0</v>
      </c>
      <c r="S394" s="5">
        <v>4.0</v>
      </c>
      <c r="T394" s="5">
        <v>1805.926086</v>
      </c>
    </row>
    <row r="395">
      <c r="A395" s="4" t="s">
        <v>1861</v>
      </c>
      <c r="B395" s="4" t="str">
        <f>IFERROR(__xludf.DUMMYFUNCTION("SPLIT(A395:A1121, ""&gt;"")"),"US ")</f>
        <v>US </v>
      </c>
      <c r="C395" s="4" t="str">
        <f>IFERROR(__xludf.DUMMYFUNCTION("""COMPUTED_VALUE""")," Interest Propensities ")</f>
        <v> Interest Propensities </v>
      </c>
      <c r="D395" s="4" t="str">
        <f>IFERROR(__xludf.DUMMYFUNCTION("""COMPUTED_VALUE""")," Insurance ")</f>
        <v> Insurance </v>
      </c>
      <c r="E395" s="4" t="str">
        <f>IFERROR(__xludf.DUMMYFUNCTION("""COMPUTED_VALUE""")," Humana")</f>
        <v> Humana</v>
      </c>
      <c r="F395" s="4"/>
      <c r="G395" s="4"/>
      <c r="H395" s="4"/>
      <c r="I395" s="5" t="s">
        <v>61</v>
      </c>
      <c r="J395" s="5" t="s">
        <v>23</v>
      </c>
      <c r="K395" s="5" t="s">
        <v>45</v>
      </c>
      <c r="L395" s="6" t="s">
        <v>598</v>
      </c>
      <c r="M395" s="5" t="s">
        <v>603</v>
      </c>
      <c r="N395" s="5" t="s">
        <v>27</v>
      </c>
      <c r="O395" s="5">
        <v>12459.0</v>
      </c>
      <c r="P395" s="5">
        <v>84.0</v>
      </c>
      <c r="Q395" s="5">
        <v>7290.0</v>
      </c>
      <c r="R395" s="5">
        <v>11731.0</v>
      </c>
      <c r="S395" s="5">
        <v>14.0</v>
      </c>
      <c r="T395" s="5">
        <v>1593.010399</v>
      </c>
    </row>
    <row r="396">
      <c r="A396" s="4" t="s">
        <v>1862</v>
      </c>
      <c r="B396" s="4" t="str">
        <f>IFERROR(__xludf.DUMMYFUNCTION("SPLIT(A396:A1122, ""&gt;"")"),"US ")</f>
        <v>US </v>
      </c>
      <c r="C396" s="4" t="str">
        <f>IFERROR(__xludf.DUMMYFUNCTION("""COMPUTED_VALUE""")," Interest Propensities ")</f>
        <v> Interest Propensities </v>
      </c>
      <c r="D396" s="4" t="str">
        <f>IFERROR(__xludf.DUMMYFUNCTION("""COMPUTED_VALUE""")," Activities and Interests ")</f>
        <v> Activities and Interests </v>
      </c>
      <c r="E396" s="4" t="str">
        <f>IFERROR(__xludf.DUMMYFUNCTION("""COMPUTED_VALUE""")," B2B Job Search")</f>
        <v> B2B Job Search</v>
      </c>
      <c r="F396" s="4"/>
      <c r="G396" s="4"/>
      <c r="H396" s="4"/>
      <c r="I396" s="5" t="s">
        <v>22</v>
      </c>
      <c r="J396" s="5" t="s">
        <v>23</v>
      </c>
      <c r="K396" s="5" t="s">
        <v>183</v>
      </c>
      <c r="L396" s="6" t="s">
        <v>598</v>
      </c>
      <c r="M396" s="5" t="s">
        <v>46</v>
      </c>
      <c r="N396" s="5" t="s">
        <v>27</v>
      </c>
      <c r="O396" s="5">
        <v>32714.0</v>
      </c>
      <c r="P396" s="5">
        <v>69.0</v>
      </c>
      <c r="Q396" s="5">
        <v>3756.0</v>
      </c>
      <c r="R396" s="5">
        <v>30764.0</v>
      </c>
      <c r="S396" s="5">
        <v>15.0</v>
      </c>
      <c r="T396" s="5">
        <v>1506.624304</v>
      </c>
    </row>
    <row r="397">
      <c r="A397" s="4" t="s">
        <v>1419</v>
      </c>
      <c r="B397" s="4" t="str">
        <f>IFERROR(__xludf.DUMMYFUNCTION("SPLIT(A397:A1123, ""&gt;"")"),"Online Behavior")</f>
        <v>Online Behavior</v>
      </c>
      <c r="C397" s="4" t="str">
        <f>IFERROR(__xludf.DUMMYFUNCTION("""COMPUTED_VALUE"""),"United States")</f>
        <v>United States</v>
      </c>
      <c r="D397" s="4" t="str">
        <f>IFERROR(__xludf.DUMMYFUNCTION("""COMPUTED_VALUE"""),"Autos and Vehicles ")</f>
        <v>Autos and Vehicles </v>
      </c>
      <c r="E397" s="4" t="str">
        <f>IFERROR(__xludf.DUMMYFUNCTION("""COMPUTED_VALUE""")," Brands")</f>
        <v> Brands</v>
      </c>
      <c r="F397" s="4" t="str">
        <f>IFERROR(__xludf.DUMMYFUNCTION("""COMPUTED_VALUE"""),"Bugatti")</f>
        <v>Bugatti</v>
      </c>
      <c r="G397" s="4"/>
      <c r="H397" s="4"/>
      <c r="I397" s="5" t="s">
        <v>22</v>
      </c>
      <c r="J397" s="5" t="s">
        <v>23</v>
      </c>
      <c r="K397" s="5" t="s">
        <v>84</v>
      </c>
      <c r="L397" s="6" t="s">
        <v>606</v>
      </c>
      <c r="M397" s="5" t="s">
        <v>19</v>
      </c>
      <c r="N397" s="5" t="s">
        <v>27</v>
      </c>
      <c r="O397" s="5">
        <v>98509.0</v>
      </c>
      <c r="P397" s="5">
        <v>299.0</v>
      </c>
      <c r="Q397" s="5">
        <v>30688.0</v>
      </c>
      <c r="R397" s="5">
        <v>109518.0</v>
      </c>
      <c r="S397" s="5">
        <v>15.0</v>
      </c>
      <c r="T397" s="5">
        <v>2059.270294</v>
      </c>
    </row>
    <row r="398">
      <c r="A398" s="4" t="s">
        <v>1420</v>
      </c>
      <c r="B398" s="4" t="str">
        <f>IFERROR(__xludf.DUMMYFUNCTION("SPLIT(A398:A1124, ""&gt;"")"),"Media and Entertainment ")</f>
        <v>Media and Entertainment </v>
      </c>
      <c r="C398" s="4" t="str">
        <f>IFERROR(__xludf.DUMMYFUNCTION("""COMPUTED_VALUE""")," Gaming ")</f>
        <v> Gaming </v>
      </c>
      <c r="D398" s="4" t="str">
        <f>IFERROR(__xludf.DUMMYFUNCTION("""COMPUTED_VALUE""")," In-Market")</f>
        <v> In-Market</v>
      </c>
      <c r="E398" s="4"/>
      <c r="F398" s="4"/>
      <c r="G398" s="4"/>
      <c r="H398" s="4"/>
      <c r="I398" s="5" t="s">
        <v>15</v>
      </c>
      <c r="J398" s="5" t="s">
        <v>23</v>
      </c>
      <c r="K398" s="5" t="s">
        <v>29</v>
      </c>
      <c r="L398" s="6" t="s">
        <v>608</v>
      </c>
      <c r="M398" s="5" t="s">
        <v>33</v>
      </c>
      <c r="N398" s="5" t="s">
        <v>52</v>
      </c>
      <c r="O398" s="5">
        <v>37076.0</v>
      </c>
      <c r="P398" s="5">
        <v>113.0</v>
      </c>
      <c r="Q398" s="5">
        <v>9246.0</v>
      </c>
      <c r="R398" s="5">
        <v>22565.0</v>
      </c>
      <c r="S398" s="5">
        <v>12.0</v>
      </c>
      <c r="T398" s="5">
        <v>1487.996078</v>
      </c>
    </row>
    <row r="399">
      <c r="A399" s="4" t="s">
        <v>1421</v>
      </c>
      <c r="B399" s="4" t="str">
        <f>IFERROR(__xludf.DUMMYFUNCTION("SPLIT(A399:A1125, ""&gt;"")"),"Media and Entertainment ")</f>
        <v>Media and Entertainment </v>
      </c>
      <c r="C399" s="4" t="str">
        <f>IFERROR(__xludf.DUMMYFUNCTION("""COMPUTED_VALUE""")," Events and Attractions")</f>
        <v> Events and Attractions</v>
      </c>
      <c r="D399" s="4"/>
      <c r="E399" s="4"/>
      <c r="F399" s="4"/>
      <c r="G399" s="4"/>
      <c r="H399" s="4"/>
      <c r="I399" s="5" t="s">
        <v>15</v>
      </c>
      <c r="J399" s="5" t="s">
        <v>42</v>
      </c>
      <c r="K399" s="5" t="s">
        <v>131</v>
      </c>
      <c r="L399" s="6" t="s">
        <v>610</v>
      </c>
      <c r="M399" s="5" t="s">
        <v>26</v>
      </c>
      <c r="N399" s="5" t="s">
        <v>52</v>
      </c>
      <c r="O399" s="5">
        <v>70506.0</v>
      </c>
      <c r="P399" s="5">
        <v>270.0</v>
      </c>
      <c r="Q399" s="5">
        <v>26779.0</v>
      </c>
      <c r="R399" s="5">
        <v>48902.0</v>
      </c>
      <c r="S399" s="5">
        <v>3.0</v>
      </c>
      <c r="T399" s="5">
        <v>1912.966882</v>
      </c>
    </row>
    <row r="400">
      <c r="A400" s="4" t="s">
        <v>1422</v>
      </c>
      <c r="B400" s="4" t="str">
        <f>IFERROR(__xludf.DUMMYFUNCTION("SPLIT(A400:A1126, ""&gt;"")"),"Online Behavior")</f>
        <v>Online Behavior</v>
      </c>
      <c r="C400" s="4" t="str">
        <f>IFERROR(__xludf.DUMMYFUNCTION("""COMPUTED_VALUE"""),"United States")</f>
        <v>United States</v>
      </c>
      <c r="D400" s="4" t="str">
        <f>IFERROR(__xludf.DUMMYFUNCTION("""COMPUTED_VALUE"""),"Finance ")</f>
        <v>Finance </v>
      </c>
      <c r="E400" s="4" t="str">
        <f>IFERROR(__xludf.DUMMYFUNCTION("""COMPUTED_VALUE""")," Banking")</f>
        <v> Banking</v>
      </c>
      <c r="F400" s="4" t="str">
        <f>IFERROR(__xludf.DUMMYFUNCTION("""COMPUTED_VALUE"""),"Banking")</f>
        <v>Banking</v>
      </c>
      <c r="G400" s="4"/>
      <c r="H400" s="4"/>
      <c r="I400" s="5" t="s">
        <v>22</v>
      </c>
      <c r="J400" s="5" t="s">
        <v>42</v>
      </c>
      <c r="K400" s="5" t="s">
        <v>17</v>
      </c>
      <c r="L400" s="6" t="s">
        <v>612</v>
      </c>
      <c r="M400" s="5" t="s">
        <v>19</v>
      </c>
      <c r="N400" s="5" t="s">
        <v>27</v>
      </c>
      <c r="O400" s="5">
        <v>921791.0</v>
      </c>
      <c r="P400" s="5">
        <v>2150.0</v>
      </c>
      <c r="Q400" s="5">
        <v>668449.0</v>
      </c>
      <c r="R400" s="5">
        <v>852442.0</v>
      </c>
      <c r="S400" s="5">
        <v>69.0</v>
      </c>
      <c r="T400" s="5">
        <v>8042.897949</v>
      </c>
    </row>
    <row r="401">
      <c r="A401" s="4" t="s">
        <v>1423</v>
      </c>
      <c r="B401" s="4" t="str">
        <f>IFERROR(__xludf.DUMMYFUNCTION("SPLIT(A401:A1127, ""&gt;"")"),"Online Behavior")</f>
        <v>Online Behavior</v>
      </c>
      <c r="C401" s="4" t="str">
        <f>IFERROR(__xludf.DUMMYFUNCTION("""COMPUTED_VALUE"""),"United States")</f>
        <v>United States</v>
      </c>
      <c r="D401" s="4" t="str">
        <f>IFERROR(__xludf.DUMMYFUNCTION("""COMPUTED_VALUE"""),"Finance ")</f>
        <v>Finance </v>
      </c>
      <c r="E401" s="4" t="str">
        <f>IFERROR(__xludf.DUMMYFUNCTION("""COMPUTED_VALUE""")," Credit and Lending")</f>
        <v> Credit and Lending</v>
      </c>
      <c r="F401" s="4" t="str">
        <f>IFERROR(__xludf.DUMMYFUNCTION("""COMPUTED_VALUE"""),"Credit and Lending")</f>
        <v>Credit and Lending</v>
      </c>
      <c r="G401" s="4"/>
      <c r="H401" s="4"/>
      <c r="I401" s="5" t="s">
        <v>22</v>
      </c>
      <c r="J401" s="5" t="s">
        <v>42</v>
      </c>
      <c r="K401" s="5" t="s">
        <v>35</v>
      </c>
      <c r="L401" s="6" t="s">
        <v>612</v>
      </c>
      <c r="M401" s="5" t="s">
        <v>26</v>
      </c>
      <c r="N401" s="5" t="s">
        <v>27</v>
      </c>
      <c r="O401" s="5">
        <v>4154911.0</v>
      </c>
      <c r="P401" s="5">
        <v>1254.0</v>
      </c>
      <c r="Q401" s="5">
        <v>2338732.0</v>
      </c>
      <c r="R401" s="5">
        <v>3445626.0</v>
      </c>
      <c r="S401" s="5">
        <v>154.0</v>
      </c>
      <c r="T401" s="5">
        <v>8038.570371</v>
      </c>
    </row>
    <row r="402">
      <c r="A402" s="4" t="s">
        <v>1424</v>
      </c>
      <c r="B402" s="4" t="str">
        <f>IFERROR(__xludf.DUMMYFUNCTION("SPLIT(A402:A1128, ""&gt;"")"),"Online Behavior")</f>
        <v>Online Behavior</v>
      </c>
      <c r="C402" s="4" t="str">
        <f>IFERROR(__xludf.DUMMYFUNCTION("""COMPUTED_VALUE"""),"United States")</f>
        <v>United States</v>
      </c>
      <c r="D402" s="4" t="str">
        <f>IFERROR(__xludf.DUMMYFUNCTION("""COMPUTED_VALUE"""),"Finance ")</f>
        <v>Finance </v>
      </c>
      <c r="E402" s="4" t="str">
        <f>IFERROR(__xludf.DUMMYFUNCTION("""COMPUTED_VALUE""")," Investing")</f>
        <v> Investing</v>
      </c>
      <c r="F402" s="4" t="str">
        <f>IFERROR(__xludf.DUMMYFUNCTION("""COMPUTED_VALUE"""),"Investing")</f>
        <v>Investing</v>
      </c>
      <c r="G402" s="4"/>
      <c r="H402" s="4"/>
      <c r="I402" s="5" t="s">
        <v>22</v>
      </c>
      <c r="J402" s="5" t="s">
        <v>16</v>
      </c>
      <c r="K402" s="5" t="s">
        <v>55</v>
      </c>
      <c r="L402" s="6" t="s">
        <v>612</v>
      </c>
      <c r="M402" s="5" t="s">
        <v>19</v>
      </c>
      <c r="N402" s="5" t="s">
        <v>27</v>
      </c>
      <c r="O402" s="5">
        <v>1222302.0</v>
      </c>
      <c r="P402" s="5">
        <v>3142.0</v>
      </c>
      <c r="Q402" s="5">
        <v>553773.0</v>
      </c>
      <c r="R402" s="5">
        <v>1120128.0</v>
      </c>
      <c r="S402" s="5">
        <v>42.0</v>
      </c>
      <c r="T402" s="5">
        <v>7880.770406</v>
      </c>
    </row>
    <row r="403">
      <c r="A403" s="4" t="s">
        <v>615</v>
      </c>
      <c r="B403" s="4" t="str">
        <f>IFERROR(__xludf.DUMMYFUNCTION("SPLIT(A403:A1129, ""&gt;"")"),"Online Behavior")</f>
        <v>Online Behavior</v>
      </c>
      <c r="C403" s="4" t="str">
        <f>IFERROR(__xludf.DUMMYFUNCTION("""COMPUTED_VALUE"""),"United States")</f>
        <v>United States</v>
      </c>
      <c r="D403" s="4" t="str">
        <f>IFERROR(__xludf.DUMMYFUNCTION("""COMPUTED_VALUE"""),"Beauty and Fitness")</f>
        <v>Beauty and Fitness</v>
      </c>
      <c r="E403" s="4" t="str">
        <f>IFERROR(__xludf.DUMMYFUNCTION("""COMPUTED_VALUE"""),"Hair Care")</f>
        <v>Hair Care</v>
      </c>
      <c r="F403" s="4"/>
      <c r="G403" s="4"/>
      <c r="H403" s="4"/>
      <c r="I403" s="5" t="s">
        <v>22</v>
      </c>
      <c r="J403" s="5" t="s">
        <v>23</v>
      </c>
      <c r="K403" s="5" t="s">
        <v>29</v>
      </c>
      <c r="L403" s="6" t="s">
        <v>612</v>
      </c>
      <c r="M403" s="5" t="s">
        <v>19</v>
      </c>
      <c r="N403" s="5" t="s">
        <v>27</v>
      </c>
      <c r="O403" s="5">
        <v>999915.0</v>
      </c>
      <c r="P403" s="5">
        <v>2748.0</v>
      </c>
      <c r="Q403" s="5">
        <v>618816.0</v>
      </c>
      <c r="R403" s="5">
        <v>829942.0</v>
      </c>
      <c r="S403" s="5">
        <v>23.0</v>
      </c>
      <c r="T403" s="5">
        <v>7879.316787</v>
      </c>
    </row>
    <row r="404">
      <c r="A404" s="4" t="s">
        <v>616</v>
      </c>
      <c r="B404" s="4" t="str">
        <f>IFERROR(__xludf.DUMMYFUNCTION("SPLIT(A404:A1130, ""&gt;"")"),"Online Behavior")</f>
        <v>Online Behavior</v>
      </c>
      <c r="C404" s="4" t="str">
        <f>IFERROR(__xludf.DUMMYFUNCTION("""COMPUTED_VALUE"""),"United States")</f>
        <v>United States</v>
      </c>
      <c r="D404" s="4" t="str">
        <f>IFERROR(__xludf.DUMMYFUNCTION("""COMPUTED_VALUE"""),"Life Event")</f>
        <v>Life Event</v>
      </c>
      <c r="E404" s="4" t="str">
        <f>IFERROR(__xludf.DUMMYFUNCTION("""COMPUTED_VALUE"""),"College Graduation")</f>
        <v>College Graduation</v>
      </c>
      <c r="F404" s="4"/>
      <c r="G404" s="4"/>
      <c r="H404" s="4"/>
      <c r="I404" s="5" t="s">
        <v>22</v>
      </c>
      <c r="J404" s="5" t="s">
        <v>42</v>
      </c>
      <c r="K404" s="5" t="s">
        <v>17</v>
      </c>
      <c r="L404" s="6" t="s">
        <v>612</v>
      </c>
      <c r="M404" s="5" t="s">
        <v>19</v>
      </c>
      <c r="N404" s="5" t="s">
        <v>27</v>
      </c>
      <c r="O404" s="5">
        <v>1515751.0</v>
      </c>
      <c r="P404" s="5">
        <v>3874.0</v>
      </c>
      <c r="Q404" s="5">
        <v>1151776.0</v>
      </c>
      <c r="R404" s="5">
        <v>1396230.0</v>
      </c>
      <c r="S404" s="5">
        <v>49.0</v>
      </c>
      <c r="T404" s="5">
        <v>7850.644244</v>
      </c>
    </row>
    <row r="405">
      <c r="A405" s="4" t="s">
        <v>617</v>
      </c>
      <c r="B405" s="4" t="str">
        <f>IFERROR(__xludf.DUMMYFUNCTION("SPLIT(A405:A1131, ""&gt;"")"),"Online Behavior")</f>
        <v>Online Behavior</v>
      </c>
      <c r="C405" s="4" t="str">
        <f>IFERROR(__xludf.DUMMYFUNCTION("""COMPUTED_VALUE"""),"United States")</f>
        <v>United States</v>
      </c>
      <c r="D405" s="4" t="str">
        <f>IFERROR(__xludf.DUMMYFUNCTION("""COMPUTED_VALUE"""),"The Changing Consumer")</f>
        <v>The Changing Consumer</v>
      </c>
      <c r="E405" s="4" t="str">
        <f>IFERROR(__xludf.DUMMYFUNCTION("""COMPUTED_VALUE"""),"Happy at Home")</f>
        <v>Happy at Home</v>
      </c>
      <c r="F405" s="4"/>
      <c r="G405" s="4"/>
      <c r="H405" s="4"/>
      <c r="I405" s="5" t="s">
        <v>15</v>
      </c>
      <c r="J405" s="5" t="s">
        <v>31</v>
      </c>
      <c r="K405" s="5" t="s">
        <v>17</v>
      </c>
      <c r="L405" s="6" t="s">
        <v>612</v>
      </c>
      <c r="M405" s="5" t="s">
        <v>117</v>
      </c>
      <c r="N405" s="5" t="s">
        <v>27</v>
      </c>
      <c r="O405" s="5">
        <v>1575592.0</v>
      </c>
      <c r="P405" s="5">
        <v>3874.0</v>
      </c>
      <c r="Q405" s="5">
        <v>1155869.0</v>
      </c>
      <c r="R405" s="5">
        <v>1447900.0</v>
      </c>
      <c r="S405" s="5">
        <v>88.0</v>
      </c>
      <c r="T405" s="5">
        <v>7818.648297</v>
      </c>
    </row>
    <row r="406">
      <c r="A406" s="4" t="s">
        <v>1425</v>
      </c>
      <c r="B406" s="4" t="str">
        <f>IFERROR(__xludf.DUMMYFUNCTION("SPLIT(A406:A1132, ""&gt;"")"),"Online Behavior")</f>
        <v>Online Behavior</v>
      </c>
      <c r="C406" s="4" t="str">
        <f>IFERROR(__xludf.DUMMYFUNCTION("""COMPUTED_VALUE"""),"United States")</f>
        <v>United States</v>
      </c>
      <c r="D406" s="4" t="str">
        <f>IFERROR(__xludf.DUMMYFUNCTION("""COMPUTED_VALUE"""),"Sports")</f>
        <v>Sports</v>
      </c>
      <c r="E406" s="4" t="str">
        <f>IFERROR(__xludf.DUMMYFUNCTION("""COMPUTED_VALUE"""),"Team Sports ")</f>
        <v>Team Sports </v>
      </c>
      <c r="F406" s="4" t="str">
        <f>IFERROR(__xludf.DUMMYFUNCTION("""COMPUTED_VALUE""")," American Football")</f>
        <v> American Football</v>
      </c>
      <c r="G406" s="4"/>
      <c r="H406" s="4"/>
      <c r="I406" s="5" t="s">
        <v>22</v>
      </c>
      <c r="J406" s="5" t="s">
        <v>23</v>
      </c>
      <c r="K406" s="5" t="s">
        <v>39</v>
      </c>
      <c r="L406" s="6" t="s">
        <v>612</v>
      </c>
      <c r="M406" s="5" t="s">
        <v>26</v>
      </c>
      <c r="N406" s="5" t="s">
        <v>27</v>
      </c>
      <c r="O406" s="5">
        <v>458931.0</v>
      </c>
      <c r="P406" s="5">
        <v>974.0</v>
      </c>
      <c r="Q406" s="5">
        <v>264325.0</v>
      </c>
      <c r="R406" s="5">
        <v>378011.0</v>
      </c>
      <c r="S406" s="5">
        <v>30.0</v>
      </c>
      <c r="T406" s="5">
        <v>7462.677935</v>
      </c>
    </row>
    <row r="407">
      <c r="A407" s="4" t="s">
        <v>619</v>
      </c>
      <c r="B407" s="4" t="str">
        <f>IFERROR(__xludf.DUMMYFUNCTION("SPLIT(A407:A1133, ""&gt;"")"),"Online Behavior")</f>
        <v>Online Behavior</v>
      </c>
      <c r="C407" s="4" t="str">
        <f>IFERROR(__xludf.DUMMYFUNCTION("""COMPUTED_VALUE"""),"United States")</f>
        <v>United States</v>
      </c>
      <c r="D407" s="4" t="str">
        <f>IFERROR(__xludf.DUMMYFUNCTION("""COMPUTED_VALUE"""),"Autos and Vehicles")</f>
        <v>Autos and Vehicles</v>
      </c>
      <c r="E407" s="4" t="str">
        <f>IFERROR(__xludf.DUMMYFUNCTION("""COMPUTED_VALUE"""),"Electric and Plug-In Vehicles")</f>
        <v>Electric and Plug-In Vehicles</v>
      </c>
      <c r="F407" s="4"/>
      <c r="G407" s="4"/>
      <c r="H407" s="4"/>
      <c r="I407" s="5" t="s">
        <v>22</v>
      </c>
      <c r="J407" s="5" t="s">
        <v>42</v>
      </c>
      <c r="K407" s="5" t="s">
        <v>29</v>
      </c>
      <c r="L407" s="6" t="s">
        <v>612</v>
      </c>
      <c r="M407" s="5" t="s">
        <v>26</v>
      </c>
      <c r="N407" s="5" t="s">
        <v>27</v>
      </c>
      <c r="O407" s="5">
        <v>1601933.0</v>
      </c>
      <c r="P407" s="5">
        <v>4265.0</v>
      </c>
      <c r="Q407" s="5">
        <v>1135085.0</v>
      </c>
      <c r="R407" s="5">
        <v>1487426.0</v>
      </c>
      <c r="S407" s="5">
        <v>29.0</v>
      </c>
      <c r="T407" s="5">
        <v>6785.70979</v>
      </c>
    </row>
    <row r="408">
      <c r="A408" s="4" t="s">
        <v>1426</v>
      </c>
      <c r="B408" s="4" t="str">
        <f>IFERROR(__xludf.DUMMYFUNCTION("SPLIT(A408:A1134, ""&gt;"")"),"Online Behavior")</f>
        <v>Online Behavior</v>
      </c>
      <c r="C408" s="4" t="str">
        <f>IFERROR(__xludf.DUMMYFUNCTION("""COMPUTED_VALUE"""),"United States")</f>
        <v>United States</v>
      </c>
      <c r="D408" s="4" t="str">
        <f>IFERROR(__xludf.DUMMYFUNCTION("""COMPUTED_VALUE"""),"Intent ")</f>
        <v>Intent </v>
      </c>
      <c r="E408" s="4" t="str">
        <f>IFERROR(__xludf.DUMMYFUNCTION("""COMPUTED_VALUE""")," Shopping")</f>
        <v> Shopping</v>
      </c>
      <c r="F408" s="4" t="str">
        <f>IFERROR(__xludf.DUMMYFUNCTION("""COMPUTED_VALUE"""),"Home and Garden")</f>
        <v>Home and Garden</v>
      </c>
      <c r="G408" s="4"/>
      <c r="H408" s="4"/>
      <c r="I408" s="5" t="s">
        <v>22</v>
      </c>
      <c r="J408" s="5" t="s">
        <v>23</v>
      </c>
      <c r="K408" s="5" t="s">
        <v>45</v>
      </c>
      <c r="L408" s="6" t="s">
        <v>612</v>
      </c>
      <c r="M408" s="5" t="s">
        <v>19</v>
      </c>
      <c r="N408" s="5" t="s">
        <v>27</v>
      </c>
      <c r="O408" s="5">
        <v>26270.0</v>
      </c>
      <c r="P408" s="5">
        <v>63.0</v>
      </c>
      <c r="Q408" s="5">
        <v>12813.0</v>
      </c>
      <c r="R408" s="5">
        <v>21893.0</v>
      </c>
      <c r="S408" s="5">
        <v>12.0</v>
      </c>
      <c r="T408" s="5">
        <v>6417.264564</v>
      </c>
    </row>
    <row r="409">
      <c r="A409" s="4" t="s">
        <v>1427</v>
      </c>
      <c r="B409" s="4" t="str">
        <f>IFERROR(__xludf.DUMMYFUNCTION("SPLIT(A409:A1135, ""&gt;"")"),"Online Behavior")</f>
        <v>Online Behavior</v>
      </c>
      <c r="C409" s="4" t="str">
        <f>IFERROR(__xludf.DUMMYFUNCTION("""COMPUTED_VALUE"""),"United States")</f>
        <v>United States</v>
      </c>
      <c r="D409" s="4" t="str">
        <f>IFERROR(__xludf.DUMMYFUNCTION("""COMPUTED_VALUE"""),"Intent ")</f>
        <v>Intent </v>
      </c>
      <c r="E409" s="4" t="str">
        <f>IFERROR(__xludf.DUMMYFUNCTION("""COMPUTED_VALUE""")," Auto Buyers ")</f>
        <v> Auto Buyers </v>
      </c>
      <c r="F409" s="4" t="str">
        <f>IFERROR(__xludf.DUMMYFUNCTION("""COMPUTED_VALUE""")," Type")</f>
        <v> Type</v>
      </c>
      <c r="G409" s="4" t="str">
        <f>IFERROR(__xludf.DUMMYFUNCTION("""COMPUTED_VALUE"""),"Truck")</f>
        <v>Truck</v>
      </c>
      <c r="H409" s="4"/>
      <c r="I409" s="5" t="s">
        <v>15</v>
      </c>
      <c r="J409" s="5" t="s">
        <v>31</v>
      </c>
      <c r="K409" s="5" t="s">
        <v>66</v>
      </c>
      <c r="L409" s="6" t="s">
        <v>612</v>
      </c>
      <c r="M409" s="5" t="s">
        <v>46</v>
      </c>
      <c r="N409" s="5" t="s">
        <v>27</v>
      </c>
      <c r="O409" s="5">
        <v>12974.0</v>
      </c>
      <c r="P409" s="5">
        <v>84.0</v>
      </c>
      <c r="Q409" s="5">
        <v>7521.0</v>
      </c>
      <c r="R409" s="5">
        <v>10959.0</v>
      </c>
      <c r="S409" s="5">
        <v>7.0</v>
      </c>
      <c r="T409" s="5">
        <v>6301.868847</v>
      </c>
    </row>
    <row r="410">
      <c r="A410" s="4" t="s">
        <v>1428</v>
      </c>
      <c r="B410" s="4" t="str">
        <f>IFERROR(__xludf.DUMMYFUNCTION("SPLIT(A410:A1136, ""&gt;"")"),"Online Behavior")</f>
        <v>Online Behavior</v>
      </c>
      <c r="C410" s="4" t="str">
        <f>IFERROR(__xludf.DUMMYFUNCTION("""COMPUTED_VALUE"""),"United States")</f>
        <v>United States</v>
      </c>
      <c r="D410" s="4" t="str">
        <f>IFERROR(__xludf.DUMMYFUNCTION("""COMPUTED_VALUE"""),"Intent ")</f>
        <v>Intent </v>
      </c>
      <c r="E410" s="4" t="str">
        <f>IFERROR(__xludf.DUMMYFUNCTION("""COMPUTED_VALUE""")," Shopping")</f>
        <v> Shopping</v>
      </c>
      <c r="F410" s="4" t="str">
        <f>IFERROR(__xludf.DUMMYFUNCTION("""COMPUTED_VALUE"""),"Consumer Electronics ")</f>
        <v>Consumer Electronics </v>
      </c>
      <c r="G410" s="4" t="str">
        <f>IFERROR(__xludf.DUMMYFUNCTION("""COMPUTED_VALUE""")," Televisions/TVs")</f>
        <v> Televisions/TVs</v>
      </c>
      <c r="H410" s="4"/>
      <c r="I410" s="5" t="s">
        <v>22</v>
      </c>
      <c r="J410" s="5" t="s">
        <v>16</v>
      </c>
      <c r="K410" s="5" t="s">
        <v>35</v>
      </c>
      <c r="L410" s="6" t="s">
        <v>612</v>
      </c>
      <c r="M410" s="5" t="s">
        <v>26</v>
      </c>
      <c r="N410" s="5" t="s">
        <v>27</v>
      </c>
      <c r="O410" s="5">
        <v>192201.0</v>
      </c>
      <c r="P410" s="5">
        <v>489.0</v>
      </c>
      <c r="Q410" s="5">
        <v>113707.0</v>
      </c>
      <c r="R410" s="5">
        <v>157940.0</v>
      </c>
      <c r="S410" s="5">
        <v>3.0</v>
      </c>
      <c r="T410" s="5">
        <v>6176.004154</v>
      </c>
    </row>
    <row r="411">
      <c r="A411" s="4" t="s">
        <v>1429</v>
      </c>
      <c r="B411" s="4" t="str">
        <f>IFERROR(__xludf.DUMMYFUNCTION("SPLIT(A411:A1137, ""&gt;"")"),"Online Behavior")</f>
        <v>Online Behavior</v>
      </c>
      <c r="C411" s="4" t="str">
        <f>IFERROR(__xludf.DUMMYFUNCTION("""COMPUTED_VALUE"""),"United States")</f>
        <v>United States</v>
      </c>
      <c r="D411" s="4" t="str">
        <f>IFERROR(__xludf.DUMMYFUNCTION("""COMPUTED_VALUE"""),"Intent ")</f>
        <v>Intent </v>
      </c>
      <c r="E411" s="4" t="str">
        <f>IFERROR(__xludf.DUMMYFUNCTION("""COMPUTED_VALUE""")," Services")</f>
        <v> Services</v>
      </c>
      <c r="F411" s="4" t="str">
        <f>IFERROR(__xludf.DUMMYFUNCTION("""COMPUTED_VALUE"""),"Arts and Entertainment")</f>
        <v>Arts and Entertainment</v>
      </c>
      <c r="G411" s="4"/>
      <c r="H411" s="4"/>
      <c r="I411" s="5" t="s">
        <v>15</v>
      </c>
      <c r="J411" s="5" t="s">
        <v>23</v>
      </c>
      <c r="K411" s="5" t="s">
        <v>35</v>
      </c>
      <c r="L411" s="6" t="s">
        <v>612</v>
      </c>
      <c r="M411" s="5" t="s">
        <v>19</v>
      </c>
      <c r="N411" s="5" t="s">
        <v>20</v>
      </c>
      <c r="O411" s="5">
        <v>29834.0</v>
      </c>
      <c r="P411" s="5">
        <v>99.0</v>
      </c>
      <c r="Q411" s="5">
        <v>14599.0</v>
      </c>
      <c r="R411" s="5">
        <v>24656.0</v>
      </c>
      <c r="S411" s="5">
        <v>14.0</v>
      </c>
      <c r="T411" s="5">
        <v>6032.837114</v>
      </c>
    </row>
    <row r="412">
      <c r="A412" s="4" t="s">
        <v>1430</v>
      </c>
      <c r="B412" s="4" t="str">
        <f>IFERROR(__xludf.DUMMYFUNCTION("SPLIT(A412:A1138, ""&gt;"")"),"Online Behavior")</f>
        <v>Online Behavior</v>
      </c>
      <c r="C412" s="4" t="str">
        <f>IFERROR(__xludf.DUMMYFUNCTION("""COMPUTED_VALUE"""),"United States")</f>
        <v>United States</v>
      </c>
      <c r="D412" s="4" t="str">
        <f>IFERROR(__xludf.DUMMYFUNCTION("""COMPUTED_VALUE"""),"Sports")</f>
        <v>Sports</v>
      </c>
      <c r="E412" s="4" t="str">
        <f>IFERROR(__xludf.DUMMYFUNCTION("""COMPUTED_VALUE"""),"Individual Sports ")</f>
        <v>Individual Sports </v>
      </c>
      <c r="F412" s="4" t="str">
        <f>IFERROR(__xludf.DUMMYFUNCTION("""COMPUTED_VALUE""")," Cycling")</f>
        <v> Cycling</v>
      </c>
      <c r="G412" s="4"/>
      <c r="H412" s="4"/>
      <c r="I412" s="5" t="s">
        <v>15</v>
      </c>
      <c r="J412" s="5" t="s">
        <v>42</v>
      </c>
      <c r="K412" s="5" t="s">
        <v>183</v>
      </c>
      <c r="L412" s="6" t="s">
        <v>612</v>
      </c>
      <c r="M412" s="5" t="s">
        <v>161</v>
      </c>
      <c r="N412" s="5" t="s">
        <v>52</v>
      </c>
      <c r="O412" s="5">
        <v>117518.0</v>
      </c>
      <c r="P412" s="5">
        <v>299.0</v>
      </c>
      <c r="Q412" s="5">
        <v>66458.0</v>
      </c>
      <c r="R412" s="5">
        <v>86571.0</v>
      </c>
      <c r="S412" s="5">
        <v>1.0</v>
      </c>
      <c r="T412" s="5">
        <v>5999.993781</v>
      </c>
    </row>
    <row r="413">
      <c r="A413" s="4" t="s">
        <v>1431</v>
      </c>
      <c r="B413" s="4" t="str">
        <f>IFERROR(__xludf.DUMMYFUNCTION("SPLIT(A413:A1139, ""&gt;"")"),"Online Behavior")</f>
        <v>Online Behavior</v>
      </c>
      <c r="C413" s="4" t="str">
        <f>IFERROR(__xludf.DUMMYFUNCTION("""COMPUTED_VALUE"""),"United States")</f>
        <v>United States</v>
      </c>
      <c r="D413" s="4" t="str">
        <f>IFERROR(__xludf.DUMMYFUNCTION("""COMPUTED_VALUE"""),"Autos and Vehicles ")</f>
        <v>Autos and Vehicles </v>
      </c>
      <c r="E413" s="4" t="str">
        <f>IFERROR(__xludf.DUMMYFUNCTION("""COMPUTED_VALUE""")," Brands")</f>
        <v> Brands</v>
      </c>
      <c r="F413" s="4" t="str">
        <f>IFERROR(__xludf.DUMMYFUNCTION("""COMPUTED_VALUE"""),"Porsche")</f>
        <v>Porsche</v>
      </c>
      <c r="G413" s="4"/>
      <c r="H413" s="4"/>
      <c r="I413" s="5" t="s">
        <v>22</v>
      </c>
      <c r="J413" s="5" t="s">
        <v>23</v>
      </c>
      <c r="K413" s="5" t="s">
        <v>35</v>
      </c>
      <c r="L413" s="6" t="s">
        <v>612</v>
      </c>
      <c r="M413" s="5" t="s">
        <v>48</v>
      </c>
      <c r="N413" s="5" t="s">
        <v>27</v>
      </c>
      <c r="O413" s="5">
        <v>3196231.0</v>
      </c>
      <c r="P413" s="5">
        <v>8745.0</v>
      </c>
      <c r="Q413" s="5">
        <v>2013324.0</v>
      </c>
      <c r="R413" s="5">
        <v>2669103.0</v>
      </c>
      <c r="S413" s="5">
        <v>70.0</v>
      </c>
      <c r="T413" s="5">
        <v>5756.271172</v>
      </c>
    </row>
    <row r="414">
      <c r="A414" s="4" t="s">
        <v>1432</v>
      </c>
      <c r="B414" s="4" t="str">
        <f>IFERROR(__xludf.DUMMYFUNCTION("SPLIT(A414:A1140, ""&gt;"")"),"Online Behavior")</f>
        <v>Online Behavior</v>
      </c>
      <c r="C414" s="4" t="str">
        <f>IFERROR(__xludf.DUMMYFUNCTION("""COMPUTED_VALUE"""),"United States")</f>
        <v>United States</v>
      </c>
      <c r="D414" s="4" t="str">
        <f>IFERROR(__xludf.DUMMYFUNCTION("""COMPUTED_VALUE"""),"Beauty and Fitness")</f>
        <v>Beauty and Fitness</v>
      </c>
      <c r="E414" s="4" t="str">
        <f>IFERROR(__xludf.DUMMYFUNCTION("""COMPUTED_VALUE"""),"Spas and Beauty Services ")</f>
        <v>Spas and Beauty Services </v>
      </c>
      <c r="F414" s="4" t="str">
        <f>IFERROR(__xludf.DUMMYFUNCTION("""COMPUTED_VALUE""")," Massage Therapy")</f>
        <v> Massage Therapy</v>
      </c>
      <c r="G414" s="4"/>
      <c r="H414" s="4"/>
      <c r="I414" s="5" t="s">
        <v>15</v>
      </c>
      <c r="J414" s="5" t="s">
        <v>42</v>
      </c>
      <c r="K414" s="5" t="s">
        <v>29</v>
      </c>
      <c r="L414" s="6" t="s">
        <v>612</v>
      </c>
      <c r="M414" s="5" t="s">
        <v>19</v>
      </c>
      <c r="N414" s="5" t="s">
        <v>27</v>
      </c>
      <c r="O414" s="5">
        <v>109128.0</v>
      </c>
      <c r="P414" s="5">
        <v>470.0</v>
      </c>
      <c r="Q414" s="5">
        <v>38487.0</v>
      </c>
      <c r="R414" s="5">
        <v>90615.0</v>
      </c>
      <c r="S414" s="5">
        <v>3.0</v>
      </c>
      <c r="T414" s="5">
        <v>5153.117204</v>
      </c>
    </row>
    <row r="415">
      <c r="A415" s="4" t="s">
        <v>627</v>
      </c>
      <c r="B415" s="4" t="str">
        <f>IFERROR(__xludf.DUMMYFUNCTION("SPLIT(A415:A1141, ""&gt;"")"),"Online Behavior")</f>
        <v>Online Behavior</v>
      </c>
      <c r="C415" s="4" t="str">
        <f>IFERROR(__xludf.DUMMYFUNCTION("""COMPUTED_VALUE"""),"United States")</f>
        <v>United States</v>
      </c>
      <c r="D415" s="4" t="str">
        <f>IFERROR(__xludf.DUMMYFUNCTION("""COMPUTED_VALUE"""),"Arts and Entertainment")</f>
        <v>Arts and Entertainment</v>
      </c>
      <c r="E415" s="4" t="str">
        <f>IFERROR(__xludf.DUMMYFUNCTION("""COMPUTED_VALUE"""),"TV and Video")</f>
        <v>TV and Video</v>
      </c>
      <c r="F415" s="4"/>
      <c r="G415" s="4"/>
      <c r="H415" s="4"/>
      <c r="I415" s="5" t="s">
        <v>61</v>
      </c>
      <c r="J415" s="5" t="s">
        <v>16</v>
      </c>
      <c r="K415" s="5" t="s">
        <v>78</v>
      </c>
      <c r="L415" s="6" t="s">
        <v>612</v>
      </c>
      <c r="M415" s="5" t="s">
        <v>46</v>
      </c>
      <c r="N415" s="5" t="s">
        <v>27</v>
      </c>
      <c r="O415" s="5">
        <v>13946.0</v>
      </c>
      <c r="P415" s="5">
        <v>40.0</v>
      </c>
      <c r="Q415" s="5">
        <v>3142.0</v>
      </c>
      <c r="R415" s="5">
        <v>8823.0</v>
      </c>
      <c r="S415" s="5">
        <v>8.0</v>
      </c>
      <c r="T415" s="5">
        <v>4920.23463</v>
      </c>
    </row>
    <row r="416">
      <c r="A416" s="4" t="s">
        <v>1433</v>
      </c>
      <c r="B416" s="4" t="str">
        <f>IFERROR(__xludf.DUMMYFUNCTION("SPLIT(A416:A1142, ""&gt;"")"),"Online Behavior")</f>
        <v>Online Behavior</v>
      </c>
      <c r="C416" s="4" t="str">
        <f>IFERROR(__xludf.DUMMYFUNCTION("""COMPUTED_VALUE"""),"United States")</f>
        <v>United States</v>
      </c>
      <c r="D416" s="4" t="str">
        <f>IFERROR(__xludf.DUMMYFUNCTION("""COMPUTED_VALUE"""),"Autos and Vehicles ")</f>
        <v>Autos and Vehicles </v>
      </c>
      <c r="E416" s="4" t="str">
        <f>IFERROR(__xludf.DUMMYFUNCTION("""COMPUTED_VALUE""")," Brands")</f>
        <v> Brands</v>
      </c>
      <c r="F416" s="4" t="str">
        <f>IFERROR(__xludf.DUMMYFUNCTION("""COMPUTED_VALUE"""),"Mitsubishi")</f>
        <v>Mitsubishi</v>
      </c>
      <c r="G416" s="4"/>
      <c r="H416" s="4"/>
      <c r="I416" s="5" t="s">
        <v>15</v>
      </c>
      <c r="J416" s="5" t="s">
        <v>23</v>
      </c>
      <c r="K416" s="5" t="s">
        <v>29</v>
      </c>
      <c r="L416" s="6" t="s">
        <v>612</v>
      </c>
      <c r="M416" s="5" t="s">
        <v>136</v>
      </c>
      <c r="N416" s="5" t="s">
        <v>27</v>
      </c>
      <c r="O416" s="5">
        <v>335461.0</v>
      </c>
      <c r="P416" s="5">
        <v>963.0</v>
      </c>
      <c r="Q416" s="5">
        <v>171464.0</v>
      </c>
      <c r="R416" s="5">
        <v>247450.0</v>
      </c>
      <c r="S416" s="5">
        <v>5.0</v>
      </c>
      <c r="T416" s="5">
        <v>4445.874629</v>
      </c>
    </row>
    <row r="417">
      <c r="A417" s="4" t="s">
        <v>1434</v>
      </c>
      <c r="B417" s="4" t="str">
        <f>IFERROR(__xludf.DUMMYFUNCTION("SPLIT(A417:A1143, ""&gt;"")"),"Online Behavior")</f>
        <v>Online Behavior</v>
      </c>
      <c r="C417" s="4" t="str">
        <f>IFERROR(__xludf.DUMMYFUNCTION("""COMPUTED_VALUE"""),"United States")</f>
        <v>United States</v>
      </c>
      <c r="D417" s="4" t="str">
        <f>IFERROR(__xludf.DUMMYFUNCTION("""COMPUTED_VALUE"""),"Autos and Vehicles ")</f>
        <v>Autos and Vehicles </v>
      </c>
      <c r="E417" s="4" t="str">
        <f>IFERROR(__xludf.DUMMYFUNCTION("""COMPUTED_VALUE""")," Brands")</f>
        <v> Brands</v>
      </c>
      <c r="F417" s="4" t="str">
        <f>IFERROR(__xludf.DUMMYFUNCTION("""COMPUTED_VALUE"""),"GM-Daewoo")</f>
        <v>GM-Daewoo</v>
      </c>
      <c r="G417" s="4"/>
      <c r="H417" s="4"/>
      <c r="I417" s="5" t="s">
        <v>22</v>
      </c>
      <c r="J417" s="5" t="s">
        <v>31</v>
      </c>
      <c r="K417" s="5" t="s">
        <v>155</v>
      </c>
      <c r="L417" s="6" t="s">
        <v>612</v>
      </c>
      <c r="M417" s="5" t="s">
        <v>19</v>
      </c>
      <c r="N417" s="5" t="s">
        <v>27</v>
      </c>
      <c r="O417" s="5">
        <v>48436.0</v>
      </c>
      <c r="P417" s="5">
        <v>171.0</v>
      </c>
      <c r="Q417" s="5">
        <v>16543.0</v>
      </c>
      <c r="R417" s="5">
        <v>42427.0</v>
      </c>
      <c r="S417" s="5">
        <v>6.0</v>
      </c>
      <c r="T417" s="5">
        <v>4386.648215</v>
      </c>
    </row>
    <row r="418">
      <c r="A418" s="4" t="s">
        <v>1863</v>
      </c>
      <c r="B418" s="4" t="str">
        <f>IFERROR(__xludf.DUMMYFUNCTION("SPLIT(A418:A1144, ""&gt;"")"),"US ")</f>
        <v>US </v>
      </c>
      <c r="C418" s="4" t="str">
        <f>IFERROR(__xludf.DUMMYFUNCTION("""COMPUTED_VALUE""")," Demo ")</f>
        <v> Demo </v>
      </c>
      <c r="D418" s="4" t="str">
        <f>IFERROR(__xludf.DUMMYFUNCTION("""COMPUTED_VALUE""")," Age ")</f>
        <v> Age </v>
      </c>
      <c r="E418" s="4" t="str">
        <f>IFERROR(__xludf.DUMMYFUNCTION("""COMPUTED_VALUE""")," 65+")</f>
        <v> 65+</v>
      </c>
      <c r="F418" s="4"/>
      <c r="G418" s="4"/>
      <c r="H418" s="4"/>
      <c r="I418" s="5" t="s">
        <v>22</v>
      </c>
      <c r="J418" s="5" t="s">
        <v>31</v>
      </c>
      <c r="K418" s="5" t="s">
        <v>39</v>
      </c>
      <c r="L418" s="6" t="s">
        <v>612</v>
      </c>
      <c r="M418" s="5" t="s">
        <v>19</v>
      </c>
      <c r="N418" s="5" t="s">
        <v>27</v>
      </c>
      <c r="O418" s="5">
        <v>58738.0</v>
      </c>
      <c r="P418" s="5">
        <v>165.0</v>
      </c>
      <c r="Q418" s="5">
        <v>33538.0</v>
      </c>
      <c r="R418" s="5">
        <v>47535.0</v>
      </c>
      <c r="S418" s="5">
        <v>14.0</v>
      </c>
      <c r="T418" s="5">
        <v>2801.584386</v>
      </c>
    </row>
    <row r="419">
      <c r="A419" s="4" t="s">
        <v>1864</v>
      </c>
      <c r="B419" s="4" t="str">
        <f>IFERROR(__xludf.DUMMYFUNCTION("SPLIT(A419:A1145, ""&gt;"")"),"US ")</f>
        <v>US </v>
      </c>
      <c r="C419" s="4" t="str">
        <f>IFERROR(__xludf.DUMMYFUNCTION("""COMPUTED_VALUE""")," Sociodemographic ")</f>
        <v> Sociodemographic </v>
      </c>
      <c r="D419" s="4" t="str">
        <f>IFERROR(__xludf.DUMMYFUNCTION("""COMPUTED_VALUE""")," P$YCLE Premier Lifestage ")</f>
        <v> P$YCLE Premier Lifestage </v>
      </c>
      <c r="E419" s="4" t="str">
        <f>IFERROR(__xludf.DUMMYFUNCTION("""COMPUTED_VALUE""")," Y3 Fiscal Fledglings")</f>
        <v> Y3 Fiscal Fledglings</v>
      </c>
      <c r="F419" s="4"/>
      <c r="G419" s="4"/>
      <c r="H419" s="4"/>
      <c r="I419" s="5" t="s">
        <v>22</v>
      </c>
      <c r="J419" s="5" t="s">
        <v>31</v>
      </c>
      <c r="K419" s="5" t="s">
        <v>35</v>
      </c>
      <c r="L419" s="6" t="s">
        <v>612</v>
      </c>
      <c r="M419" s="5" t="s">
        <v>19</v>
      </c>
      <c r="N419" s="5" t="s">
        <v>27</v>
      </c>
      <c r="O419" s="5">
        <v>297347.0</v>
      </c>
      <c r="P419" s="5">
        <v>751.0</v>
      </c>
      <c r="Q419" s="5">
        <v>166412.0</v>
      </c>
      <c r="R419" s="5">
        <v>251319.0</v>
      </c>
      <c r="S419" s="5">
        <v>4.0</v>
      </c>
      <c r="T419" s="5">
        <v>2255.522409</v>
      </c>
    </row>
    <row r="420">
      <c r="A420" s="4" t="s">
        <v>1437</v>
      </c>
      <c r="B420" s="4" t="str">
        <f>IFERROR(__xludf.DUMMYFUNCTION("SPLIT(A420:A1146, ""&gt;"")"),"OnAudience ")</f>
        <v>OnAudience </v>
      </c>
      <c r="C420" s="4" t="str">
        <f>IFERROR(__xludf.DUMMYFUNCTION("""COMPUTED_VALUE""")," Interest ")</f>
        <v> Interest </v>
      </c>
      <c r="D420" s="4" t="str">
        <f>IFERROR(__xludf.DUMMYFUNCTION("""COMPUTED_VALUE""")," News &amp; Magazines")</f>
        <v> News &amp; Magazines</v>
      </c>
      <c r="E420" s="4"/>
      <c r="F420" s="4"/>
      <c r="G420" s="4"/>
      <c r="H420" s="4"/>
      <c r="I420" s="5" t="s">
        <v>22</v>
      </c>
      <c r="J420" s="5" t="s">
        <v>31</v>
      </c>
      <c r="K420" s="5" t="s">
        <v>35</v>
      </c>
      <c r="L420" s="6" t="s">
        <v>612</v>
      </c>
      <c r="M420" s="5" t="s">
        <v>19</v>
      </c>
      <c r="N420" s="5" t="s">
        <v>27</v>
      </c>
      <c r="O420" s="5">
        <v>80456.0</v>
      </c>
      <c r="P420" s="5">
        <v>204.0</v>
      </c>
      <c r="Q420" s="5">
        <v>46039.0</v>
      </c>
      <c r="R420" s="5">
        <v>65383.0</v>
      </c>
      <c r="S420" s="5">
        <v>3.0</v>
      </c>
      <c r="T420" s="5">
        <v>2039.848792</v>
      </c>
    </row>
    <row r="421">
      <c r="A421" s="4" t="s">
        <v>1865</v>
      </c>
      <c r="B421" s="4" t="str">
        <f>IFERROR(__xludf.DUMMYFUNCTION("SPLIT(A421:A1147, ""&gt;"")"),"US ")</f>
        <v>US </v>
      </c>
      <c r="C421" s="4" t="str">
        <f>IFERROR(__xludf.DUMMYFUNCTION("""COMPUTED_VALUE""")," Brand Propensities ")</f>
        <v> Brand Propensities </v>
      </c>
      <c r="D421" s="4" t="str">
        <f>IFERROR(__xludf.DUMMYFUNCTION("""COMPUTED_VALUE""")," Electronics ")</f>
        <v> Electronics </v>
      </c>
      <c r="E421" s="4" t="str">
        <f>IFERROR(__xludf.DUMMYFUNCTION("""COMPUTED_VALUE""")," RadioShack Buyer Propensity")</f>
        <v> RadioShack Buyer Propensity</v>
      </c>
      <c r="F421" s="4"/>
      <c r="G421" s="4"/>
      <c r="H421" s="4"/>
      <c r="I421" s="5" t="s">
        <v>15</v>
      </c>
      <c r="J421" s="5" t="s">
        <v>42</v>
      </c>
      <c r="K421" s="5" t="s">
        <v>39</v>
      </c>
      <c r="L421" s="6" t="s">
        <v>612</v>
      </c>
      <c r="M421" s="5" t="s">
        <v>19</v>
      </c>
      <c r="N421" s="5" t="s">
        <v>52</v>
      </c>
      <c r="O421" s="5">
        <v>60412.0</v>
      </c>
      <c r="P421" s="5">
        <v>169.0</v>
      </c>
      <c r="Q421" s="5">
        <v>33457.0</v>
      </c>
      <c r="R421" s="5">
        <v>52172.0</v>
      </c>
      <c r="S421" s="5">
        <v>24.0</v>
      </c>
      <c r="T421" s="5">
        <v>1679.572708</v>
      </c>
    </row>
    <row r="422">
      <c r="A422" s="4" t="s">
        <v>1866</v>
      </c>
      <c r="B422" s="4" t="str">
        <f>IFERROR(__xludf.DUMMYFUNCTION("SPLIT(A422:A1148, ""&gt;"")"),"US ")</f>
        <v>US </v>
      </c>
      <c r="C422" s="4" t="str">
        <f>IFERROR(__xludf.DUMMYFUNCTION("""COMPUTED_VALUE""")," Interest Propensities ")</f>
        <v> Interest Propensities </v>
      </c>
      <c r="D422" s="4" t="str">
        <f>IFERROR(__xludf.DUMMYFUNCTION("""COMPUTED_VALUE""")," Activities and Interests ")</f>
        <v> Activities and Interests </v>
      </c>
      <c r="E422" s="4" t="str">
        <f>IFERROR(__xludf.DUMMYFUNCTION("""COMPUTED_VALUE""")," College Life")</f>
        <v> College Life</v>
      </c>
      <c r="F422" s="4"/>
      <c r="G422" s="4"/>
      <c r="H422" s="4"/>
      <c r="I422" s="5" t="s">
        <v>22</v>
      </c>
      <c r="J422" s="5" t="s">
        <v>16</v>
      </c>
      <c r="K422" s="5" t="s">
        <v>433</v>
      </c>
      <c r="L422" s="6" t="s">
        <v>612</v>
      </c>
      <c r="M422" s="5" t="s">
        <v>33</v>
      </c>
      <c r="N422" s="5" t="s">
        <v>27</v>
      </c>
      <c r="O422" s="5">
        <v>171575.0</v>
      </c>
      <c r="P422" s="5">
        <v>499.0</v>
      </c>
      <c r="Q422" s="5">
        <v>101487.0</v>
      </c>
      <c r="R422" s="5">
        <v>136036.0</v>
      </c>
      <c r="S422" s="5">
        <v>8.0</v>
      </c>
      <c r="T422" s="5">
        <v>1658.332426</v>
      </c>
    </row>
    <row r="423">
      <c r="A423" s="4" t="s">
        <v>1440</v>
      </c>
      <c r="B423" s="4" t="str">
        <f>IFERROR(__xludf.DUMMYFUNCTION("SPLIT(A423:A1149, ""&gt;"")"),"Lotame ")</f>
        <v>Lotame </v>
      </c>
      <c r="C423" s="4" t="str">
        <f>IFERROR(__xludf.DUMMYFUNCTION("""COMPUTED_VALUE""")," Social Media")</f>
        <v> Social Media</v>
      </c>
      <c r="D423" s="4"/>
      <c r="E423" s="4"/>
      <c r="F423" s="4"/>
      <c r="G423" s="4"/>
      <c r="H423" s="4"/>
      <c r="I423" s="5" t="s">
        <v>15</v>
      </c>
      <c r="J423" s="5" t="s">
        <v>31</v>
      </c>
      <c r="K423" s="5" t="s">
        <v>35</v>
      </c>
      <c r="L423" s="6" t="s">
        <v>612</v>
      </c>
      <c r="M423" s="5" t="s">
        <v>19</v>
      </c>
      <c r="N423" s="5" t="s">
        <v>27</v>
      </c>
      <c r="O423" s="5">
        <v>554980.0</v>
      </c>
      <c r="P423" s="5">
        <v>1542.0</v>
      </c>
      <c r="Q423" s="5">
        <v>323498.0</v>
      </c>
      <c r="R423" s="5">
        <v>467646.0</v>
      </c>
      <c r="S423" s="5">
        <v>8.0</v>
      </c>
      <c r="T423" s="5">
        <v>1600.769588</v>
      </c>
    </row>
    <row r="424">
      <c r="A424" s="4" t="s">
        <v>1867</v>
      </c>
      <c r="B424" s="4" t="str">
        <f>IFERROR(__xludf.DUMMYFUNCTION("SPLIT(A424:A1150, ""&gt;"")"),"US ")</f>
        <v>US </v>
      </c>
      <c r="C424" s="4" t="str">
        <f>IFERROR(__xludf.DUMMYFUNCTION("""COMPUTED_VALUE""")," Reach ")</f>
        <v> Reach </v>
      </c>
      <c r="D424" s="4" t="str">
        <f>IFERROR(__xludf.DUMMYFUNCTION("""COMPUTED_VALUE""")," Propensity Models ")</f>
        <v> Propensity Models </v>
      </c>
      <c r="E424" s="4" t="str">
        <f>IFERROR(__xludf.DUMMYFUNCTION("""COMPUTED_VALUE""")," Hobbies and Interest ")</f>
        <v> Hobbies and Interest </v>
      </c>
      <c r="F424" s="4" t="str">
        <f>IFERROR(__xludf.DUMMYFUNCTION("""COMPUTED_VALUE""")," Pets ")</f>
        <v> Pets </v>
      </c>
      <c r="G424" s="4" t="str">
        <f>IFERROR(__xludf.DUMMYFUNCTION("""COMPUTED_VALUE""")," Pet Enthusiast")</f>
        <v> Pet Enthusiast</v>
      </c>
      <c r="H424" s="4"/>
      <c r="I424" s="5" t="s">
        <v>15</v>
      </c>
      <c r="J424" s="5" t="s">
        <v>31</v>
      </c>
      <c r="K424" s="5" t="s">
        <v>17</v>
      </c>
      <c r="L424" s="6" t="s">
        <v>612</v>
      </c>
      <c r="M424" s="5" t="s">
        <v>19</v>
      </c>
      <c r="N424" s="5" t="s">
        <v>27</v>
      </c>
      <c r="O424" s="5">
        <v>321263.0</v>
      </c>
      <c r="P424" s="5">
        <v>852.0</v>
      </c>
      <c r="Q424" s="5">
        <v>172887.0</v>
      </c>
      <c r="R424" s="5">
        <v>263424.0</v>
      </c>
      <c r="S424" s="5">
        <v>6.0</v>
      </c>
      <c r="T424" s="5">
        <v>1576.051434</v>
      </c>
    </row>
    <row r="425">
      <c r="A425" s="4" t="s">
        <v>1868</v>
      </c>
      <c r="B425" s="4" t="str">
        <f>IFERROR(__xludf.DUMMYFUNCTION("SPLIT(A425:A1151, ""&gt;"")"),"US ")</f>
        <v>US </v>
      </c>
      <c r="C425" s="4" t="str">
        <f>IFERROR(__xludf.DUMMYFUNCTION("""COMPUTED_VALUE""")," Financially in Charge ")</f>
        <v> Financially in Charge </v>
      </c>
      <c r="D425" s="4" t="str">
        <f>IFERROR(__xludf.DUMMYFUNCTION("""COMPUTED_VALUE""")," Performance Score: Top 25%")</f>
        <v> Performance Score: Top 25%</v>
      </c>
      <c r="E425" s="4"/>
      <c r="F425" s="4"/>
      <c r="G425" s="4"/>
      <c r="H425" s="4"/>
      <c r="I425" s="5" t="s">
        <v>15</v>
      </c>
      <c r="J425" s="5" t="s">
        <v>23</v>
      </c>
      <c r="K425" s="5" t="s">
        <v>147</v>
      </c>
      <c r="L425" s="6" t="s">
        <v>612</v>
      </c>
      <c r="M425" s="5" t="s">
        <v>19</v>
      </c>
      <c r="N425" s="5" t="s">
        <v>27</v>
      </c>
      <c r="O425" s="5">
        <v>311753.0</v>
      </c>
      <c r="P425" s="5">
        <v>763.0</v>
      </c>
      <c r="Q425" s="5">
        <v>170122.0</v>
      </c>
      <c r="R425" s="5">
        <v>256841.0</v>
      </c>
      <c r="S425" s="5">
        <v>6.0</v>
      </c>
      <c r="T425" s="5">
        <v>1543.612655</v>
      </c>
    </row>
    <row r="426">
      <c r="A426" s="4" t="s">
        <v>1443</v>
      </c>
      <c r="B426" s="4" t="str">
        <f>IFERROR(__xludf.DUMMYFUNCTION("SPLIT(A426:A1152, ""&gt;"")"),"OnAudience ")</f>
        <v>OnAudience </v>
      </c>
      <c r="C426" s="4" t="str">
        <f>IFERROR(__xludf.DUMMYFUNCTION("""COMPUTED_VALUE""")," Intent ")</f>
        <v> Intent </v>
      </c>
      <c r="D426" s="4" t="str">
        <f>IFERROR(__xludf.DUMMYFUNCTION("""COMPUTED_VALUE""")," Travel")</f>
        <v> Travel</v>
      </c>
      <c r="E426" s="4"/>
      <c r="F426" s="4"/>
      <c r="G426" s="4"/>
      <c r="H426" s="4"/>
      <c r="I426" s="5" t="s">
        <v>15</v>
      </c>
      <c r="J426" s="5" t="s">
        <v>16</v>
      </c>
      <c r="K426" s="5" t="s">
        <v>35</v>
      </c>
      <c r="L426" s="6" t="s">
        <v>612</v>
      </c>
      <c r="M426" s="5" t="s">
        <v>46</v>
      </c>
      <c r="N426" s="5" t="s">
        <v>20</v>
      </c>
      <c r="O426" s="5">
        <v>96031.0</v>
      </c>
      <c r="P426" s="5">
        <v>311.0</v>
      </c>
      <c r="Q426" s="5">
        <v>57187.0</v>
      </c>
      <c r="R426" s="5">
        <v>78396.0</v>
      </c>
      <c r="S426" s="5">
        <v>21.0</v>
      </c>
      <c r="T426" s="5">
        <v>1508.90767</v>
      </c>
    </row>
    <row r="427">
      <c r="A427" s="4" t="s">
        <v>1444</v>
      </c>
      <c r="B427" s="4" t="str">
        <f>IFERROR(__xludf.DUMMYFUNCTION("SPLIT(A427:A1153, ""&gt;"")"),"Media and Entertainment ")</f>
        <v>Media and Entertainment </v>
      </c>
      <c r="C427" s="4" t="str">
        <f>IFERROR(__xludf.DUMMYFUNCTION("""COMPUTED_VALUE""")," Sports and Recreational Activities ")</f>
        <v> Sports and Recreational Activities </v>
      </c>
      <c r="D427" s="4" t="str">
        <f>IFERROR(__xludf.DUMMYFUNCTION("""COMPUTED_VALUE""")," Interest (Affinity) ")</f>
        <v> Interest (Affinity) </v>
      </c>
      <c r="E427" s="4" t="str">
        <f>IFERROR(__xludf.DUMMYFUNCTION("""COMPUTED_VALUE""")," Team Sports ")</f>
        <v> Team Sports </v>
      </c>
      <c r="F427" s="4" t="str">
        <f>IFERROR(__xludf.DUMMYFUNCTION("""COMPUTED_VALUE""")," Football (American)")</f>
        <v> Football (American)</v>
      </c>
      <c r="G427" s="4"/>
      <c r="H427" s="4"/>
      <c r="I427" s="5" t="s">
        <v>22</v>
      </c>
      <c r="J427" s="5" t="s">
        <v>16</v>
      </c>
      <c r="K427" s="5" t="s">
        <v>142</v>
      </c>
      <c r="L427" s="6" t="s">
        <v>612</v>
      </c>
      <c r="M427" s="5" t="s">
        <v>19</v>
      </c>
      <c r="N427" s="5" t="s">
        <v>27</v>
      </c>
      <c r="O427" s="5">
        <v>47931.0</v>
      </c>
      <c r="P427" s="5">
        <v>170.0</v>
      </c>
      <c r="Q427" s="5">
        <v>15989.0</v>
      </c>
      <c r="R427" s="5">
        <v>38916.0</v>
      </c>
      <c r="S427" s="5">
        <v>4.0</v>
      </c>
      <c r="T427" s="5">
        <v>1487.228625</v>
      </c>
    </row>
    <row r="428">
      <c r="A428" s="4" t="s">
        <v>1869</v>
      </c>
      <c r="B428" s="4" t="str">
        <f>IFERROR(__xludf.DUMMYFUNCTION("SPLIT(A428:A1154, ""&gt;"")"),"US Financial ")</f>
        <v>US Financial </v>
      </c>
      <c r="C428" s="4" t="str">
        <f>IFERROR(__xludf.DUMMYFUNCTION("""COMPUTED_VALUE""")," Likely Bank Account and Services ")</f>
        <v> Likely Bank Account and Services </v>
      </c>
      <c r="D428" s="4" t="str">
        <f>IFERROR(__xludf.DUMMYFUNCTION("""COMPUTED_VALUE""")," Saving Account ")</f>
        <v> Saving Account </v>
      </c>
      <c r="E428" s="4" t="str">
        <f>IFERROR(__xludf.DUMMYFUNCTION("""COMPUTED_VALUE""")," Personal or Join (Financial)")</f>
        <v> Personal or Join (Financial)</v>
      </c>
      <c r="F428" s="4"/>
      <c r="G428" s="4"/>
      <c r="H428" s="4"/>
      <c r="I428" s="5" t="s">
        <v>15</v>
      </c>
      <c r="J428" s="5" t="s">
        <v>23</v>
      </c>
      <c r="K428" s="5" t="s">
        <v>641</v>
      </c>
      <c r="L428" s="6" t="s">
        <v>612</v>
      </c>
      <c r="M428" s="5" t="s">
        <v>36</v>
      </c>
      <c r="N428" s="5" t="s">
        <v>27</v>
      </c>
      <c r="O428" s="5">
        <v>177632.0</v>
      </c>
      <c r="P428" s="5">
        <v>485.0</v>
      </c>
      <c r="Q428" s="5">
        <v>70865.0</v>
      </c>
      <c r="R428" s="5">
        <v>95871.0</v>
      </c>
      <c r="S428" s="5">
        <v>5.0</v>
      </c>
      <c r="T428" s="5">
        <v>1483.384404</v>
      </c>
    </row>
    <row r="429">
      <c r="A429" s="4" t="s">
        <v>1446</v>
      </c>
      <c r="B429" s="4" t="str">
        <f>IFERROR(__xludf.DUMMYFUNCTION("SPLIT(A429:A1155, ""&gt;"")"),"Online Behavior")</f>
        <v>Online Behavior</v>
      </c>
      <c r="C429" s="4" t="str">
        <f>IFERROR(__xludf.DUMMYFUNCTION("""COMPUTED_VALUE"""),"United States")</f>
        <v>United States</v>
      </c>
      <c r="D429" s="4" t="str">
        <f>IFERROR(__xludf.DUMMYFUNCTION("""COMPUTED_VALUE"""),"B2B ")</f>
        <v>B2B </v>
      </c>
      <c r="E429" s="4" t="str">
        <f>IFERROR(__xludf.DUMMYFUNCTION("""COMPUTED_VALUE""")," Occupation")</f>
        <v> Occupation</v>
      </c>
      <c r="F429" s="4" t="str">
        <f>IFERROR(__xludf.DUMMYFUNCTION("""COMPUTED_VALUE"""),"SupplyChainManager")</f>
        <v>SupplyChainManager</v>
      </c>
      <c r="G429" s="4"/>
      <c r="H429" s="4"/>
      <c r="I429" s="5" t="s">
        <v>15</v>
      </c>
      <c r="J429" s="5" t="s">
        <v>31</v>
      </c>
      <c r="K429" s="5" t="s">
        <v>84</v>
      </c>
      <c r="L429" s="6" t="s">
        <v>643</v>
      </c>
      <c r="M429" s="5" t="s">
        <v>19</v>
      </c>
      <c r="N429" s="5" t="s">
        <v>20</v>
      </c>
      <c r="O429" s="5">
        <v>7470.0</v>
      </c>
      <c r="P429" s="5">
        <v>0.0</v>
      </c>
      <c r="Q429" s="5">
        <v>6753.0</v>
      </c>
      <c r="R429" s="5">
        <v>7229.0</v>
      </c>
      <c r="S429" s="5">
        <v>1.0</v>
      </c>
      <c r="T429" s="5">
        <v>1738.995282</v>
      </c>
    </row>
    <row r="430">
      <c r="A430" s="4" t="s">
        <v>1447</v>
      </c>
      <c r="B430" s="4" t="str">
        <f>IFERROR(__xludf.DUMMYFUNCTION("SPLIT(A430:A1156, ""&gt;"")"),"Online Behavior")</f>
        <v>Online Behavior</v>
      </c>
      <c r="C430" s="4" t="str">
        <f>IFERROR(__xludf.DUMMYFUNCTION("""COMPUTED_VALUE"""),"United States")</f>
        <v>United States</v>
      </c>
      <c r="D430" s="4" t="str">
        <f>IFERROR(__xludf.DUMMYFUNCTION("""COMPUTED_VALUE"""),"People and Society")</f>
        <v>People and Society</v>
      </c>
      <c r="E430" s="4" t="str">
        <f>IFERROR(__xludf.DUMMYFUNCTION("""COMPUTED_VALUE"""),"Family and Relationships ")</f>
        <v>Family and Relationships </v>
      </c>
      <c r="F430" s="4" t="str">
        <f>IFERROR(__xludf.DUMMYFUNCTION("""COMPUTED_VALUE""")," Moms")</f>
        <v> Moms</v>
      </c>
      <c r="G430" s="4"/>
      <c r="H430" s="4"/>
      <c r="I430" s="5" t="s">
        <v>22</v>
      </c>
      <c r="J430" s="5" t="s">
        <v>16</v>
      </c>
      <c r="K430" s="5" t="s">
        <v>131</v>
      </c>
      <c r="L430" s="6" t="s">
        <v>645</v>
      </c>
      <c r="M430" s="5" t="s">
        <v>46</v>
      </c>
      <c r="N430" s="5" t="s">
        <v>27</v>
      </c>
      <c r="O430" s="5">
        <v>26784.0</v>
      </c>
      <c r="P430" s="5">
        <v>85.0</v>
      </c>
      <c r="Q430" s="5">
        <v>12708.0</v>
      </c>
      <c r="R430" s="5">
        <v>22261.0</v>
      </c>
      <c r="S430" s="5">
        <v>9.0</v>
      </c>
      <c r="T430" s="5">
        <v>6643.161647</v>
      </c>
    </row>
    <row r="431">
      <c r="A431" s="4" t="s">
        <v>1448</v>
      </c>
      <c r="B431" s="4" t="str">
        <f>IFERROR(__xludf.DUMMYFUNCTION("SPLIT(A431:A1157, ""&gt;"")"),"Online Behavior")</f>
        <v>Online Behavior</v>
      </c>
      <c r="C431" s="4" t="str">
        <f>IFERROR(__xludf.DUMMYFUNCTION("""COMPUTED_VALUE"""),"United States")</f>
        <v>United States</v>
      </c>
      <c r="D431" s="4" t="str">
        <f>IFERROR(__xludf.DUMMYFUNCTION("""COMPUTED_VALUE"""),"Arts and Entertainment")</f>
        <v>Arts and Entertainment</v>
      </c>
      <c r="E431" s="4" t="str">
        <f>IFERROR(__xludf.DUMMYFUNCTION("""COMPUTED_VALUE"""),"Events and Listings ")</f>
        <v>Events and Listings </v>
      </c>
      <c r="F431" s="4" t="str">
        <f>IFERROR(__xludf.DUMMYFUNCTION("""COMPUTED_VALUE""")," Live Sporting Events")</f>
        <v> Live Sporting Events</v>
      </c>
      <c r="G431" s="4"/>
      <c r="H431" s="4"/>
      <c r="I431" s="5" t="s">
        <v>22</v>
      </c>
      <c r="J431" s="5" t="s">
        <v>16</v>
      </c>
      <c r="K431" s="5" t="s">
        <v>35</v>
      </c>
      <c r="L431" s="6" t="s">
        <v>645</v>
      </c>
      <c r="M431" s="5" t="s">
        <v>19</v>
      </c>
      <c r="N431" s="5" t="s">
        <v>27</v>
      </c>
      <c r="O431" s="5">
        <v>21028.0</v>
      </c>
      <c r="P431" s="5">
        <v>10.0</v>
      </c>
      <c r="Q431" s="5">
        <v>5781.0</v>
      </c>
      <c r="R431" s="5">
        <v>16134.0</v>
      </c>
      <c r="S431" s="5">
        <v>11.0</v>
      </c>
      <c r="T431" s="5">
        <v>5101.321655</v>
      </c>
    </row>
    <row r="432">
      <c r="A432" s="4" t="s">
        <v>1449</v>
      </c>
      <c r="B432" s="4" t="str">
        <f>IFERROR(__xludf.DUMMYFUNCTION("SPLIT(A432:A1158, ""&gt;"")"),"Online Behavior")</f>
        <v>Online Behavior</v>
      </c>
      <c r="C432" s="4" t="str">
        <f>IFERROR(__xludf.DUMMYFUNCTION("""COMPUTED_VALUE"""),"United States")</f>
        <v>United States</v>
      </c>
      <c r="D432" s="4" t="str">
        <f>IFERROR(__xludf.DUMMYFUNCTION("""COMPUTED_VALUE"""),"Intent ")</f>
        <v>Intent </v>
      </c>
      <c r="E432" s="4" t="str">
        <f>IFERROR(__xludf.DUMMYFUNCTION("""COMPUTED_VALUE""")," Financial Intent")</f>
        <v> Financial Intent</v>
      </c>
      <c r="F432" s="4" t="str">
        <f>IFERROR(__xludf.DUMMYFUNCTION("""COMPUTED_VALUE"""),"Banking")</f>
        <v>Banking</v>
      </c>
      <c r="G432" s="4"/>
      <c r="H432" s="4"/>
      <c r="I432" s="5" t="s">
        <v>61</v>
      </c>
      <c r="J432" s="5" t="s">
        <v>16</v>
      </c>
      <c r="K432" s="5" t="s">
        <v>29</v>
      </c>
      <c r="L432" s="6" t="s">
        <v>648</v>
      </c>
      <c r="M432" s="5" t="s">
        <v>19</v>
      </c>
      <c r="N432" s="5" t="s">
        <v>27</v>
      </c>
      <c r="O432" s="5">
        <v>9238.0</v>
      </c>
      <c r="P432" s="5">
        <v>84.0</v>
      </c>
      <c r="Q432" s="5">
        <v>4626.0</v>
      </c>
      <c r="R432" s="5">
        <v>8264.0</v>
      </c>
      <c r="S432" s="5">
        <v>15.0</v>
      </c>
      <c r="T432" s="5">
        <v>6683.225487</v>
      </c>
    </row>
    <row r="433">
      <c r="A433" s="4" t="s">
        <v>1450</v>
      </c>
      <c r="B433" s="4" t="str">
        <f>IFERROR(__xludf.DUMMYFUNCTION("SPLIT(A433:A1159, ""&gt;"")"),"Online Behavior")</f>
        <v>Online Behavior</v>
      </c>
      <c r="C433" s="4" t="str">
        <f>IFERROR(__xludf.DUMMYFUNCTION("""COMPUTED_VALUE"""),"United States")</f>
        <v>United States</v>
      </c>
      <c r="D433" s="4" t="str">
        <f>IFERROR(__xludf.DUMMYFUNCTION("""COMPUTED_VALUE"""),"Finance ")</f>
        <v>Finance </v>
      </c>
      <c r="E433" s="4" t="str">
        <f>IFERROR(__xludf.DUMMYFUNCTION("""COMPUTED_VALUE""")," Insurance")</f>
        <v> Insurance</v>
      </c>
      <c r="F433" s="4" t="str">
        <f>IFERROR(__xludf.DUMMYFUNCTION("""COMPUTED_VALUE"""),"Health Insurance")</f>
        <v>Health Insurance</v>
      </c>
      <c r="G433" s="4"/>
      <c r="H433" s="4"/>
      <c r="I433" s="5" t="s">
        <v>22</v>
      </c>
      <c r="J433" s="5" t="s">
        <v>23</v>
      </c>
      <c r="K433" s="5" t="s">
        <v>29</v>
      </c>
      <c r="L433" s="6" t="s">
        <v>650</v>
      </c>
      <c r="M433" s="5" t="s">
        <v>26</v>
      </c>
      <c r="N433" s="5" t="s">
        <v>27</v>
      </c>
      <c r="O433" s="5">
        <v>39881.0</v>
      </c>
      <c r="P433" s="5">
        <v>125.0</v>
      </c>
      <c r="Q433" s="5">
        <v>6331.0</v>
      </c>
      <c r="R433" s="5">
        <v>36245.0</v>
      </c>
      <c r="S433" s="5">
        <v>10.0</v>
      </c>
      <c r="T433" s="5">
        <v>7098.889706</v>
      </c>
    </row>
    <row r="434">
      <c r="A434" s="4" t="s">
        <v>1451</v>
      </c>
      <c r="B434" s="4" t="str">
        <f>IFERROR(__xludf.DUMMYFUNCTION("SPLIT(A434:A1160, ""&gt;"")"),"Media and Entertainment ")</f>
        <v>Media and Entertainment </v>
      </c>
      <c r="C434" s="4" t="str">
        <f>IFERROR(__xludf.DUMMYFUNCTION("""COMPUTED_VALUE""")," Sports and Recreational Activities ")</f>
        <v> Sports and Recreational Activities </v>
      </c>
      <c r="D434" s="4" t="str">
        <f>IFERROR(__xludf.DUMMYFUNCTION("""COMPUTED_VALUE""")," Interest (Affinity) ")</f>
        <v> Interest (Affinity) </v>
      </c>
      <c r="E434" s="4" t="str">
        <f>IFERROR(__xludf.DUMMYFUNCTION("""COMPUTED_VALUE""")," Olympics")</f>
        <v> Olympics</v>
      </c>
      <c r="F434" s="4"/>
      <c r="G434" s="4"/>
      <c r="H434" s="4"/>
      <c r="I434" s="5" t="s">
        <v>15</v>
      </c>
      <c r="J434" s="5" t="s">
        <v>16</v>
      </c>
      <c r="K434" s="5" t="s">
        <v>471</v>
      </c>
      <c r="L434" s="6" t="s">
        <v>652</v>
      </c>
      <c r="M434" s="5" t="s">
        <v>19</v>
      </c>
      <c r="N434" s="5" t="s">
        <v>27</v>
      </c>
      <c r="O434" s="5">
        <v>10883.0</v>
      </c>
      <c r="P434" s="5">
        <v>46.0</v>
      </c>
      <c r="Q434" s="5">
        <v>1652.0</v>
      </c>
      <c r="R434" s="5">
        <v>8869.0</v>
      </c>
      <c r="S434" s="5">
        <v>16.0</v>
      </c>
      <c r="T434" s="5">
        <v>1942.482395</v>
      </c>
    </row>
    <row r="435">
      <c r="A435" s="4" t="s">
        <v>1870</v>
      </c>
      <c r="B435" s="4" t="str">
        <f>IFERROR(__xludf.DUMMYFUNCTION("SPLIT(A435:A1161, ""&gt;"")"),"US ")</f>
        <v>US </v>
      </c>
      <c r="C435" s="4" t="str">
        <f>IFERROR(__xludf.DUMMYFUNCTION("""COMPUTED_VALUE""")," Brand Propensities ")</f>
        <v> Brand Propensities </v>
      </c>
      <c r="D435" s="4" t="str">
        <f>IFERROR(__xludf.DUMMYFUNCTION("""COMPUTED_VALUE""")," Kids Products ")</f>
        <v> Kids Products </v>
      </c>
      <c r="E435" s="4" t="str">
        <f>IFERROR(__xludf.DUMMYFUNCTION("""COMPUTED_VALUE""")," Disney Buyer Propensity")</f>
        <v> Disney Buyer Propensity</v>
      </c>
      <c r="F435" s="4"/>
      <c r="G435" s="4"/>
      <c r="H435" s="4"/>
      <c r="I435" s="5" t="s">
        <v>15</v>
      </c>
      <c r="J435" s="5" t="s">
        <v>16</v>
      </c>
      <c r="K435" s="5" t="s">
        <v>78</v>
      </c>
      <c r="L435" s="6" t="s">
        <v>654</v>
      </c>
      <c r="M435" s="5" t="s">
        <v>19</v>
      </c>
      <c r="N435" s="5" t="s">
        <v>20</v>
      </c>
      <c r="O435" s="5">
        <v>50517.0</v>
      </c>
      <c r="P435" s="5">
        <v>270.0</v>
      </c>
      <c r="Q435" s="5">
        <v>17179.0</v>
      </c>
      <c r="R435" s="5">
        <v>48389.0</v>
      </c>
      <c r="S435" s="5">
        <v>2.0</v>
      </c>
      <c r="T435" s="5">
        <v>1718.471077</v>
      </c>
    </row>
    <row r="436">
      <c r="A436" s="4" t="s">
        <v>655</v>
      </c>
      <c r="B436" s="4" t="str">
        <f>IFERROR(__xludf.DUMMYFUNCTION("SPLIT(A436:A1162, ""&gt;"")"),"Online Behavior")</f>
        <v>Online Behavior</v>
      </c>
      <c r="C436" s="4" t="str">
        <f>IFERROR(__xludf.DUMMYFUNCTION("""COMPUTED_VALUE"""),"United States")</f>
        <v>United States</v>
      </c>
      <c r="D436" s="4" t="str">
        <f>IFERROR(__xludf.DUMMYFUNCTION("""COMPUTED_VALUE"""),"Arts and Entertainment")</f>
        <v>Arts and Entertainment</v>
      </c>
      <c r="E436" s="4" t="str">
        <f>IFERROR(__xludf.DUMMYFUNCTION("""COMPUTED_VALUE"""),"Arts and Entertainment")</f>
        <v>Arts and Entertainment</v>
      </c>
      <c r="F436" s="4"/>
      <c r="G436" s="4"/>
      <c r="H436" s="4"/>
      <c r="I436" s="5" t="s">
        <v>22</v>
      </c>
      <c r="J436" s="5" t="s">
        <v>16</v>
      </c>
      <c r="K436" s="5" t="s">
        <v>24</v>
      </c>
      <c r="L436" s="6" t="s">
        <v>654</v>
      </c>
      <c r="M436" s="5" t="s">
        <v>19</v>
      </c>
      <c r="N436" s="5" t="s">
        <v>27</v>
      </c>
      <c r="O436" s="5">
        <v>7248.0</v>
      </c>
      <c r="P436" s="5">
        <v>10.0</v>
      </c>
      <c r="Q436" s="5">
        <v>3988.0</v>
      </c>
      <c r="R436" s="5">
        <v>6863.0</v>
      </c>
      <c r="S436" s="5">
        <v>7.0</v>
      </c>
      <c r="T436" s="5">
        <v>1247.0</v>
      </c>
    </row>
    <row r="437">
      <c r="A437" s="4" t="s">
        <v>1453</v>
      </c>
      <c r="B437" s="4" t="str">
        <f>IFERROR(__xludf.DUMMYFUNCTION("SPLIT(A437:A1163, ""&gt;"")"),"Online Behavior")</f>
        <v>Online Behavior</v>
      </c>
      <c r="C437" s="4" t="str">
        <f>IFERROR(__xludf.DUMMYFUNCTION("""COMPUTED_VALUE"""),"United States")</f>
        <v>United States</v>
      </c>
      <c r="D437" s="4" t="str">
        <f>IFERROR(__xludf.DUMMYFUNCTION("""COMPUTED_VALUE"""),"Validated Demographic ")</f>
        <v>Validated Demographic </v>
      </c>
      <c r="E437" s="4" t="str">
        <f>IFERROR(__xludf.DUMMYFUNCTION("""COMPUTED_VALUE""")," Gender and Age Combined")</f>
        <v> Gender and Age Combined</v>
      </c>
      <c r="F437" s="4" t="str">
        <f>IFERROR(__xludf.DUMMYFUNCTION("""COMPUTED_VALUE"""),"Males 18-34")</f>
        <v>Males 18-34</v>
      </c>
      <c r="G437" s="4"/>
      <c r="H437" s="4"/>
      <c r="I437" s="5" t="s">
        <v>22</v>
      </c>
      <c r="J437" s="5" t="s">
        <v>42</v>
      </c>
      <c r="K437" s="5" t="s">
        <v>29</v>
      </c>
      <c r="L437" s="6" t="s">
        <v>657</v>
      </c>
      <c r="M437" s="5" t="s">
        <v>46</v>
      </c>
      <c r="N437" s="5" t="s">
        <v>27</v>
      </c>
      <c r="O437" s="5">
        <v>10835.0</v>
      </c>
      <c r="P437" s="5">
        <v>25.0</v>
      </c>
      <c r="Q437" s="5">
        <v>2888.0</v>
      </c>
      <c r="R437" s="5">
        <v>10487.0</v>
      </c>
      <c r="S437" s="5">
        <v>3.0</v>
      </c>
      <c r="T437" s="5">
        <v>4704.249956</v>
      </c>
    </row>
    <row r="438">
      <c r="A438" s="4" t="s">
        <v>1454</v>
      </c>
      <c r="B438" s="4" t="str">
        <f>IFERROR(__xludf.DUMMYFUNCTION("SPLIT(A438:A1164, ""&gt;"")"),"Online Behavior")</f>
        <v>Online Behavior</v>
      </c>
      <c r="C438" s="4" t="str">
        <f>IFERROR(__xludf.DUMMYFUNCTION("""COMPUTED_VALUE"""),"United States")</f>
        <v>United States</v>
      </c>
      <c r="D438" s="4" t="str">
        <f>IFERROR(__xludf.DUMMYFUNCTION("""COMPUTED_VALUE"""),"Finance ")</f>
        <v>Finance </v>
      </c>
      <c r="E438" s="4" t="str">
        <f>IFERROR(__xludf.DUMMYFUNCTION("""COMPUTED_VALUE""")," Investing")</f>
        <v> Investing</v>
      </c>
      <c r="F438" s="4" t="str">
        <f>IFERROR(__xludf.DUMMYFUNCTION("""COMPUTED_VALUE"""),"Commodities and Futures Trading")</f>
        <v>Commodities and Futures Trading</v>
      </c>
      <c r="G438" s="4"/>
      <c r="H438" s="4"/>
      <c r="I438" s="5" t="s">
        <v>15</v>
      </c>
      <c r="J438" s="5" t="s">
        <v>31</v>
      </c>
      <c r="K438" s="5" t="s">
        <v>17</v>
      </c>
      <c r="L438" s="6" t="s">
        <v>659</v>
      </c>
      <c r="M438" s="5" t="s">
        <v>19</v>
      </c>
      <c r="N438" s="5" t="s">
        <v>27</v>
      </c>
      <c r="O438" s="5">
        <v>11476.0</v>
      </c>
      <c r="P438" s="5">
        <v>45.0</v>
      </c>
      <c r="Q438" s="5">
        <v>4963.0</v>
      </c>
      <c r="R438" s="5">
        <v>10991.0</v>
      </c>
      <c r="S438" s="5">
        <v>8.0</v>
      </c>
      <c r="T438" s="5">
        <v>7227.417349</v>
      </c>
    </row>
    <row r="439">
      <c r="A439" s="4" t="s">
        <v>1455</v>
      </c>
      <c r="B439" s="4" t="str">
        <f>IFERROR(__xludf.DUMMYFUNCTION("SPLIT(A439:A1165, ""&gt;"")"),"Online Behavior")</f>
        <v>Online Behavior</v>
      </c>
      <c r="C439" s="4" t="str">
        <f>IFERROR(__xludf.DUMMYFUNCTION("""COMPUTED_VALUE"""),"United States")</f>
        <v>United States</v>
      </c>
      <c r="D439" s="4" t="str">
        <f>IFERROR(__xludf.DUMMYFUNCTION("""COMPUTED_VALUE"""),"Autos and Vehicles")</f>
        <v>Autos and Vehicles</v>
      </c>
      <c r="E439" s="4" t="str">
        <f>IFERROR(__xludf.DUMMYFUNCTION("""COMPUTED_VALUE"""),"Vehicle Shopping ")</f>
        <v>Vehicle Shopping </v>
      </c>
      <c r="F439" s="4" t="str">
        <f>IFERROR(__xludf.DUMMYFUNCTION("""COMPUTED_VALUE""")," Fuel Economy and Gas Prices")</f>
        <v> Fuel Economy and Gas Prices</v>
      </c>
      <c r="G439" s="4"/>
      <c r="H439" s="4"/>
      <c r="I439" s="5" t="s">
        <v>22</v>
      </c>
      <c r="J439" s="5" t="s">
        <v>23</v>
      </c>
      <c r="K439" s="5" t="s">
        <v>78</v>
      </c>
      <c r="L439" s="6" t="s">
        <v>661</v>
      </c>
      <c r="M439" s="5" t="s">
        <v>19</v>
      </c>
      <c r="N439" s="5" t="s">
        <v>27</v>
      </c>
      <c r="O439" s="5">
        <v>92764.0</v>
      </c>
      <c r="P439" s="5">
        <v>320.0</v>
      </c>
      <c r="Q439" s="5">
        <v>19625.0</v>
      </c>
      <c r="R439" s="5">
        <v>76531.0</v>
      </c>
      <c r="S439" s="5">
        <v>14.0</v>
      </c>
      <c r="T439" s="5">
        <v>6730.012549</v>
      </c>
    </row>
    <row r="440">
      <c r="A440" s="4" t="s">
        <v>1456</v>
      </c>
      <c r="B440" s="4" t="str">
        <f>IFERROR(__xludf.DUMMYFUNCTION("SPLIT(A440:A1166, ""&gt;"")"),"Online Behavior")</f>
        <v>Online Behavior</v>
      </c>
      <c r="C440" s="4" t="str">
        <f>IFERROR(__xludf.DUMMYFUNCTION("""COMPUTED_VALUE"""),"United States")</f>
        <v>United States</v>
      </c>
      <c r="D440" s="4" t="str">
        <f>IFERROR(__xludf.DUMMYFUNCTION("""COMPUTED_VALUE"""),"Travel")</f>
        <v>Travel</v>
      </c>
      <c r="E440" s="4" t="str">
        <f>IFERROR(__xludf.DUMMYFUNCTION("""COMPUTED_VALUE"""),"Travel Agencies and Services ")</f>
        <v>Travel Agencies and Services </v>
      </c>
      <c r="F440" s="4" t="str">
        <f>IFERROR(__xludf.DUMMYFUNCTION("""COMPUTED_VALUE""")," Tourist Boards and Visitor Centers")</f>
        <v> Tourist Boards and Visitor Centers</v>
      </c>
      <c r="G440" s="4"/>
      <c r="H440" s="4"/>
      <c r="I440" s="5" t="s">
        <v>22</v>
      </c>
      <c r="J440" s="5" t="s">
        <v>23</v>
      </c>
      <c r="K440" s="5" t="s">
        <v>273</v>
      </c>
      <c r="L440" s="6" t="s">
        <v>661</v>
      </c>
      <c r="M440" s="5" t="s">
        <v>36</v>
      </c>
      <c r="N440" s="5" t="s">
        <v>27</v>
      </c>
      <c r="O440" s="5">
        <v>189571.0</v>
      </c>
      <c r="P440" s="5">
        <v>500.0</v>
      </c>
      <c r="Q440" s="5">
        <v>130676.0</v>
      </c>
      <c r="R440" s="5">
        <v>183688.0</v>
      </c>
      <c r="S440" s="5">
        <v>39.0</v>
      </c>
      <c r="T440" s="5">
        <v>6335.948388</v>
      </c>
    </row>
    <row r="441">
      <c r="A441" s="4" t="s">
        <v>1457</v>
      </c>
      <c r="B441" s="4" t="str">
        <f>IFERROR(__xludf.DUMMYFUNCTION("SPLIT(A441:A1167, ""&gt;"")"),"Online Behavior")</f>
        <v>Online Behavior</v>
      </c>
      <c r="C441" s="4" t="str">
        <f>IFERROR(__xludf.DUMMYFUNCTION("""COMPUTED_VALUE"""),"United States")</f>
        <v>United States</v>
      </c>
      <c r="D441" s="4" t="str">
        <f>IFERROR(__xludf.DUMMYFUNCTION("""COMPUTED_VALUE"""),"Beauty and Fitness")</f>
        <v>Beauty and Fitness</v>
      </c>
      <c r="E441" s="4" t="str">
        <f>IFERROR(__xludf.DUMMYFUNCTION("""COMPUTED_VALUE"""),"Fitness ")</f>
        <v>Fitness </v>
      </c>
      <c r="F441" s="4" t="str">
        <f>IFERROR(__xludf.DUMMYFUNCTION("""COMPUTED_VALUE""")," Home Exercise")</f>
        <v> Home Exercise</v>
      </c>
      <c r="G441" s="4"/>
      <c r="H441" s="4"/>
      <c r="I441" s="5" t="s">
        <v>15</v>
      </c>
      <c r="J441" s="5" t="s">
        <v>42</v>
      </c>
      <c r="K441" s="5" t="s">
        <v>24</v>
      </c>
      <c r="L441" s="6" t="s">
        <v>661</v>
      </c>
      <c r="M441" s="5" t="s">
        <v>50</v>
      </c>
      <c r="N441" s="5" t="s">
        <v>27</v>
      </c>
      <c r="O441" s="5">
        <v>14224.0</v>
      </c>
      <c r="P441" s="5">
        <v>30.0</v>
      </c>
      <c r="Q441" s="5">
        <v>2549.0</v>
      </c>
      <c r="R441" s="5">
        <v>11974.0</v>
      </c>
      <c r="S441" s="5">
        <v>7.0</v>
      </c>
      <c r="T441" s="5">
        <v>5637.303497</v>
      </c>
    </row>
    <row r="442">
      <c r="A442" s="4" t="s">
        <v>1458</v>
      </c>
      <c r="B442" s="4" t="str">
        <f>IFERROR(__xludf.DUMMYFUNCTION("SPLIT(A442:A1168, ""&gt;"")"),"Media and Entertainment ")</f>
        <v>Media and Entertainment </v>
      </c>
      <c r="C442" s="4" t="str">
        <f>IFERROR(__xludf.DUMMYFUNCTION("""COMPUTED_VALUE""")," News and Current Events")</f>
        <v> News and Current Events</v>
      </c>
      <c r="D442" s="4"/>
      <c r="E442" s="4"/>
      <c r="F442" s="4"/>
      <c r="G442" s="4"/>
      <c r="H442" s="4"/>
      <c r="I442" s="5" t="s">
        <v>15</v>
      </c>
      <c r="J442" s="5" t="s">
        <v>31</v>
      </c>
      <c r="K442" s="5" t="s">
        <v>17</v>
      </c>
      <c r="L442" s="6" t="s">
        <v>661</v>
      </c>
      <c r="M442" s="5" t="s">
        <v>19</v>
      </c>
      <c r="N442" s="5" t="s">
        <v>27</v>
      </c>
      <c r="O442" s="5">
        <v>183208.0</v>
      </c>
      <c r="P442" s="5">
        <v>620.0</v>
      </c>
      <c r="Q442" s="5">
        <v>131164.0</v>
      </c>
      <c r="R442" s="5">
        <v>177952.0</v>
      </c>
      <c r="S442" s="5">
        <v>43.0</v>
      </c>
      <c r="T442" s="5">
        <v>2682.436623</v>
      </c>
    </row>
    <row r="443">
      <c r="A443" s="4" t="s">
        <v>1871</v>
      </c>
      <c r="B443" s="4" t="str">
        <f>IFERROR(__xludf.DUMMYFUNCTION("SPLIT(A443:A1169, ""&gt;"")"),"US ")</f>
        <v>US </v>
      </c>
      <c r="C443" s="4" t="str">
        <f>IFERROR(__xludf.DUMMYFUNCTION("""COMPUTED_VALUE""")," Interest Propensities ")</f>
        <v> Interest Propensities </v>
      </c>
      <c r="D443" s="4" t="str">
        <f>IFERROR(__xludf.DUMMYFUNCTION("""COMPUTED_VALUE""")," Activities and Interests ")</f>
        <v> Activities and Interests </v>
      </c>
      <c r="E443" s="4" t="str">
        <f>IFERROR(__xludf.DUMMYFUNCTION("""COMPUTED_VALUE""")," National News")</f>
        <v> National News</v>
      </c>
      <c r="F443" s="4"/>
      <c r="G443" s="4"/>
      <c r="H443" s="4"/>
      <c r="I443" s="5" t="s">
        <v>22</v>
      </c>
      <c r="J443" s="5" t="s">
        <v>42</v>
      </c>
      <c r="K443" s="5" t="s">
        <v>78</v>
      </c>
      <c r="L443" s="6" t="s">
        <v>661</v>
      </c>
      <c r="M443" s="5" t="s">
        <v>46</v>
      </c>
      <c r="N443" s="5" t="s">
        <v>27</v>
      </c>
      <c r="O443" s="5">
        <v>20486.0</v>
      </c>
      <c r="P443" s="5">
        <v>42.0</v>
      </c>
      <c r="Q443" s="5">
        <v>14583.0</v>
      </c>
      <c r="R443" s="5">
        <v>19860.0</v>
      </c>
      <c r="S443" s="5">
        <v>2.0</v>
      </c>
      <c r="T443" s="5">
        <v>1718.513762</v>
      </c>
    </row>
    <row r="444">
      <c r="A444" s="4" t="s">
        <v>1872</v>
      </c>
      <c r="B444" s="4" t="str">
        <f>IFERROR(__xludf.DUMMYFUNCTION("SPLIT(A444:A1170, ""&gt;"")"),"US ")</f>
        <v>US </v>
      </c>
      <c r="C444" s="4" t="str">
        <f>IFERROR(__xludf.DUMMYFUNCTION("""COMPUTED_VALUE""")," Interest Propensities ")</f>
        <v> Interest Propensities </v>
      </c>
      <c r="D444" s="4" t="str">
        <f>IFERROR(__xludf.DUMMYFUNCTION("""COMPUTED_VALUE""")," TV and Movies ")</f>
        <v> TV and Movies </v>
      </c>
      <c r="E444" s="4" t="str">
        <f>IFERROR(__xludf.DUMMYFUNCTION("""COMPUTED_VALUE""")," Reality ")</f>
        <v> Reality </v>
      </c>
      <c r="F444" s="4" t="str">
        <f>IFERROR(__xludf.DUMMYFUNCTION("""COMPUTED_VALUE""")," Game Shows")</f>
        <v> Game Shows</v>
      </c>
      <c r="G444" s="4"/>
      <c r="H444" s="4"/>
      <c r="I444" s="5" t="s">
        <v>15</v>
      </c>
      <c r="J444" s="5" t="s">
        <v>42</v>
      </c>
      <c r="K444" s="5" t="s">
        <v>35</v>
      </c>
      <c r="L444" s="6" t="s">
        <v>667</v>
      </c>
      <c r="M444" s="5" t="s">
        <v>117</v>
      </c>
      <c r="N444" s="5" t="s">
        <v>27</v>
      </c>
      <c r="O444" s="5">
        <v>15047.0</v>
      </c>
      <c r="P444" s="5">
        <v>84.0</v>
      </c>
      <c r="Q444" s="5">
        <v>5653.0</v>
      </c>
      <c r="R444" s="5">
        <v>14459.0</v>
      </c>
      <c r="S444" s="5">
        <v>4.0</v>
      </c>
      <c r="T444" s="5">
        <v>2127.495962</v>
      </c>
    </row>
    <row r="445">
      <c r="A445" s="4" t="s">
        <v>668</v>
      </c>
      <c r="B445" s="4" t="str">
        <f>IFERROR(__xludf.DUMMYFUNCTION("SPLIT(A445:A1171, ""&gt;"")"),"Online Behavior")</f>
        <v>Online Behavior</v>
      </c>
      <c r="C445" s="4" t="str">
        <f>IFERROR(__xludf.DUMMYFUNCTION("""COMPUTED_VALUE"""),"United States")</f>
        <v>United States</v>
      </c>
      <c r="D445" s="4" t="str">
        <f>IFERROR(__xludf.DUMMYFUNCTION("""COMPUTED_VALUE"""),"Hobbies and Leisure")</f>
        <v>Hobbies and Leisure</v>
      </c>
      <c r="E445" s="4" t="str">
        <f>IFERROR(__xludf.DUMMYFUNCTION("""COMPUTED_VALUE"""),"Crafts")</f>
        <v>Crafts</v>
      </c>
      <c r="F445" s="4"/>
      <c r="G445" s="4"/>
      <c r="H445" s="4"/>
      <c r="I445" s="5" t="s">
        <v>22</v>
      </c>
      <c r="J445" s="5" t="s">
        <v>16</v>
      </c>
      <c r="K445" s="5" t="s">
        <v>32</v>
      </c>
      <c r="L445" s="6" t="s">
        <v>669</v>
      </c>
      <c r="M445" s="5" t="s">
        <v>161</v>
      </c>
      <c r="N445" s="5" t="s">
        <v>27</v>
      </c>
      <c r="O445" s="5">
        <v>41513.0</v>
      </c>
      <c r="P445" s="5">
        <v>113.0</v>
      </c>
      <c r="Q445" s="5">
        <v>20872.0</v>
      </c>
      <c r="R445" s="5">
        <v>39250.0</v>
      </c>
      <c r="S445" s="5">
        <v>9.0</v>
      </c>
      <c r="T445" s="5">
        <v>6789.533401</v>
      </c>
    </row>
    <row r="446">
      <c r="A446" s="4" t="s">
        <v>670</v>
      </c>
      <c r="B446" s="4" t="str">
        <f>IFERROR(__xludf.DUMMYFUNCTION("SPLIT(A446:A1172, ""&gt;"")"),"Online Behavior")</f>
        <v>Online Behavior</v>
      </c>
      <c r="C446" s="4" t="str">
        <f>IFERROR(__xludf.DUMMYFUNCTION("""COMPUTED_VALUE"""),"United States")</f>
        <v>United States</v>
      </c>
      <c r="D446" s="4" t="str">
        <f>IFERROR(__xludf.DUMMYFUNCTION("""COMPUTED_VALUE"""),"Life Event")</f>
        <v>Life Event</v>
      </c>
      <c r="E446" s="4" t="str">
        <f>IFERROR(__xludf.DUMMYFUNCTION("""COMPUTED_VALUE"""),"Wedding Planning")</f>
        <v>Wedding Planning</v>
      </c>
      <c r="F446" s="4"/>
      <c r="G446" s="4"/>
      <c r="H446" s="4"/>
      <c r="I446" s="5" t="s">
        <v>15</v>
      </c>
      <c r="J446" s="5" t="s">
        <v>31</v>
      </c>
      <c r="K446" s="5" t="s">
        <v>35</v>
      </c>
      <c r="L446" s="6" t="s">
        <v>669</v>
      </c>
      <c r="M446" s="5" t="s">
        <v>46</v>
      </c>
      <c r="N446" s="5" t="s">
        <v>27</v>
      </c>
      <c r="O446" s="5">
        <v>16503.0</v>
      </c>
      <c r="P446" s="5">
        <v>69.0</v>
      </c>
      <c r="Q446" s="5">
        <v>8595.0</v>
      </c>
      <c r="R446" s="5">
        <v>14466.0</v>
      </c>
      <c r="S446" s="5">
        <v>7.0</v>
      </c>
      <c r="T446" s="5">
        <v>5714.523867</v>
      </c>
    </row>
    <row r="447">
      <c r="A447" s="4" t="s">
        <v>1461</v>
      </c>
      <c r="B447" s="4" t="str">
        <f>IFERROR(__xludf.DUMMYFUNCTION("SPLIT(A447:A1173, ""&gt;"")"),"Online Behavior")</f>
        <v>Online Behavior</v>
      </c>
      <c r="C447" s="4" t="str">
        <f>IFERROR(__xludf.DUMMYFUNCTION("""COMPUTED_VALUE"""),"United States")</f>
        <v>United States</v>
      </c>
      <c r="D447" s="4" t="str">
        <f>IFERROR(__xludf.DUMMYFUNCTION("""COMPUTED_VALUE"""),"Validated Demographic ")</f>
        <v>Validated Demographic </v>
      </c>
      <c r="E447" s="4" t="str">
        <f>IFERROR(__xludf.DUMMYFUNCTION("""COMPUTED_VALUE""")," Gender and Age Combined")</f>
        <v> Gender and Age Combined</v>
      </c>
      <c r="F447" s="4" t="str">
        <f>IFERROR(__xludf.DUMMYFUNCTION("""COMPUTED_VALUE"""),"Females 55-64")</f>
        <v>Females 55-64</v>
      </c>
      <c r="G447" s="4"/>
      <c r="H447" s="4"/>
      <c r="I447" s="5" t="s">
        <v>15</v>
      </c>
      <c r="J447" s="5" t="s">
        <v>16</v>
      </c>
      <c r="K447" s="5" t="s">
        <v>17</v>
      </c>
      <c r="L447" s="6" t="s">
        <v>669</v>
      </c>
      <c r="M447" s="5" t="s">
        <v>19</v>
      </c>
      <c r="N447" s="5" t="s">
        <v>27</v>
      </c>
      <c r="O447" s="5">
        <v>52006.0</v>
      </c>
      <c r="P447" s="5">
        <v>160.0</v>
      </c>
      <c r="Q447" s="5">
        <v>24711.0</v>
      </c>
      <c r="R447" s="5">
        <v>48019.0</v>
      </c>
      <c r="S447" s="5">
        <v>12.0</v>
      </c>
      <c r="T447" s="5">
        <v>5200.010118</v>
      </c>
    </row>
    <row r="448">
      <c r="A448" s="4" t="s">
        <v>672</v>
      </c>
      <c r="B448" s="4" t="str">
        <f>IFERROR(__xludf.DUMMYFUNCTION("SPLIT(A448:A1174, ""&gt;"")"),"Online Behavior")</f>
        <v>Online Behavior</v>
      </c>
      <c r="C448" s="4" t="str">
        <f>IFERROR(__xludf.DUMMYFUNCTION("""COMPUTED_VALUE"""),"United States")</f>
        <v>United States</v>
      </c>
      <c r="D448" s="4" t="str">
        <f>IFERROR(__xludf.DUMMYFUNCTION("""COMPUTED_VALUE"""),"Home and Garden")</f>
        <v>Home and Garden</v>
      </c>
      <c r="E448" s="4" t="str">
        <f>IFERROR(__xludf.DUMMYFUNCTION("""COMPUTED_VALUE"""),"Home Appliances")</f>
        <v>Home Appliances</v>
      </c>
      <c r="F448" s="4"/>
      <c r="G448" s="4"/>
      <c r="H448" s="4"/>
      <c r="I448" s="5" t="s">
        <v>15</v>
      </c>
      <c r="J448" s="5" t="s">
        <v>42</v>
      </c>
      <c r="K448" s="5" t="s">
        <v>66</v>
      </c>
      <c r="L448" s="6" t="s">
        <v>669</v>
      </c>
      <c r="M448" s="5" t="s">
        <v>46</v>
      </c>
      <c r="N448" s="5" t="s">
        <v>27</v>
      </c>
      <c r="O448" s="5">
        <v>8420.0</v>
      </c>
      <c r="P448" s="5">
        <v>80.0</v>
      </c>
      <c r="Q448" s="5">
        <v>4430.0</v>
      </c>
      <c r="R448" s="5">
        <v>7869.0</v>
      </c>
      <c r="S448" s="5">
        <v>8.0</v>
      </c>
      <c r="T448" s="5">
        <v>5184.585424</v>
      </c>
    </row>
    <row r="449">
      <c r="A449" s="4" t="s">
        <v>1462</v>
      </c>
      <c r="B449" s="4" t="str">
        <f>IFERROR(__xludf.DUMMYFUNCTION("SPLIT(A449:A1175, ""&gt;"")"),"OnAudience ")</f>
        <v>OnAudience </v>
      </c>
      <c r="C449" s="4" t="str">
        <f>IFERROR(__xludf.DUMMYFUNCTION("""COMPUTED_VALUE""")," Interest ")</f>
        <v> Interest </v>
      </c>
      <c r="D449" s="4" t="str">
        <f>IFERROR(__xludf.DUMMYFUNCTION("""COMPUTED_VALUE""")," Shopping")</f>
        <v> Shopping</v>
      </c>
      <c r="E449" s="4"/>
      <c r="F449" s="4"/>
      <c r="G449" s="4"/>
      <c r="H449" s="4"/>
      <c r="I449" s="5" t="s">
        <v>61</v>
      </c>
      <c r="J449" s="5" t="s">
        <v>16</v>
      </c>
      <c r="K449" s="5" t="s">
        <v>45</v>
      </c>
      <c r="L449" s="6" t="s">
        <v>669</v>
      </c>
      <c r="M449" s="5" t="s">
        <v>19</v>
      </c>
      <c r="N449" s="5" t="s">
        <v>27</v>
      </c>
      <c r="O449" s="5">
        <v>63415.0</v>
      </c>
      <c r="P449" s="5">
        <v>185.0</v>
      </c>
      <c r="Q449" s="5">
        <v>28161.0</v>
      </c>
      <c r="R449" s="5">
        <v>59169.0</v>
      </c>
      <c r="S449" s="5">
        <v>9.0</v>
      </c>
      <c r="T449" s="5">
        <v>1924.162675</v>
      </c>
    </row>
    <row r="450">
      <c r="A450" s="4" t="s">
        <v>1463</v>
      </c>
      <c r="B450" s="4" t="str">
        <f>IFERROR(__xludf.DUMMYFUNCTION("SPLIT(A450:A1176, ""&gt;"")"),"Media and Entertainment ")</f>
        <v>Media and Entertainment </v>
      </c>
      <c r="C450" s="4" t="str">
        <f>IFERROR(__xludf.DUMMYFUNCTION("""COMPUTED_VALUE""")," Sports and Recreational Activities ")</f>
        <v> Sports and Recreational Activities </v>
      </c>
      <c r="D450" s="4" t="str">
        <f>IFERROR(__xludf.DUMMYFUNCTION("""COMPUTED_VALUE""")," Interest (Affinity) ")</f>
        <v> Interest (Affinity) </v>
      </c>
      <c r="E450" s="4" t="str">
        <f>IFERROR(__xludf.DUMMYFUNCTION("""COMPUTED_VALUE""")," Team Sports ")</f>
        <v> Team Sports </v>
      </c>
      <c r="F450" s="4" t="str">
        <f>IFERROR(__xludf.DUMMYFUNCTION("""COMPUTED_VALUE""")," Baseball")</f>
        <v> Baseball</v>
      </c>
      <c r="G450" s="4"/>
      <c r="H450" s="4"/>
      <c r="I450" s="5" t="s">
        <v>22</v>
      </c>
      <c r="J450" s="5" t="s">
        <v>31</v>
      </c>
      <c r="K450" s="5" t="s">
        <v>17</v>
      </c>
      <c r="L450" s="6" t="s">
        <v>669</v>
      </c>
      <c r="M450" s="5" t="s">
        <v>26</v>
      </c>
      <c r="N450" s="5" t="s">
        <v>27</v>
      </c>
      <c r="O450" s="5">
        <v>73544.0</v>
      </c>
      <c r="P450" s="5">
        <v>223.0</v>
      </c>
      <c r="Q450" s="5">
        <v>40405.0</v>
      </c>
      <c r="R450" s="5">
        <v>67406.0</v>
      </c>
      <c r="S450" s="5">
        <v>1.0</v>
      </c>
      <c r="T450" s="5">
        <v>1465.872266</v>
      </c>
    </row>
    <row r="451">
      <c r="A451" s="4" t="s">
        <v>1464</v>
      </c>
      <c r="B451" s="4" t="str">
        <f>IFERROR(__xludf.DUMMYFUNCTION("SPLIT(A451:A1177, ""&gt;"")"),"Media and Entertainment ")</f>
        <v>Media and Entertainment </v>
      </c>
      <c r="C451" s="4" t="str">
        <f>IFERROR(__xludf.DUMMYFUNCTION("""COMPUTED_VALUE""")," News and Current Events ")</f>
        <v> News and Current Events </v>
      </c>
      <c r="D451" s="4" t="str">
        <f>IFERROR(__xludf.DUMMYFUNCTION("""COMPUTED_VALUE""")," Online News Websites")</f>
        <v> Online News Websites</v>
      </c>
      <c r="E451" s="4"/>
      <c r="F451" s="4"/>
      <c r="G451" s="4"/>
      <c r="H451" s="4"/>
      <c r="I451" s="5" t="s">
        <v>22</v>
      </c>
      <c r="J451" s="5" t="s">
        <v>31</v>
      </c>
      <c r="K451" s="5" t="s">
        <v>32</v>
      </c>
      <c r="L451" s="6" t="s">
        <v>676</v>
      </c>
      <c r="M451" s="5" t="s">
        <v>161</v>
      </c>
      <c r="N451" s="5" t="s">
        <v>27</v>
      </c>
      <c r="O451" s="5">
        <v>16288.0</v>
      </c>
      <c r="P451" s="5">
        <v>56.0</v>
      </c>
      <c r="Q451" s="5">
        <v>5304.0</v>
      </c>
      <c r="R451" s="5">
        <v>10731.0</v>
      </c>
      <c r="S451" s="5">
        <v>3.0</v>
      </c>
      <c r="T451" s="5">
        <v>2030.142709</v>
      </c>
    </row>
    <row r="452">
      <c r="A452" s="4" t="s">
        <v>1465</v>
      </c>
      <c r="B452" s="4" t="str">
        <f>IFERROR(__xludf.DUMMYFUNCTION("SPLIT(A452:A1178, ""&gt;"")"),"Online Behavior")</f>
        <v>Online Behavior</v>
      </c>
      <c r="C452" s="4" t="str">
        <f>IFERROR(__xludf.DUMMYFUNCTION("""COMPUTED_VALUE"""),"United States")</f>
        <v>United States</v>
      </c>
      <c r="D452" s="4" t="str">
        <f>IFERROR(__xludf.DUMMYFUNCTION("""COMPUTED_VALUE"""),"Finance ")</f>
        <v>Finance </v>
      </c>
      <c r="E452" s="4" t="str">
        <f>IFERROR(__xludf.DUMMYFUNCTION("""COMPUTED_VALUE""")," Investing")</f>
        <v> Investing</v>
      </c>
      <c r="F452" s="4" t="str">
        <f>IFERROR(__xludf.DUMMYFUNCTION("""COMPUTED_VALUE"""),"Brokerages and Day Trading")</f>
        <v>Brokerages and Day Trading</v>
      </c>
      <c r="G452" s="4"/>
      <c r="H452" s="4"/>
      <c r="I452" s="5" t="s">
        <v>15</v>
      </c>
      <c r="J452" s="5" t="s">
        <v>42</v>
      </c>
      <c r="K452" s="5" t="s">
        <v>183</v>
      </c>
      <c r="L452" s="6" t="s">
        <v>678</v>
      </c>
      <c r="M452" s="5" t="s">
        <v>19</v>
      </c>
      <c r="N452" s="5" t="s">
        <v>20</v>
      </c>
      <c r="O452" s="5">
        <v>7695.0</v>
      </c>
      <c r="P452" s="5">
        <v>20.0</v>
      </c>
      <c r="Q452" s="5">
        <v>3481.0</v>
      </c>
      <c r="R452" s="5">
        <v>7050.0</v>
      </c>
      <c r="S452" s="5">
        <v>14.0</v>
      </c>
      <c r="T452" s="5">
        <v>6727.440499</v>
      </c>
    </row>
    <row r="453">
      <c r="A453" s="4" t="s">
        <v>1873</v>
      </c>
      <c r="B453" s="4" t="str">
        <f>IFERROR(__xludf.DUMMYFUNCTION("SPLIT(A453:A1179, ""&gt;"")"),"US ")</f>
        <v>US </v>
      </c>
      <c r="C453" s="4" t="str">
        <f>IFERROR(__xludf.DUMMYFUNCTION("""COMPUTED_VALUE""")," Reach ")</f>
        <v> Reach </v>
      </c>
      <c r="D453" s="4" t="str">
        <f>IFERROR(__xludf.DUMMYFUNCTION("""COMPUTED_VALUE""")," Propensity Models ")</f>
        <v> Propensity Models </v>
      </c>
      <c r="E453" s="4" t="str">
        <f>IFERROR(__xludf.DUMMYFUNCTION("""COMPUTED_VALUE""")," Luxury Store Shoppers")</f>
        <v> Luxury Store Shoppers</v>
      </c>
      <c r="F453" s="4"/>
      <c r="G453" s="4"/>
      <c r="H453" s="4"/>
      <c r="I453" s="5" t="s">
        <v>61</v>
      </c>
      <c r="J453" s="5" t="s">
        <v>16</v>
      </c>
      <c r="K453" s="5" t="s">
        <v>183</v>
      </c>
      <c r="L453" s="6" t="s">
        <v>678</v>
      </c>
      <c r="M453" s="5" t="s">
        <v>19</v>
      </c>
      <c r="N453" s="5" t="s">
        <v>27</v>
      </c>
      <c r="O453" s="5">
        <v>15602.0</v>
      </c>
      <c r="P453" s="5">
        <v>50.0</v>
      </c>
      <c r="Q453" s="5">
        <v>7676.0</v>
      </c>
      <c r="R453" s="5">
        <v>13775.0</v>
      </c>
      <c r="S453" s="5">
        <v>1.0</v>
      </c>
      <c r="T453" s="5">
        <v>2600.894327</v>
      </c>
    </row>
    <row r="454">
      <c r="A454" s="4" t="s">
        <v>1467</v>
      </c>
      <c r="B454" s="4" t="str">
        <f>IFERROR(__xludf.DUMMYFUNCTION("SPLIT(A454:A1180, ""&gt;"")"),"Online Behavior")</f>
        <v>Online Behavior</v>
      </c>
      <c r="C454" s="4" t="str">
        <f>IFERROR(__xludf.DUMMYFUNCTION("""COMPUTED_VALUE"""),"United States")</f>
        <v>United States</v>
      </c>
      <c r="D454" s="4" t="str">
        <f>IFERROR(__xludf.DUMMYFUNCTION("""COMPUTED_VALUE"""),"Intent ")</f>
        <v>Intent </v>
      </c>
      <c r="E454" s="4" t="str">
        <f>IFERROR(__xludf.DUMMYFUNCTION("""COMPUTED_VALUE""")," Auto Buyers ")</f>
        <v> Auto Buyers </v>
      </c>
      <c r="F454" s="4" t="str">
        <f>IFERROR(__xludf.DUMMYFUNCTION("""COMPUTED_VALUE""")," Car Make")</f>
        <v> Car Make</v>
      </c>
      <c r="G454" s="4" t="str">
        <f>IFERROR(__xludf.DUMMYFUNCTION("""COMPUTED_VALUE"""),"Honda")</f>
        <v>Honda</v>
      </c>
      <c r="H454" s="4"/>
      <c r="I454" s="5" t="s">
        <v>15</v>
      </c>
      <c r="J454" s="5" t="s">
        <v>16</v>
      </c>
      <c r="K454" s="5" t="s">
        <v>39</v>
      </c>
      <c r="L454" s="6" t="s">
        <v>681</v>
      </c>
      <c r="M454" s="5" t="s">
        <v>50</v>
      </c>
      <c r="N454" s="5" t="s">
        <v>27</v>
      </c>
      <c r="O454" s="5">
        <v>8000.0</v>
      </c>
      <c r="P454" s="5">
        <v>10.0</v>
      </c>
      <c r="Q454" s="5">
        <v>4400.0</v>
      </c>
      <c r="R454" s="5">
        <v>6379.0</v>
      </c>
      <c r="S454" s="5">
        <v>1.0</v>
      </c>
      <c r="T454" s="5">
        <v>6159.366902</v>
      </c>
    </row>
    <row r="455">
      <c r="A455" s="4" t="s">
        <v>1468</v>
      </c>
      <c r="B455" s="4" t="str">
        <f>IFERROR(__xludf.DUMMYFUNCTION("SPLIT(A455:A1181, ""&gt;"")"),"Media and Entertainment ")</f>
        <v>Media and Entertainment </v>
      </c>
      <c r="C455" s="4" t="str">
        <f>IFERROR(__xludf.DUMMYFUNCTION("""COMPUTED_VALUE""")," Sports and Recreational Activities ")</f>
        <v> Sports and Recreational Activities </v>
      </c>
      <c r="D455" s="4" t="str">
        <f>IFERROR(__xludf.DUMMYFUNCTION("""COMPUTED_VALUE""")," Interest (Affinity) ")</f>
        <v> Interest (Affinity) </v>
      </c>
      <c r="E455" s="4" t="str">
        <f>IFERROR(__xludf.DUMMYFUNCTION("""COMPUTED_VALUE""")," Combat Sports")</f>
        <v> Combat Sports</v>
      </c>
      <c r="F455" s="4"/>
      <c r="G455" s="4"/>
      <c r="H455" s="4"/>
      <c r="I455" s="5" t="s">
        <v>22</v>
      </c>
      <c r="J455" s="5" t="s">
        <v>31</v>
      </c>
      <c r="K455" s="5" t="s">
        <v>17</v>
      </c>
      <c r="L455" s="6" t="s">
        <v>681</v>
      </c>
      <c r="M455" s="5" t="s">
        <v>136</v>
      </c>
      <c r="N455" s="5" t="s">
        <v>27</v>
      </c>
      <c r="O455" s="5">
        <v>13592.0</v>
      </c>
      <c r="P455" s="5">
        <v>85.0</v>
      </c>
      <c r="Q455" s="5">
        <v>7747.0</v>
      </c>
      <c r="R455" s="5">
        <v>10690.0</v>
      </c>
      <c r="S455" s="5">
        <v>1.0</v>
      </c>
      <c r="T455" s="5">
        <v>1555.112078</v>
      </c>
    </row>
    <row r="456">
      <c r="A456" s="4" t="s">
        <v>1874</v>
      </c>
      <c r="B456" s="4" t="str">
        <f>IFERROR(__xludf.DUMMYFUNCTION("SPLIT(A456:A1182, ""&gt;"")"),"US ")</f>
        <v>US </v>
      </c>
      <c r="C456" s="4" t="str">
        <f>IFERROR(__xludf.DUMMYFUNCTION("""COMPUTED_VALUE""")," Reach ")</f>
        <v> Reach </v>
      </c>
      <c r="D456" s="4" t="str">
        <f>IFERROR(__xludf.DUMMYFUNCTION("""COMPUTED_VALUE""")," Propensity Models ")</f>
        <v> Propensity Models </v>
      </c>
      <c r="E456" s="4" t="str">
        <f>IFERROR(__xludf.DUMMYFUNCTION("""COMPUTED_VALUE""")," Travel ")</f>
        <v> Travel </v>
      </c>
      <c r="F456" s="4" t="str">
        <f>IFERROR(__xludf.DUMMYFUNCTION("""COMPUTED_VALUE""")," High Frequency Travel ")</f>
        <v> High Frequency Travel </v>
      </c>
      <c r="G456" s="4" t="str">
        <f>IFERROR(__xludf.DUMMYFUNCTION("""COMPUTED_VALUE""")," Foreign Vacationer")</f>
        <v> Foreign Vacationer</v>
      </c>
      <c r="H456" s="4"/>
      <c r="I456" s="5" t="s">
        <v>22</v>
      </c>
      <c r="J456" s="5" t="s">
        <v>42</v>
      </c>
      <c r="K456" s="5" t="s">
        <v>78</v>
      </c>
      <c r="L456" s="6" t="s">
        <v>684</v>
      </c>
      <c r="M456" s="5" t="s">
        <v>26</v>
      </c>
      <c r="N456" s="5" t="s">
        <v>27</v>
      </c>
      <c r="O456" s="5">
        <v>15588.0</v>
      </c>
      <c r="P456" s="5">
        <v>80.0</v>
      </c>
      <c r="Q456" s="5">
        <v>2089.0</v>
      </c>
      <c r="R456" s="5">
        <v>14526.0</v>
      </c>
      <c r="S456" s="5">
        <v>9.0</v>
      </c>
      <c r="T456" s="5">
        <v>3518.533482</v>
      </c>
    </row>
    <row r="457">
      <c r="A457" s="4" t="s">
        <v>1470</v>
      </c>
      <c r="B457" s="4" t="str">
        <f>IFERROR(__xludf.DUMMYFUNCTION("SPLIT(A457:A1183, ""&gt;"")"),"Online Behavior")</f>
        <v>Online Behavior</v>
      </c>
      <c r="C457" s="4" t="str">
        <f>IFERROR(__xludf.DUMMYFUNCTION("""COMPUTED_VALUE"""),"United States")</f>
        <v>United States</v>
      </c>
      <c r="D457" s="4" t="str">
        <f>IFERROR(__xludf.DUMMYFUNCTION("""COMPUTED_VALUE"""),"Intent ")</f>
        <v>Intent </v>
      </c>
      <c r="E457" s="4" t="str">
        <f>IFERROR(__xludf.DUMMYFUNCTION("""COMPUTED_VALUE""")," Auto Buyers ")</f>
        <v> Auto Buyers </v>
      </c>
      <c r="F457" s="4" t="str">
        <f>IFERROR(__xludf.DUMMYFUNCTION("""COMPUTED_VALUE""")," Car Make")</f>
        <v> Car Make</v>
      </c>
      <c r="G457" s="4" t="str">
        <f>IFERROR(__xludf.DUMMYFUNCTION("""COMPUTED_VALUE"""),"Vauxhall")</f>
        <v>Vauxhall</v>
      </c>
      <c r="H457" s="4"/>
      <c r="I457" s="5" t="s">
        <v>22</v>
      </c>
      <c r="J457" s="5" t="s">
        <v>31</v>
      </c>
      <c r="K457" s="5" t="s">
        <v>29</v>
      </c>
      <c r="L457" s="6" t="s">
        <v>686</v>
      </c>
      <c r="M457" s="5" t="s">
        <v>19</v>
      </c>
      <c r="N457" s="5" t="s">
        <v>27</v>
      </c>
      <c r="O457" s="5">
        <v>14038.0</v>
      </c>
      <c r="P457" s="5">
        <v>63.0</v>
      </c>
      <c r="Q457" s="5">
        <v>1600.0</v>
      </c>
      <c r="R457" s="5">
        <v>11345.0</v>
      </c>
      <c r="S457" s="5">
        <v>8.0</v>
      </c>
      <c r="T457" s="5">
        <v>6368.862913</v>
      </c>
    </row>
    <row r="458">
      <c r="A458" s="4" t="s">
        <v>1471</v>
      </c>
      <c r="B458" s="4" t="str">
        <f>IFERROR(__xludf.DUMMYFUNCTION("SPLIT(A458:A1184, ""&gt;"")"),"Online Behavior")</f>
        <v>Online Behavior</v>
      </c>
      <c r="C458" s="4" t="str">
        <f>IFERROR(__xludf.DUMMYFUNCTION("""COMPUTED_VALUE"""),"United States")</f>
        <v>United States</v>
      </c>
      <c r="D458" s="4" t="str">
        <f>IFERROR(__xludf.DUMMYFUNCTION("""COMPUTED_VALUE"""),"Intent ")</f>
        <v>Intent </v>
      </c>
      <c r="E458" s="4" t="str">
        <f>IFERROR(__xludf.DUMMYFUNCTION("""COMPUTED_VALUE""")," Travel")</f>
        <v> Travel</v>
      </c>
      <c r="F458" s="4" t="str">
        <f>IFERROR(__xludf.DUMMYFUNCTION("""COMPUTED_VALUE"""),"Flights")</f>
        <v>Flights</v>
      </c>
      <c r="G458" s="4"/>
      <c r="H458" s="4"/>
      <c r="I458" s="5" t="s">
        <v>61</v>
      </c>
      <c r="J458" s="5" t="s">
        <v>31</v>
      </c>
      <c r="K458" s="5" t="s">
        <v>55</v>
      </c>
      <c r="L458" s="6" t="s">
        <v>686</v>
      </c>
      <c r="M458" s="5" t="s">
        <v>33</v>
      </c>
      <c r="N458" s="5" t="s">
        <v>27</v>
      </c>
      <c r="O458" s="5">
        <v>140359.0</v>
      </c>
      <c r="P458" s="5">
        <v>352.0</v>
      </c>
      <c r="Q458" s="5">
        <v>76130.0</v>
      </c>
      <c r="R458" s="5">
        <v>133578.0</v>
      </c>
      <c r="S458" s="5">
        <v>26.0</v>
      </c>
      <c r="T458" s="5">
        <v>6094.666799</v>
      </c>
    </row>
    <row r="459">
      <c r="A459" s="4" t="s">
        <v>688</v>
      </c>
      <c r="B459" s="4" t="str">
        <f>IFERROR(__xludf.DUMMYFUNCTION("SPLIT(A459:A1185, ""&gt;"")"),"Online Behavior")</f>
        <v>Online Behavior</v>
      </c>
      <c r="C459" s="4" t="str">
        <f>IFERROR(__xludf.DUMMYFUNCTION("""COMPUTED_VALUE"""),"United States")</f>
        <v>United States</v>
      </c>
      <c r="D459" s="4" t="str">
        <f>IFERROR(__xludf.DUMMYFUNCTION("""COMPUTED_VALUE"""),"Home and Garden")</f>
        <v>Home and Garden</v>
      </c>
      <c r="E459" s="4" t="str">
        <f>IFERROR(__xludf.DUMMYFUNCTION("""COMPUTED_VALUE"""),"Home Furnishings")</f>
        <v>Home Furnishings</v>
      </c>
      <c r="F459" s="4"/>
      <c r="G459" s="4"/>
      <c r="H459" s="4"/>
      <c r="I459" s="5" t="s">
        <v>22</v>
      </c>
      <c r="J459" s="5" t="s">
        <v>31</v>
      </c>
      <c r="K459" s="5" t="s">
        <v>35</v>
      </c>
      <c r="L459" s="6" t="s">
        <v>686</v>
      </c>
      <c r="M459" s="5" t="s">
        <v>19</v>
      </c>
      <c r="N459" s="5" t="s">
        <v>27</v>
      </c>
      <c r="O459" s="5">
        <v>25377.0</v>
      </c>
      <c r="P459" s="5">
        <v>101.0</v>
      </c>
      <c r="Q459" s="5">
        <v>16698.0</v>
      </c>
      <c r="R459" s="5">
        <v>23798.0</v>
      </c>
      <c r="S459" s="5">
        <v>2.0</v>
      </c>
      <c r="T459" s="5">
        <v>5175.142919</v>
      </c>
    </row>
    <row r="460">
      <c r="A460" s="4" t="s">
        <v>689</v>
      </c>
      <c r="B460" s="4" t="str">
        <f>IFERROR(__xludf.DUMMYFUNCTION("SPLIT(A460:A1186, ""&gt;"")"),"Tech Enthusiasts")</f>
        <v>Tech Enthusiasts</v>
      </c>
      <c r="C460" s="4"/>
      <c r="D460" s="4"/>
      <c r="E460" s="4"/>
      <c r="F460" s="4"/>
      <c r="G460" s="4"/>
      <c r="H460" s="4"/>
      <c r="I460" s="5" t="s">
        <v>22</v>
      </c>
      <c r="J460" s="5" t="s">
        <v>23</v>
      </c>
      <c r="K460" s="5" t="s">
        <v>55</v>
      </c>
      <c r="L460" s="6" t="s">
        <v>686</v>
      </c>
      <c r="M460" s="5" t="s">
        <v>19</v>
      </c>
      <c r="N460" s="5" t="s">
        <v>27</v>
      </c>
      <c r="O460" s="5">
        <v>29092.0</v>
      </c>
      <c r="P460" s="5">
        <v>75.0</v>
      </c>
      <c r="Q460" s="5">
        <v>16986.0</v>
      </c>
      <c r="R460" s="5">
        <v>26606.0</v>
      </c>
      <c r="S460" s="5">
        <v>15.0</v>
      </c>
      <c r="T460" s="5">
        <v>1801.058111</v>
      </c>
    </row>
    <row r="461">
      <c r="A461" s="4" t="s">
        <v>1875</v>
      </c>
      <c r="B461" s="4" t="str">
        <f>IFERROR(__xludf.DUMMYFUNCTION("SPLIT(A461:A1187, ""&gt;"")"),"US Interest ")</f>
        <v>US Interest </v>
      </c>
      <c r="C461" s="4" t="str">
        <f>IFERROR(__xludf.DUMMYFUNCTION("""COMPUTED_VALUE""")," Computers")</f>
        <v> Computers</v>
      </c>
      <c r="D461" s="4"/>
      <c r="E461" s="4"/>
      <c r="F461" s="4"/>
      <c r="G461" s="4"/>
      <c r="H461" s="4"/>
      <c r="I461" s="5" t="s">
        <v>15</v>
      </c>
      <c r="J461" s="5" t="s">
        <v>16</v>
      </c>
      <c r="K461" s="5" t="s">
        <v>95</v>
      </c>
      <c r="L461" s="6" t="s">
        <v>686</v>
      </c>
      <c r="M461" s="5" t="s">
        <v>26</v>
      </c>
      <c r="N461" s="5" t="s">
        <v>20</v>
      </c>
      <c r="O461" s="5">
        <v>73567.0</v>
      </c>
      <c r="P461" s="5">
        <v>197.0</v>
      </c>
      <c r="Q461" s="5">
        <v>28800.0</v>
      </c>
      <c r="R461" s="5">
        <v>68566.0</v>
      </c>
      <c r="S461" s="5">
        <v>2.0</v>
      </c>
      <c r="T461" s="5">
        <v>1567.366071</v>
      </c>
    </row>
    <row r="462">
      <c r="A462" s="4" t="s">
        <v>1876</v>
      </c>
      <c r="B462" s="4" t="str">
        <f>IFERROR(__xludf.DUMMYFUNCTION("SPLIT(A462:A1188, ""&gt;"")"),"US ")</f>
        <v>US </v>
      </c>
      <c r="C462" s="4" t="str">
        <f>IFERROR(__xludf.DUMMYFUNCTION("""COMPUTED_VALUE""")," Brand Propensities ")</f>
        <v> Brand Propensities </v>
      </c>
      <c r="D462" s="4" t="str">
        <f>IFERROR(__xludf.DUMMYFUNCTION("""COMPUTED_VALUE""")," Health ")</f>
        <v> Health </v>
      </c>
      <c r="E462" s="4" t="str">
        <f>IFERROR(__xludf.DUMMYFUNCTION("""COMPUTED_VALUE""")," Beauty and Cosmetics ")</f>
        <v> Beauty and Cosmetics </v>
      </c>
      <c r="F462" s="4" t="str">
        <f>IFERROR(__xludf.DUMMYFUNCTION("""COMPUTED_VALUE""")," Beachbody Buyer Propensity")</f>
        <v> Beachbody Buyer Propensity</v>
      </c>
      <c r="G462" s="4"/>
      <c r="H462" s="4"/>
      <c r="I462" s="5" t="s">
        <v>22</v>
      </c>
      <c r="J462" s="5" t="s">
        <v>16</v>
      </c>
      <c r="K462" s="5" t="s">
        <v>35</v>
      </c>
      <c r="L462" s="6" t="s">
        <v>686</v>
      </c>
      <c r="M462" s="5" t="s">
        <v>19</v>
      </c>
      <c r="N462" s="5" t="s">
        <v>27</v>
      </c>
      <c r="O462" s="5">
        <v>152881.0</v>
      </c>
      <c r="P462" s="5">
        <v>426.0</v>
      </c>
      <c r="Q462" s="5">
        <v>94895.0</v>
      </c>
      <c r="R462" s="5">
        <v>145113.0</v>
      </c>
      <c r="S462" s="5">
        <v>11.0</v>
      </c>
      <c r="T462" s="5">
        <v>1496.668524</v>
      </c>
    </row>
    <row r="463">
      <c r="A463" s="4" t="s">
        <v>1475</v>
      </c>
      <c r="B463" s="4" t="str">
        <f>IFERROR(__xludf.DUMMYFUNCTION("SPLIT(A463:A1189, ""&gt;"")"),"Media and Entertainment ")</f>
        <v>Media and Entertainment </v>
      </c>
      <c r="C463" s="4" t="str">
        <f>IFERROR(__xludf.DUMMYFUNCTION("""COMPUTED_VALUE""")," Audio and Video Streaming ")</f>
        <v> Audio and Video Streaming </v>
      </c>
      <c r="D463" s="4" t="str">
        <f>IFERROR(__xludf.DUMMYFUNCTION("""COMPUTED_VALUE""")," Streaming Video ")</f>
        <v> Streaming Video </v>
      </c>
      <c r="E463" s="4" t="str">
        <f>IFERROR(__xludf.DUMMYFUNCTION("""COMPUTED_VALUE""")," Interest (Affinity)")</f>
        <v> Interest (Affinity)</v>
      </c>
      <c r="F463" s="4"/>
      <c r="G463" s="4"/>
      <c r="H463" s="4"/>
      <c r="I463" s="5" t="s">
        <v>22</v>
      </c>
      <c r="J463" s="5" t="s">
        <v>23</v>
      </c>
      <c r="K463" s="5" t="s">
        <v>35</v>
      </c>
      <c r="L463" s="6" t="s">
        <v>693</v>
      </c>
      <c r="M463" s="5" t="s">
        <v>19</v>
      </c>
      <c r="N463" s="5" t="s">
        <v>27</v>
      </c>
      <c r="O463" s="5">
        <v>16239.0</v>
      </c>
      <c r="P463" s="5">
        <v>78.0</v>
      </c>
      <c r="Q463" s="5">
        <v>9375.0</v>
      </c>
      <c r="R463" s="5">
        <v>15562.0</v>
      </c>
      <c r="S463" s="5">
        <v>5.0</v>
      </c>
      <c r="T463" s="5">
        <v>2387.686295</v>
      </c>
    </row>
    <row r="464">
      <c r="A464" s="4" t="s">
        <v>1877</v>
      </c>
      <c r="B464" s="4" t="str">
        <f>IFERROR(__xludf.DUMMYFUNCTION("SPLIT(A464:A1190, ""&gt;"")"),"US ")</f>
        <v>US </v>
      </c>
      <c r="C464" s="4" t="str">
        <f>IFERROR(__xludf.DUMMYFUNCTION("""COMPUTED_VALUE""")," Interest Propensities ")</f>
        <v> Interest Propensities </v>
      </c>
      <c r="D464" s="4" t="str">
        <f>IFERROR(__xludf.DUMMYFUNCTION("""COMPUTED_VALUE""")," Insurance ")</f>
        <v> Insurance </v>
      </c>
      <c r="E464" s="4" t="str">
        <f>IFERROR(__xludf.DUMMYFUNCTION("""COMPUTED_VALUE""")," New York Life")</f>
        <v> New York Life</v>
      </c>
      <c r="F464" s="4"/>
      <c r="G464" s="4"/>
      <c r="H464" s="4"/>
      <c r="I464" s="5" t="s">
        <v>15</v>
      </c>
      <c r="J464" s="5" t="s">
        <v>16</v>
      </c>
      <c r="K464" s="5" t="s">
        <v>35</v>
      </c>
      <c r="L464" s="6" t="s">
        <v>693</v>
      </c>
      <c r="M464" s="5" t="s">
        <v>36</v>
      </c>
      <c r="N464" s="5" t="s">
        <v>27</v>
      </c>
      <c r="O464" s="5">
        <v>14932.0</v>
      </c>
      <c r="P464" s="5">
        <v>90.0</v>
      </c>
      <c r="Q464" s="5">
        <v>8947.0</v>
      </c>
      <c r="R464" s="5">
        <v>14256.0</v>
      </c>
      <c r="S464" s="5">
        <v>3.0</v>
      </c>
      <c r="T464" s="5">
        <v>1724.417704</v>
      </c>
    </row>
    <row r="465">
      <c r="A465" s="4" t="s">
        <v>1477</v>
      </c>
      <c r="B465" s="4" t="str">
        <f>IFERROR(__xludf.DUMMYFUNCTION("SPLIT(A465:A1191, ""&gt;"")"),"OnAudience ")</f>
        <v>OnAudience </v>
      </c>
      <c r="C465" s="4" t="str">
        <f>IFERROR(__xludf.DUMMYFUNCTION("""COMPUTED_VALUE""")," Interest ")</f>
        <v> Interest </v>
      </c>
      <c r="D465" s="4" t="str">
        <f>IFERROR(__xludf.DUMMYFUNCTION("""COMPUTED_VALUE""")," Science ")</f>
        <v> Science </v>
      </c>
      <c r="E465" s="4" t="str">
        <f>IFERROR(__xludf.DUMMYFUNCTION("""COMPUTED_VALUE""")," Weather")</f>
        <v> Weather</v>
      </c>
      <c r="F465" s="4"/>
      <c r="G465" s="4"/>
      <c r="H465" s="4"/>
      <c r="I465" s="5" t="s">
        <v>15</v>
      </c>
      <c r="J465" s="5" t="s">
        <v>23</v>
      </c>
      <c r="K465" s="5" t="s">
        <v>24</v>
      </c>
      <c r="L465" s="6" t="s">
        <v>696</v>
      </c>
      <c r="M465" s="5" t="s">
        <v>36</v>
      </c>
      <c r="N465" s="5" t="s">
        <v>27</v>
      </c>
      <c r="O465" s="5">
        <v>13823.0</v>
      </c>
      <c r="P465" s="5">
        <v>58.0</v>
      </c>
      <c r="Q465" s="5">
        <v>10671.0</v>
      </c>
      <c r="R465" s="5">
        <v>12937.0</v>
      </c>
      <c r="S465" s="5">
        <v>3.0</v>
      </c>
      <c r="T465" s="5">
        <v>1574.709734</v>
      </c>
    </row>
    <row r="466">
      <c r="A466" s="4" t="s">
        <v>1878</v>
      </c>
      <c r="B466" s="4" t="str">
        <f>IFERROR(__xludf.DUMMYFUNCTION("SPLIT(A466:A1192, ""&gt;"")"),"Mobile - US ")</f>
        <v>Mobile - US </v>
      </c>
      <c r="C466" s="4" t="str">
        <f>IFERROR(__xludf.DUMMYFUNCTION("""COMPUTED_VALUE""")," Demographics ")</f>
        <v> Demographics </v>
      </c>
      <c r="D466" s="4" t="str">
        <f>IFERROR(__xludf.DUMMYFUNCTION("""COMPUTED_VALUE""")," Finance ")</f>
        <v> Finance </v>
      </c>
      <c r="E466" s="4" t="str">
        <f>IFERROR(__xludf.DUMMYFUNCTION("""COMPUTED_VALUE""")," Rent Value ")</f>
        <v> Rent Value </v>
      </c>
      <c r="F466" s="4" t="str">
        <f>IFERROR(__xludf.DUMMYFUNCTION("""COMPUTED_VALUE""")," Highest Rent Value")</f>
        <v> Highest Rent Value</v>
      </c>
      <c r="G466" s="4"/>
      <c r="H466" s="4"/>
      <c r="I466" s="5" t="s">
        <v>15</v>
      </c>
      <c r="J466" s="5" t="s">
        <v>16</v>
      </c>
      <c r="K466" s="5" t="s">
        <v>32</v>
      </c>
      <c r="L466" s="6" t="s">
        <v>696</v>
      </c>
      <c r="M466" s="5" t="s">
        <v>19</v>
      </c>
      <c r="N466" s="5" t="s">
        <v>27</v>
      </c>
      <c r="O466" s="5">
        <v>11214.0</v>
      </c>
      <c r="P466" s="5">
        <v>49.0</v>
      </c>
      <c r="Q466" s="5">
        <v>5523.0</v>
      </c>
      <c r="R466" s="5">
        <v>10267.0</v>
      </c>
      <c r="S466" s="5">
        <v>2.0</v>
      </c>
      <c r="T466" s="5">
        <v>1554.389215</v>
      </c>
    </row>
    <row r="467">
      <c r="A467" s="4" t="s">
        <v>1879</v>
      </c>
      <c r="B467" s="4" t="str">
        <f>IFERROR(__xludf.DUMMYFUNCTION("SPLIT(A467:A1193, ""&gt;"")"),"US ")</f>
        <v>US </v>
      </c>
      <c r="C467" s="4" t="str">
        <f>IFERROR(__xludf.DUMMYFUNCTION("""COMPUTED_VALUE""")," AUTO ")</f>
        <v> AUTO </v>
      </c>
      <c r="D467" s="4" t="str">
        <f>IFERROR(__xludf.DUMMYFUNCTION("""COMPUTED_VALUE""")," Primary Vehicle ")</f>
        <v> Primary Vehicle </v>
      </c>
      <c r="E467" s="4" t="str">
        <f>IFERROR(__xludf.DUMMYFUNCTION("""COMPUTED_VALUE""")," Owned or Leased ")</f>
        <v> Owned or Leased </v>
      </c>
      <c r="F467" s="4" t="str">
        <f>IFERROR(__xludf.DUMMYFUNCTION("""COMPUTED_VALUE""")," Company Car")</f>
        <v> Company Car</v>
      </c>
      <c r="G467" s="4"/>
      <c r="H467" s="4"/>
      <c r="I467" s="5" t="s">
        <v>22</v>
      </c>
      <c r="J467" s="5" t="s">
        <v>42</v>
      </c>
      <c r="K467" s="5" t="s">
        <v>699</v>
      </c>
      <c r="L467" s="6" t="s">
        <v>700</v>
      </c>
      <c r="M467" s="5" t="s">
        <v>36</v>
      </c>
      <c r="N467" s="5" t="s">
        <v>27</v>
      </c>
      <c r="O467" s="5">
        <v>19829.0</v>
      </c>
      <c r="P467" s="5">
        <v>42.0</v>
      </c>
      <c r="Q467" s="5">
        <v>15071.0</v>
      </c>
      <c r="R467" s="5">
        <v>19095.0</v>
      </c>
      <c r="S467" s="5">
        <v>2.0</v>
      </c>
      <c r="T467" s="5">
        <v>1952.463773</v>
      </c>
    </row>
    <row r="468">
      <c r="A468" s="4" t="s">
        <v>1480</v>
      </c>
      <c r="B468" s="4" t="str">
        <f>IFERROR(__xludf.DUMMYFUNCTION("SPLIT(A468:A1194, ""&gt;"")"),"Online Behavior")</f>
        <v>Online Behavior</v>
      </c>
      <c r="C468" s="4" t="str">
        <f>IFERROR(__xludf.DUMMYFUNCTION("""COMPUTED_VALUE"""),"United States")</f>
        <v>United States</v>
      </c>
      <c r="D468" s="4" t="str">
        <f>IFERROR(__xludf.DUMMYFUNCTION("""COMPUTED_VALUE"""),"Finance ")</f>
        <v>Finance </v>
      </c>
      <c r="E468" s="4" t="str">
        <f>IFERROR(__xludf.DUMMYFUNCTION("""COMPUTED_VALUE""")," Credit and Lending")</f>
        <v> Credit and Lending</v>
      </c>
      <c r="F468" s="4" t="str">
        <f>IFERROR(__xludf.DUMMYFUNCTION("""COMPUTED_VALUE"""),"Credit Cards")</f>
        <v>Credit Cards</v>
      </c>
      <c r="G468" s="4"/>
      <c r="H468" s="4"/>
      <c r="I468" s="5" t="s">
        <v>22</v>
      </c>
      <c r="J468" s="5" t="s">
        <v>23</v>
      </c>
      <c r="K468" s="5" t="s">
        <v>39</v>
      </c>
      <c r="L468" s="6" t="s">
        <v>702</v>
      </c>
      <c r="M468" s="5" t="s">
        <v>33</v>
      </c>
      <c r="N468" s="5" t="s">
        <v>27</v>
      </c>
      <c r="O468" s="5">
        <v>183230.0</v>
      </c>
      <c r="P468" s="5">
        <v>666.0</v>
      </c>
      <c r="Q468" s="5">
        <v>155260.0</v>
      </c>
      <c r="R468" s="5">
        <v>169583.0</v>
      </c>
      <c r="S468" s="5">
        <v>34.0</v>
      </c>
      <c r="T468" s="5">
        <v>7863.469709</v>
      </c>
    </row>
    <row r="469">
      <c r="A469" s="4" t="s">
        <v>703</v>
      </c>
      <c r="B469" s="4" t="str">
        <f>IFERROR(__xludf.DUMMYFUNCTION("SPLIT(A469:A1195, ""&gt;"")"),"Online Behavior")</f>
        <v>Online Behavior</v>
      </c>
      <c r="C469" s="4" t="str">
        <f>IFERROR(__xludf.DUMMYFUNCTION("""COMPUTED_VALUE"""),"United States")</f>
        <v>United States</v>
      </c>
      <c r="D469" s="4" t="str">
        <f>IFERROR(__xludf.DUMMYFUNCTION("""COMPUTED_VALUE"""),"The Changing Consumer")</f>
        <v>The Changing Consumer</v>
      </c>
      <c r="E469" s="4" t="str">
        <f>IFERROR(__xludf.DUMMYFUNCTION("""COMPUTED_VALUE"""),"Trending TV Shows")</f>
        <v>Trending TV Shows</v>
      </c>
      <c r="F469" s="4"/>
      <c r="G469" s="4"/>
      <c r="H469" s="4"/>
      <c r="I469" s="5" t="s">
        <v>22</v>
      </c>
      <c r="J469" s="5" t="s">
        <v>42</v>
      </c>
      <c r="K469" s="5" t="s">
        <v>84</v>
      </c>
      <c r="L469" s="6" t="s">
        <v>702</v>
      </c>
      <c r="M469" s="5" t="s">
        <v>117</v>
      </c>
      <c r="N469" s="5" t="s">
        <v>27</v>
      </c>
      <c r="O469" s="5">
        <v>113262.0</v>
      </c>
      <c r="P469" s="5">
        <v>380.0</v>
      </c>
      <c r="Q469" s="5">
        <v>95762.0</v>
      </c>
      <c r="R469" s="5">
        <v>104612.0</v>
      </c>
      <c r="S469" s="5">
        <v>4.0</v>
      </c>
      <c r="T469" s="5">
        <v>7443.483233</v>
      </c>
    </row>
    <row r="470">
      <c r="A470" s="4" t="s">
        <v>704</v>
      </c>
      <c r="B470" s="4" t="str">
        <f>IFERROR(__xludf.DUMMYFUNCTION("SPLIT(A470:A1196, ""&gt;"")"),"Online Behavior")</f>
        <v>Online Behavior</v>
      </c>
      <c r="C470" s="4" t="str">
        <f>IFERROR(__xludf.DUMMYFUNCTION("""COMPUTED_VALUE"""),"United States")</f>
        <v>United States</v>
      </c>
      <c r="D470" s="4" t="str">
        <f>IFERROR(__xludf.DUMMYFUNCTION("""COMPUTED_VALUE"""),"Travel")</f>
        <v>Travel</v>
      </c>
      <c r="E470" s="4" t="str">
        <f>IFERROR(__xludf.DUMMYFUNCTION("""COMPUTED_VALUE"""),"Hotels and Accommodations")</f>
        <v>Hotels and Accommodations</v>
      </c>
      <c r="F470" s="4"/>
      <c r="G470" s="4"/>
      <c r="H470" s="4"/>
      <c r="I470" s="5" t="s">
        <v>15</v>
      </c>
      <c r="J470" s="5" t="s">
        <v>31</v>
      </c>
      <c r="K470" s="5" t="s">
        <v>29</v>
      </c>
      <c r="L470" s="6" t="s">
        <v>702</v>
      </c>
      <c r="M470" s="5" t="s">
        <v>19</v>
      </c>
      <c r="N470" s="5" t="s">
        <v>27</v>
      </c>
      <c r="O470" s="5">
        <v>75531.0</v>
      </c>
      <c r="P470" s="5">
        <v>200.0</v>
      </c>
      <c r="Q470" s="5">
        <v>63816.0</v>
      </c>
      <c r="R470" s="5">
        <v>70011.0</v>
      </c>
      <c r="S470" s="5">
        <v>9.0</v>
      </c>
      <c r="T470" s="5">
        <v>7261.86504</v>
      </c>
    </row>
    <row r="471">
      <c r="A471" s="4" t="s">
        <v>1481</v>
      </c>
      <c r="B471" s="4" t="str">
        <f>IFERROR(__xludf.DUMMYFUNCTION("SPLIT(A471:A1197, ""&gt;"")"),"Online Behavior")</f>
        <v>Online Behavior</v>
      </c>
      <c r="C471" s="4" t="str">
        <f>IFERROR(__xludf.DUMMYFUNCTION("""COMPUTED_VALUE"""),"United States")</f>
        <v>United States</v>
      </c>
      <c r="D471" s="4" t="str">
        <f>IFERROR(__xludf.DUMMYFUNCTION("""COMPUTED_VALUE"""),"Intent ")</f>
        <v>Intent </v>
      </c>
      <c r="E471" s="4" t="str">
        <f>IFERROR(__xludf.DUMMYFUNCTION("""COMPUTED_VALUE""")," Shopping")</f>
        <v> Shopping</v>
      </c>
      <c r="F471" s="4" t="str">
        <f>IFERROR(__xludf.DUMMYFUNCTION("""COMPUTED_VALUE"""),"Fashion")</f>
        <v>Fashion</v>
      </c>
      <c r="G471" s="4"/>
      <c r="H471" s="4"/>
      <c r="I471" s="5" t="s">
        <v>15</v>
      </c>
      <c r="J471" s="5" t="s">
        <v>42</v>
      </c>
      <c r="K471" s="5" t="s">
        <v>17</v>
      </c>
      <c r="L471" s="6" t="s">
        <v>702</v>
      </c>
      <c r="M471" s="5" t="s">
        <v>19</v>
      </c>
      <c r="N471" s="5" t="s">
        <v>52</v>
      </c>
      <c r="O471" s="5">
        <v>102958.0</v>
      </c>
      <c r="P471" s="5">
        <v>320.0</v>
      </c>
      <c r="Q471" s="5">
        <v>86884.0</v>
      </c>
      <c r="R471" s="5">
        <v>94687.0</v>
      </c>
      <c r="S471" s="5">
        <v>12.0</v>
      </c>
      <c r="T471" s="5">
        <v>6624.221175</v>
      </c>
    </row>
    <row r="472">
      <c r="A472" s="4" t="s">
        <v>706</v>
      </c>
      <c r="B472" s="4" t="str">
        <f>IFERROR(__xludf.DUMMYFUNCTION("SPLIT(A472:A1198, ""&gt;"")"),"Online Behavior")</f>
        <v>Online Behavior</v>
      </c>
      <c r="C472" s="4" t="str">
        <f>IFERROR(__xludf.DUMMYFUNCTION("""COMPUTED_VALUE"""),"United States")</f>
        <v>United States</v>
      </c>
      <c r="D472" s="4" t="str">
        <f>IFERROR(__xludf.DUMMYFUNCTION("""COMPUTED_VALUE"""),"The Changing Consumer")</f>
        <v>The Changing Consumer</v>
      </c>
      <c r="E472" s="4" t="str">
        <f>IFERROR(__xludf.DUMMYFUNCTION("""COMPUTED_VALUE"""),"Natural Disasters")</f>
        <v>Natural Disasters</v>
      </c>
      <c r="F472" s="4"/>
      <c r="G472" s="4"/>
      <c r="H472" s="4"/>
      <c r="I472" s="5" t="s">
        <v>15</v>
      </c>
      <c r="J472" s="5" t="s">
        <v>23</v>
      </c>
      <c r="K472" s="5" t="s">
        <v>35</v>
      </c>
      <c r="L472" s="6" t="s">
        <v>702</v>
      </c>
      <c r="M472" s="5" t="s">
        <v>50</v>
      </c>
      <c r="N472" s="5" t="s">
        <v>20</v>
      </c>
      <c r="O472" s="5">
        <v>42755.0</v>
      </c>
      <c r="P472" s="5">
        <v>117.0</v>
      </c>
      <c r="Q472" s="5">
        <v>36503.0</v>
      </c>
      <c r="R472" s="5">
        <v>40051.0</v>
      </c>
      <c r="S472" s="5">
        <v>12.0</v>
      </c>
      <c r="T472" s="5">
        <v>6550.30297</v>
      </c>
    </row>
    <row r="473">
      <c r="A473" s="4" t="s">
        <v>1482</v>
      </c>
      <c r="B473" s="4" t="str">
        <f>IFERROR(__xludf.DUMMYFUNCTION("SPLIT(A473:A1199, ""&gt;"")"),"Online Behavior")</f>
        <v>Online Behavior</v>
      </c>
      <c r="C473" s="4" t="str">
        <f>IFERROR(__xludf.DUMMYFUNCTION("""COMPUTED_VALUE"""),"United States")</f>
        <v>United States</v>
      </c>
      <c r="D473" s="4" t="str">
        <f>IFERROR(__xludf.DUMMYFUNCTION("""COMPUTED_VALUE"""),"Validated Demographic ")</f>
        <v>Validated Demographic </v>
      </c>
      <c r="E473" s="4" t="str">
        <f>IFERROR(__xludf.DUMMYFUNCTION("""COMPUTED_VALUE""")," Gender and Age Combined")</f>
        <v> Gender and Age Combined</v>
      </c>
      <c r="F473" s="4" t="str">
        <f>IFERROR(__xludf.DUMMYFUNCTION("""COMPUTED_VALUE"""),"Females 25-44")</f>
        <v>Females 25-44</v>
      </c>
      <c r="G473" s="4"/>
      <c r="H473" s="4"/>
      <c r="I473" s="5" t="s">
        <v>22</v>
      </c>
      <c r="J473" s="5" t="s">
        <v>31</v>
      </c>
      <c r="K473" s="5" t="s">
        <v>55</v>
      </c>
      <c r="L473" s="6" t="s">
        <v>702</v>
      </c>
      <c r="M473" s="5" t="s">
        <v>46</v>
      </c>
      <c r="N473" s="5" t="s">
        <v>27</v>
      </c>
      <c r="O473" s="5">
        <v>264580.0</v>
      </c>
      <c r="P473" s="5">
        <v>691.0</v>
      </c>
      <c r="Q473" s="5">
        <v>217526.0</v>
      </c>
      <c r="R473" s="5">
        <v>240731.0</v>
      </c>
      <c r="S473" s="5">
        <v>9.0</v>
      </c>
      <c r="T473" s="5">
        <v>4874.651722</v>
      </c>
    </row>
    <row r="474">
      <c r="A474" s="4" t="s">
        <v>1483</v>
      </c>
      <c r="B474" s="4" t="str">
        <f>IFERROR(__xludf.DUMMYFUNCTION("SPLIT(A474:A1200, ""&gt;"")"),"OnAudience ")</f>
        <v>OnAudience </v>
      </c>
      <c r="C474" s="4" t="str">
        <f>IFERROR(__xludf.DUMMYFUNCTION("""COMPUTED_VALUE""")," Interest ")</f>
        <v> Interest </v>
      </c>
      <c r="D474" s="4" t="str">
        <f>IFERROR(__xludf.DUMMYFUNCTION("""COMPUTED_VALUE""")," News")</f>
        <v> News</v>
      </c>
      <c r="E474" s="4"/>
      <c r="F474" s="4"/>
      <c r="G474" s="4"/>
      <c r="H474" s="4"/>
      <c r="I474" s="5" t="s">
        <v>22</v>
      </c>
      <c r="J474" s="5" t="s">
        <v>42</v>
      </c>
      <c r="K474" s="5" t="s">
        <v>32</v>
      </c>
      <c r="L474" s="6" t="s">
        <v>702</v>
      </c>
      <c r="M474" s="5" t="s">
        <v>19</v>
      </c>
      <c r="N474" s="5" t="s">
        <v>27</v>
      </c>
      <c r="O474" s="5">
        <v>42833.0</v>
      </c>
      <c r="P474" s="5">
        <v>120.0</v>
      </c>
      <c r="Q474" s="5">
        <v>37438.0</v>
      </c>
      <c r="R474" s="5">
        <v>40447.0</v>
      </c>
      <c r="S474" s="5">
        <v>9.0</v>
      </c>
      <c r="T474" s="5">
        <v>2040.934819</v>
      </c>
    </row>
    <row r="475">
      <c r="A475" s="4" t="s">
        <v>1880</v>
      </c>
      <c r="B475" s="4" t="str">
        <f>IFERROR(__xludf.DUMMYFUNCTION("SPLIT(A475:A1201, ""&gt;"")"),"US ")</f>
        <v>US </v>
      </c>
      <c r="C475" s="4" t="str">
        <f>IFERROR(__xludf.DUMMYFUNCTION("""COMPUTED_VALUE""")," Reach ")</f>
        <v> Reach </v>
      </c>
      <c r="D475" s="4" t="str">
        <f>IFERROR(__xludf.DUMMYFUNCTION("""COMPUTED_VALUE""")," Propensity Models ")</f>
        <v> Propensity Models </v>
      </c>
      <c r="E475" s="4" t="str">
        <f>IFERROR(__xludf.DUMMYFUNCTION("""COMPUTED_VALUE""")," Online ")</f>
        <v> Online </v>
      </c>
      <c r="F475" s="4" t="str">
        <f>IFERROR(__xludf.DUMMYFUNCTION("""COMPUTED_VALUE""")," Home Office")</f>
        <v> Home Office</v>
      </c>
      <c r="G475" s="4"/>
      <c r="H475" s="4"/>
      <c r="I475" s="5" t="s">
        <v>22</v>
      </c>
      <c r="J475" s="5" t="s">
        <v>16</v>
      </c>
      <c r="K475" s="5" t="s">
        <v>39</v>
      </c>
      <c r="L475" s="6" t="s">
        <v>702</v>
      </c>
      <c r="M475" s="5" t="s">
        <v>36</v>
      </c>
      <c r="N475" s="5" t="s">
        <v>27</v>
      </c>
      <c r="O475" s="5">
        <v>481526.0</v>
      </c>
      <c r="P475" s="5">
        <v>1235.0</v>
      </c>
      <c r="Q475" s="5">
        <v>396802.0</v>
      </c>
      <c r="R475" s="5">
        <v>437639.0</v>
      </c>
      <c r="S475" s="5">
        <v>23.0</v>
      </c>
      <c r="T475" s="5">
        <v>2037.865594</v>
      </c>
    </row>
    <row r="476">
      <c r="A476" s="4" t="s">
        <v>1881</v>
      </c>
      <c r="B476" s="4" t="str">
        <f>IFERROR(__xludf.DUMMYFUNCTION("SPLIT(A476:A1202, ""&gt;"")"),"US ")</f>
        <v>US </v>
      </c>
      <c r="C476" s="4" t="str">
        <f>IFERROR(__xludf.DUMMYFUNCTION("""COMPUTED_VALUE""")," Brand Propensities ")</f>
        <v> Brand Propensities </v>
      </c>
      <c r="D476" s="4" t="str">
        <f>IFERROR(__xludf.DUMMYFUNCTION("""COMPUTED_VALUE""")," Apparel ")</f>
        <v> Apparel </v>
      </c>
      <c r="E476" s="4" t="str">
        <f>IFERROR(__xludf.DUMMYFUNCTION("""COMPUTED_VALUE""")," TOMS Buyer Propensity")</f>
        <v> TOMS Buyer Propensity</v>
      </c>
      <c r="F476" s="4"/>
      <c r="G476" s="4"/>
      <c r="H476" s="4"/>
      <c r="I476" s="5" t="s">
        <v>15</v>
      </c>
      <c r="J476" s="5" t="s">
        <v>42</v>
      </c>
      <c r="K476" s="5" t="s">
        <v>78</v>
      </c>
      <c r="L476" s="6" t="s">
        <v>702</v>
      </c>
      <c r="M476" s="5" t="s">
        <v>19</v>
      </c>
      <c r="N476" s="5" t="s">
        <v>20</v>
      </c>
      <c r="O476" s="5">
        <v>50183.0</v>
      </c>
      <c r="P476" s="5">
        <v>199.0</v>
      </c>
      <c r="Q476" s="5">
        <v>41506.0</v>
      </c>
      <c r="R476" s="5">
        <v>46163.0</v>
      </c>
      <c r="S476" s="5">
        <v>15.0</v>
      </c>
      <c r="T476" s="5">
        <v>1628.882813</v>
      </c>
    </row>
    <row r="477">
      <c r="A477" s="4" t="s">
        <v>1882</v>
      </c>
      <c r="B477" s="4" t="str">
        <f>IFERROR(__xludf.DUMMYFUNCTION("SPLIT(A477:A1203, ""&gt;"")"),"Mobile - US ")</f>
        <v>Mobile - US </v>
      </c>
      <c r="C477" s="4" t="str">
        <f>IFERROR(__xludf.DUMMYFUNCTION("""COMPUTED_VALUE""")," Financial Services ")</f>
        <v> Financial Services </v>
      </c>
      <c r="D477" s="4" t="str">
        <f>IFERROR(__xludf.DUMMYFUNCTION("""COMPUTED_VALUE""")," Digital Payments ")</f>
        <v> Digital Payments </v>
      </c>
      <c r="E477" s="4" t="str">
        <f>IFERROR(__xludf.DUMMYFUNCTION("""COMPUTED_VALUE""")," Chase Pay")</f>
        <v> Chase Pay</v>
      </c>
      <c r="F477" s="4"/>
      <c r="G477" s="4"/>
      <c r="H477" s="4"/>
      <c r="I477" s="5" t="s">
        <v>15</v>
      </c>
      <c r="J477" s="5" t="s">
        <v>42</v>
      </c>
      <c r="K477" s="5" t="s">
        <v>17</v>
      </c>
      <c r="L477" s="6" t="s">
        <v>702</v>
      </c>
      <c r="M477" s="5" t="s">
        <v>19</v>
      </c>
      <c r="N477" s="5" t="s">
        <v>27</v>
      </c>
      <c r="O477" s="5">
        <v>21088.0</v>
      </c>
      <c r="P477" s="5">
        <v>60.0</v>
      </c>
      <c r="Q477" s="5">
        <v>17930.0</v>
      </c>
      <c r="R477" s="5">
        <v>19822.0</v>
      </c>
      <c r="S477" s="5">
        <v>4.0</v>
      </c>
      <c r="T477" s="5">
        <v>1623.681601</v>
      </c>
    </row>
    <row r="478">
      <c r="A478" s="4" t="s">
        <v>1487</v>
      </c>
      <c r="B478" s="4" t="str">
        <f>IFERROR(__xludf.DUMMYFUNCTION("SPLIT(A478:A1204, ""&gt;"")"),"Transactional ")</f>
        <v>Transactional </v>
      </c>
      <c r="C478" s="4" t="str">
        <f>IFERROR(__xludf.DUMMYFUNCTION("""COMPUTED_VALUE""")," Q3 Casual Dining Restaurant Goers")</f>
        <v> Q3 Casual Dining Restaurant Goers</v>
      </c>
      <c r="D478" s="4"/>
      <c r="E478" s="4"/>
      <c r="F478" s="4"/>
      <c r="G478" s="4"/>
      <c r="H478" s="4"/>
      <c r="I478" s="5" t="s">
        <v>15</v>
      </c>
      <c r="J478" s="5" t="s">
        <v>23</v>
      </c>
      <c r="K478" s="5" t="s">
        <v>29</v>
      </c>
      <c r="L478" s="6" t="s">
        <v>702</v>
      </c>
      <c r="M478" s="5" t="s">
        <v>19</v>
      </c>
      <c r="N478" s="5" t="s">
        <v>27</v>
      </c>
      <c r="O478" s="5">
        <v>284783.0</v>
      </c>
      <c r="P478" s="5">
        <v>756.0</v>
      </c>
      <c r="Q478" s="5">
        <v>239363.0</v>
      </c>
      <c r="R478" s="5">
        <v>261467.0</v>
      </c>
      <c r="S478" s="5">
        <v>9.0</v>
      </c>
      <c r="T478" s="5">
        <v>1605.538072</v>
      </c>
    </row>
    <row r="479">
      <c r="A479" s="4" t="s">
        <v>1488</v>
      </c>
      <c r="B479" s="4" t="str">
        <f>IFERROR(__xludf.DUMMYFUNCTION("SPLIT(A479:A1205, ""&gt;"")"),"Media and Entertainment ")</f>
        <v>Media and Entertainment </v>
      </c>
      <c r="C479" s="4" t="str">
        <f>IFERROR(__xludf.DUMMYFUNCTION("""COMPUTED_VALUE""")," Sports and Recreational Activities ")</f>
        <v> Sports and Recreational Activities </v>
      </c>
      <c r="D479" s="4" t="str">
        <f>IFERROR(__xludf.DUMMYFUNCTION("""COMPUTED_VALUE""")," Interest (Affinity) ")</f>
        <v> Interest (Affinity) </v>
      </c>
      <c r="E479" s="4" t="str">
        <f>IFERROR(__xludf.DUMMYFUNCTION("""COMPUTED_VALUE""")," Olympics ")</f>
        <v> Olympics </v>
      </c>
      <c r="F479" s="4" t="str">
        <f>IFERROR(__xludf.DUMMYFUNCTION("""COMPUTED_VALUE""")," Winter Olympics")</f>
        <v> Winter Olympics</v>
      </c>
      <c r="G479" s="4"/>
      <c r="H479" s="4"/>
      <c r="I479" s="5" t="s">
        <v>22</v>
      </c>
      <c r="J479" s="5" t="s">
        <v>42</v>
      </c>
      <c r="K479" s="5" t="s">
        <v>531</v>
      </c>
      <c r="L479" s="6" t="s">
        <v>702</v>
      </c>
      <c r="M479" s="5" t="s">
        <v>19</v>
      </c>
      <c r="N479" s="5" t="s">
        <v>27</v>
      </c>
      <c r="O479" s="5">
        <v>21229.0</v>
      </c>
      <c r="P479" s="5">
        <v>80.0</v>
      </c>
      <c r="Q479" s="5">
        <v>18073.0</v>
      </c>
      <c r="R479" s="5">
        <v>19655.0</v>
      </c>
      <c r="S479" s="5">
        <v>10.0</v>
      </c>
      <c r="T479" s="5">
        <v>1550.076655</v>
      </c>
    </row>
    <row r="480">
      <c r="A480" s="4" t="s">
        <v>1883</v>
      </c>
      <c r="B480" s="4" t="str">
        <f>IFERROR(__xludf.DUMMYFUNCTION("SPLIT(A480:A1206, ""&gt;"")"),"Mobile - US ")</f>
        <v>Mobile - US </v>
      </c>
      <c r="C480" s="4" t="str">
        <f>IFERROR(__xludf.DUMMYFUNCTION("""COMPUTED_VALUE""")," Demographics ")</f>
        <v> Demographics </v>
      </c>
      <c r="D480" s="4" t="str">
        <f>IFERROR(__xludf.DUMMYFUNCTION("""COMPUTED_VALUE""")," Finance ")</f>
        <v> Finance </v>
      </c>
      <c r="E480" s="4" t="str">
        <f>IFERROR(__xludf.DUMMYFUNCTION("""COMPUTED_VALUE""")," Rent Value ")</f>
        <v> Rent Value </v>
      </c>
      <c r="F480" s="4" t="str">
        <f>IFERROR(__xludf.DUMMYFUNCTION("""COMPUTED_VALUE""")," Lowest Rent Value")</f>
        <v> Lowest Rent Value</v>
      </c>
      <c r="G480" s="4"/>
      <c r="H480" s="4"/>
      <c r="I480" s="5" t="s">
        <v>22</v>
      </c>
      <c r="J480" s="5" t="s">
        <v>42</v>
      </c>
      <c r="K480" s="5" t="s">
        <v>214</v>
      </c>
      <c r="L480" s="6" t="s">
        <v>702</v>
      </c>
      <c r="M480" s="5" t="s">
        <v>19</v>
      </c>
      <c r="N480" s="5" t="s">
        <v>27</v>
      </c>
      <c r="O480" s="5">
        <v>55274.0</v>
      </c>
      <c r="P480" s="5">
        <v>219.0</v>
      </c>
      <c r="Q480" s="5">
        <v>47583.0</v>
      </c>
      <c r="R480" s="5">
        <v>51275.0</v>
      </c>
      <c r="S480" s="5">
        <v>3.0</v>
      </c>
      <c r="T480" s="5">
        <v>1532.757905</v>
      </c>
    </row>
    <row r="481">
      <c r="A481" s="4" t="s">
        <v>1884</v>
      </c>
      <c r="B481" s="4" t="str">
        <f>IFERROR(__xludf.DUMMYFUNCTION("SPLIT(A481:A1207, ""&gt;"")"),"US ")</f>
        <v>US </v>
      </c>
      <c r="C481" s="4" t="str">
        <f>IFERROR(__xludf.DUMMYFUNCTION("""COMPUTED_VALUE""")," Brand Propensities ")</f>
        <v> Brand Propensities </v>
      </c>
      <c r="D481" s="4" t="str">
        <f>IFERROR(__xludf.DUMMYFUNCTION("""COMPUTED_VALUE""")," Big Box Dollar Tree Buyer Propensity")</f>
        <v> Big Box Dollar Tree Buyer Propensity</v>
      </c>
      <c r="E481" s="4"/>
      <c r="F481" s="4"/>
      <c r="G481" s="4"/>
      <c r="H481" s="4"/>
      <c r="I481" s="5" t="s">
        <v>22</v>
      </c>
      <c r="J481" s="5" t="s">
        <v>31</v>
      </c>
      <c r="K481" s="5" t="s">
        <v>55</v>
      </c>
      <c r="L481" s="6" t="s">
        <v>702</v>
      </c>
      <c r="M481" s="5" t="s">
        <v>36</v>
      </c>
      <c r="N481" s="5" t="s">
        <v>27</v>
      </c>
      <c r="O481" s="5">
        <v>8278.0</v>
      </c>
      <c r="P481" s="5">
        <v>40.0</v>
      </c>
      <c r="Q481" s="5">
        <v>6758.0</v>
      </c>
      <c r="R481" s="5">
        <v>7537.0</v>
      </c>
      <c r="S481" s="5">
        <v>1.0</v>
      </c>
      <c r="T481" s="5">
        <v>1526.296619</v>
      </c>
    </row>
    <row r="482">
      <c r="A482" s="4" t="s">
        <v>1885</v>
      </c>
      <c r="B482" s="4" t="str">
        <f>IFERROR(__xludf.DUMMYFUNCTION("SPLIT(A482:A1208, ""&gt;"")"),"Mobile - US ")</f>
        <v>Mobile - US </v>
      </c>
      <c r="C482" s="4" t="str">
        <f>IFERROR(__xludf.DUMMYFUNCTION("""COMPUTED_VALUE""")," Food ")</f>
        <v> Food </v>
      </c>
      <c r="D482" s="4" t="str">
        <f>IFERROR(__xludf.DUMMYFUNCTION("""COMPUTED_VALUE""")," Restaurant ")</f>
        <v> Restaurant </v>
      </c>
      <c r="E482" s="4" t="str">
        <f>IFERROR(__xludf.DUMMYFUNCTION("""COMPUTED_VALUE""")," Brand ")</f>
        <v> Brand </v>
      </c>
      <c r="F482" s="4" t="str">
        <f>IFERROR(__xludf.DUMMYFUNCTION("""COMPUTED_VALUE""")," Chilis")</f>
        <v> Chilis</v>
      </c>
      <c r="G482" s="4"/>
      <c r="H482" s="4"/>
      <c r="I482" s="5" t="s">
        <v>15</v>
      </c>
      <c r="J482" s="5" t="s">
        <v>31</v>
      </c>
      <c r="K482" s="5" t="s">
        <v>29</v>
      </c>
      <c r="L482" s="6" t="s">
        <v>702</v>
      </c>
      <c r="M482" s="5" t="s">
        <v>46</v>
      </c>
      <c r="N482" s="5" t="s">
        <v>20</v>
      </c>
      <c r="O482" s="5">
        <v>87245.0</v>
      </c>
      <c r="P482" s="5">
        <v>350.0</v>
      </c>
      <c r="Q482" s="5">
        <v>71903.0</v>
      </c>
      <c r="R482" s="5">
        <v>80390.0</v>
      </c>
      <c r="S482" s="5">
        <v>2.0</v>
      </c>
      <c r="T482" s="5">
        <v>1500.838771</v>
      </c>
    </row>
    <row r="483">
      <c r="A483" s="4" t="s">
        <v>1492</v>
      </c>
      <c r="B483" s="4" t="str">
        <f>IFERROR(__xludf.DUMMYFUNCTION("SPLIT(A483:A1209, ""&gt;"")"),"Online Behavior")</f>
        <v>Online Behavior</v>
      </c>
      <c r="C483" s="4" t="str">
        <f>IFERROR(__xludf.DUMMYFUNCTION("""COMPUTED_VALUE"""),"United States")</f>
        <v>United States</v>
      </c>
      <c r="D483" s="4" t="str">
        <f>IFERROR(__xludf.DUMMYFUNCTION("""COMPUTED_VALUE"""),"Finance ")</f>
        <v>Finance </v>
      </c>
      <c r="E483" s="4" t="str">
        <f>IFERROR(__xludf.DUMMYFUNCTION("""COMPUTED_VALUE""")," Accounting and Auditing")</f>
        <v> Accounting and Auditing</v>
      </c>
      <c r="F483" s="4" t="str">
        <f>IFERROR(__xludf.DUMMYFUNCTION("""COMPUTED_VALUE"""),"Tax Preparation and Planning")</f>
        <v>Tax Preparation and Planning</v>
      </c>
      <c r="G483" s="4"/>
      <c r="H483" s="4"/>
      <c r="I483" s="5" t="s">
        <v>15</v>
      </c>
      <c r="J483" s="5" t="s">
        <v>42</v>
      </c>
      <c r="K483" s="5" t="s">
        <v>35</v>
      </c>
      <c r="L483" s="6" t="s">
        <v>718</v>
      </c>
      <c r="M483" s="5" t="s">
        <v>19</v>
      </c>
      <c r="N483" s="5" t="s">
        <v>52</v>
      </c>
      <c r="O483" s="5">
        <v>24962.0</v>
      </c>
      <c r="P483" s="5">
        <v>75.0</v>
      </c>
      <c r="Q483" s="5">
        <v>18450.0</v>
      </c>
      <c r="R483" s="5">
        <v>24128.0</v>
      </c>
      <c r="S483" s="5">
        <v>16.0</v>
      </c>
      <c r="T483" s="5">
        <v>6809.056051</v>
      </c>
    </row>
    <row r="484">
      <c r="A484" s="4" t="s">
        <v>1493</v>
      </c>
      <c r="B484" s="4" t="str">
        <f>IFERROR(__xludf.DUMMYFUNCTION("SPLIT(A484:A1210, ""&gt;"")"),"Online Behavior")</f>
        <v>Online Behavior</v>
      </c>
      <c r="C484" s="4" t="str">
        <f>IFERROR(__xludf.DUMMYFUNCTION("""COMPUTED_VALUE"""),"United States")</f>
        <v>United States</v>
      </c>
      <c r="D484" s="4" t="str">
        <f>IFERROR(__xludf.DUMMYFUNCTION("""COMPUTED_VALUE"""),"Beauty and Fitness")</f>
        <v>Beauty and Fitness</v>
      </c>
      <c r="E484" s="4" t="str">
        <f>IFERROR(__xludf.DUMMYFUNCTION("""COMPUTED_VALUE"""),"Fitness ")</f>
        <v>Fitness </v>
      </c>
      <c r="F484" s="4" t="str">
        <f>IFERROR(__xludf.DUMMYFUNCTION("""COMPUTED_VALUE""")," Bodybuilding")</f>
        <v> Bodybuilding</v>
      </c>
      <c r="G484" s="4"/>
      <c r="H484" s="4"/>
      <c r="I484" s="5" t="s">
        <v>15</v>
      </c>
      <c r="J484" s="5" t="s">
        <v>42</v>
      </c>
      <c r="K484" s="5" t="s">
        <v>95</v>
      </c>
      <c r="L484" s="6" t="s">
        <v>718</v>
      </c>
      <c r="M484" s="5" t="s">
        <v>36</v>
      </c>
      <c r="N484" s="5" t="s">
        <v>27</v>
      </c>
      <c r="O484" s="5">
        <v>57168.0</v>
      </c>
      <c r="P484" s="5">
        <v>160.0</v>
      </c>
      <c r="Q484" s="5">
        <v>43261.0</v>
      </c>
      <c r="R484" s="5">
        <v>55261.0</v>
      </c>
      <c r="S484" s="5">
        <v>12.0</v>
      </c>
      <c r="T484" s="5">
        <v>5841.15136</v>
      </c>
    </row>
    <row r="485">
      <c r="A485" s="4" t="s">
        <v>720</v>
      </c>
      <c r="B485" s="4" t="str">
        <f>IFERROR(__xludf.DUMMYFUNCTION("SPLIT(A485:A1211, ""&gt;"")"),"Online Behavior")</f>
        <v>Online Behavior</v>
      </c>
      <c r="C485" s="4" t="str">
        <f>IFERROR(__xludf.DUMMYFUNCTION("""COMPUTED_VALUE"""),"United States")</f>
        <v>United States</v>
      </c>
      <c r="D485" s="4" t="str">
        <f>IFERROR(__xludf.DUMMYFUNCTION("""COMPUTED_VALUE"""),"Autos and Vehicles")</f>
        <v>Autos and Vehicles</v>
      </c>
      <c r="E485" s="4" t="str">
        <f>IFERROR(__xludf.DUMMYFUNCTION("""COMPUTED_VALUE"""),"Vehicle Parts and Accessories")</f>
        <v>Vehicle Parts and Accessories</v>
      </c>
      <c r="F485" s="4"/>
      <c r="G485" s="4"/>
      <c r="H485" s="4"/>
      <c r="I485" s="5" t="s">
        <v>15</v>
      </c>
      <c r="J485" s="5" t="s">
        <v>16</v>
      </c>
      <c r="K485" s="5" t="s">
        <v>55</v>
      </c>
      <c r="L485" s="6" t="s">
        <v>718</v>
      </c>
      <c r="M485" s="5" t="s">
        <v>33</v>
      </c>
      <c r="N485" s="5" t="s">
        <v>27</v>
      </c>
      <c r="O485" s="5">
        <v>58477.0</v>
      </c>
      <c r="P485" s="5">
        <v>135.0</v>
      </c>
      <c r="Q485" s="5">
        <v>43554.0</v>
      </c>
      <c r="R485" s="5">
        <v>56558.0</v>
      </c>
      <c r="S485" s="5">
        <v>19.0</v>
      </c>
      <c r="T485" s="5">
        <v>5247.623883</v>
      </c>
    </row>
    <row r="486">
      <c r="A486" s="4" t="s">
        <v>1886</v>
      </c>
      <c r="B486" s="4" t="str">
        <f>IFERROR(__xludf.DUMMYFUNCTION("SPLIT(A486:A1212, ""&gt;"")"),"US ")</f>
        <v>US </v>
      </c>
      <c r="C486" s="4" t="str">
        <f>IFERROR(__xludf.DUMMYFUNCTION("""COMPUTED_VALUE""")," Brand Propensities ")</f>
        <v> Brand Propensities </v>
      </c>
      <c r="D486" s="4" t="str">
        <f>IFERROR(__xludf.DUMMYFUNCTION("""COMPUTED_VALUE""")," Food and Drug ")</f>
        <v> Food and Drug </v>
      </c>
      <c r="E486" s="4" t="str">
        <f>IFERROR(__xludf.DUMMYFUNCTION("""COMPUTED_VALUE""")," Postmates Buyer Propensity")</f>
        <v> Postmates Buyer Propensity</v>
      </c>
      <c r="F486" s="4"/>
      <c r="G486" s="4"/>
      <c r="H486" s="4"/>
      <c r="I486" s="5" t="s">
        <v>15</v>
      </c>
      <c r="J486" s="5" t="s">
        <v>31</v>
      </c>
      <c r="K486" s="5" t="s">
        <v>175</v>
      </c>
      <c r="L486" s="6" t="s">
        <v>718</v>
      </c>
      <c r="M486" s="5" t="s">
        <v>19</v>
      </c>
      <c r="N486" s="5" t="s">
        <v>27</v>
      </c>
      <c r="O486" s="5">
        <v>13202.0</v>
      </c>
      <c r="P486" s="5">
        <v>101.0</v>
      </c>
      <c r="Q486" s="5">
        <v>10871.0</v>
      </c>
      <c r="R486" s="5">
        <v>12885.0</v>
      </c>
      <c r="S486" s="5">
        <v>3.0</v>
      </c>
      <c r="T486" s="5">
        <v>1699.060809</v>
      </c>
    </row>
    <row r="487">
      <c r="A487" s="4" t="s">
        <v>722</v>
      </c>
      <c r="B487" s="4" t="str">
        <f>IFERROR(__xludf.DUMMYFUNCTION("SPLIT(A487:A1213, ""&gt;"")"),"Online Behavior")</f>
        <v>Online Behavior</v>
      </c>
      <c r="C487" s="4" t="str">
        <f>IFERROR(__xludf.DUMMYFUNCTION("""COMPUTED_VALUE"""),"United States")</f>
        <v>United States</v>
      </c>
      <c r="D487" s="4" t="str">
        <f>IFERROR(__xludf.DUMMYFUNCTION("""COMPUTED_VALUE"""),"Online Communities")</f>
        <v>Online Communities</v>
      </c>
      <c r="E487" s="4" t="str">
        <f>IFERROR(__xludf.DUMMYFUNCTION("""COMPUTED_VALUE"""),"Online Goodies")</f>
        <v>Online Goodies</v>
      </c>
      <c r="F487" s="4"/>
      <c r="G487" s="4"/>
      <c r="H487" s="4"/>
      <c r="I487" s="5" t="s">
        <v>15</v>
      </c>
      <c r="J487" s="5" t="s">
        <v>42</v>
      </c>
      <c r="K487" s="5" t="s">
        <v>55</v>
      </c>
      <c r="L487" s="6" t="s">
        <v>723</v>
      </c>
      <c r="M487" s="5" t="s">
        <v>48</v>
      </c>
      <c r="N487" s="5" t="s">
        <v>27</v>
      </c>
      <c r="O487" s="5">
        <v>8187.0</v>
      </c>
      <c r="P487" s="5">
        <v>20.0</v>
      </c>
      <c r="Q487" s="5">
        <v>4888.0</v>
      </c>
      <c r="R487" s="5">
        <v>7510.0</v>
      </c>
      <c r="S487" s="5">
        <v>3.0</v>
      </c>
      <c r="T487" s="5">
        <v>6980.229304</v>
      </c>
    </row>
    <row r="488">
      <c r="A488" s="4" t="s">
        <v>724</v>
      </c>
      <c r="B488" s="4" t="str">
        <f>IFERROR(__xludf.DUMMYFUNCTION("SPLIT(A488:A1214, ""&gt;"")"),"Online Behavior")</f>
        <v>Online Behavior</v>
      </c>
      <c r="C488" s="4" t="str">
        <f>IFERROR(__xludf.DUMMYFUNCTION("""COMPUTED_VALUE"""),"United States")</f>
        <v>United States</v>
      </c>
      <c r="D488" s="4" t="str">
        <f>IFERROR(__xludf.DUMMYFUNCTION("""COMPUTED_VALUE"""),"Jobs and Education")</f>
        <v>Jobs and Education</v>
      </c>
      <c r="E488" s="4" t="str">
        <f>IFERROR(__xludf.DUMMYFUNCTION("""COMPUTED_VALUE"""),"Jobs")</f>
        <v>Jobs</v>
      </c>
      <c r="F488" s="4"/>
      <c r="G488" s="4"/>
      <c r="H488" s="4"/>
      <c r="I488" s="5" t="s">
        <v>15</v>
      </c>
      <c r="J488" s="5" t="s">
        <v>23</v>
      </c>
      <c r="K488" s="5" t="s">
        <v>84</v>
      </c>
      <c r="L488" s="6" t="s">
        <v>723</v>
      </c>
      <c r="M488" s="5" t="s">
        <v>26</v>
      </c>
      <c r="N488" s="5" t="s">
        <v>27</v>
      </c>
      <c r="O488" s="5">
        <v>21280.0</v>
      </c>
      <c r="P488" s="5">
        <v>70.0</v>
      </c>
      <c r="Q488" s="5">
        <v>15309.0</v>
      </c>
      <c r="R488" s="5">
        <v>20244.0</v>
      </c>
      <c r="S488" s="5">
        <v>6.0</v>
      </c>
      <c r="T488" s="5">
        <v>6837.510602</v>
      </c>
    </row>
    <row r="489">
      <c r="A489" s="4" t="s">
        <v>1495</v>
      </c>
      <c r="B489" s="4" t="str">
        <f>IFERROR(__xludf.DUMMYFUNCTION("SPLIT(A489:A1215, ""&gt;"")"),"Online Behavior")</f>
        <v>Online Behavior</v>
      </c>
      <c r="C489" s="4" t="str">
        <f>IFERROR(__xludf.DUMMYFUNCTION("""COMPUTED_VALUE"""),"United States")</f>
        <v>United States</v>
      </c>
      <c r="D489" s="4" t="str">
        <f>IFERROR(__xludf.DUMMYFUNCTION("""COMPUTED_VALUE"""),"Intent ")</f>
        <v>Intent </v>
      </c>
      <c r="E489" s="4" t="str">
        <f>IFERROR(__xludf.DUMMYFUNCTION("""COMPUTED_VALUE""")," Auto Buyers ")</f>
        <v> Auto Buyers </v>
      </c>
      <c r="F489" s="4" t="str">
        <f>IFERROR(__xludf.DUMMYFUNCTION("""COMPUTED_VALUE""")," Category")</f>
        <v> Category</v>
      </c>
      <c r="G489" s="4" t="str">
        <f>IFERROR(__xludf.DUMMYFUNCTION("""COMPUTED_VALUE"""),"Sport Cars")</f>
        <v>Sport Cars</v>
      </c>
      <c r="H489" s="4"/>
      <c r="I489" s="5" t="s">
        <v>22</v>
      </c>
      <c r="J489" s="5" t="s">
        <v>23</v>
      </c>
      <c r="K489" s="5" t="s">
        <v>121</v>
      </c>
      <c r="L489" s="6" t="s">
        <v>723</v>
      </c>
      <c r="M489" s="5" t="s">
        <v>19</v>
      </c>
      <c r="N489" s="5" t="s">
        <v>27</v>
      </c>
      <c r="O489" s="5">
        <v>81567.0</v>
      </c>
      <c r="P489" s="5">
        <v>440.0</v>
      </c>
      <c r="Q489" s="5">
        <v>53264.0</v>
      </c>
      <c r="R489" s="5">
        <v>68123.0</v>
      </c>
      <c r="S489" s="5">
        <v>4.0</v>
      </c>
      <c r="T489" s="5">
        <v>6392.471955</v>
      </c>
    </row>
    <row r="490">
      <c r="A490" s="4" t="s">
        <v>1887</v>
      </c>
      <c r="B490" s="4" t="str">
        <f>IFERROR(__xludf.DUMMYFUNCTION("SPLIT(A490:A1216, ""&gt;"")"),"US ")</f>
        <v>US </v>
      </c>
      <c r="C490" s="4" t="str">
        <f>IFERROR(__xludf.DUMMYFUNCTION("""COMPUTED_VALUE""")," Reach ")</f>
        <v> Reach </v>
      </c>
      <c r="D490" s="4" t="str">
        <f>IFERROR(__xludf.DUMMYFUNCTION("""COMPUTED_VALUE""")," Propensity Models ")</f>
        <v> Propensity Models </v>
      </c>
      <c r="E490" s="4" t="str">
        <f>IFERROR(__xludf.DUMMYFUNCTION("""COMPUTED_VALUE""")," Hobbies and Interest ")</f>
        <v> Hobbies and Interest </v>
      </c>
      <c r="F490" s="4" t="str">
        <f>IFERROR(__xludf.DUMMYFUNCTION("""COMPUTED_VALUE""")," Cultural Arts")</f>
        <v> Cultural Arts</v>
      </c>
      <c r="G490" s="4"/>
      <c r="H490" s="4"/>
      <c r="I490" s="5" t="s">
        <v>15</v>
      </c>
      <c r="J490" s="5" t="s">
        <v>16</v>
      </c>
      <c r="K490" s="5" t="s">
        <v>356</v>
      </c>
      <c r="L490" s="6" t="s">
        <v>723</v>
      </c>
      <c r="M490" s="5" t="s">
        <v>19</v>
      </c>
      <c r="N490" s="5" t="s">
        <v>27</v>
      </c>
      <c r="O490" s="5">
        <v>17620.0</v>
      </c>
      <c r="P490" s="5">
        <v>52.0</v>
      </c>
      <c r="Q490" s="5">
        <v>11197.0</v>
      </c>
      <c r="R490" s="5">
        <v>16687.0</v>
      </c>
      <c r="S490" s="5">
        <v>9.0</v>
      </c>
      <c r="T490" s="5">
        <v>2407.794325</v>
      </c>
    </row>
    <row r="491">
      <c r="A491" s="4" t="s">
        <v>1888</v>
      </c>
      <c r="B491" s="4" t="str">
        <f>IFERROR(__xludf.DUMMYFUNCTION("SPLIT(A491:A1217, ""&gt;"")"),"US ")</f>
        <v>US </v>
      </c>
      <c r="C491" s="4" t="str">
        <f>IFERROR(__xludf.DUMMYFUNCTION("""COMPUTED_VALUE""")," B2B ")</f>
        <v> B2B </v>
      </c>
      <c r="D491" s="4" t="str">
        <f>IFERROR(__xludf.DUMMYFUNCTION("""COMPUTED_VALUE""")," B2B Decision Maker Responsibilities ")</f>
        <v> B2B Decision Maker Responsibilities </v>
      </c>
      <c r="E491" s="4" t="str">
        <f>IFERROR(__xludf.DUMMYFUNCTION("""COMPUTED_VALUE""")," Internet Services")</f>
        <v> Internet Services</v>
      </c>
      <c r="F491" s="4"/>
      <c r="G491" s="4"/>
      <c r="H491" s="4"/>
      <c r="I491" s="5" t="s">
        <v>15</v>
      </c>
      <c r="J491" s="5" t="s">
        <v>23</v>
      </c>
      <c r="K491" s="5" t="s">
        <v>17</v>
      </c>
      <c r="L491" s="6" t="s">
        <v>723</v>
      </c>
      <c r="M491" s="5" t="s">
        <v>19</v>
      </c>
      <c r="N491" s="5" t="s">
        <v>52</v>
      </c>
      <c r="O491" s="5">
        <v>31625.0</v>
      </c>
      <c r="P491" s="5">
        <v>99.0</v>
      </c>
      <c r="Q491" s="5">
        <v>23764.0</v>
      </c>
      <c r="R491" s="5">
        <v>29364.0</v>
      </c>
      <c r="S491" s="5">
        <v>6.0</v>
      </c>
      <c r="T491" s="5">
        <v>2360.555244</v>
      </c>
    </row>
    <row r="492">
      <c r="A492" s="4" t="s">
        <v>1889</v>
      </c>
      <c r="B492" s="4" t="str">
        <f>IFERROR(__xludf.DUMMYFUNCTION("SPLIT(A492:A1218, ""&gt;"")"),"Mobile - US ")</f>
        <v>Mobile - US </v>
      </c>
      <c r="C492" s="4" t="str">
        <f>IFERROR(__xludf.DUMMYFUNCTION("""COMPUTED_VALUE""")," Device Ownership ")</f>
        <v> Device Ownership </v>
      </c>
      <c r="D492" s="4" t="str">
        <f>IFERROR(__xludf.DUMMYFUNCTION("""COMPUTED_VALUE""")," Smartphones ")</f>
        <v> Smartphones </v>
      </c>
      <c r="E492" s="4" t="str">
        <f>IFERROR(__xludf.DUMMYFUNCTION("""COMPUTED_VALUE""")," iOS (Apple) ")</f>
        <v> iOS (Apple) </v>
      </c>
      <c r="F492" s="4" t="str">
        <f>IFERROR(__xludf.DUMMYFUNCTION("""COMPUTED_VALUE""")," yes")</f>
        <v> yes</v>
      </c>
      <c r="G492" s="4"/>
      <c r="H492" s="4"/>
      <c r="I492" s="5" t="s">
        <v>22</v>
      </c>
      <c r="J492" s="5" t="s">
        <v>31</v>
      </c>
      <c r="K492" s="5" t="s">
        <v>84</v>
      </c>
      <c r="L492" s="6" t="s">
        <v>723</v>
      </c>
      <c r="M492" s="5" t="s">
        <v>167</v>
      </c>
      <c r="N492" s="5" t="s">
        <v>27</v>
      </c>
      <c r="O492" s="5">
        <v>22175.0</v>
      </c>
      <c r="P492" s="5">
        <v>140.0</v>
      </c>
      <c r="Q492" s="5">
        <v>14910.0</v>
      </c>
      <c r="R492" s="5">
        <v>20074.0</v>
      </c>
      <c r="S492" s="5">
        <v>6.0</v>
      </c>
      <c r="T492" s="5">
        <v>1909.277483</v>
      </c>
    </row>
    <row r="493">
      <c r="A493" s="4" t="s">
        <v>1890</v>
      </c>
      <c r="B493" s="4" t="str">
        <f>IFERROR(__xludf.DUMMYFUNCTION("SPLIT(A493:A1219, ""&gt;"")"),"US ")</f>
        <v>US </v>
      </c>
      <c r="C493" s="4" t="str">
        <f>IFERROR(__xludf.DUMMYFUNCTION("""COMPUTED_VALUE""")," B2B ")</f>
        <v> B2B </v>
      </c>
      <c r="D493" s="4" t="str">
        <f>IFERROR(__xludf.DUMMYFUNCTION("""COMPUTED_VALUE""")," Purchase DM ")</f>
        <v> Purchase DM </v>
      </c>
      <c r="E493" s="4" t="str">
        <f>IFERROR(__xludf.DUMMYFUNCTION("""COMPUTED_VALUE""")," Technology Services, Hardware and ")</f>
        <v> Technology Services, Hardware and </v>
      </c>
      <c r="F493" s="4" t="str">
        <f>IFERROR(__xludf.DUMMYFUNCTION("""COMPUTED_VALUE""")," or Software ")</f>
        <v> or Software </v>
      </c>
      <c r="G493" s="4" t="str">
        <f>IFERROR(__xludf.DUMMYFUNCTION("""COMPUTED_VALUE""")," I am the sole decision maker")</f>
        <v> I am the sole decision maker</v>
      </c>
      <c r="H493" s="4"/>
      <c r="I493" s="5" t="s">
        <v>22</v>
      </c>
      <c r="J493" s="5" t="s">
        <v>16</v>
      </c>
      <c r="K493" s="5" t="s">
        <v>35</v>
      </c>
      <c r="L493" s="6" t="s">
        <v>730</v>
      </c>
      <c r="M493" s="5" t="s">
        <v>327</v>
      </c>
      <c r="N493" s="5" t="s">
        <v>27</v>
      </c>
      <c r="O493" s="5">
        <v>56927.0</v>
      </c>
      <c r="P493" s="5">
        <v>165.0</v>
      </c>
      <c r="Q493" s="5">
        <v>20980.0</v>
      </c>
      <c r="R493" s="5">
        <v>55050.0</v>
      </c>
      <c r="S493" s="5">
        <v>5.0</v>
      </c>
      <c r="T493" s="5">
        <v>2463.821917</v>
      </c>
    </row>
    <row r="494">
      <c r="A494" s="4" t="s">
        <v>1500</v>
      </c>
      <c r="B494" s="4" t="str">
        <f>IFERROR(__xludf.DUMMYFUNCTION("SPLIT(A494:A1220, ""&gt;"")"),"OnAudience ")</f>
        <v>OnAudience </v>
      </c>
      <c r="C494" s="4" t="str">
        <f>IFERROR(__xludf.DUMMYFUNCTION("""COMPUTED_VALUE""")," Interest ")</f>
        <v> Interest </v>
      </c>
      <c r="D494" s="4" t="str">
        <f>IFERROR(__xludf.DUMMYFUNCTION("""COMPUTED_VALUE""")," Education")</f>
        <v> Education</v>
      </c>
      <c r="E494" s="4"/>
      <c r="F494" s="4"/>
      <c r="G494" s="4"/>
      <c r="H494" s="4"/>
      <c r="I494" s="5" t="s">
        <v>22</v>
      </c>
      <c r="J494" s="5" t="s">
        <v>23</v>
      </c>
      <c r="K494" s="5" t="s">
        <v>55</v>
      </c>
      <c r="L494" s="6" t="s">
        <v>732</v>
      </c>
      <c r="M494" s="5" t="s">
        <v>46</v>
      </c>
      <c r="N494" s="5" t="s">
        <v>27</v>
      </c>
      <c r="O494" s="5">
        <v>20165.0</v>
      </c>
      <c r="P494" s="5">
        <v>60.0</v>
      </c>
      <c r="Q494" s="5">
        <v>6601.0</v>
      </c>
      <c r="R494" s="5">
        <v>18909.0</v>
      </c>
      <c r="S494" s="5">
        <v>10.0</v>
      </c>
      <c r="T494" s="5">
        <v>1743.078687</v>
      </c>
    </row>
    <row r="495">
      <c r="A495" s="4" t="s">
        <v>1501</v>
      </c>
      <c r="B495" s="4" t="str">
        <f>IFERROR(__xludf.DUMMYFUNCTION("SPLIT(A495:A1221, ""&gt;"")"),"OnAudience ")</f>
        <v>OnAudience </v>
      </c>
      <c r="C495" s="4" t="str">
        <f>IFERROR(__xludf.DUMMYFUNCTION("""COMPUTED_VALUE""")," Intent ")</f>
        <v> Intent </v>
      </c>
      <c r="D495" s="4" t="str">
        <f>IFERROR(__xludf.DUMMYFUNCTION("""COMPUTED_VALUE""")," Software")</f>
        <v> Software</v>
      </c>
      <c r="E495" s="4"/>
      <c r="F495" s="4"/>
      <c r="G495" s="4"/>
      <c r="H495" s="4"/>
      <c r="I495" s="5" t="s">
        <v>15</v>
      </c>
      <c r="J495" s="5" t="s">
        <v>23</v>
      </c>
      <c r="K495" s="5" t="s">
        <v>55</v>
      </c>
      <c r="L495" s="6" t="s">
        <v>732</v>
      </c>
      <c r="M495" s="5" t="s">
        <v>19</v>
      </c>
      <c r="N495" s="5" t="s">
        <v>52</v>
      </c>
      <c r="O495" s="5">
        <v>22501.0</v>
      </c>
      <c r="P495" s="5">
        <v>120.0</v>
      </c>
      <c r="Q495" s="5">
        <v>13003.0</v>
      </c>
      <c r="R495" s="5">
        <v>21286.0</v>
      </c>
      <c r="S495" s="5">
        <v>9.0</v>
      </c>
      <c r="T495" s="5">
        <v>1522.517949</v>
      </c>
    </row>
    <row r="496">
      <c r="A496" s="4" t="s">
        <v>734</v>
      </c>
      <c r="B496" s="4" t="str">
        <f>IFERROR(__xludf.DUMMYFUNCTION("SPLIT(A496:A1222, ""&gt;"")"),"Online Behavior")</f>
        <v>Online Behavior</v>
      </c>
      <c r="C496" s="4" t="str">
        <f>IFERROR(__xludf.DUMMYFUNCTION("""COMPUTED_VALUE"""),"United States")</f>
        <v>United States</v>
      </c>
      <c r="D496" s="4" t="str">
        <f>IFERROR(__xludf.DUMMYFUNCTION("""COMPUTED_VALUE"""),"Home and Garden")</f>
        <v>Home and Garden</v>
      </c>
      <c r="E496" s="4" t="str">
        <f>IFERROR(__xludf.DUMMYFUNCTION("""COMPUTED_VALUE"""),"Kitchen and Dining")</f>
        <v>Kitchen and Dining</v>
      </c>
      <c r="F496" s="4"/>
      <c r="G496" s="4"/>
      <c r="H496" s="4"/>
      <c r="I496" s="5" t="s">
        <v>15</v>
      </c>
      <c r="J496" s="5" t="s">
        <v>16</v>
      </c>
      <c r="K496" s="5" t="s">
        <v>32</v>
      </c>
      <c r="L496" s="6" t="s">
        <v>735</v>
      </c>
      <c r="M496" s="5" t="s">
        <v>117</v>
      </c>
      <c r="N496" s="5" t="s">
        <v>20</v>
      </c>
      <c r="O496" s="5">
        <v>123430.0</v>
      </c>
      <c r="P496" s="5">
        <v>360.0</v>
      </c>
      <c r="Q496" s="5">
        <v>45294.0</v>
      </c>
      <c r="R496" s="5">
        <v>77646.0</v>
      </c>
      <c r="S496" s="5">
        <v>15.0</v>
      </c>
      <c r="T496" s="5">
        <v>6808.562584</v>
      </c>
    </row>
    <row r="497">
      <c r="A497" s="4" t="s">
        <v>1891</v>
      </c>
      <c r="B497" s="4" t="str">
        <f>IFERROR(__xludf.DUMMYFUNCTION("SPLIT(A497:A1223, ""&gt;"")"),"US ")</f>
        <v>US </v>
      </c>
      <c r="C497" s="4" t="str">
        <f>IFERROR(__xludf.DUMMYFUNCTION("""COMPUTED_VALUE""")," Reach ")</f>
        <v> Reach </v>
      </c>
      <c r="D497" s="4" t="str">
        <f>IFERROR(__xludf.DUMMYFUNCTION("""COMPUTED_VALUE""")," Propensity Models ")</f>
        <v> Propensity Models </v>
      </c>
      <c r="E497" s="4" t="str">
        <f>IFERROR(__xludf.DUMMYFUNCTION("""COMPUTED_VALUE""")," Hobbies and Interest ")</f>
        <v> Hobbies and Interest </v>
      </c>
      <c r="F497" s="4" t="str">
        <f>IFERROR(__xludf.DUMMYFUNCTION("""COMPUTED_VALUE""")," Food and Drinks ")</f>
        <v> Food and Drinks </v>
      </c>
      <c r="G497" s="4" t="str">
        <f>IFERROR(__xludf.DUMMYFUNCTION("""COMPUTED_VALUE""")," Eats at Family Restaurants")</f>
        <v> Eats at Family Restaurants</v>
      </c>
      <c r="H497" s="4"/>
      <c r="I497" s="5" t="s">
        <v>22</v>
      </c>
      <c r="J497" s="5" t="s">
        <v>16</v>
      </c>
      <c r="K497" s="5" t="s">
        <v>131</v>
      </c>
      <c r="L497" s="6" t="s">
        <v>735</v>
      </c>
      <c r="M497" s="5" t="s">
        <v>19</v>
      </c>
      <c r="N497" s="5" t="s">
        <v>27</v>
      </c>
      <c r="O497" s="5">
        <v>268811.0</v>
      </c>
      <c r="P497" s="5">
        <v>799.0</v>
      </c>
      <c r="Q497" s="5">
        <v>95989.0</v>
      </c>
      <c r="R497" s="5">
        <v>173923.0</v>
      </c>
      <c r="S497" s="5">
        <v>4.0</v>
      </c>
      <c r="T497" s="5">
        <v>2549.115158</v>
      </c>
    </row>
    <row r="498">
      <c r="A498" s="4" t="s">
        <v>1503</v>
      </c>
      <c r="B498" s="4" t="str">
        <f>IFERROR(__xludf.DUMMYFUNCTION("SPLIT(A498:A1224, ""&gt;"")"),"OnAudience ")</f>
        <v>OnAudience </v>
      </c>
      <c r="C498" s="4" t="str">
        <f>IFERROR(__xludf.DUMMYFUNCTION("""COMPUTED_VALUE""")," Intent ")</f>
        <v> Intent </v>
      </c>
      <c r="D498" s="4" t="str">
        <f>IFERROR(__xludf.DUMMYFUNCTION("""COMPUTED_VALUE""")," Baby &amp; Toddler ")</f>
        <v> Baby &amp; Toddler </v>
      </c>
      <c r="E498" s="4" t="str">
        <f>IFERROR(__xludf.DUMMYFUNCTION("""COMPUTED_VALUE""")," Baby Toys")</f>
        <v> Baby Toys</v>
      </c>
      <c r="F498" s="4"/>
      <c r="G498" s="4"/>
      <c r="H498" s="4"/>
      <c r="I498" s="5" t="s">
        <v>15</v>
      </c>
      <c r="J498" s="5" t="s">
        <v>42</v>
      </c>
      <c r="K498" s="5" t="s">
        <v>121</v>
      </c>
      <c r="L498" s="6" t="s">
        <v>735</v>
      </c>
      <c r="M498" s="5" t="s">
        <v>36</v>
      </c>
      <c r="N498" s="5" t="s">
        <v>52</v>
      </c>
      <c r="O498" s="5">
        <v>16669.0</v>
      </c>
      <c r="P498" s="5">
        <v>26.0</v>
      </c>
      <c r="Q498" s="5">
        <v>10961.0</v>
      </c>
      <c r="R498" s="5">
        <v>15451.0</v>
      </c>
      <c r="S498" s="5">
        <v>5.0</v>
      </c>
      <c r="T498" s="5">
        <v>1658.358536</v>
      </c>
    </row>
    <row r="499">
      <c r="A499" s="4" t="s">
        <v>1504</v>
      </c>
      <c r="B499" s="4" t="str">
        <f>IFERROR(__xludf.DUMMYFUNCTION("SPLIT(A499:A1225, ""&gt;"")"),"Media and Entertainment ")</f>
        <v>Media and Entertainment </v>
      </c>
      <c r="C499" s="4" t="str">
        <f>IFERROR(__xludf.DUMMYFUNCTION("""COMPUTED_VALUE""")," Television (TV)")</f>
        <v> Television (TV)</v>
      </c>
      <c r="D499" s="4"/>
      <c r="E499" s="4"/>
      <c r="F499" s="4"/>
      <c r="G499" s="4"/>
      <c r="H499" s="4"/>
      <c r="I499" s="5" t="s">
        <v>15</v>
      </c>
      <c r="J499" s="5" t="s">
        <v>16</v>
      </c>
      <c r="K499" s="5" t="s">
        <v>32</v>
      </c>
      <c r="L499" s="6" t="s">
        <v>735</v>
      </c>
      <c r="M499" s="5" t="s">
        <v>19</v>
      </c>
      <c r="N499" s="5" t="s">
        <v>27</v>
      </c>
      <c r="O499" s="5">
        <v>9130.0</v>
      </c>
      <c r="P499" s="5">
        <v>33.0</v>
      </c>
      <c r="Q499" s="5">
        <v>3721.0</v>
      </c>
      <c r="R499" s="5">
        <v>5564.0</v>
      </c>
      <c r="S499" s="5">
        <v>1.0</v>
      </c>
      <c r="T499" s="5">
        <v>1655.792857</v>
      </c>
    </row>
    <row r="500">
      <c r="A500" s="4" t="s">
        <v>1505</v>
      </c>
      <c r="B500" s="4" t="str">
        <f>IFERROR(__xludf.DUMMYFUNCTION("SPLIT(A500:A1226, ""&gt;"")"),"Online Behavior")</f>
        <v>Online Behavior</v>
      </c>
      <c r="C500" s="4" t="str">
        <f>IFERROR(__xludf.DUMMYFUNCTION("""COMPUTED_VALUE"""),"United States")</f>
        <v>United States</v>
      </c>
      <c r="D500" s="4" t="str">
        <f>IFERROR(__xludf.DUMMYFUNCTION("""COMPUTED_VALUE"""),"Intent ")</f>
        <v>Intent </v>
      </c>
      <c r="E500" s="4" t="str">
        <f>IFERROR(__xludf.DUMMYFUNCTION("""COMPUTED_VALUE""")," Auto Buyers ")</f>
        <v> Auto Buyers </v>
      </c>
      <c r="F500" s="4" t="str">
        <f>IFERROR(__xludf.DUMMYFUNCTION("""COMPUTED_VALUE""")," Category")</f>
        <v> Category</v>
      </c>
      <c r="G500" s="4" t="str">
        <f>IFERROR(__xludf.DUMMYFUNCTION("""COMPUTED_VALUE"""),"Caravan")</f>
        <v>Caravan</v>
      </c>
      <c r="H500" s="4"/>
      <c r="I500" s="5" t="s">
        <v>15</v>
      </c>
      <c r="J500" s="5" t="s">
        <v>42</v>
      </c>
      <c r="K500" s="5" t="s">
        <v>55</v>
      </c>
      <c r="L500" s="6" t="s">
        <v>740</v>
      </c>
      <c r="M500" s="5" t="s">
        <v>19</v>
      </c>
      <c r="N500" s="5" t="s">
        <v>27</v>
      </c>
      <c r="O500" s="5">
        <v>8097.0</v>
      </c>
      <c r="P500" s="5">
        <v>20.0</v>
      </c>
      <c r="Q500" s="5">
        <v>4942.0</v>
      </c>
      <c r="R500" s="5">
        <v>6868.0</v>
      </c>
      <c r="S500" s="5">
        <v>1.0</v>
      </c>
      <c r="T500" s="5">
        <v>6177.464545</v>
      </c>
    </row>
    <row r="501">
      <c r="A501" s="4" t="s">
        <v>1892</v>
      </c>
      <c r="B501" s="4" t="str">
        <f>IFERROR(__xludf.DUMMYFUNCTION("SPLIT(A501:A1227, ""&gt;"")"),"US ")</f>
        <v>US </v>
      </c>
      <c r="C501" s="4" t="str">
        <f>IFERROR(__xludf.DUMMYFUNCTION("""COMPUTED_VALUE""")," Reach ")</f>
        <v> Reach </v>
      </c>
      <c r="D501" s="4" t="str">
        <f>IFERROR(__xludf.DUMMYFUNCTION("""COMPUTED_VALUE""")," Propensity Models ")</f>
        <v> Propensity Models </v>
      </c>
      <c r="E501" s="4" t="str">
        <f>IFERROR(__xludf.DUMMYFUNCTION("""COMPUTED_VALUE""")," Hobbies and Interest ")</f>
        <v> Hobbies and Interest </v>
      </c>
      <c r="F501" s="4" t="str">
        <f>IFERROR(__xludf.DUMMYFUNCTION("""COMPUTED_VALUE""")," Sports ")</f>
        <v> Sports </v>
      </c>
      <c r="G501" s="4" t="str">
        <f>IFERROR(__xludf.DUMMYFUNCTION("""COMPUTED_VALUE""")," Hunting Enthusiasts")</f>
        <v> Hunting Enthusiasts</v>
      </c>
      <c r="H501" s="4"/>
      <c r="I501" s="5" t="s">
        <v>15</v>
      </c>
      <c r="J501" s="5" t="s">
        <v>23</v>
      </c>
      <c r="K501" s="5" t="s">
        <v>17</v>
      </c>
      <c r="L501" s="6" t="s">
        <v>740</v>
      </c>
      <c r="M501" s="5" t="s">
        <v>46</v>
      </c>
      <c r="N501" s="5" t="s">
        <v>52</v>
      </c>
      <c r="O501" s="5">
        <v>65243.0</v>
      </c>
      <c r="P501" s="5">
        <v>120.0</v>
      </c>
      <c r="Q501" s="5">
        <v>39543.0</v>
      </c>
      <c r="R501" s="5">
        <v>54290.0</v>
      </c>
      <c r="S501" s="5">
        <v>4.0</v>
      </c>
      <c r="T501" s="5">
        <v>3754.685247</v>
      </c>
    </row>
    <row r="502">
      <c r="A502" s="4" t="s">
        <v>742</v>
      </c>
      <c r="B502" s="4" t="str">
        <f>IFERROR(__xludf.DUMMYFUNCTION("SPLIT(A502:A1228, ""&gt;"")"),"Online Behavior")</f>
        <v>Online Behavior</v>
      </c>
      <c r="C502" s="4" t="str">
        <f>IFERROR(__xludf.DUMMYFUNCTION("""COMPUTED_VALUE"""),"United States")</f>
        <v>United States</v>
      </c>
      <c r="D502" s="4" t="str">
        <f>IFERROR(__xludf.DUMMYFUNCTION("""COMPUTED_VALUE"""),"The Changing Consumer")</f>
        <v>The Changing Consumer</v>
      </c>
      <c r="E502" s="4" t="str">
        <f>IFERROR(__xludf.DUMMYFUNCTION("""COMPUTED_VALUE"""),"CPG")</f>
        <v>CPG</v>
      </c>
      <c r="F502" s="4"/>
      <c r="G502" s="4"/>
      <c r="H502" s="4"/>
      <c r="I502" s="5" t="s">
        <v>15</v>
      </c>
      <c r="J502" s="5" t="s">
        <v>16</v>
      </c>
      <c r="K502" s="5" t="s">
        <v>39</v>
      </c>
      <c r="L502" s="6" t="s">
        <v>743</v>
      </c>
      <c r="M502" s="5" t="s">
        <v>19</v>
      </c>
      <c r="N502" s="5" t="s">
        <v>27</v>
      </c>
      <c r="O502" s="5">
        <v>224877.0</v>
      </c>
      <c r="P502" s="5">
        <v>805.0</v>
      </c>
      <c r="Q502" s="5">
        <v>121175.0</v>
      </c>
      <c r="R502" s="5">
        <v>213280.0</v>
      </c>
      <c r="S502" s="5">
        <v>11.0</v>
      </c>
      <c r="T502" s="5">
        <v>7360.992969</v>
      </c>
    </row>
    <row r="503">
      <c r="A503" s="4" t="s">
        <v>744</v>
      </c>
      <c r="B503" s="4" t="str">
        <f>IFERROR(__xludf.DUMMYFUNCTION("SPLIT(A503:A1229, ""&gt;"")"),"Online Behavior")</f>
        <v>Online Behavior</v>
      </c>
      <c r="C503" s="4" t="str">
        <f>IFERROR(__xludf.DUMMYFUNCTION("""COMPUTED_VALUE"""),"United States")</f>
        <v>United States</v>
      </c>
      <c r="D503" s="4" t="str">
        <f>IFERROR(__xludf.DUMMYFUNCTION("""COMPUTED_VALUE"""),"Internet and Telecom")</f>
        <v>Internet and Telecom</v>
      </c>
      <c r="E503" s="4" t="str">
        <f>IFERROR(__xludf.DUMMYFUNCTION("""COMPUTED_VALUE"""),"Web Apps and Online Tools")</f>
        <v>Web Apps and Online Tools</v>
      </c>
      <c r="F503" s="4"/>
      <c r="G503" s="4"/>
      <c r="H503" s="4"/>
      <c r="I503" s="5" t="s">
        <v>15</v>
      </c>
      <c r="J503" s="5" t="s">
        <v>23</v>
      </c>
      <c r="K503" s="5" t="s">
        <v>78</v>
      </c>
      <c r="L503" s="6" t="s">
        <v>743</v>
      </c>
      <c r="M503" s="5" t="s">
        <v>46</v>
      </c>
      <c r="N503" s="5" t="s">
        <v>52</v>
      </c>
      <c r="O503" s="5">
        <v>109372.0</v>
      </c>
      <c r="P503" s="5">
        <v>364.0</v>
      </c>
      <c r="Q503" s="5">
        <v>58336.0</v>
      </c>
      <c r="R503" s="5">
        <v>103569.0</v>
      </c>
      <c r="S503" s="5">
        <v>21.0</v>
      </c>
      <c r="T503" s="5">
        <v>6928.006202</v>
      </c>
    </row>
    <row r="504">
      <c r="A504" s="4" t="s">
        <v>745</v>
      </c>
      <c r="B504" s="4" t="str">
        <f>IFERROR(__xludf.DUMMYFUNCTION("SPLIT(A504:A1230, ""&gt;"")"),"Online Behavior")</f>
        <v>Online Behavior</v>
      </c>
      <c r="C504" s="4" t="str">
        <f>IFERROR(__xludf.DUMMYFUNCTION("""COMPUTED_VALUE"""),"United States")</f>
        <v>United States</v>
      </c>
      <c r="D504" s="4" t="str">
        <f>IFERROR(__xludf.DUMMYFUNCTION("""COMPUTED_VALUE"""),"News")</f>
        <v>News</v>
      </c>
      <c r="E504" s="4" t="str">
        <f>IFERROR(__xludf.DUMMYFUNCTION("""COMPUTED_VALUE"""),"Local News")</f>
        <v>Local News</v>
      </c>
      <c r="F504" s="4"/>
      <c r="G504" s="4"/>
      <c r="H504" s="4"/>
      <c r="I504" s="5" t="s">
        <v>22</v>
      </c>
      <c r="J504" s="5" t="s">
        <v>23</v>
      </c>
      <c r="K504" s="5" t="s">
        <v>183</v>
      </c>
      <c r="L504" s="6" t="s">
        <v>743</v>
      </c>
      <c r="M504" s="5" t="s">
        <v>50</v>
      </c>
      <c r="N504" s="5" t="s">
        <v>27</v>
      </c>
      <c r="O504" s="5">
        <v>44889.0</v>
      </c>
      <c r="P504" s="5">
        <v>125.0</v>
      </c>
      <c r="Q504" s="5">
        <v>17477.0</v>
      </c>
      <c r="R504" s="5">
        <v>38621.0</v>
      </c>
      <c r="S504" s="5">
        <v>25.0</v>
      </c>
      <c r="T504" s="5">
        <v>6644.954146</v>
      </c>
    </row>
    <row r="505">
      <c r="A505" s="4" t="s">
        <v>1507</v>
      </c>
      <c r="B505" s="4" t="str">
        <f>IFERROR(__xludf.DUMMYFUNCTION("SPLIT(A505:A1231, ""&gt;"")"),"Online Behavior")</f>
        <v>Online Behavior</v>
      </c>
      <c r="C505" s="4" t="str">
        <f>IFERROR(__xludf.DUMMYFUNCTION("""COMPUTED_VALUE"""),"United States")</f>
        <v>United States</v>
      </c>
      <c r="D505" s="4" t="str">
        <f>IFERROR(__xludf.DUMMYFUNCTION("""COMPUTED_VALUE"""),"Intent ")</f>
        <v>Intent </v>
      </c>
      <c r="E505" s="4" t="str">
        <f>IFERROR(__xludf.DUMMYFUNCTION("""COMPUTED_VALUE""")," Auto Buyers ")</f>
        <v> Auto Buyers </v>
      </c>
      <c r="F505" s="4" t="str">
        <f>IFERROR(__xludf.DUMMYFUNCTION("""COMPUTED_VALUE""")," Car Make")</f>
        <v> Car Make</v>
      </c>
      <c r="G505" s="4" t="str">
        <f>IFERROR(__xludf.DUMMYFUNCTION("""COMPUTED_VALUE"""),"Mercedes")</f>
        <v>Mercedes</v>
      </c>
      <c r="H505" s="4"/>
      <c r="I505" s="5" t="s">
        <v>22</v>
      </c>
      <c r="J505" s="5" t="s">
        <v>16</v>
      </c>
      <c r="K505" s="5" t="s">
        <v>204</v>
      </c>
      <c r="L505" s="6" t="s">
        <v>743</v>
      </c>
      <c r="M505" s="5" t="s">
        <v>117</v>
      </c>
      <c r="N505" s="5" t="s">
        <v>27</v>
      </c>
      <c r="O505" s="5">
        <v>42459.0</v>
      </c>
      <c r="P505" s="5">
        <v>121.0</v>
      </c>
      <c r="Q505" s="5">
        <v>15187.0</v>
      </c>
      <c r="R505" s="5">
        <v>37408.0</v>
      </c>
      <c r="S505" s="5">
        <v>11.0</v>
      </c>
      <c r="T505" s="5">
        <v>6321.491689</v>
      </c>
    </row>
    <row r="506">
      <c r="A506" s="4" t="s">
        <v>1508</v>
      </c>
      <c r="B506" s="4" t="str">
        <f>IFERROR(__xludf.DUMMYFUNCTION("SPLIT(A506:A1232, ""&gt;"")"),"Online Behavior")</f>
        <v>Online Behavior</v>
      </c>
      <c r="C506" s="4" t="str">
        <f>IFERROR(__xludf.DUMMYFUNCTION("""COMPUTED_VALUE"""),"United States")</f>
        <v>United States</v>
      </c>
      <c r="D506" s="4" t="str">
        <f>IFERROR(__xludf.DUMMYFUNCTION("""COMPUTED_VALUE"""),"Sports")</f>
        <v>Sports</v>
      </c>
      <c r="E506" s="4" t="str">
        <f>IFERROR(__xludf.DUMMYFUNCTION("""COMPUTED_VALUE"""),"Individual Sports ")</f>
        <v>Individual Sports </v>
      </c>
      <c r="F506" s="4" t="str">
        <f>IFERROR(__xludf.DUMMYFUNCTION("""COMPUTED_VALUE""")," Golf")</f>
        <v> Golf</v>
      </c>
      <c r="G506" s="4"/>
      <c r="H506" s="4"/>
      <c r="I506" s="5" t="s">
        <v>15</v>
      </c>
      <c r="J506" s="5" t="s">
        <v>23</v>
      </c>
      <c r="K506" s="5" t="s">
        <v>55</v>
      </c>
      <c r="L506" s="6" t="s">
        <v>743</v>
      </c>
      <c r="M506" s="5" t="s">
        <v>117</v>
      </c>
      <c r="N506" s="5" t="s">
        <v>27</v>
      </c>
      <c r="O506" s="5">
        <v>69928.0</v>
      </c>
      <c r="P506" s="5">
        <v>210.0</v>
      </c>
      <c r="Q506" s="5">
        <v>30196.0</v>
      </c>
      <c r="R506" s="5">
        <v>62327.0</v>
      </c>
      <c r="S506" s="5">
        <v>9.0</v>
      </c>
      <c r="T506" s="5">
        <v>6318.413085</v>
      </c>
    </row>
    <row r="507">
      <c r="A507" s="4" t="s">
        <v>1509</v>
      </c>
      <c r="B507" s="4" t="str">
        <f>IFERROR(__xludf.DUMMYFUNCTION("SPLIT(A507:A1233, ""&gt;"")"),"Online Behavior")</f>
        <v>Online Behavior</v>
      </c>
      <c r="C507" s="4" t="str">
        <f>IFERROR(__xludf.DUMMYFUNCTION("""COMPUTED_VALUE"""),"United States")</f>
        <v>United States</v>
      </c>
      <c r="D507" s="4" t="str">
        <f>IFERROR(__xludf.DUMMYFUNCTION("""COMPUTED_VALUE"""),"Food and Drink")</f>
        <v>Food and Drink</v>
      </c>
      <c r="E507" s="4" t="str">
        <f>IFERROR(__xludf.DUMMYFUNCTION("""COMPUTED_VALUE"""),"Beverages ")</f>
        <v>Beverages </v>
      </c>
      <c r="F507" s="4" t="str">
        <f>IFERROR(__xludf.DUMMYFUNCTION("""COMPUTED_VALUE""")," Juice")</f>
        <v> Juice</v>
      </c>
      <c r="G507" s="4"/>
      <c r="H507" s="4"/>
      <c r="I507" s="5" t="s">
        <v>22</v>
      </c>
      <c r="J507" s="5" t="s">
        <v>31</v>
      </c>
      <c r="K507" s="5" t="s">
        <v>17</v>
      </c>
      <c r="L507" s="6" t="s">
        <v>743</v>
      </c>
      <c r="M507" s="5" t="s">
        <v>19</v>
      </c>
      <c r="N507" s="5" t="s">
        <v>27</v>
      </c>
      <c r="O507" s="5">
        <v>40859.0</v>
      </c>
      <c r="P507" s="5">
        <v>144.0</v>
      </c>
      <c r="Q507" s="5">
        <v>17695.0</v>
      </c>
      <c r="R507" s="5">
        <v>37108.0</v>
      </c>
      <c r="S507" s="5">
        <v>4.0</v>
      </c>
      <c r="T507" s="5">
        <v>6130.368425</v>
      </c>
    </row>
    <row r="508">
      <c r="A508" s="4" t="s">
        <v>1510</v>
      </c>
      <c r="B508" s="4" t="str">
        <f>IFERROR(__xludf.DUMMYFUNCTION("SPLIT(A508:A1234, ""&gt;"")"),"Online Behavior")</f>
        <v>Online Behavior</v>
      </c>
      <c r="C508" s="4" t="str">
        <f>IFERROR(__xludf.DUMMYFUNCTION("""COMPUTED_VALUE"""),"United States")</f>
        <v>United States</v>
      </c>
      <c r="D508" s="4" t="str">
        <f>IFERROR(__xludf.DUMMYFUNCTION("""COMPUTED_VALUE"""),"Autos and Vehicles ")</f>
        <v>Autos and Vehicles </v>
      </c>
      <c r="E508" s="4" t="str">
        <f>IFERROR(__xludf.DUMMYFUNCTION("""COMPUTED_VALUE""")," Brands")</f>
        <v> Brands</v>
      </c>
      <c r="F508" s="4" t="str">
        <f>IFERROR(__xludf.DUMMYFUNCTION("""COMPUTED_VALUE"""),"Isuzu")</f>
        <v>Isuzu</v>
      </c>
      <c r="G508" s="4"/>
      <c r="H508" s="4"/>
      <c r="I508" s="5" t="s">
        <v>15</v>
      </c>
      <c r="J508" s="5" t="s">
        <v>42</v>
      </c>
      <c r="K508" s="5" t="s">
        <v>35</v>
      </c>
      <c r="L508" s="6" t="s">
        <v>743</v>
      </c>
      <c r="M508" s="5" t="s">
        <v>117</v>
      </c>
      <c r="N508" s="5" t="s">
        <v>52</v>
      </c>
      <c r="O508" s="5">
        <v>16978.0</v>
      </c>
      <c r="P508" s="5">
        <v>30.0</v>
      </c>
      <c r="Q508" s="5">
        <v>8367.0</v>
      </c>
      <c r="R508" s="5">
        <v>15731.0</v>
      </c>
      <c r="S508" s="5">
        <v>9.0</v>
      </c>
      <c r="T508" s="5">
        <v>5886.071146</v>
      </c>
    </row>
    <row r="509">
      <c r="A509" s="4" t="s">
        <v>750</v>
      </c>
      <c r="B509" s="4" t="str">
        <f>IFERROR(__xludf.DUMMYFUNCTION("SPLIT(A509:A1235, ""&gt;"")"),"Online Behavior")</f>
        <v>Online Behavior</v>
      </c>
      <c r="C509" s="4" t="str">
        <f>IFERROR(__xludf.DUMMYFUNCTION("""COMPUTED_VALUE"""),"United States")</f>
        <v>United States</v>
      </c>
      <c r="D509" s="4" t="str">
        <f>IFERROR(__xludf.DUMMYFUNCTION("""COMPUTED_VALUE"""),"Internet and Telecom")</f>
        <v>Internet and Telecom</v>
      </c>
      <c r="E509" s="4" t="str">
        <f>IFERROR(__xludf.DUMMYFUNCTION("""COMPUTED_VALUE"""),"Web Services")</f>
        <v>Web Services</v>
      </c>
      <c r="F509" s="4"/>
      <c r="G509" s="4"/>
      <c r="H509" s="4"/>
      <c r="I509" s="5" t="s">
        <v>22</v>
      </c>
      <c r="J509" s="5" t="s">
        <v>16</v>
      </c>
      <c r="K509" s="5" t="s">
        <v>55</v>
      </c>
      <c r="L509" s="6" t="s">
        <v>743</v>
      </c>
      <c r="M509" s="5" t="s">
        <v>36</v>
      </c>
      <c r="N509" s="5" t="s">
        <v>27</v>
      </c>
      <c r="O509" s="5">
        <v>14581.0</v>
      </c>
      <c r="P509" s="5">
        <v>45.0</v>
      </c>
      <c r="Q509" s="5">
        <v>3821.0</v>
      </c>
      <c r="R509" s="5">
        <v>12741.0</v>
      </c>
      <c r="S509" s="5">
        <v>6.0</v>
      </c>
      <c r="T509" s="5">
        <v>5296.970091</v>
      </c>
    </row>
    <row r="510">
      <c r="A510" s="4" t="s">
        <v>1511</v>
      </c>
      <c r="B510" s="4" t="str">
        <f>IFERROR(__xludf.DUMMYFUNCTION("SPLIT(A510:A1236, ""&gt;"")"),"Online Behavior")</f>
        <v>Online Behavior</v>
      </c>
      <c r="C510" s="4" t="str">
        <f>IFERROR(__xludf.DUMMYFUNCTION("""COMPUTED_VALUE"""),"United States")</f>
        <v>United States</v>
      </c>
      <c r="D510" s="4" t="str">
        <f>IFERROR(__xludf.DUMMYFUNCTION("""COMPUTED_VALUE"""),"Validated Demographic ")</f>
        <v>Validated Demographic </v>
      </c>
      <c r="E510" s="4" t="str">
        <f>IFERROR(__xludf.DUMMYFUNCTION("""COMPUTED_VALUE""")," Gender and Age Combined")</f>
        <v> Gender and Age Combined</v>
      </c>
      <c r="F510" s="4" t="str">
        <f>IFERROR(__xludf.DUMMYFUNCTION("""COMPUTED_VALUE"""),"Males 18-44")</f>
        <v>Males 18-44</v>
      </c>
      <c r="G510" s="4"/>
      <c r="H510" s="4"/>
      <c r="I510" s="5" t="s">
        <v>15</v>
      </c>
      <c r="J510" s="5" t="s">
        <v>42</v>
      </c>
      <c r="K510" s="5" t="s">
        <v>35</v>
      </c>
      <c r="L510" s="6" t="s">
        <v>743</v>
      </c>
      <c r="M510" s="5" t="s">
        <v>46</v>
      </c>
      <c r="N510" s="5" t="s">
        <v>20</v>
      </c>
      <c r="O510" s="5">
        <v>10815.0</v>
      </c>
      <c r="P510" s="5">
        <v>25.0</v>
      </c>
      <c r="Q510" s="5">
        <v>4321.0</v>
      </c>
      <c r="R510" s="5">
        <v>9646.0</v>
      </c>
      <c r="S510" s="5">
        <v>2.0</v>
      </c>
      <c r="T510" s="5">
        <v>4921.594843</v>
      </c>
    </row>
    <row r="511">
      <c r="A511" s="4" t="s">
        <v>1512</v>
      </c>
      <c r="B511" s="4" t="str">
        <f>IFERROR(__xludf.DUMMYFUNCTION("SPLIT(A511:A1237, ""&gt;"")"),"Online Behavior")</f>
        <v>Online Behavior</v>
      </c>
      <c r="C511" s="4" t="str">
        <f>IFERROR(__xludf.DUMMYFUNCTION("""COMPUTED_VALUE"""),"United States")</f>
        <v>United States</v>
      </c>
      <c r="D511" s="4" t="str">
        <f>IFERROR(__xludf.DUMMYFUNCTION("""COMPUTED_VALUE"""),"B2B ")</f>
        <v>B2B </v>
      </c>
      <c r="E511" s="4" t="str">
        <f>IFERROR(__xludf.DUMMYFUNCTION("""COMPUTED_VALUE""")," Occupation")</f>
        <v> Occupation</v>
      </c>
      <c r="F511" s="4" t="str">
        <f>IFERROR(__xludf.DUMMYFUNCTION("""COMPUTED_VALUE"""),"ComputerProgrammer")</f>
        <v>ComputerProgrammer</v>
      </c>
      <c r="G511" s="4"/>
      <c r="H511" s="4"/>
      <c r="I511" s="5" t="s">
        <v>15</v>
      </c>
      <c r="J511" s="5" t="s">
        <v>42</v>
      </c>
      <c r="K511" s="5" t="s">
        <v>240</v>
      </c>
      <c r="L511" s="6" t="s">
        <v>743</v>
      </c>
      <c r="M511" s="5" t="s">
        <v>50</v>
      </c>
      <c r="N511" s="5" t="s">
        <v>20</v>
      </c>
      <c r="O511" s="5">
        <v>114194.0</v>
      </c>
      <c r="P511" s="5">
        <v>380.0</v>
      </c>
      <c r="Q511" s="5">
        <v>50923.0</v>
      </c>
      <c r="R511" s="5">
        <v>104074.0</v>
      </c>
      <c r="S511" s="5">
        <v>2.0</v>
      </c>
      <c r="T511" s="5">
        <v>4036.089376</v>
      </c>
    </row>
    <row r="512">
      <c r="A512" s="4" t="s">
        <v>1893</v>
      </c>
      <c r="B512" s="4" t="str">
        <f>IFERROR(__xludf.DUMMYFUNCTION("SPLIT(A512:A1238, ""&gt;"")"),"US ")</f>
        <v>US </v>
      </c>
      <c r="C512" s="4" t="str">
        <f>IFERROR(__xludf.DUMMYFUNCTION("""COMPUTED_VALUE""")," Reach ")</f>
        <v> Reach </v>
      </c>
      <c r="D512" s="4" t="str">
        <f>IFERROR(__xludf.DUMMYFUNCTION("""COMPUTED_VALUE""")," Propensity Models ")</f>
        <v> Propensity Models </v>
      </c>
      <c r="E512" s="4" t="str">
        <f>IFERROR(__xludf.DUMMYFUNCTION("""COMPUTED_VALUE""")," Lifestyle ")</f>
        <v> Lifestyle </v>
      </c>
      <c r="F512" s="4" t="str">
        <f>IFERROR(__xludf.DUMMYFUNCTION("""COMPUTED_VALUE""")," Healthy Living")</f>
        <v> Healthy Living</v>
      </c>
      <c r="G512" s="4"/>
      <c r="H512" s="4"/>
      <c r="I512" s="5" t="s">
        <v>15</v>
      </c>
      <c r="J512" s="5" t="s">
        <v>16</v>
      </c>
      <c r="K512" s="5" t="s">
        <v>356</v>
      </c>
      <c r="L512" s="6" t="s">
        <v>743</v>
      </c>
      <c r="M512" s="5" t="s">
        <v>19</v>
      </c>
      <c r="N512" s="5" t="s">
        <v>27</v>
      </c>
      <c r="O512" s="5">
        <v>15449.0</v>
      </c>
      <c r="P512" s="5">
        <v>50.0</v>
      </c>
      <c r="Q512" s="5">
        <v>4595.0</v>
      </c>
      <c r="R512" s="5">
        <v>13765.0</v>
      </c>
      <c r="S512" s="5">
        <v>1.0</v>
      </c>
      <c r="T512" s="5">
        <v>3122.942574</v>
      </c>
    </row>
    <row r="513">
      <c r="A513" s="4" t="s">
        <v>1894</v>
      </c>
      <c r="B513" s="4" t="str">
        <f>IFERROR(__xludf.DUMMYFUNCTION("SPLIT(A513:A1239, ""&gt;"")"),"US ")</f>
        <v>US </v>
      </c>
      <c r="C513" s="4" t="str">
        <f>IFERROR(__xludf.DUMMYFUNCTION("""COMPUTED_VALUE""")," Reach ")</f>
        <v> Reach </v>
      </c>
      <c r="D513" s="4" t="str">
        <f>IFERROR(__xludf.DUMMYFUNCTION("""COMPUTED_VALUE""")," Propensity Models ")</f>
        <v> Propensity Models </v>
      </c>
      <c r="E513" s="4" t="str">
        <f>IFERROR(__xludf.DUMMYFUNCTION("""COMPUTED_VALUE""")," Hobbies and Interest ")</f>
        <v> Hobbies and Interest </v>
      </c>
      <c r="F513" s="4" t="str">
        <f>IFERROR(__xludf.DUMMYFUNCTION("""COMPUTED_VALUE""")," Sports ")</f>
        <v> Sports </v>
      </c>
      <c r="G513" s="4" t="str">
        <f>IFERROR(__xludf.DUMMYFUNCTION("""COMPUTED_VALUE""")," NHL Enthusiast")</f>
        <v> NHL Enthusiast</v>
      </c>
      <c r="H513" s="4"/>
      <c r="I513" s="5" t="s">
        <v>15</v>
      </c>
      <c r="J513" s="5" t="s">
        <v>31</v>
      </c>
      <c r="K513" s="5" t="s">
        <v>78</v>
      </c>
      <c r="L513" s="6" t="s">
        <v>743</v>
      </c>
      <c r="M513" s="5" t="s">
        <v>191</v>
      </c>
      <c r="N513" s="5" t="s">
        <v>27</v>
      </c>
      <c r="O513" s="5">
        <v>114267.0</v>
      </c>
      <c r="P513" s="5">
        <v>110.0</v>
      </c>
      <c r="Q513" s="5">
        <v>60964.0</v>
      </c>
      <c r="R513" s="5">
        <v>108301.0</v>
      </c>
      <c r="S513" s="5">
        <v>5.0</v>
      </c>
      <c r="T513" s="5">
        <v>2679.154068</v>
      </c>
    </row>
    <row r="514">
      <c r="A514" s="4" t="s">
        <v>1895</v>
      </c>
      <c r="B514" s="4" t="str">
        <f>IFERROR(__xludf.DUMMYFUNCTION("SPLIT(A514:A1240, ""&gt;"")"),"US ")</f>
        <v>US </v>
      </c>
      <c r="C514" s="4" t="str">
        <f>IFERROR(__xludf.DUMMYFUNCTION("""COMPUTED_VALUE""")," Reach ")</f>
        <v> Reach </v>
      </c>
      <c r="D514" s="4" t="str">
        <f>IFERROR(__xludf.DUMMYFUNCTION("""COMPUTED_VALUE""")," Propensity Models ")</f>
        <v> Propensity Models </v>
      </c>
      <c r="E514" s="4" t="str">
        <f>IFERROR(__xludf.DUMMYFUNCTION("""COMPUTED_VALUE""")," Hobbies and Interest ")</f>
        <v> Hobbies and Interest </v>
      </c>
      <c r="F514" s="4" t="str">
        <f>IFERROR(__xludf.DUMMYFUNCTION("""COMPUTED_VALUE""")," Sports ")</f>
        <v> Sports </v>
      </c>
      <c r="G514" s="4" t="str">
        <f>IFERROR(__xludf.DUMMYFUNCTION("""COMPUTED_VALUE""")," Fishing")</f>
        <v> Fishing</v>
      </c>
      <c r="H514" s="4"/>
      <c r="I514" s="5" t="s">
        <v>15</v>
      </c>
      <c r="J514" s="5" t="s">
        <v>16</v>
      </c>
      <c r="K514" s="5" t="s">
        <v>173</v>
      </c>
      <c r="L514" s="6" t="s">
        <v>743</v>
      </c>
      <c r="M514" s="5" t="s">
        <v>26</v>
      </c>
      <c r="N514" s="5" t="s">
        <v>20</v>
      </c>
      <c r="O514" s="5">
        <v>65043.0</v>
      </c>
      <c r="P514" s="5">
        <v>160.0</v>
      </c>
      <c r="Q514" s="5">
        <v>25871.0</v>
      </c>
      <c r="R514" s="5">
        <v>53969.0</v>
      </c>
      <c r="S514" s="5">
        <v>4.0</v>
      </c>
      <c r="T514" s="5">
        <v>2347.918531</v>
      </c>
    </row>
    <row r="515">
      <c r="A515" s="4" t="s">
        <v>1896</v>
      </c>
      <c r="B515" s="4" t="str">
        <f>IFERROR(__xludf.DUMMYFUNCTION("SPLIT(A515:A1241, ""&gt;"")"),"US ")</f>
        <v>US </v>
      </c>
      <c r="C515" s="4" t="str">
        <f>IFERROR(__xludf.DUMMYFUNCTION("""COMPUTED_VALUE""")," Interest Propensities ")</f>
        <v> Interest Propensities </v>
      </c>
      <c r="D515" s="4" t="str">
        <f>IFERROR(__xludf.DUMMYFUNCTION("""COMPUTED_VALUE""")," Food and Drink ")</f>
        <v> Food and Drink </v>
      </c>
      <c r="E515" s="4" t="str">
        <f>IFERROR(__xludf.DUMMYFUNCTION("""COMPUTED_VALUE""")," American Cuisine")</f>
        <v> American Cuisine</v>
      </c>
      <c r="F515" s="4"/>
      <c r="G515" s="4"/>
      <c r="H515" s="4"/>
      <c r="I515" s="5" t="s">
        <v>22</v>
      </c>
      <c r="J515" s="5" t="s">
        <v>23</v>
      </c>
      <c r="K515" s="5" t="s">
        <v>35</v>
      </c>
      <c r="L515" s="6" t="s">
        <v>743</v>
      </c>
      <c r="M515" s="5" t="s">
        <v>19</v>
      </c>
      <c r="N515" s="5" t="s">
        <v>27</v>
      </c>
      <c r="O515" s="5">
        <v>85280.0</v>
      </c>
      <c r="P515" s="5">
        <v>211.0</v>
      </c>
      <c r="Q515" s="5">
        <v>35860.0</v>
      </c>
      <c r="R515" s="5">
        <v>79837.0</v>
      </c>
      <c r="S515" s="5">
        <v>5.0</v>
      </c>
      <c r="T515" s="5">
        <v>2217.932092</v>
      </c>
    </row>
    <row r="516">
      <c r="A516" s="4" t="s">
        <v>1897</v>
      </c>
      <c r="B516" s="4" t="str">
        <f>IFERROR(__xludf.DUMMYFUNCTION("SPLIT(A516:A1242, ""&gt;"")"),"US ")</f>
        <v>US </v>
      </c>
      <c r="C516" s="4" t="str">
        <f>IFERROR(__xludf.DUMMYFUNCTION("""COMPUTED_VALUE""")," Reach ")</f>
        <v> Reach </v>
      </c>
      <c r="D516" s="4" t="str">
        <f>IFERROR(__xludf.DUMMYFUNCTION("""COMPUTED_VALUE""")," Propensity Models ")</f>
        <v> Propensity Models </v>
      </c>
      <c r="E516" s="4" t="str">
        <f>IFERROR(__xludf.DUMMYFUNCTION("""COMPUTED_VALUE""")," Finance ")</f>
        <v> Finance </v>
      </c>
      <c r="F516" s="4" t="str">
        <f>IFERROR(__xludf.DUMMYFUNCTION("""COMPUTED_VALUE""")," Credit ")</f>
        <v> Credit </v>
      </c>
      <c r="G516" s="4" t="str">
        <f>IFERROR(__xludf.DUMMYFUNCTION("""COMPUTED_VALUE""")," Debit Card ")</f>
        <v> Debit Card </v>
      </c>
      <c r="H516" s="4" t="str">
        <f>IFERROR(__xludf.DUMMYFUNCTION("""COMPUTED_VALUE""")," Store Credit Card User")</f>
        <v> Store Credit Card User</v>
      </c>
      <c r="I516" s="5" t="s">
        <v>22</v>
      </c>
      <c r="J516" s="5" t="s">
        <v>16</v>
      </c>
      <c r="K516" s="5" t="s">
        <v>35</v>
      </c>
      <c r="L516" s="6" t="s">
        <v>743</v>
      </c>
      <c r="M516" s="5" t="s">
        <v>36</v>
      </c>
      <c r="N516" s="5" t="s">
        <v>27</v>
      </c>
      <c r="O516" s="5">
        <v>51515.0</v>
      </c>
      <c r="P516" s="5">
        <v>144.0</v>
      </c>
      <c r="Q516" s="5">
        <v>18304.0</v>
      </c>
      <c r="R516" s="5">
        <v>44891.0</v>
      </c>
      <c r="S516" s="5">
        <v>14.0</v>
      </c>
      <c r="T516" s="5">
        <v>2160.307325</v>
      </c>
    </row>
    <row r="517">
      <c r="A517" s="4" t="s">
        <v>1898</v>
      </c>
      <c r="B517" s="4" t="str">
        <f>IFERROR(__xludf.DUMMYFUNCTION("SPLIT(A517:A1243, ""&gt;"")"),"US ")</f>
        <v>US </v>
      </c>
      <c r="C517" s="4" t="str">
        <f>IFERROR(__xludf.DUMMYFUNCTION("""COMPUTED_VALUE""")," Brand Propensities ")</f>
        <v> Brand Propensities </v>
      </c>
      <c r="D517" s="4" t="str">
        <f>IFERROR(__xludf.DUMMYFUNCTION("""COMPUTED_VALUE""")," Apparel ")</f>
        <v> Apparel </v>
      </c>
      <c r="E517" s="4" t="str">
        <f>IFERROR(__xludf.DUMMYFUNCTION("""COMPUTED_VALUE""")," Shoebuy.com Buyer Propensity")</f>
        <v> Shoebuy.com Buyer Propensity</v>
      </c>
      <c r="F517" s="4"/>
      <c r="G517" s="4"/>
      <c r="H517" s="4"/>
      <c r="I517" s="5" t="s">
        <v>22</v>
      </c>
      <c r="J517" s="5" t="s">
        <v>42</v>
      </c>
      <c r="K517" s="5" t="s">
        <v>66</v>
      </c>
      <c r="L517" s="6" t="s">
        <v>743</v>
      </c>
      <c r="M517" s="5" t="s">
        <v>46</v>
      </c>
      <c r="N517" s="5" t="s">
        <v>27</v>
      </c>
      <c r="O517" s="5">
        <v>43666.0</v>
      </c>
      <c r="P517" s="5">
        <v>133.0</v>
      </c>
      <c r="Q517" s="5">
        <v>18513.0</v>
      </c>
      <c r="R517" s="5">
        <v>40506.0</v>
      </c>
      <c r="S517" s="5">
        <v>18.0</v>
      </c>
      <c r="T517" s="5">
        <v>1980.393834</v>
      </c>
    </row>
    <row r="518">
      <c r="A518" s="4" t="s">
        <v>1519</v>
      </c>
      <c r="B518" s="4" t="str">
        <f>IFERROR(__xludf.DUMMYFUNCTION("SPLIT(A518:A1244, ""&gt;"")"),"Travel and Tourism ")</f>
        <v>Travel and Tourism </v>
      </c>
      <c r="C518" s="4" t="str">
        <f>IFERROR(__xludf.DUMMYFUNCTION("""COMPUTED_VALUE""")," In-Market")</f>
        <v> In-Market</v>
      </c>
      <c r="D518" s="4"/>
      <c r="E518" s="4"/>
      <c r="F518" s="4"/>
      <c r="G518" s="4"/>
      <c r="H518" s="4"/>
      <c r="I518" s="5" t="s">
        <v>15</v>
      </c>
      <c r="J518" s="5" t="s">
        <v>31</v>
      </c>
      <c r="K518" s="5" t="s">
        <v>35</v>
      </c>
      <c r="L518" s="6" t="s">
        <v>743</v>
      </c>
      <c r="M518" s="5" t="s">
        <v>19</v>
      </c>
      <c r="N518" s="5" t="s">
        <v>20</v>
      </c>
      <c r="O518" s="5">
        <v>48892.0</v>
      </c>
      <c r="P518" s="5">
        <v>110.0</v>
      </c>
      <c r="Q518" s="5">
        <v>32060.0</v>
      </c>
      <c r="R518" s="5">
        <v>45251.0</v>
      </c>
      <c r="S518" s="5">
        <v>9.0</v>
      </c>
      <c r="T518" s="5">
        <v>1978.609661</v>
      </c>
    </row>
    <row r="519">
      <c r="A519" s="4" t="s">
        <v>1899</v>
      </c>
      <c r="B519" s="4" t="str">
        <f>IFERROR(__xludf.DUMMYFUNCTION("SPLIT(A519:A1245, ""&gt;"")"),"US ")</f>
        <v>US </v>
      </c>
      <c r="C519" s="4" t="str">
        <f>IFERROR(__xludf.DUMMYFUNCTION("""COMPUTED_VALUE""")," Interest Propensities ")</f>
        <v> Interest Propensities </v>
      </c>
      <c r="D519" s="4" t="str">
        <f>IFERROR(__xludf.DUMMYFUNCTION("""COMPUTED_VALUE""")," TV and Movies ")</f>
        <v> TV and Movies </v>
      </c>
      <c r="E519" s="4" t="str">
        <f>IFERROR(__xludf.DUMMYFUNCTION("""COMPUTED_VALUE""")," Network TV")</f>
        <v> Network TV</v>
      </c>
      <c r="F519" s="4"/>
      <c r="G519" s="4"/>
      <c r="H519" s="4"/>
      <c r="I519" s="5" t="s">
        <v>22</v>
      </c>
      <c r="J519" s="5" t="s">
        <v>16</v>
      </c>
      <c r="K519" s="5" t="s">
        <v>55</v>
      </c>
      <c r="L519" s="6" t="s">
        <v>743</v>
      </c>
      <c r="M519" s="5" t="s">
        <v>19</v>
      </c>
      <c r="N519" s="5" t="s">
        <v>27</v>
      </c>
      <c r="O519" s="5">
        <v>104814.0</v>
      </c>
      <c r="P519" s="5">
        <v>369.0</v>
      </c>
      <c r="Q519" s="5">
        <v>55984.0</v>
      </c>
      <c r="R519" s="5">
        <v>99432.0</v>
      </c>
      <c r="S519" s="5">
        <v>5.0</v>
      </c>
      <c r="T519" s="5">
        <v>1942.847513</v>
      </c>
    </row>
    <row r="520">
      <c r="A520" s="4" t="s">
        <v>1900</v>
      </c>
      <c r="B520" s="4" t="str">
        <f>IFERROR(__xludf.DUMMYFUNCTION("SPLIT(A520:A1246, ""&gt;"")"),"US ")</f>
        <v>US </v>
      </c>
      <c r="C520" s="4" t="str">
        <f>IFERROR(__xludf.DUMMYFUNCTION("""COMPUTED_VALUE""")," Sociodemographic ")</f>
        <v> Sociodemographic </v>
      </c>
      <c r="D520" s="4" t="str">
        <f>IFERROR(__xludf.DUMMYFUNCTION("""COMPUTED_VALUE""")," P$YCLE Premier Lifestage ")</f>
        <v> P$YCLE Premier Lifestage </v>
      </c>
      <c r="E520" s="4" t="str">
        <f>IFERROR(__xludf.DUMMYFUNCTION("""COMPUTED_VALUE""")," F4 Working-Class USA")</f>
        <v> F4 Working-Class USA</v>
      </c>
      <c r="F520" s="4"/>
      <c r="G520" s="4"/>
      <c r="H520" s="4"/>
      <c r="I520" s="5" t="s">
        <v>22</v>
      </c>
      <c r="J520" s="5" t="s">
        <v>42</v>
      </c>
      <c r="K520" s="5" t="s">
        <v>29</v>
      </c>
      <c r="L520" s="6" t="s">
        <v>743</v>
      </c>
      <c r="M520" s="5" t="s">
        <v>46</v>
      </c>
      <c r="N520" s="5" t="s">
        <v>27</v>
      </c>
      <c r="O520" s="5">
        <v>64577.0</v>
      </c>
      <c r="P520" s="5">
        <v>240.0</v>
      </c>
      <c r="Q520" s="5">
        <v>37732.0</v>
      </c>
      <c r="R520" s="5">
        <v>60357.0</v>
      </c>
      <c r="S520" s="5">
        <v>11.0</v>
      </c>
      <c r="T520" s="5">
        <v>1801.349131</v>
      </c>
    </row>
    <row r="521">
      <c r="A521" s="4" t="s">
        <v>1901</v>
      </c>
      <c r="B521" s="4" t="str">
        <f>IFERROR(__xludf.DUMMYFUNCTION("SPLIT(A521:A1247, ""&gt;"")"),"US ")</f>
        <v>US </v>
      </c>
      <c r="C521" s="4" t="str">
        <f>IFERROR(__xludf.DUMMYFUNCTION("""COMPUTED_VALUE""")," B2B ")</f>
        <v> B2B </v>
      </c>
      <c r="D521" s="4" t="str">
        <f>IFERROR(__xludf.DUMMYFUNCTION("""COMPUTED_VALUE""")," B2B Decision Maker Responsibilities ")</f>
        <v> B2B Decision Maker Responsibilities </v>
      </c>
      <c r="E521" s="4" t="str">
        <f>IFERROR(__xludf.DUMMYFUNCTION("""COMPUTED_VALUE""")," Office Services or Moving")</f>
        <v> Office Services or Moving</v>
      </c>
      <c r="F521" s="4"/>
      <c r="G521" s="4"/>
      <c r="H521" s="4"/>
      <c r="I521" s="5" t="s">
        <v>15</v>
      </c>
      <c r="J521" s="5" t="s">
        <v>23</v>
      </c>
      <c r="K521" s="5" t="s">
        <v>39</v>
      </c>
      <c r="L521" s="6" t="s">
        <v>743</v>
      </c>
      <c r="M521" s="5" t="s">
        <v>46</v>
      </c>
      <c r="N521" s="5" t="s">
        <v>20</v>
      </c>
      <c r="O521" s="5">
        <v>49412.0</v>
      </c>
      <c r="P521" s="5">
        <v>170.0</v>
      </c>
      <c r="Q521" s="5">
        <v>22155.0</v>
      </c>
      <c r="R521" s="5">
        <v>43802.0</v>
      </c>
      <c r="S521" s="5">
        <v>3.0</v>
      </c>
      <c r="T521" s="5">
        <v>1595.659466</v>
      </c>
    </row>
    <row r="522">
      <c r="A522" s="4" t="s">
        <v>1523</v>
      </c>
      <c r="B522" s="4" t="str">
        <f>IFERROR(__xludf.DUMMYFUNCTION("SPLIT(A522:A1248, ""&gt;"")"),"Telecommunications and Mobile Tech ")</f>
        <v>Telecommunications and Mobile Tech </v>
      </c>
      <c r="C522" s="4" t="str">
        <f>IFERROR(__xludf.DUMMYFUNCTION("""COMPUTED_VALUE""")," Mobile Devices and Connected Technology")</f>
        <v> Mobile Devices and Connected Technology</v>
      </c>
      <c r="D522" s="4"/>
      <c r="E522" s="4"/>
      <c r="F522" s="4"/>
      <c r="G522" s="4"/>
      <c r="H522" s="4"/>
      <c r="I522" s="5" t="s">
        <v>15</v>
      </c>
      <c r="J522" s="5" t="s">
        <v>16</v>
      </c>
      <c r="K522" s="5" t="s">
        <v>32</v>
      </c>
      <c r="L522" s="6" t="s">
        <v>743</v>
      </c>
      <c r="M522" s="5" t="s">
        <v>26</v>
      </c>
      <c r="N522" s="5" t="s">
        <v>20</v>
      </c>
      <c r="O522" s="5">
        <v>11269.0</v>
      </c>
      <c r="P522" s="5">
        <v>63.0</v>
      </c>
      <c r="Q522" s="5">
        <v>4992.0</v>
      </c>
      <c r="R522" s="5">
        <v>10245.0</v>
      </c>
      <c r="S522" s="5">
        <v>3.0</v>
      </c>
      <c r="T522" s="5">
        <v>1576.38921</v>
      </c>
    </row>
    <row r="523">
      <c r="A523" s="4" t="s">
        <v>1902</v>
      </c>
      <c r="B523" s="4" t="str">
        <f>IFERROR(__xludf.DUMMYFUNCTION("SPLIT(A523:A1249, ""&gt;"")"),"US Home ")</f>
        <v>US Home </v>
      </c>
      <c r="C523" s="4" t="str">
        <f>IFERROR(__xludf.DUMMYFUNCTION("""COMPUTED_VALUE""")," Property Type ")</f>
        <v> Property Type </v>
      </c>
      <c r="D523" s="4" t="str">
        <f>IFERROR(__xludf.DUMMYFUNCTION("""COMPUTED_VALUE""")," Single")</f>
        <v> Single</v>
      </c>
      <c r="E523" s="4"/>
      <c r="F523" s="4"/>
      <c r="G523" s="4"/>
      <c r="H523" s="4"/>
      <c r="I523" s="5" t="s">
        <v>22</v>
      </c>
      <c r="J523" s="5" t="s">
        <v>16</v>
      </c>
      <c r="K523" s="5" t="s">
        <v>78</v>
      </c>
      <c r="L523" s="6" t="s">
        <v>743</v>
      </c>
      <c r="M523" s="5" t="s">
        <v>46</v>
      </c>
      <c r="N523" s="5" t="s">
        <v>27</v>
      </c>
      <c r="O523" s="5">
        <v>15318.0</v>
      </c>
      <c r="P523" s="5">
        <v>30.0</v>
      </c>
      <c r="Q523" s="5">
        <v>5928.0</v>
      </c>
      <c r="R523" s="5">
        <v>13298.0</v>
      </c>
      <c r="S523" s="5">
        <v>19.0</v>
      </c>
      <c r="T523" s="5">
        <v>1570.29739</v>
      </c>
    </row>
    <row r="524">
      <c r="A524" s="4" t="s">
        <v>1903</v>
      </c>
      <c r="B524" s="4" t="str">
        <f>IFERROR(__xludf.DUMMYFUNCTION("SPLIT(A524:A1250, ""&gt;"")"),"US Health and Fitness ")</f>
        <v>US Health and Fitness </v>
      </c>
      <c r="C524" s="4" t="str">
        <f>IFERROR(__xludf.DUMMYFUNCTION("""COMPUTED_VALUE""")," Interest ")</f>
        <v> Interest </v>
      </c>
      <c r="D524" s="4" t="str">
        <f>IFERROR(__xludf.DUMMYFUNCTION("""COMPUTED_VALUE""")," Exercise ")</f>
        <v> Exercise </v>
      </c>
      <c r="E524" s="4" t="str">
        <f>IFERROR(__xludf.DUMMYFUNCTION("""COMPUTED_VALUE""")," Health")</f>
        <v> Health</v>
      </c>
      <c r="F524" s="4"/>
      <c r="G524" s="4"/>
      <c r="H524" s="4"/>
      <c r="I524" s="5" t="s">
        <v>61</v>
      </c>
      <c r="J524" s="5" t="s">
        <v>42</v>
      </c>
      <c r="K524" s="5" t="s">
        <v>29</v>
      </c>
      <c r="L524" s="6" t="s">
        <v>743</v>
      </c>
      <c r="M524" s="5" t="s">
        <v>46</v>
      </c>
      <c r="N524" s="5" t="s">
        <v>27</v>
      </c>
      <c r="O524" s="5">
        <v>10819.0</v>
      </c>
      <c r="P524" s="5">
        <v>20.0</v>
      </c>
      <c r="Q524" s="5">
        <v>4168.0</v>
      </c>
      <c r="R524" s="5">
        <v>9768.0</v>
      </c>
      <c r="S524" s="5">
        <v>2.0</v>
      </c>
      <c r="T524" s="5">
        <v>1504.329214</v>
      </c>
    </row>
    <row r="525">
      <c r="A525" s="4" t="s">
        <v>1526</v>
      </c>
      <c r="B525" s="4" t="str">
        <f>IFERROR(__xludf.DUMMYFUNCTION("SPLIT(A525:A1251, ""&gt;"")"),"OnAudience ")</f>
        <v>OnAudience </v>
      </c>
      <c r="C525" s="4" t="str">
        <f>IFERROR(__xludf.DUMMYFUNCTION("""COMPUTED_VALUE""")," Interest ")</f>
        <v> Interest </v>
      </c>
      <c r="D525" s="4" t="str">
        <f>IFERROR(__xludf.DUMMYFUNCTION("""COMPUTED_VALUE""")," Arts &amp; Entertainment ")</f>
        <v> Arts &amp; Entertainment </v>
      </c>
      <c r="E525" s="4" t="str">
        <f>IFERROR(__xludf.DUMMYFUNCTION("""COMPUTED_VALUE""")," Movies")</f>
        <v> Movies</v>
      </c>
      <c r="F525" s="4"/>
      <c r="G525" s="4"/>
      <c r="H525" s="4"/>
      <c r="I525" s="5" t="s">
        <v>15</v>
      </c>
      <c r="J525" s="5" t="s">
        <v>16</v>
      </c>
      <c r="K525" s="5" t="s">
        <v>32</v>
      </c>
      <c r="L525" s="6" t="s">
        <v>743</v>
      </c>
      <c r="M525" s="5" t="s">
        <v>46</v>
      </c>
      <c r="N525" s="5" t="s">
        <v>27</v>
      </c>
      <c r="O525" s="5">
        <v>30714.0</v>
      </c>
      <c r="P525" s="5">
        <v>111.0</v>
      </c>
      <c r="Q525" s="5">
        <v>12531.0</v>
      </c>
      <c r="R525" s="5">
        <v>28461.0</v>
      </c>
      <c r="S525" s="5">
        <v>9.0</v>
      </c>
      <c r="T525" s="5">
        <v>1503.484311</v>
      </c>
    </row>
    <row r="526">
      <c r="A526" s="4" t="s">
        <v>1527</v>
      </c>
      <c r="B526" s="4" t="str">
        <f>IFERROR(__xludf.DUMMYFUNCTION("SPLIT(A526:A1252, ""&gt;"")"),"OnAudience ")</f>
        <v>OnAudience </v>
      </c>
      <c r="C526" s="4" t="str">
        <f>IFERROR(__xludf.DUMMYFUNCTION("""COMPUTED_VALUE""")," Interest ")</f>
        <v> Interest </v>
      </c>
      <c r="D526" s="4" t="str">
        <f>IFERROR(__xludf.DUMMYFUNCTION("""COMPUTED_VALUE""")," Arts &amp; Entertainment")</f>
        <v> Arts &amp; Entertainment</v>
      </c>
      <c r="E526" s="4"/>
      <c r="F526" s="4"/>
      <c r="G526" s="4"/>
      <c r="H526" s="4"/>
      <c r="I526" s="5" t="s">
        <v>22</v>
      </c>
      <c r="J526" s="5" t="s">
        <v>16</v>
      </c>
      <c r="K526" s="5" t="s">
        <v>17</v>
      </c>
      <c r="L526" s="6" t="s">
        <v>768</v>
      </c>
      <c r="M526" s="5" t="s">
        <v>48</v>
      </c>
      <c r="N526" s="5" t="s">
        <v>27</v>
      </c>
      <c r="O526" s="5">
        <v>37617.0</v>
      </c>
      <c r="P526" s="5">
        <v>85.0</v>
      </c>
      <c r="Q526" s="5">
        <v>5092.0</v>
      </c>
      <c r="R526" s="5">
        <v>34373.0</v>
      </c>
      <c r="S526" s="5">
        <v>6.0</v>
      </c>
      <c r="T526" s="5">
        <v>1608.882952</v>
      </c>
    </row>
    <row r="527">
      <c r="A527" s="4" t="s">
        <v>1528</v>
      </c>
      <c r="B527" s="4" t="str">
        <f>IFERROR(__xludf.DUMMYFUNCTION("SPLIT(A527:A1253, ""&gt;"")"),"Online Behavior")</f>
        <v>Online Behavior</v>
      </c>
      <c r="C527" s="4" t="str">
        <f>IFERROR(__xludf.DUMMYFUNCTION("""COMPUTED_VALUE"""),"United States")</f>
        <v>United States</v>
      </c>
      <c r="D527" s="4" t="str">
        <f>IFERROR(__xludf.DUMMYFUNCTION("""COMPUTED_VALUE"""),"Validated Demographic ")</f>
        <v>Validated Demographic </v>
      </c>
      <c r="E527" s="4" t="str">
        <f>IFERROR(__xludf.DUMMYFUNCTION("""COMPUTED_VALUE""")," Age")</f>
        <v> Age</v>
      </c>
      <c r="F527" s="4" t="str">
        <f>IFERROR(__xludf.DUMMYFUNCTION("""COMPUTED_VALUE"""),"18 or older")</f>
        <v>18 or older</v>
      </c>
      <c r="G527" s="4"/>
      <c r="H527" s="4"/>
      <c r="I527" s="5" t="s">
        <v>15</v>
      </c>
      <c r="J527" s="5" t="s">
        <v>23</v>
      </c>
      <c r="K527" s="5" t="s">
        <v>55</v>
      </c>
      <c r="L527" s="6" t="s">
        <v>770</v>
      </c>
      <c r="M527" s="5" t="s">
        <v>19</v>
      </c>
      <c r="N527" s="5" t="s">
        <v>52</v>
      </c>
      <c r="O527" s="5">
        <v>219088.0</v>
      </c>
      <c r="P527" s="5">
        <v>541.0</v>
      </c>
      <c r="Q527" s="5">
        <v>75638.0</v>
      </c>
      <c r="R527" s="5">
        <v>153987.0</v>
      </c>
      <c r="S527" s="5">
        <v>17.0</v>
      </c>
      <c r="T527" s="5">
        <v>6761.073824</v>
      </c>
    </row>
    <row r="528">
      <c r="A528" s="4" t="s">
        <v>1904</v>
      </c>
      <c r="B528" s="4" t="str">
        <f>IFERROR(__xludf.DUMMYFUNCTION("SPLIT(A528:A1254, ""&gt;"")"),"US ")</f>
        <v>US </v>
      </c>
      <c r="C528" s="4" t="str">
        <f>IFERROR(__xludf.DUMMYFUNCTION("""COMPUTED_VALUE""")," Multibuyer Behaviors ")</f>
        <v> Multibuyer Behaviors </v>
      </c>
      <c r="D528" s="4" t="str">
        <f>IFERROR(__xludf.DUMMYFUNCTION("""COMPUTED_VALUE""")," Entertainment ")</f>
        <v> Entertainment </v>
      </c>
      <c r="E528" s="4" t="str">
        <f>IFERROR(__xludf.DUMMYFUNCTION("""COMPUTED_VALUE""")," Pastimes Multibuyer")</f>
        <v> Pastimes Multibuyer</v>
      </c>
      <c r="F528" s="4"/>
      <c r="G528" s="4"/>
      <c r="H528" s="4"/>
      <c r="I528" s="5" t="s">
        <v>15</v>
      </c>
      <c r="J528" s="5" t="s">
        <v>31</v>
      </c>
      <c r="K528" s="5" t="s">
        <v>24</v>
      </c>
      <c r="L528" s="6" t="s">
        <v>772</v>
      </c>
      <c r="M528" s="5" t="s">
        <v>46</v>
      </c>
      <c r="N528" s="5" t="s">
        <v>27</v>
      </c>
      <c r="O528" s="5">
        <v>15277.0</v>
      </c>
      <c r="P528" s="5">
        <v>69.0</v>
      </c>
      <c r="Q528" s="5">
        <v>3089.0</v>
      </c>
      <c r="R528" s="5">
        <v>13644.0</v>
      </c>
      <c r="S528" s="5">
        <v>4.0</v>
      </c>
      <c r="T528" s="5">
        <v>1904.564346</v>
      </c>
    </row>
    <row r="529">
      <c r="A529" s="4" t="s">
        <v>1905</v>
      </c>
      <c r="B529" s="4" t="str">
        <f>IFERROR(__xludf.DUMMYFUNCTION("SPLIT(A529:A1255, ""&gt;"")"),"US ")</f>
        <v>US </v>
      </c>
      <c r="C529" s="4" t="str">
        <f>IFERROR(__xludf.DUMMYFUNCTION("""COMPUTED_VALUE""")," Sociodemographic ")</f>
        <v> Sociodemographic </v>
      </c>
      <c r="D529" s="4" t="str">
        <f>IFERROR(__xludf.DUMMYFUNCTION("""COMPUTED_VALUE""")," PRIZM Premier Social ")</f>
        <v> PRIZM Premier Social </v>
      </c>
      <c r="E529" s="4" t="str">
        <f>IFERROR(__xludf.DUMMYFUNCTION("""COMPUTED_VALUE""")," C2 City Centers")</f>
        <v> C2 City Centers</v>
      </c>
      <c r="F529" s="4"/>
      <c r="G529" s="4"/>
      <c r="H529" s="4"/>
      <c r="I529" s="5" t="s">
        <v>15</v>
      </c>
      <c r="J529" s="5" t="s">
        <v>42</v>
      </c>
      <c r="K529" s="5" t="s">
        <v>204</v>
      </c>
      <c r="L529" s="6" t="s">
        <v>772</v>
      </c>
      <c r="M529" s="5" t="s">
        <v>19</v>
      </c>
      <c r="N529" s="5" t="s">
        <v>52</v>
      </c>
      <c r="O529" s="5">
        <v>34278.0</v>
      </c>
      <c r="P529" s="5">
        <v>100.0</v>
      </c>
      <c r="Q529" s="5">
        <v>3704.0</v>
      </c>
      <c r="R529" s="5">
        <v>30227.0</v>
      </c>
      <c r="S529" s="5">
        <v>6.0</v>
      </c>
      <c r="T529" s="5">
        <v>1689.083186</v>
      </c>
    </row>
    <row r="530">
      <c r="A530" s="4" t="s">
        <v>1531</v>
      </c>
      <c r="B530" s="4" t="str">
        <f>IFERROR(__xludf.DUMMYFUNCTION("SPLIT(A530:A1256, ""&gt;"")"),"Lotame ")</f>
        <v>Lotame </v>
      </c>
      <c r="C530" s="4" t="str">
        <f>IFERROR(__xludf.DUMMYFUNCTION("""COMPUTED_VALUE""")," Personal Finance ")</f>
        <v> Personal Finance </v>
      </c>
      <c r="D530" s="4" t="str">
        <f>IFERROR(__xludf.DUMMYFUNCTION("""COMPUTED_VALUE""")," Stocks")</f>
        <v> Stocks</v>
      </c>
      <c r="E530" s="4"/>
      <c r="F530" s="4"/>
      <c r="G530" s="4"/>
      <c r="H530" s="4"/>
      <c r="I530" s="5" t="s">
        <v>15</v>
      </c>
      <c r="J530" s="5" t="s">
        <v>31</v>
      </c>
      <c r="K530" s="5" t="s">
        <v>78</v>
      </c>
      <c r="L530" s="6" t="s">
        <v>775</v>
      </c>
      <c r="M530" s="5" t="s">
        <v>50</v>
      </c>
      <c r="N530" s="5" t="s">
        <v>27</v>
      </c>
      <c r="O530" s="5">
        <v>13382.0</v>
      </c>
      <c r="P530" s="5">
        <v>68.0</v>
      </c>
      <c r="Q530" s="5">
        <v>3340.0</v>
      </c>
      <c r="R530" s="5">
        <v>11662.0</v>
      </c>
      <c r="S530" s="5">
        <v>1.0</v>
      </c>
      <c r="T530" s="5">
        <v>1447.927193</v>
      </c>
    </row>
    <row r="531">
      <c r="A531" s="4" t="s">
        <v>1532</v>
      </c>
      <c r="B531" s="4" t="str">
        <f>IFERROR(__xludf.DUMMYFUNCTION("SPLIT(A531:A1257, ""&gt;"")"),"Online Behavior")</f>
        <v>Online Behavior</v>
      </c>
      <c r="C531" s="4" t="str">
        <f>IFERROR(__xludf.DUMMYFUNCTION("""COMPUTED_VALUE"""),"United States")</f>
        <v>United States</v>
      </c>
      <c r="D531" s="4" t="str">
        <f>IFERROR(__xludf.DUMMYFUNCTION("""COMPUTED_VALUE"""),"Autos and Vehicles ")</f>
        <v>Autos and Vehicles </v>
      </c>
      <c r="E531" s="4" t="str">
        <f>IFERROR(__xludf.DUMMYFUNCTION("""COMPUTED_VALUE""")," Brands")</f>
        <v> Brands</v>
      </c>
      <c r="F531" s="4" t="str">
        <f>IFERROR(__xludf.DUMMYFUNCTION("""COMPUTED_VALUE"""),"Citroen")</f>
        <v>Citroen</v>
      </c>
      <c r="G531" s="4"/>
      <c r="H531" s="4"/>
      <c r="I531" s="5" t="s">
        <v>22</v>
      </c>
      <c r="J531" s="5" t="s">
        <v>23</v>
      </c>
      <c r="K531" s="5" t="s">
        <v>777</v>
      </c>
      <c r="L531" s="6" t="s">
        <v>778</v>
      </c>
      <c r="M531" s="5" t="s">
        <v>36</v>
      </c>
      <c r="N531" s="5" t="s">
        <v>27</v>
      </c>
      <c r="O531" s="5">
        <v>9319.0</v>
      </c>
      <c r="P531" s="5">
        <v>30.0</v>
      </c>
      <c r="Q531" s="5">
        <v>6193.0</v>
      </c>
      <c r="R531" s="5">
        <v>8682.0</v>
      </c>
      <c r="S531" s="5">
        <v>12.0</v>
      </c>
      <c r="T531" s="5">
        <v>4594.604003</v>
      </c>
    </row>
    <row r="532">
      <c r="A532" s="4" t="s">
        <v>1533</v>
      </c>
      <c r="B532" s="4" t="str">
        <f>IFERROR(__xludf.DUMMYFUNCTION("SPLIT(A532:A1258, ""&gt;"")"),"OnAudience ")</f>
        <v>OnAudience </v>
      </c>
      <c r="C532" s="4" t="str">
        <f>IFERROR(__xludf.DUMMYFUNCTION("""COMPUTED_VALUE""")," Intent ")</f>
        <v> Intent </v>
      </c>
      <c r="D532" s="4" t="str">
        <f>IFERROR(__xludf.DUMMYFUNCTION("""COMPUTED_VALUE""")," Electronics ")</f>
        <v> Electronics </v>
      </c>
      <c r="E532" s="4" t="str">
        <f>IFERROR(__xludf.DUMMYFUNCTION("""COMPUTED_VALUE""")," Video Game Consoles")</f>
        <v> Video Game Consoles</v>
      </c>
      <c r="F532" s="4"/>
      <c r="G532" s="4"/>
      <c r="H532" s="4"/>
      <c r="I532" s="5" t="s">
        <v>22</v>
      </c>
      <c r="J532" s="5" t="s">
        <v>31</v>
      </c>
      <c r="K532" s="5" t="s">
        <v>35</v>
      </c>
      <c r="L532" s="6" t="s">
        <v>778</v>
      </c>
      <c r="M532" s="5" t="s">
        <v>80</v>
      </c>
      <c r="N532" s="5" t="s">
        <v>27</v>
      </c>
      <c r="O532" s="5">
        <v>16791.0</v>
      </c>
      <c r="P532" s="5">
        <v>40.0</v>
      </c>
      <c r="Q532" s="5">
        <v>11402.0</v>
      </c>
      <c r="R532" s="5">
        <v>14231.0</v>
      </c>
      <c r="S532" s="5">
        <v>3.0</v>
      </c>
      <c r="T532" s="5">
        <v>1522.512272</v>
      </c>
    </row>
    <row r="533">
      <c r="A533" s="4" t="s">
        <v>1534</v>
      </c>
      <c r="B533" s="4" t="str">
        <f>IFERROR(__xludf.DUMMYFUNCTION("SPLIT(A533:A1259, ""&gt;"")"),"Online Behavior")</f>
        <v>Online Behavior</v>
      </c>
      <c r="C533" s="4" t="str">
        <f>IFERROR(__xludf.DUMMYFUNCTION("""COMPUTED_VALUE"""),"United States")</f>
        <v>United States</v>
      </c>
      <c r="D533" s="4" t="str">
        <f>IFERROR(__xludf.DUMMYFUNCTION("""COMPUTED_VALUE"""),"Sports")</f>
        <v>Sports</v>
      </c>
      <c r="E533" s="4" t="str">
        <f>IFERROR(__xludf.DUMMYFUNCTION("""COMPUTED_VALUE"""),"Team Sports ")</f>
        <v>Team Sports </v>
      </c>
      <c r="F533" s="4" t="str">
        <f>IFERROR(__xludf.DUMMYFUNCTION("""COMPUTED_VALUE""")," Baseball")</f>
        <v> Baseball</v>
      </c>
      <c r="G533" s="4"/>
      <c r="H533" s="4"/>
      <c r="I533" s="5" t="s">
        <v>22</v>
      </c>
      <c r="J533" s="5" t="s">
        <v>31</v>
      </c>
      <c r="K533" s="5" t="s">
        <v>78</v>
      </c>
      <c r="L533" s="6" t="s">
        <v>781</v>
      </c>
      <c r="M533" s="5" t="s">
        <v>136</v>
      </c>
      <c r="N533" s="5" t="s">
        <v>27</v>
      </c>
      <c r="O533" s="5">
        <v>19334.0</v>
      </c>
      <c r="P533" s="5">
        <v>40.0</v>
      </c>
      <c r="Q533" s="5">
        <v>8673.0</v>
      </c>
      <c r="R533" s="5">
        <v>18578.0</v>
      </c>
      <c r="S533" s="5">
        <v>11.0</v>
      </c>
      <c r="T533" s="5">
        <v>7292.135059</v>
      </c>
    </row>
    <row r="534">
      <c r="A534" s="4" t="s">
        <v>1535</v>
      </c>
      <c r="B534" s="4" t="str">
        <f>IFERROR(__xludf.DUMMYFUNCTION("SPLIT(A534:A1260, ""&gt;"")"),"Online Behavior")</f>
        <v>Online Behavior</v>
      </c>
      <c r="C534" s="4" t="str">
        <f>IFERROR(__xludf.DUMMYFUNCTION("""COMPUTED_VALUE"""),"United States")</f>
        <v>United States</v>
      </c>
      <c r="D534" s="4" t="str">
        <f>IFERROR(__xludf.DUMMYFUNCTION("""COMPUTED_VALUE"""),"Beauty and Fitness")</f>
        <v>Beauty and Fitness</v>
      </c>
      <c r="E534" s="4" t="str">
        <f>IFERROR(__xludf.DUMMYFUNCTION("""COMPUTED_VALUE"""),"Fitness ")</f>
        <v>Fitness </v>
      </c>
      <c r="F534" s="4" t="str">
        <f>IFERROR(__xludf.DUMMYFUNCTION("""COMPUTED_VALUE""")," Gyms and Health Clubs")</f>
        <v> Gyms and Health Clubs</v>
      </c>
      <c r="G534" s="4"/>
      <c r="H534" s="4"/>
      <c r="I534" s="5" t="s">
        <v>22</v>
      </c>
      <c r="J534" s="5" t="s">
        <v>23</v>
      </c>
      <c r="K534" s="5" t="s">
        <v>78</v>
      </c>
      <c r="L534" s="6" t="s">
        <v>781</v>
      </c>
      <c r="M534" s="5" t="s">
        <v>19</v>
      </c>
      <c r="N534" s="5" t="s">
        <v>27</v>
      </c>
      <c r="O534" s="5">
        <v>25835.0</v>
      </c>
      <c r="P534" s="5">
        <v>69.0</v>
      </c>
      <c r="Q534" s="5">
        <v>3753.0</v>
      </c>
      <c r="R534" s="5">
        <v>20808.0</v>
      </c>
      <c r="S534" s="5">
        <v>11.0</v>
      </c>
      <c r="T534" s="5">
        <v>5751.912297</v>
      </c>
    </row>
    <row r="535">
      <c r="A535" s="4" t="s">
        <v>1906</v>
      </c>
      <c r="B535" s="4" t="str">
        <f>IFERROR(__xludf.DUMMYFUNCTION("SPLIT(A535:A1261, ""&gt;"")"),"US ")</f>
        <v>US </v>
      </c>
      <c r="C535" s="4" t="str">
        <f>IFERROR(__xludf.DUMMYFUNCTION("""COMPUTED_VALUE""")," Reach ")</f>
        <v> Reach </v>
      </c>
      <c r="D535" s="4" t="str">
        <f>IFERROR(__xludf.DUMMYFUNCTION("""COMPUTED_VALUE""")," Propensity Models ")</f>
        <v> Propensity Models </v>
      </c>
      <c r="E535" s="4" t="str">
        <f>IFERROR(__xludf.DUMMYFUNCTION("""COMPUTED_VALUE""")," Hobbies and Interest ")</f>
        <v> Hobbies and Interest </v>
      </c>
      <c r="F535" s="4" t="str">
        <f>IFERROR(__xludf.DUMMYFUNCTION("""COMPUTED_VALUE""")," Sports ")</f>
        <v> Sports </v>
      </c>
      <c r="G535" s="4" t="str">
        <f>IFERROR(__xludf.DUMMYFUNCTION("""COMPUTED_VALUE""")," Plays Tennis")</f>
        <v> Plays Tennis</v>
      </c>
      <c r="H535" s="4"/>
      <c r="I535" s="5" t="s">
        <v>15</v>
      </c>
      <c r="J535" s="5" t="s">
        <v>31</v>
      </c>
      <c r="K535" s="5" t="s">
        <v>78</v>
      </c>
      <c r="L535" s="6" t="s">
        <v>781</v>
      </c>
      <c r="M535" s="5" t="s">
        <v>19</v>
      </c>
      <c r="N535" s="5" t="s">
        <v>52</v>
      </c>
      <c r="O535" s="5">
        <v>33650.0</v>
      </c>
      <c r="P535" s="5">
        <v>100.0</v>
      </c>
      <c r="Q535" s="5">
        <v>15621.0</v>
      </c>
      <c r="R535" s="5">
        <v>32539.0</v>
      </c>
      <c r="S535" s="5">
        <v>9.0</v>
      </c>
      <c r="T535" s="5">
        <v>3844.991165</v>
      </c>
    </row>
    <row r="536">
      <c r="A536" s="4" t="s">
        <v>1537</v>
      </c>
      <c r="B536" s="4" t="str">
        <f>IFERROR(__xludf.DUMMYFUNCTION("SPLIT(A536:A1262, ""&gt;"")"),"Lotame ")</f>
        <v>Lotame </v>
      </c>
      <c r="C536" s="4" t="str">
        <f>IFERROR(__xludf.DUMMYFUNCTION("""COMPUTED_VALUE""")," Style, Fashion &amp; Clothing")</f>
        <v> Style, Fashion &amp; Clothing</v>
      </c>
      <c r="D536" s="4"/>
      <c r="E536" s="4"/>
      <c r="F536" s="4"/>
      <c r="G536" s="4"/>
      <c r="H536" s="4"/>
      <c r="I536" s="5" t="s">
        <v>22</v>
      </c>
      <c r="J536" s="5" t="s">
        <v>16</v>
      </c>
      <c r="K536" s="5" t="s">
        <v>147</v>
      </c>
      <c r="L536" s="6" t="s">
        <v>785</v>
      </c>
      <c r="M536" s="5" t="s">
        <v>19</v>
      </c>
      <c r="N536" s="5" t="s">
        <v>27</v>
      </c>
      <c r="O536" s="5">
        <v>13168.0</v>
      </c>
      <c r="P536" s="5">
        <v>84.0</v>
      </c>
      <c r="Q536" s="5">
        <v>8527.0</v>
      </c>
      <c r="R536" s="5">
        <v>12625.0</v>
      </c>
      <c r="S536" s="5">
        <v>4.0</v>
      </c>
      <c r="T536" s="5">
        <v>1639.72335</v>
      </c>
    </row>
    <row r="537">
      <c r="A537" s="4" t="s">
        <v>1538</v>
      </c>
      <c r="B537" s="4" t="str">
        <f>IFERROR(__xludf.DUMMYFUNCTION("SPLIT(A537:A1263, ""&gt;"")"),"Online Behavior")</f>
        <v>Online Behavior</v>
      </c>
      <c r="C537" s="4" t="str">
        <f>IFERROR(__xludf.DUMMYFUNCTION("""COMPUTED_VALUE"""),"United States")</f>
        <v>United States</v>
      </c>
      <c r="D537" s="4" t="str">
        <f>IFERROR(__xludf.DUMMYFUNCTION("""COMPUTED_VALUE"""),"Intent ")</f>
        <v>Intent </v>
      </c>
      <c r="E537" s="4" t="str">
        <f>IFERROR(__xludf.DUMMYFUNCTION("""COMPUTED_VALUE""")," Travel")</f>
        <v> Travel</v>
      </c>
      <c r="F537" s="4" t="str">
        <f>IFERROR(__xludf.DUMMYFUNCTION("""COMPUTED_VALUE"""),"Graduation Trip")</f>
        <v>Graduation Trip</v>
      </c>
      <c r="G537" s="4"/>
      <c r="H537" s="4"/>
      <c r="I537" s="5" t="s">
        <v>15</v>
      </c>
      <c r="J537" s="5" t="s">
        <v>16</v>
      </c>
      <c r="K537" s="5" t="s">
        <v>35</v>
      </c>
      <c r="L537" s="6" t="s">
        <v>787</v>
      </c>
      <c r="M537" s="5" t="s">
        <v>19</v>
      </c>
      <c r="N537" s="5" t="s">
        <v>52</v>
      </c>
      <c r="O537" s="5">
        <v>26415.0</v>
      </c>
      <c r="P537" s="5">
        <v>60.0</v>
      </c>
      <c r="Q537" s="5">
        <v>13791.0</v>
      </c>
      <c r="R537" s="5">
        <v>25315.0</v>
      </c>
      <c r="S537" s="5">
        <v>11.0</v>
      </c>
      <c r="T537" s="5">
        <v>6450.918637</v>
      </c>
    </row>
    <row r="538">
      <c r="A538" s="4" t="s">
        <v>1539</v>
      </c>
      <c r="B538" s="4" t="str">
        <f>IFERROR(__xludf.DUMMYFUNCTION("SPLIT(A538:A1264, ""&gt;"")"),"Lotame ")</f>
        <v>Lotame </v>
      </c>
      <c r="C538" s="4" t="str">
        <f>IFERROR(__xludf.DUMMYFUNCTION("""COMPUTED_VALUE""")," Online Shoppers ")</f>
        <v> Online Shoppers </v>
      </c>
      <c r="D538" s="4" t="str">
        <f>IFERROR(__xludf.DUMMYFUNCTION("""COMPUTED_VALUE""")," Online Shoppers")</f>
        <v> Online Shoppers</v>
      </c>
      <c r="E538" s="4"/>
      <c r="F538" s="4"/>
      <c r="G538" s="4"/>
      <c r="H538" s="4"/>
      <c r="I538" s="5" t="s">
        <v>15</v>
      </c>
      <c r="J538" s="5" t="s">
        <v>23</v>
      </c>
      <c r="K538" s="5" t="s">
        <v>32</v>
      </c>
      <c r="L538" s="6" t="s">
        <v>789</v>
      </c>
      <c r="M538" s="5" t="s">
        <v>46</v>
      </c>
      <c r="N538" s="5" t="s">
        <v>27</v>
      </c>
      <c r="O538" s="5">
        <v>13347.0</v>
      </c>
      <c r="P538" s="5">
        <v>80.0</v>
      </c>
      <c r="Q538" s="5">
        <v>8357.0</v>
      </c>
      <c r="R538" s="5">
        <v>11461.0</v>
      </c>
      <c r="S538" s="5">
        <v>10.0</v>
      </c>
      <c r="T538" s="5">
        <v>1543.66142</v>
      </c>
    </row>
    <row r="539">
      <c r="A539" s="4" t="s">
        <v>1907</v>
      </c>
      <c r="B539" s="4" t="str">
        <f>IFERROR(__xludf.DUMMYFUNCTION("SPLIT(A539:A1265, ""&gt;"")"),"US ")</f>
        <v>US </v>
      </c>
      <c r="C539" s="4" t="str">
        <f>IFERROR(__xludf.DUMMYFUNCTION("""COMPUTED_VALUE""")," Reach ")</f>
        <v> Reach </v>
      </c>
      <c r="D539" s="4" t="str">
        <f>IFERROR(__xludf.DUMMYFUNCTION("""COMPUTED_VALUE""")," Propensity Models ")</f>
        <v> Propensity Models </v>
      </c>
      <c r="E539" s="4" t="str">
        <f>IFERROR(__xludf.DUMMYFUNCTION("""COMPUTED_VALUE""")," Young Adult Clothing Shoppers")</f>
        <v> Young Adult Clothing Shoppers</v>
      </c>
      <c r="F539" s="4"/>
      <c r="G539" s="4"/>
      <c r="H539" s="4"/>
      <c r="I539" s="5" t="s">
        <v>22</v>
      </c>
      <c r="J539" s="5" t="s">
        <v>31</v>
      </c>
      <c r="K539" s="5" t="s">
        <v>78</v>
      </c>
      <c r="L539" s="6" t="s">
        <v>791</v>
      </c>
      <c r="M539" s="5" t="s">
        <v>48</v>
      </c>
      <c r="N539" s="5" t="s">
        <v>27</v>
      </c>
      <c r="O539" s="5">
        <v>20885.0</v>
      </c>
      <c r="P539" s="5">
        <v>99.0</v>
      </c>
      <c r="Q539" s="5">
        <v>9901.0</v>
      </c>
      <c r="R539" s="5">
        <v>16266.0</v>
      </c>
      <c r="S539" s="5">
        <v>15.0</v>
      </c>
      <c r="T539" s="5">
        <v>2496.785436</v>
      </c>
    </row>
    <row r="540">
      <c r="A540" s="4" t="s">
        <v>792</v>
      </c>
      <c r="B540" s="4" t="str">
        <f>IFERROR(__xludf.DUMMYFUNCTION("SPLIT(A540:A1266, ""&gt;"")"),"Purchase-Based")</f>
        <v>Purchase-Based</v>
      </c>
      <c r="C540" s="4"/>
      <c r="D540" s="4"/>
      <c r="E540" s="4"/>
      <c r="F540" s="4"/>
      <c r="G540" s="4"/>
      <c r="H540" s="4"/>
      <c r="I540" s="5" t="s">
        <v>15</v>
      </c>
      <c r="J540" s="5" t="s">
        <v>42</v>
      </c>
      <c r="K540" s="5" t="s">
        <v>35</v>
      </c>
      <c r="L540" s="6" t="s">
        <v>793</v>
      </c>
      <c r="M540" s="5" t="s">
        <v>117</v>
      </c>
      <c r="N540" s="5" t="s">
        <v>27</v>
      </c>
      <c r="O540" s="5">
        <v>11289.0</v>
      </c>
      <c r="P540" s="5">
        <v>97.0</v>
      </c>
      <c r="Q540" s="5">
        <v>1345.0</v>
      </c>
      <c r="R540" s="5">
        <v>8187.0</v>
      </c>
      <c r="S540" s="5">
        <v>3.0</v>
      </c>
      <c r="T540" s="5">
        <v>1665.160445</v>
      </c>
    </row>
    <row r="541">
      <c r="A541" s="4" t="s">
        <v>1908</v>
      </c>
      <c r="B541" s="4" t="str">
        <f>IFERROR(__xludf.DUMMYFUNCTION("SPLIT(A541:A1267, ""&gt;"")"),"US ")</f>
        <v>US </v>
      </c>
      <c r="C541" s="4" t="str">
        <f>IFERROR(__xludf.DUMMYFUNCTION("""COMPUTED_VALUE""")," Reach ")</f>
        <v> Reach </v>
      </c>
      <c r="D541" s="4" t="str">
        <f>IFERROR(__xludf.DUMMYFUNCTION("""COMPUTED_VALUE""")," Propensity Models ")</f>
        <v> Propensity Models </v>
      </c>
      <c r="E541" s="4" t="str">
        <f>IFERROR(__xludf.DUMMYFUNCTION("""COMPUTED_VALUE""")," Online ")</f>
        <v> Online </v>
      </c>
      <c r="F541" s="4" t="str">
        <f>IFERROR(__xludf.DUMMYFUNCTION("""COMPUTED_VALUE""")," Electronics and Gadgets")</f>
        <v> Electronics and Gadgets</v>
      </c>
      <c r="G541" s="4"/>
      <c r="H541" s="4"/>
      <c r="I541" s="5" t="s">
        <v>15</v>
      </c>
      <c r="J541" s="5" t="s">
        <v>31</v>
      </c>
      <c r="K541" s="5" t="s">
        <v>24</v>
      </c>
      <c r="L541" s="6" t="s">
        <v>795</v>
      </c>
      <c r="M541" s="5" t="s">
        <v>36</v>
      </c>
      <c r="N541" s="5" t="s">
        <v>27</v>
      </c>
      <c r="O541" s="5">
        <v>10389.0</v>
      </c>
      <c r="P541" s="5">
        <v>55.0</v>
      </c>
      <c r="Q541" s="5">
        <v>8161.0</v>
      </c>
      <c r="R541" s="5">
        <v>9951.0</v>
      </c>
      <c r="S541" s="5">
        <v>2.0</v>
      </c>
      <c r="T541" s="5">
        <v>2582.493847</v>
      </c>
    </row>
    <row r="542">
      <c r="A542" s="4" t="s">
        <v>1909</v>
      </c>
      <c r="B542" s="4" t="str">
        <f>IFERROR(__xludf.DUMMYFUNCTION("SPLIT(A542:A1268, ""&gt;"")"),"US ")</f>
        <v>US </v>
      </c>
      <c r="C542" s="4" t="str">
        <f>IFERROR(__xludf.DUMMYFUNCTION("""COMPUTED_VALUE""")," Interest Propensities ")</f>
        <v> Interest Propensities </v>
      </c>
      <c r="D542" s="4" t="str">
        <f>IFERROR(__xludf.DUMMYFUNCTION("""COMPUTED_VALUE""")," Music ")</f>
        <v> Music </v>
      </c>
      <c r="E542" s="4" t="str">
        <f>IFERROR(__xludf.DUMMYFUNCTION("""COMPUTED_VALUE""")," Classic Rock")</f>
        <v> Classic Rock</v>
      </c>
      <c r="F542" s="4"/>
      <c r="G542" s="4"/>
      <c r="H542" s="4"/>
      <c r="I542" s="5" t="s">
        <v>15</v>
      </c>
      <c r="J542" s="5" t="s">
        <v>42</v>
      </c>
      <c r="K542" s="5" t="s">
        <v>35</v>
      </c>
      <c r="L542" s="6" t="s">
        <v>795</v>
      </c>
      <c r="M542" s="5" t="s">
        <v>19</v>
      </c>
      <c r="N542" s="5" t="s">
        <v>52</v>
      </c>
      <c r="O542" s="5">
        <v>62040.0</v>
      </c>
      <c r="P542" s="5">
        <v>174.0</v>
      </c>
      <c r="Q542" s="5">
        <v>43853.0</v>
      </c>
      <c r="R542" s="5">
        <v>58642.0</v>
      </c>
      <c r="S542" s="5">
        <v>15.0</v>
      </c>
      <c r="T542" s="5">
        <v>2139.065793</v>
      </c>
    </row>
    <row r="543">
      <c r="A543" s="4" t="s">
        <v>1543</v>
      </c>
      <c r="B543" s="4" t="str">
        <f>IFERROR(__xludf.DUMMYFUNCTION("SPLIT(A543:A1269, ""&gt;"")"),"OnAudience ")</f>
        <v>OnAudience </v>
      </c>
      <c r="C543" s="4" t="str">
        <f>IFERROR(__xludf.DUMMYFUNCTION("""COMPUTED_VALUE""")," Interest ")</f>
        <v> Interest </v>
      </c>
      <c r="D543" s="4" t="str">
        <f>IFERROR(__xludf.DUMMYFUNCTION("""COMPUTED_VALUE""")," Social life")</f>
        <v> Social life</v>
      </c>
      <c r="E543" s="4"/>
      <c r="F543" s="4"/>
      <c r="G543" s="4"/>
      <c r="H543" s="4"/>
      <c r="I543" s="5" t="s">
        <v>15</v>
      </c>
      <c r="J543" s="5" t="s">
        <v>42</v>
      </c>
      <c r="K543" s="5" t="s">
        <v>78</v>
      </c>
      <c r="L543" s="6" t="s">
        <v>795</v>
      </c>
      <c r="M543" s="5" t="s">
        <v>46</v>
      </c>
      <c r="N543" s="5" t="s">
        <v>27</v>
      </c>
      <c r="O543" s="5">
        <v>83537.0</v>
      </c>
      <c r="P543" s="5">
        <v>222.0</v>
      </c>
      <c r="Q543" s="5">
        <v>67987.0</v>
      </c>
      <c r="R543" s="5">
        <v>79409.0</v>
      </c>
      <c r="S543" s="5">
        <v>4.0</v>
      </c>
      <c r="T543" s="5">
        <v>1761.079323</v>
      </c>
    </row>
    <row r="544">
      <c r="A544" s="4" t="s">
        <v>1910</v>
      </c>
      <c r="B544" s="4" t="str">
        <f>IFERROR(__xludf.DUMMYFUNCTION("SPLIT(A544:A1270, ""&gt;"")"),"US Travel ")</f>
        <v>US Travel </v>
      </c>
      <c r="C544" s="4" t="str">
        <f>IFERROR(__xludf.DUMMYFUNCTION("""COMPUTED_VALUE""")," Likely Business Travel ")</f>
        <v> Likely Business Travel </v>
      </c>
      <c r="D544" s="4" t="str">
        <f>IFERROR(__xludf.DUMMYFUNCTION("""COMPUTED_VALUE""")," Number of Nights Stayed ")</f>
        <v> Number of Nights Stayed </v>
      </c>
      <c r="E544" s="4" t="str">
        <f>IFERROR(__xludf.DUMMYFUNCTION("""COMPUTED_VALUE""")," 0 Nights")</f>
        <v> 0 Nights</v>
      </c>
      <c r="F544" s="4"/>
      <c r="G544" s="4"/>
      <c r="H544" s="4"/>
      <c r="I544" s="5" t="s">
        <v>61</v>
      </c>
      <c r="J544" s="5" t="s">
        <v>23</v>
      </c>
      <c r="K544" s="5" t="s">
        <v>45</v>
      </c>
      <c r="L544" s="6" t="s">
        <v>795</v>
      </c>
      <c r="M544" s="5" t="s">
        <v>19</v>
      </c>
      <c r="N544" s="5" t="s">
        <v>27</v>
      </c>
      <c r="O544" s="5">
        <v>81054.0</v>
      </c>
      <c r="P544" s="5">
        <v>265.0</v>
      </c>
      <c r="Q544" s="5">
        <v>56762.0</v>
      </c>
      <c r="R544" s="5">
        <v>76198.0</v>
      </c>
      <c r="S544" s="5">
        <v>16.0</v>
      </c>
      <c r="T544" s="5">
        <v>1532.357841</v>
      </c>
    </row>
    <row r="545">
      <c r="A545" s="4" t="s">
        <v>1911</v>
      </c>
      <c r="B545" s="4" t="str">
        <f>IFERROR(__xludf.DUMMYFUNCTION("SPLIT(A545:A1271, ""&gt;"")"),"US ")</f>
        <v>US </v>
      </c>
      <c r="C545" s="4" t="str">
        <f>IFERROR(__xludf.DUMMYFUNCTION("""COMPUTED_VALUE"""),"Price-Driven Traditionalist Audience")</f>
        <v>Price-Driven Traditionalist Audience</v>
      </c>
      <c r="D545" s="4"/>
      <c r="E545" s="4"/>
      <c r="F545" s="4"/>
      <c r="G545" s="4"/>
      <c r="H545" s="4"/>
      <c r="I545" s="5" t="s">
        <v>15</v>
      </c>
      <c r="J545" s="5" t="s">
        <v>42</v>
      </c>
      <c r="K545" s="5" t="s">
        <v>173</v>
      </c>
      <c r="L545" s="6" t="s">
        <v>795</v>
      </c>
      <c r="M545" s="5" t="s">
        <v>191</v>
      </c>
      <c r="N545" s="5" t="s">
        <v>52</v>
      </c>
      <c r="O545" s="5">
        <v>35043.0</v>
      </c>
      <c r="P545" s="5">
        <v>140.0</v>
      </c>
      <c r="Q545" s="5">
        <v>20942.0</v>
      </c>
      <c r="R545" s="5">
        <v>33479.0</v>
      </c>
      <c r="S545" s="5">
        <v>24.0</v>
      </c>
      <c r="T545" s="5">
        <v>1527.97628</v>
      </c>
    </row>
    <row r="546">
      <c r="A546" s="4" t="s">
        <v>1546</v>
      </c>
      <c r="B546" s="4" t="str">
        <f>IFERROR(__xludf.DUMMYFUNCTION("SPLIT(A546:A1272, ""&gt;"")"),"Online Behavior")</f>
        <v>Online Behavior</v>
      </c>
      <c r="C546" s="4" t="str">
        <f>IFERROR(__xludf.DUMMYFUNCTION("""COMPUTED_VALUE"""),"United States")</f>
        <v>United States</v>
      </c>
      <c r="D546" s="4" t="str">
        <f>IFERROR(__xludf.DUMMYFUNCTION("""COMPUTED_VALUE"""),"Intent ")</f>
        <v>Intent </v>
      </c>
      <c r="E546" s="4" t="str">
        <f>IFERROR(__xludf.DUMMYFUNCTION("""COMPUTED_VALUE""")," Travel")</f>
        <v> Travel</v>
      </c>
      <c r="F546" s="4" t="str">
        <f>IFERROR(__xludf.DUMMYFUNCTION("""COMPUTED_VALUE"""),"Luxury Travel")</f>
        <v>Luxury Travel</v>
      </c>
      <c r="G546" s="4"/>
      <c r="H546" s="4"/>
      <c r="I546" s="5" t="s">
        <v>22</v>
      </c>
      <c r="J546" s="5" t="s">
        <v>23</v>
      </c>
      <c r="K546" s="5" t="s">
        <v>181</v>
      </c>
      <c r="L546" s="6" t="s">
        <v>801</v>
      </c>
      <c r="M546" s="5" t="s">
        <v>19</v>
      </c>
      <c r="N546" s="5" t="s">
        <v>27</v>
      </c>
      <c r="O546" s="5">
        <v>14509.0</v>
      </c>
      <c r="P546" s="5">
        <v>90.0</v>
      </c>
      <c r="Q546" s="5">
        <v>866.0</v>
      </c>
      <c r="R546" s="5">
        <v>13268.0</v>
      </c>
      <c r="S546" s="5">
        <v>8.0</v>
      </c>
      <c r="T546" s="5">
        <v>5521.18913</v>
      </c>
    </row>
    <row r="547">
      <c r="A547" s="4" t="s">
        <v>1547</v>
      </c>
      <c r="B547" s="4" t="str">
        <f>IFERROR(__xludf.DUMMYFUNCTION("SPLIT(A547:A1273, ""&gt;"")"),"Media and Entertainment ")</f>
        <v>Media and Entertainment </v>
      </c>
      <c r="C547" s="4" t="str">
        <f>IFERROR(__xludf.DUMMYFUNCTION("""COMPUTED_VALUE""")," Television (TV) ")</f>
        <v> Television (TV) </v>
      </c>
      <c r="D547" s="4" t="str">
        <f>IFERROR(__xludf.DUMMYFUNCTION("""COMPUTED_VALUE""")," Viewership ")</f>
        <v> Viewership </v>
      </c>
      <c r="E547" s="4" t="str">
        <f>IFERROR(__xludf.DUMMYFUNCTION("""COMPUTED_VALUE""")," TV Genres ")</f>
        <v> TV Genres </v>
      </c>
      <c r="F547" s="4" t="str">
        <f>IFERROR(__xludf.DUMMYFUNCTION("""COMPUTED_VALUE""")," Drama")</f>
        <v> Drama</v>
      </c>
      <c r="G547" s="4"/>
      <c r="H547" s="4"/>
      <c r="I547" s="5" t="s">
        <v>15</v>
      </c>
      <c r="J547" s="5" t="s">
        <v>23</v>
      </c>
      <c r="K547" s="5" t="s">
        <v>24</v>
      </c>
      <c r="L547" s="6" t="s">
        <v>803</v>
      </c>
      <c r="M547" s="5" t="s">
        <v>48</v>
      </c>
      <c r="N547" s="5" t="s">
        <v>52</v>
      </c>
      <c r="O547" s="5">
        <v>16325.0</v>
      </c>
      <c r="P547" s="5">
        <v>78.0</v>
      </c>
      <c r="Q547" s="5">
        <v>9558.0</v>
      </c>
      <c r="R547" s="5">
        <v>15426.0</v>
      </c>
      <c r="S547" s="5">
        <v>21.0</v>
      </c>
      <c r="T547" s="5">
        <v>1814.098581</v>
      </c>
    </row>
    <row r="548">
      <c r="A548" s="4" t="s">
        <v>1912</v>
      </c>
      <c r="B548" s="4" t="str">
        <f>IFERROR(__xludf.DUMMYFUNCTION("SPLIT(A548:A1274, ""&gt;"")"),"US ")</f>
        <v>US </v>
      </c>
      <c r="C548" s="4" t="str">
        <f>IFERROR(__xludf.DUMMYFUNCTION("""COMPUTED_VALUE""")," Sociodemographic ")</f>
        <v> Sociodemographic </v>
      </c>
      <c r="D548" s="4" t="str">
        <f>IFERROR(__xludf.DUMMYFUNCTION("""COMPUTED_VALUE""")," ConneXions Lifestage ")</f>
        <v> ConneXions Lifestage </v>
      </c>
      <c r="E548" s="4" t="str">
        <f>IFERROR(__xludf.DUMMYFUNCTION("""COMPUTED_VALUE""")," Y2 Emerging Techies")</f>
        <v> Y2 Emerging Techies</v>
      </c>
      <c r="F548" s="4"/>
      <c r="G548" s="4"/>
      <c r="H548" s="4"/>
      <c r="I548" s="5" t="s">
        <v>15</v>
      </c>
      <c r="J548" s="5" t="s">
        <v>23</v>
      </c>
      <c r="K548" s="5" t="s">
        <v>183</v>
      </c>
      <c r="L548" s="6" t="s">
        <v>805</v>
      </c>
      <c r="M548" s="5" t="s">
        <v>19</v>
      </c>
      <c r="N548" s="5" t="s">
        <v>27</v>
      </c>
      <c r="O548" s="5">
        <v>10485.0</v>
      </c>
      <c r="P548" s="5">
        <v>84.0</v>
      </c>
      <c r="Q548" s="5">
        <v>4255.0</v>
      </c>
      <c r="R548" s="5">
        <v>7669.0</v>
      </c>
      <c r="S548" s="5">
        <v>2.0</v>
      </c>
      <c r="T548" s="5">
        <v>2239.262819</v>
      </c>
    </row>
    <row r="549">
      <c r="A549" s="4" t="s">
        <v>1913</v>
      </c>
      <c r="B549" s="4" t="str">
        <f>IFERROR(__xludf.DUMMYFUNCTION("SPLIT(A549:A1275, ""&gt;"")"),"US ")</f>
        <v>US </v>
      </c>
      <c r="C549" s="4" t="str">
        <f>IFERROR(__xludf.DUMMYFUNCTION("""COMPUTED_VALUE""")," Automotive ")</f>
        <v> Automotive </v>
      </c>
      <c r="D549" s="4" t="str">
        <f>IFERROR(__xludf.DUMMYFUNCTION("""COMPUTED_VALUE""")," Auto Loyalists and Defectors ")</f>
        <v> Auto Loyalists and Defectors </v>
      </c>
      <c r="E549" s="4" t="str">
        <f>IFERROR(__xludf.DUMMYFUNCTION("""COMPUTED_VALUE""")," Auto Make Defectors")</f>
        <v> Auto Make Defectors</v>
      </c>
      <c r="F549" s="4"/>
      <c r="G549" s="4"/>
      <c r="H549" s="4"/>
      <c r="I549" s="5" t="s">
        <v>22</v>
      </c>
      <c r="J549" s="5" t="s">
        <v>16</v>
      </c>
      <c r="K549" s="5" t="s">
        <v>17</v>
      </c>
      <c r="L549" s="6" t="s">
        <v>807</v>
      </c>
      <c r="M549" s="5" t="s">
        <v>161</v>
      </c>
      <c r="N549" s="5" t="s">
        <v>27</v>
      </c>
      <c r="O549" s="5">
        <v>11561.0</v>
      </c>
      <c r="P549" s="5">
        <v>87.0</v>
      </c>
      <c r="Q549" s="5">
        <v>4063.0</v>
      </c>
      <c r="R549" s="5">
        <v>9941.0</v>
      </c>
      <c r="S549" s="5">
        <v>5.0</v>
      </c>
      <c r="T549" s="5">
        <v>1911.931953</v>
      </c>
    </row>
    <row r="550">
      <c r="A550" s="4" t="s">
        <v>808</v>
      </c>
      <c r="B550" s="4" t="str">
        <f>IFERROR(__xludf.DUMMYFUNCTION("SPLIT(A550:A1276, ""&gt;"")"),"Online Behavior")</f>
        <v>Online Behavior</v>
      </c>
      <c r="C550" s="4" t="str">
        <f>IFERROR(__xludf.DUMMYFUNCTION("""COMPUTED_VALUE"""),"United States")</f>
        <v>United States</v>
      </c>
      <c r="D550" s="4" t="str">
        <f>IFERROR(__xludf.DUMMYFUNCTION("""COMPUTED_VALUE"""),"Online Communities")</f>
        <v>Online Communities</v>
      </c>
      <c r="E550" s="4" t="str">
        <f>IFERROR(__xludf.DUMMYFUNCTION("""COMPUTED_VALUE"""),"Blogging Resources and Services")</f>
        <v>Blogging Resources and Services</v>
      </c>
      <c r="F550" s="4"/>
      <c r="G550" s="4"/>
      <c r="H550" s="4"/>
      <c r="I550" s="5" t="s">
        <v>22</v>
      </c>
      <c r="J550" s="5" t="s">
        <v>31</v>
      </c>
      <c r="K550" s="5" t="s">
        <v>84</v>
      </c>
      <c r="L550" s="6" t="s">
        <v>809</v>
      </c>
      <c r="M550" s="5" t="s">
        <v>50</v>
      </c>
      <c r="N550" s="5" t="s">
        <v>27</v>
      </c>
      <c r="O550" s="5">
        <v>18136.0</v>
      </c>
      <c r="P550" s="5">
        <v>69.0</v>
      </c>
      <c r="Q550" s="5">
        <v>10842.0</v>
      </c>
      <c r="R550" s="5">
        <v>14953.0</v>
      </c>
      <c r="S550" s="5">
        <v>9.0</v>
      </c>
      <c r="T550" s="5">
        <v>6860.359597</v>
      </c>
    </row>
    <row r="551">
      <c r="A551" s="4" t="s">
        <v>1914</v>
      </c>
      <c r="B551" s="4" t="str">
        <f>IFERROR(__xludf.DUMMYFUNCTION("SPLIT(A551:A1277, ""&gt;"")"),"US ")</f>
        <v>US </v>
      </c>
      <c r="C551" s="4" t="str">
        <f>IFERROR(__xludf.DUMMYFUNCTION("""COMPUTED_VALUE""")," Brand Propensities ")</f>
        <v> Brand Propensities </v>
      </c>
      <c r="D551" s="4" t="str">
        <f>IFERROR(__xludf.DUMMYFUNCTION("""COMPUTED_VALUE""")," Electronics ")</f>
        <v> Electronics </v>
      </c>
      <c r="E551" s="4" t="str">
        <f>IFERROR(__xludf.DUMMYFUNCTION("""COMPUTED_VALUE""")," Crutchfield Buyer Propensity")</f>
        <v> Crutchfield Buyer Propensity</v>
      </c>
      <c r="F551" s="4"/>
      <c r="G551" s="4"/>
      <c r="H551" s="4"/>
      <c r="I551" s="5" t="s">
        <v>15</v>
      </c>
      <c r="J551" s="5" t="s">
        <v>23</v>
      </c>
      <c r="K551" s="5" t="s">
        <v>17</v>
      </c>
      <c r="L551" s="6" t="s">
        <v>809</v>
      </c>
      <c r="M551" s="5" t="s">
        <v>161</v>
      </c>
      <c r="N551" s="5" t="s">
        <v>27</v>
      </c>
      <c r="O551" s="5">
        <v>8437.0</v>
      </c>
      <c r="P551" s="5">
        <v>63.0</v>
      </c>
      <c r="Q551" s="5">
        <v>5271.0</v>
      </c>
      <c r="R551" s="5">
        <v>7065.0</v>
      </c>
      <c r="S551" s="5">
        <v>2.0</v>
      </c>
      <c r="T551" s="5">
        <v>1880.533168</v>
      </c>
    </row>
    <row r="552">
      <c r="A552" s="4" t="s">
        <v>1551</v>
      </c>
      <c r="B552" s="4" t="str">
        <f>IFERROR(__xludf.DUMMYFUNCTION("SPLIT(A552:A1278, ""&gt;"")"),"Online Behavior")</f>
        <v>Online Behavior</v>
      </c>
      <c r="C552" s="4" t="str">
        <f>IFERROR(__xludf.DUMMYFUNCTION("""COMPUTED_VALUE"""),"United States")</f>
        <v>United States</v>
      </c>
      <c r="D552" s="4" t="str">
        <f>IFERROR(__xludf.DUMMYFUNCTION("""COMPUTED_VALUE"""),"Intent ")</f>
        <v>Intent </v>
      </c>
      <c r="E552" s="4" t="str">
        <f>IFERROR(__xludf.DUMMYFUNCTION("""COMPUTED_VALUE""")," Auto Buyers ")</f>
        <v> Auto Buyers </v>
      </c>
      <c r="F552" s="4" t="str">
        <f>IFERROR(__xludf.DUMMYFUNCTION("""COMPUTED_VALUE""")," Car Make")</f>
        <v> Car Make</v>
      </c>
      <c r="G552" s="4" t="str">
        <f>IFERROR(__xludf.DUMMYFUNCTION("""COMPUTED_VALUE"""),"Subaru")</f>
        <v>Subaru</v>
      </c>
      <c r="H552" s="4"/>
      <c r="I552" s="5" t="s">
        <v>15</v>
      </c>
      <c r="J552" s="5" t="s">
        <v>23</v>
      </c>
      <c r="K552" s="5" t="s">
        <v>17</v>
      </c>
      <c r="L552" s="6" t="s">
        <v>812</v>
      </c>
      <c r="M552" s="5" t="s">
        <v>36</v>
      </c>
      <c r="N552" s="5" t="s">
        <v>20</v>
      </c>
      <c r="O552" s="5">
        <v>7965.0</v>
      </c>
      <c r="P552" s="5">
        <v>50.0</v>
      </c>
      <c r="Q552" s="5">
        <v>5230.0</v>
      </c>
      <c r="R552" s="5">
        <v>6923.0</v>
      </c>
      <c r="S552" s="5">
        <v>10.0</v>
      </c>
      <c r="T552" s="5">
        <v>6298.513929</v>
      </c>
    </row>
    <row r="553">
      <c r="A553" s="4" t="s">
        <v>1553</v>
      </c>
      <c r="B553" s="4" t="str">
        <f>IFERROR(__xludf.DUMMYFUNCTION("SPLIT(A553:A1279, ""&gt;"")"),"Online Behavior")</f>
        <v>Online Behavior</v>
      </c>
      <c r="C553" s="4" t="str">
        <f>IFERROR(__xludf.DUMMYFUNCTION("""COMPUTED_VALUE"""),"United States")</f>
        <v>United States</v>
      </c>
      <c r="D553" s="4" t="str">
        <f>IFERROR(__xludf.DUMMYFUNCTION("""COMPUTED_VALUE"""),"Finance ")</f>
        <v>Finance </v>
      </c>
      <c r="E553" s="4" t="str">
        <f>IFERROR(__xludf.DUMMYFUNCTION("""COMPUTED_VALUE""")," Grants, Scholarships and Financial Aid")</f>
        <v> Grants, Scholarships and Financial Aid</v>
      </c>
      <c r="F553" s="4" t="str">
        <f>IFERROR(__xludf.DUMMYFUNCTION("""COMPUTED_VALUE"""),"Government Grants")</f>
        <v>Government Grants</v>
      </c>
      <c r="G553" s="4"/>
      <c r="H553" s="4"/>
      <c r="I553" s="5" t="s">
        <v>15</v>
      </c>
      <c r="J553" s="5" t="s">
        <v>16</v>
      </c>
      <c r="K553" s="5" t="s">
        <v>84</v>
      </c>
      <c r="L553" s="6" t="s">
        <v>812</v>
      </c>
      <c r="M553" s="5" t="s">
        <v>46</v>
      </c>
      <c r="N553" s="5" t="s">
        <v>27</v>
      </c>
      <c r="O553" s="5">
        <v>14350.0</v>
      </c>
      <c r="P553" s="5">
        <v>60.0</v>
      </c>
      <c r="Q553" s="5">
        <v>8228.0</v>
      </c>
      <c r="R553" s="5">
        <v>13396.0</v>
      </c>
      <c r="S553" s="5">
        <v>6.0</v>
      </c>
      <c r="T553" s="5">
        <v>6114.034936</v>
      </c>
    </row>
    <row r="554">
      <c r="A554" s="4" t="s">
        <v>1554</v>
      </c>
      <c r="B554" s="4" t="str">
        <f>IFERROR(__xludf.DUMMYFUNCTION("SPLIT(A554:A1280, ""&gt;"")"),"Online Behavior")</f>
        <v>Online Behavior</v>
      </c>
      <c r="C554" s="4" t="str">
        <f>IFERROR(__xludf.DUMMYFUNCTION("""COMPUTED_VALUE"""),"United States")</f>
        <v>United States</v>
      </c>
      <c r="D554" s="4" t="str">
        <f>IFERROR(__xludf.DUMMYFUNCTION("""COMPUTED_VALUE"""),"Autos and Vehicles ")</f>
        <v>Autos and Vehicles </v>
      </c>
      <c r="E554" s="4" t="str">
        <f>IFERROR(__xludf.DUMMYFUNCTION("""COMPUTED_VALUE""")," Brands")</f>
        <v> Brands</v>
      </c>
      <c r="F554" s="4" t="str">
        <f>IFERROR(__xludf.DUMMYFUNCTION("""COMPUTED_VALUE"""),"Mini")</f>
        <v>Mini</v>
      </c>
      <c r="G554" s="4"/>
      <c r="H554" s="4"/>
      <c r="I554" s="5" t="s">
        <v>22</v>
      </c>
      <c r="J554" s="5" t="s">
        <v>16</v>
      </c>
      <c r="K554" s="5" t="s">
        <v>131</v>
      </c>
      <c r="L554" s="6" t="s">
        <v>812</v>
      </c>
      <c r="M554" s="5" t="s">
        <v>26</v>
      </c>
      <c r="N554" s="5" t="s">
        <v>27</v>
      </c>
      <c r="O554" s="5">
        <v>24100.0</v>
      </c>
      <c r="P554" s="5">
        <v>110.0</v>
      </c>
      <c r="Q554" s="5">
        <v>11355.0</v>
      </c>
      <c r="R554" s="5">
        <v>21740.0</v>
      </c>
      <c r="S554" s="5">
        <v>5.0</v>
      </c>
      <c r="T554" s="5">
        <v>5912.260975</v>
      </c>
    </row>
    <row r="555">
      <c r="A555" s="4" t="s">
        <v>1555</v>
      </c>
      <c r="B555" s="4" t="str">
        <f>IFERROR(__xludf.DUMMYFUNCTION("SPLIT(A555:A1281, ""&gt;"")"),"Online Behavior")</f>
        <v>Online Behavior</v>
      </c>
      <c r="C555" s="4" t="str">
        <f>IFERROR(__xludf.DUMMYFUNCTION("""COMPUTED_VALUE"""),"United States")</f>
        <v>United States</v>
      </c>
      <c r="D555" s="4" t="str">
        <f>IFERROR(__xludf.DUMMYFUNCTION("""COMPUTED_VALUE"""),"Autos and Vehicles ")</f>
        <v>Autos and Vehicles </v>
      </c>
      <c r="E555" s="4" t="str">
        <f>IFERROR(__xludf.DUMMYFUNCTION("""COMPUTED_VALUE""")," Brands")</f>
        <v> Brands</v>
      </c>
      <c r="F555" s="4" t="str">
        <f>IFERROR(__xludf.DUMMYFUNCTION("""COMPUTED_VALUE"""),"Buick")</f>
        <v>Buick</v>
      </c>
      <c r="G555" s="4"/>
      <c r="H555" s="4"/>
      <c r="I555" s="5" t="s">
        <v>15</v>
      </c>
      <c r="J555" s="5" t="s">
        <v>16</v>
      </c>
      <c r="K555" s="5" t="s">
        <v>150</v>
      </c>
      <c r="L555" s="6" t="s">
        <v>812</v>
      </c>
      <c r="M555" s="5" t="s">
        <v>19</v>
      </c>
      <c r="N555" s="5" t="s">
        <v>20</v>
      </c>
      <c r="O555" s="5">
        <v>21599.0</v>
      </c>
      <c r="P555" s="5">
        <v>66.0</v>
      </c>
      <c r="Q555" s="5">
        <v>13600.0</v>
      </c>
      <c r="R555" s="5">
        <v>20256.0</v>
      </c>
      <c r="S555" s="5">
        <v>9.0</v>
      </c>
      <c r="T555" s="5">
        <v>5551.387415</v>
      </c>
    </row>
    <row r="556">
      <c r="A556" s="4" t="s">
        <v>1915</v>
      </c>
      <c r="B556" s="4" t="str">
        <f>IFERROR(__xludf.DUMMYFUNCTION("SPLIT(A556:A1282, ""&gt;"")"),"US Financial ")</f>
        <v>US Financial </v>
      </c>
      <c r="C556" s="4" t="str">
        <f>IFERROR(__xludf.DUMMYFUNCTION("""COMPUTED_VALUE""")," Likely In Market Timing ")</f>
        <v> Likely In Market Timing </v>
      </c>
      <c r="D556" s="4" t="str">
        <f>IFERROR(__xludf.DUMMYFUNCTION("""COMPUTED_VALUE""")," Not At All Likely to Purchase ")</f>
        <v> Not At All Likely to Purchase </v>
      </c>
      <c r="E556" s="4" t="str">
        <f>IFERROR(__xludf.DUMMYFUNCTION("""COMPUTED_VALUE""")," First Home/Residence In The Next Year (Financial)")</f>
        <v> First Home/Residence In The Next Year (Financial)</v>
      </c>
      <c r="F556" s="4"/>
      <c r="G556" s="4"/>
      <c r="H556" s="4"/>
      <c r="I556" s="5" t="s">
        <v>15</v>
      </c>
      <c r="J556" s="5" t="s">
        <v>23</v>
      </c>
      <c r="K556" s="5" t="s">
        <v>35</v>
      </c>
      <c r="L556" s="6" t="s">
        <v>812</v>
      </c>
      <c r="M556" s="5" t="s">
        <v>36</v>
      </c>
      <c r="N556" s="5" t="s">
        <v>52</v>
      </c>
      <c r="O556" s="5">
        <v>35335.0</v>
      </c>
      <c r="P556" s="5">
        <v>120.0</v>
      </c>
      <c r="Q556" s="5">
        <v>22566.0</v>
      </c>
      <c r="R556" s="5">
        <v>30685.0</v>
      </c>
      <c r="S556" s="5">
        <v>15.0</v>
      </c>
      <c r="T556" s="5">
        <v>1866.34747</v>
      </c>
    </row>
    <row r="557">
      <c r="A557" s="4" t="s">
        <v>1557</v>
      </c>
      <c r="B557" s="4" t="str">
        <f>IFERROR(__xludf.DUMMYFUNCTION("SPLIT(A557:A1283, ""&gt;"")"),"Transactional ")</f>
        <v>Transactional </v>
      </c>
      <c r="C557" s="4" t="str">
        <f>IFERROR(__xludf.DUMMYFUNCTION("""COMPUTED_VALUE""")," Q3 Gardening Shoppers")</f>
        <v> Q3 Gardening Shoppers</v>
      </c>
      <c r="D557" s="4"/>
      <c r="E557" s="4"/>
      <c r="F557" s="4"/>
      <c r="G557" s="4"/>
      <c r="H557" s="4"/>
      <c r="I557" s="5" t="s">
        <v>15</v>
      </c>
      <c r="J557" s="5" t="s">
        <v>42</v>
      </c>
      <c r="K557" s="5" t="s">
        <v>29</v>
      </c>
      <c r="L557" s="6" t="s">
        <v>812</v>
      </c>
      <c r="M557" s="5" t="s">
        <v>19</v>
      </c>
      <c r="N557" s="5" t="s">
        <v>27</v>
      </c>
      <c r="O557" s="5">
        <v>14763.0</v>
      </c>
      <c r="P557" s="5">
        <v>40.0</v>
      </c>
      <c r="Q557" s="5">
        <v>8955.0</v>
      </c>
      <c r="R557" s="5">
        <v>13829.0</v>
      </c>
      <c r="S557" s="5">
        <v>2.0</v>
      </c>
      <c r="T557" s="5">
        <v>1531.926885</v>
      </c>
    </row>
    <row r="558">
      <c r="A558" s="4" t="s">
        <v>1558</v>
      </c>
      <c r="B558" s="4" t="str">
        <f>IFERROR(__xludf.DUMMYFUNCTION("SPLIT(A558:A1284, ""&gt;"")"),"Online Behavior")</f>
        <v>Online Behavior</v>
      </c>
      <c r="C558" s="4" t="str">
        <f>IFERROR(__xludf.DUMMYFUNCTION("""COMPUTED_VALUE"""),"United States")</f>
        <v>United States</v>
      </c>
      <c r="D558" s="4" t="str">
        <f>IFERROR(__xludf.DUMMYFUNCTION("""COMPUTED_VALUE"""),"Travel")</f>
        <v>Travel</v>
      </c>
      <c r="E558" s="4" t="str">
        <f>IFERROR(__xludf.DUMMYFUNCTION("""COMPUTED_VALUE"""),"Tourist Destinations ")</f>
        <v>Tourist Destinations </v>
      </c>
      <c r="F558" s="4" t="str">
        <f>IFERROR(__xludf.DUMMYFUNCTION("""COMPUTED_VALUE""")," Historical Sites and Buildings")</f>
        <v> Historical Sites and Buildings</v>
      </c>
      <c r="G558" s="4"/>
      <c r="H558" s="4"/>
      <c r="I558" s="5" t="s">
        <v>22</v>
      </c>
      <c r="J558" s="5" t="s">
        <v>42</v>
      </c>
      <c r="K558" s="5" t="s">
        <v>29</v>
      </c>
      <c r="L558" s="6" t="s">
        <v>819</v>
      </c>
      <c r="M558" s="5" t="s">
        <v>117</v>
      </c>
      <c r="N558" s="5" t="s">
        <v>27</v>
      </c>
      <c r="O558" s="5">
        <v>47360.0</v>
      </c>
      <c r="P558" s="5">
        <v>126.0</v>
      </c>
      <c r="Q558" s="5">
        <v>8047.0</v>
      </c>
      <c r="R558" s="5">
        <v>33641.0</v>
      </c>
      <c r="S558" s="5">
        <v>9.0</v>
      </c>
      <c r="T558" s="5">
        <v>6502.274933</v>
      </c>
    </row>
    <row r="559">
      <c r="A559" s="4" t="s">
        <v>820</v>
      </c>
      <c r="B559" s="4" t="str">
        <f>IFERROR(__xludf.DUMMYFUNCTION("SPLIT(A559:A1285, ""&gt;"")"),"Online Behavior")</f>
        <v>Online Behavior</v>
      </c>
      <c r="C559" s="4" t="str">
        <f>IFERROR(__xludf.DUMMYFUNCTION("""COMPUTED_VALUE"""),"United States")</f>
        <v>United States</v>
      </c>
      <c r="D559" s="4" t="str">
        <f>IFERROR(__xludf.DUMMYFUNCTION("""COMPUTED_VALUE"""),"The Changing Consumer")</f>
        <v>The Changing Consumer</v>
      </c>
      <c r="E559" s="4" t="str">
        <f>IFERROR(__xludf.DUMMYFUNCTION("""COMPUTED_VALUE"""),"Telehealth")</f>
        <v>Telehealth</v>
      </c>
      <c r="F559" s="4"/>
      <c r="G559" s="4"/>
      <c r="H559" s="4"/>
      <c r="I559" s="5" t="s">
        <v>61</v>
      </c>
      <c r="J559" s="5" t="s">
        <v>23</v>
      </c>
      <c r="K559" s="5" t="s">
        <v>84</v>
      </c>
      <c r="L559" s="6" t="s">
        <v>819</v>
      </c>
      <c r="M559" s="5" t="s">
        <v>36</v>
      </c>
      <c r="N559" s="5" t="s">
        <v>27</v>
      </c>
      <c r="O559" s="5">
        <v>19408.0</v>
      </c>
      <c r="P559" s="5">
        <v>58.0</v>
      </c>
      <c r="Q559" s="5">
        <v>6596.0</v>
      </c>
      <c r="R559" s="5">
        <v>13880.0</v>
      </c>
      <c r="S559" s="5">
        <v>2.0</v>
      </c>
      <c r="T559" s="5">
        <v>5492.821648</v>
      </c>
    </row>
    <row r="560">
      <c r="A560" s="4" t="s">
        <v>821</v>
      </c>
      <c r="B560" s="4" t="str">
        <f>IFERROR(__xludf.DUMMYFUNCTION("SPLIT(A560:A1286, ""&gt;"")"),"Online Behavior")</f>
        <v>Online Behavior</v>
      </c>
      <c r="C560" s="4" t="str">
        <f>IFERROR(__xludf.DUMMYFUNCTION("""COMPUTED_VALUE"""),"United States")</f>
        <v>United States</v>
      </c>
      <c r="D560" s="4" t="str">
        <f>IFERROR(__xludf.DUMMYFUNCTION("""COMPUTED_VALUE"""),"Travel")</f>
        <v>Travel</v>
      </c>
      <c r="E560" s="4" t="str">
        <f>IFERROR(__xludf.DUMMYFUNCTION("""COMPUTED_VALUE"""),"Carpooling and Vehicle Sharing")</f>
        <v>Carpooling and Vehicle Sharing</v>
      </c>
      <c r="F560" s="4"/>
      <c r="G560" s="4"/>
      <c r="H560" s="4"/>
      <c r="I560" s="5" t="s">
        <v>61</v>
      </c>
      <c r="J560" s="5" t="s">
        <v>23</v>
      </c>
      <c r="K560" s="5" t="s">
        <v>55</v>
      </c>
      <c r="L560" s="6" t="s">
        <v>819</v>
      </c>
      <c r="M560" s="5" t="s">
        <v>26</v>
      </c>
      <c r="N560" s="5" t="s">
        <v>27</v>
      </c>
      <c r="O560" s="5">
        <v>46190.0</v>
      </c>
      <c r="P560" s="5">
        <v>130.0</v>
      </c>
      <c r="Q560" s="5">
        <v>8618.0</v>
      </c>
      <c r="R560" s="5">
        <v>41618.0</v>
      </c>
      <c r="S560" s="5">
        <v>1.0</v>
      </c>
      <c r="T560" s="5">
        <v>5464.109817</v>
      </c>
    </row>
    <row r="561">
      <c r="A561" s="4" t="s">
        <v>822</v>
      </c>
      <c r="B561" s="4" t="str">
        <f>IFERROR(__xludf.DUMMYFUNCTION("SPLIT(A561:A1287, ""&gt;"")"),"Online Behavior")</f>
        <v>Online Behavior</v>
      </c>
      <c r="C561" s="4" t="str">
        <f>IFERROR(__xludf.DUMMYFUNCTION("""COMPUTED_VALUE"""),"United States")</f>
        <v>United States</v>
      </c>
      <c r="D561" s="4" t="str">
        <f>IFERROR(__xludf.DUMMYFUNCTION("""COMPUTED_VALUE"""),"Law and Government")</f>
        <v>Law and Government</v>
      </c>
      <c r="E561" s="4" t="str">
        <f>IFERROR(__xludf.DUMMYFUNCTION("""COMPUTED_VALUE"""),"Government")</f>
        <v>Government</v>
      </c>
      <c r="F561" s="4"/>
      <c r="G561" s="4"/>
      <c r="H561" s="4"/>
      <c r="I561" s="5" t="s">
        <v>15</v>
      </c>
      <c r="J561" s="5" t="s">
        <v>23</v>
      </c>
      <c r="K561" s="5" t="s">
        <v>35</v>
      </c>
      <c r="L561" s="6" t="s">
        <v>819</v>
      </c>
      <c r="M561" s="5" t="s">
        <v>48</v>
      </c>
      <c r="N561" s="5" t="s">
        <v>52</v>
      </c>
      <c r="O561" s="5">
        <v>18537.0</v>
      </c>
      <c r="P561" s="5">
        <v>95.0</v>
      </c>
      <c r="Q561" s="5">
        <v>6473.0</v>
      </c>
      <c r="R561" s="5">
        <v>17081.0</v>
      </c>
      <c r="S561" s="5">
        <v>4.0</v>
      </c>
      <c r="T561" s="5">
        <v>5206.238968</v>
      </c>
    </row>
    <row r="562">
      <c r="A562" s="4" t="s">
        <v>1916</v>
      </c>
      <c r="B562" s="4" t="str">
        <f>IFERROR(__xludf.DUMMYFUNCTION("SPLIT(A562:A1288, ""&gt;"")"),"US ")</f>
        <v>US </v>
      </c>
      <c r="C562" s="4" t="str">
        <f>IFERROR(__xludf.DUMMYFUNCTION("""COMPUTED_VALUE""")," B2B ")</f>
        <v> B2B </v>
      </c>
      <c r="D562" s="4" t="str">
        <f>IFERROR(__xludf.DUMMYFUNCTION("""COMPUTED_VALUE""")," B2B Decision Maker Responsibilities ")</f>
        <v> B2B Decision Maker Responsibilities </v>
      </c>
      <c r="E562" s="4" t="str">
        <f>IFERROR(__xludf.DUMMYFUNCTION("""COMPUTED_VALUE""")," Security Services")</f>
        <v> Security Services</v>
      </c>
      <c r="F562" s="4"/>
      <c r="G562" s="4"/>
      <c r="H562" s="4"/>
      <c r="I562" s="5" t="s">
        <v>22</v>
      </c>
      <c r="J562" s="5" t="s">
        <v>16</v>
      </c>
      <c r="K562" s="5" t="s">
        <v>39</v>
      </c>
      <c r="L562" s="6" t="s">
        <v>819</v>
      </c>
      <c r="M562" s="5" t="s">
        <v>26</v>
      </c>
      <c r="N562" s="5" t="s">
        <v>27</v>
      </c>
      <c r="O562" s="5">
        <v>12488.0</v>
      </c>
      <c r="P562" s="5">
        <v>99.0</v>
      </c>
      <c r="Q562" s="5">
        <v>4021.0</v>
      </c>
      <c r="R562" s="5">
        <v>11403.0</v>
      </c>
      <c r="S562" s="5">
        <v>4.0</v>
      </c>
      <c r="T562" s="5">
        <v>2176.657469</v>
      </c>
    </row>
    <row r="563">
      <c r="A563" s="4" t="s">
        <v>1560</v>
      </c>
      <c r="B563" s="4" t="str">
        <f>IFERROR(__xludf.DUMMYFUNCTION("SPLIT(A563:A1289, ""&gt;"")"),"OnAudience ")</f>
        <v>OnAudience </v>
      </c>
      <c r="C563" s="4" t="str">
        <f>IFERROR(__xludf.DUMMYFUNCTION("""COMPUTED_VALUE""")," Intent")</f>
        <v> Intent</v>
      </c>
      <c r="D563" s="4"/>
      <c r="E563" s="4"/>
      <c r="F563" s="4"/>
      <c r="G563" s="4"/>
      <c r="H563" s="4"/>
      <c r="I563" s="5" t="s">
        <v>22</v>
      </c>
      <c r="J563" s="5" t="s">
        <v>42</v>
      </c>
      <c r="K563" s="5" t="s">
        <v>35</v>
      </c>
      <c r="L563" s="6" t="s">
        <v>819</v>
      </c>
      <c r="M563" s="5" t="s">
        <v>19</v>
      </c>
      <c r="N563" s="5" t="s">
        <v>27</v>
      </c>
      <c r="O563" s="5">
        <v>19212.0</v>
      </c>
      <c r="P563" s="5">
        <v>54.0</v>
      </c>
      <c r="Q563" s="5">
        <v>6872.0</v>
      </c>
      <c r="R563" s="5">
        <v>14248.0</v>
      </c>
      <c r="S563" s="5">
        <v>10.0</v>
      </c>
      <c r="T563" s="5">
        <v>2133.077113</v>
      </c>
    </row>
    <row r="564">
      <c r="A564" s="4" t="s">
        <v>1917</v>
      </c>
      <c r="B564" s="4" t="str">
        <f>IFERROR(__xludf.DUMMYFUNCTION("SPLIT(A564:A1290, ""&gt;"")"),"US Financial ")</f>
        <v>US Financial </v>
      </c>
      <c r="C564" s="4" t="str">
        <f>IFERROR(__xludf.DUMMYFUNCTION("""COMPUTED_VALUE""")," Likely Credit Card ")</f>
        <v> Likely Credit Card </v>
      </c>
      <c r="D564" s="4" t="str">
        <f>IFERROR(__xludf.DUMMYFUNCTION("""COMPUTED_VALUE""")," Behavior ")</f>
        <v> Behavior </v>
      </c>
      <c r="E564" s="4" t="str">
        <f>IFERROR(__xludf.DUMMYFUNCTION("""COMPUTED_VALUE""")," Used for Personal Purposes")</f>
        <v> Used for Personal Purposes</v>
      </c>
      <c r="F564" s="4"/>
      <c r="G564" s="4"/>
      <c r="H564" s="4"/>
      <c r="I564" s="5" t="s">
        <v>15</v>
      </c>
      <c r="J564" s="5" t="s">
        <v>42</v>
      </c>
      <c r="K564" s="5" t="s">
        <v>183</v>
      </c>
      <c r="L564" s="6" t="s">
        <v>819</v>
      </c>
      <c r="M564" s="5" t="s">
        <v>19</v>
      </c>
      <c r="N564" s="5" t="s">
        <v>27</v>
      </c>
      <c r="O564" s="5">
        <v>37554.0</v>
      </c>
      <c r="P564" s="5">
        <v>92.0</v>
      </c>
      <c r="Q564" s="5">
        <v>13128.0</v>
      </c>
      <c r="R564" s="5">
        <v>27596.0</v>
      </c>
      <c r="S564" s="5">
        <v>8.0</v>
      </c>
      <c r="T564" s="5">
        <v>1737.843485</v>
      </c>
    </row>
    <row r="565">
      <c r="A565" s="4" t="s">
        <v>1918</v>
      </c>
      <c r="B565" s="4" t="str">
        <f>IFERROR(__xludf.DUMMYFUNCTION("SPLIT(A565:A1291, ""&gt;"")"),"US ")</f>
        <v>US </v>
      </c>
      <c r="C565" s="4" t="str">
        <f>IFERROR(__xludf.DUMMYFUNCTION("""COMPUTED_VALUE""")," Demographic ")</f>
        <v> Demographic </v>
      </c>
      <c r="D565" s="4" t="str">
        <f>IFERROR(__xludf.DUMMYFUNCTION("""COMPUTED_VALUE""")," Family ")</f>
        <v> Family </v>
      </c>
      <c r="E565" s="4" t="str">
        <f>IFERROR(__xludf.DUMMYFUNCTION("""COMPUTED_VALUE""")," Male Head of Household")</f>
        <v> Male Head of Household</v>
      </c>
      <c r="F565" s="4"/>
      <c r="G565" s="4"/>
      <c r="H565" s="4"/>
      <c r="I565" s="5" t="s">
        <v>22</v>
      </c>
      <c r="J565" s="5" t="s">
        <v>31</v>
      </c>
      <c r="K565" s="5" t="s">
        <v>55</v>
      </c>
      <c r="L565" s="6" t="s">
        <v>819</v>
      </c>
      <c r="M565" s="5" t="s">
        <v>46</v>
      </c>
      <c r="N565" s="5" t="s">
        <v>27</v>
      </c>
      <c r="O565" s="5">
        <v>12510.0</v>
      </c>
      <c r="P565" s="5">
        <v>74.0</v>
      </c>
      <c r="Q565" s="5">
        <v>4391.0</v>
      </c>
      <c r="R565" s="5">
        <v>9098.0</v>
      </c>
      <c r="S565" s="5">
        <v>6.0</v>
      </c>
      <c r="T565" s="5">
        <v>1524.470523</v>
      </c>
    </row>
    <row r="566">
      <c r="A566" s="4" t="s">
        <v>1919</v>
      </c>
      <c r="B566" s="4" t="str">
        <f>IFERROR(__xludf.DUMMYFUNCTION("SPLIT(A566:A1292, ""&gt;"")"),"US ")</f>
        <v>US </v>
      </c>
      <c r="C566" s="4" t="str">
        <f>IFERROR(__xludf.DUMMYFUNCTION("""COMPUTED_VALUE""")," Reach ")</f>
        <v> Reach </v>
      </c>
      <c r="D566" s="4" t="str">
        <f>IFERROR(__xludf.DUMMYFUNCTION("""COMPUTED_VALUE""")," Propensity Models ")</f>
        <v> Propensity Models </v>
      </c>
      <c r="E566" s="4" t="str">
        <f>IFERROR(__xludf.DUMMYFUNCTION("""COMPUTED_VALUE""")," Lifestyle ")</f>
        <v> Lifestyle </v>
      </c>
      <c r="F566" s="4" t="str">
        <f>IFERROR(__xludf.DUMMYFUNCTION("""COMPUTED_VALUE""")," Charities ")</f>
        <v> Charities </v>
      </c>
      <c r="G566" s="4" t="str">
        <f>IFERROR(__xludf.DUMMYFUNCTION("""COMPUTED_VALUE""")," Contributes by Volunteering")</f>
        <v> Contributes by Volunteering</v>
      </c>
      <c r="H566" s="4"/>
      <c r="I566" s="5" t="s">
        <v>61</v>
      </c>
      <c r="J566" s="5" t="s">
        <v>16</v>
      </c>
      <c r="K566" s="5" t="s">
        <v>29</v>
      </c>
      <c r="L566" s="6" t="s">
        <v>828</v>
      </c>
      <c r="M566" s="5" t="s">
        <v>26</v>
      </c>
      <c r="N566" s="5" t="s">
        <v>27</v>
      </c>
      <c r="O566" s="5">
        <v>15475.0</v>
      </c>
      <c r="P566" s="5">
        <v>110.0</v>
      </c>
      <c r="Q566" s="5">
        <v>6019.0</v>
      </c>
      <c r="R566" s="5">
        <v>10952.0</v>
      </c>
      <c r="S566" s="5">
        <v>9.0</v>
      </c>
      <c r="T566" s="5">
        <v>4156.713383</v>
      </c>
    </row>
    <row r="567">
      <c r="A567" s="4" t="s">
        <v>1564</v>
      </c>
      <c r="B567" s="4" t="str">
        <f>IFERROR(__xludf.DUMMYFUNCTION("SPLIT(A567:A1293, ""&gt;"")"),"OnAudience ")</f>
        <v>OnAudience </v>
      </c>
      <c r="C567" s="4" t="str">
        <f>IFERROR(__xludf.DUMMYFUNCTION("""COMPUTED_VALUE""")," Interest ")</f>
        <v> Interest </v>
      </c>
      <c r="D567" s="4" t="str">
        <f>IFERROR(__xludf.DUMMYFUNCTION("""COMPUTED_VALUE""")," Pets")</f>
        <v> Pets</v>
      </c>
      <c r="E567" s="4"/>
      <c r="F567" s="4"/>
      <c r="G567" s="4"/>
      <c r="H567" s="4"/>
      <c r="I567" s="5" t="s">
        <v>22</v>
      </c>
      <c r="J567" s="5" t="s">
        <v>23</v>
      </c>
      <c r="K567" s="5" t="s">
        <v>95</v>
      </c>
      <c r="L567" s="6" t="s">
        <v>830</v>
      </c>
      <c r="M567" s="5" t="s">
        <v>19</v>
      </c>
      <c r="N567" s="5" t="s">
        <v>27</v>
      </c>
      <c r="O567" s="5">
        <v>20572.0</v>
      </c>
      <c r="P567" s="5">
        <v>90.0</v>
      </c>
      <c r="Q567" s="5">
        <v>2226.0</v>
      </c>
      <c r="R567" s="5">
        <v>16510.0</v>
      </c>
      <c r="S567" s="5">
        <v>10.0</v>
      </c>
      <c r="T567" s="5">
        <v>1529.307229</v>
      </c>
    </row>
    <row r="568">
      <c r="A568" s="4" t="s">
        <v>1565</v>
      </c>
      <c r="B568" s="4" t="str">
        <f>IFERROR(__xludf.DUMMYFUNCTION("SPLIT(A568:A1294, ""&gt;"")"),"OnAudience ")</f>
        <v>OnAudience </v>
      </c>
      <c r="C568" s="4" t="str">
        <f>IFERROR(__xludf.DUMMYFUNCTION("""COMPUTED_VALUE""")," Interest ")</f>
        <v> Interest </v>
      </c>
      <c r="D568" s="4" t="str">
        <f>IFERROR(__xludf.DUMMYFUNCTION("""COMPUTED_VALUE""")," Technology &amp; Computing ")</f>
        <v> Technology &amp; Computing </v>
      </c>
      <c r="E568" s="4" t="str">
        <f>IFERROR(__xludf.DUMMYFUNCTION("""COMPUTED_VALUE""")," Email")</f>
        <v> Email</v>
      </c>
      <c r="F568" s="4"/>
      <c r="G568" s="4"/>
      <c r="H568" s="4"/>
      <c r="I568" s="5" t="s">
        <v>22</v>
      </c>
      <c r="J568" s="5" t="s">
        <v>23</v>
      </c>
      <c r="K568" s="5" t="s">
        <v>84</v>
      </c>
      <c r="L568" s="6" t="s">
        <v>832</v>
      </c>
      <c r="M568" s="5" t="s">
        <v>327</v>
      </c>
      <c r="N568" s="5" t="s">
        <v>27</v>
      </c>
      <c r="O568" s="5">
        <v>16956.0</v>
      </c>
      <c r="P568" s="5">
        <v>65.0</v>
      </c>
      <c r="Q568" s="5">
        <v>7553.0</v>
      </c>
      <c r="R568" s="5">
        <v>15201.0</v>
      </c>
      <c r="S568" s="5">
        <v>3.0</v>
      </c>
      <c r="T568" s="5">
        <v>1502.680139</v>
      </c>
    </row>
    <row r="569">
      <c r="A569" s="4" t="s">
        <v>1920</v>
      </c>
      <c r="B569" s="4" t="str">
        <f>IFERROR(__xludf.DUMMYFUNCTION("SPLIT(A569:A1295, ""&gt;"")"),"Online Behavior")</f>
        <v>Online Behavior</v>
      </c>
      <c r="C569" s="4" t="str">
        <f>IFERROR(__xludf.DUMMYFUNCTION("""COMPUTED_VALUE"""),"United States")</f>
        <v>United States</v>
      </c>
      <c r="D569" s="4" t="str">
        <f>IFERROR(__xludf.DUMMYFUNCTION("""COMPUTED_VALUE"""),"Autos and Vehicles ")</f>
        <v>Autos and Vehicles </v>
      </c>
      <c r="E569" s="4" t="str">
        <f>IFERROR(__xludf.DUMMYFUNCTION("""COMPUTED_VALUE""")," Brands")</f>
        <v> Brands</v>
      </c>
      <c r="F569" s="4" t="str">
        <f>IFERROR(__xludf.DUMMYFUNCTION("""COMPUTED_VALUE"""),"Lexus")</f>
        <v>Lexus</v>
      </c>
      <c r="G569" s="4"/>
      <c r="H569" s="4"/>
      <c r="I569" s="5" t="s">
        <v>15</v>
      </c>
      <c r="J569" s="5" t="s">
        <v>16</v>
      </c>
      <c r="K569" s="5" t="s">
        <v>35</v>
      </c>
      <c r="L569" s="6" t="s">
        <v>834</v>
      </c>
      <c r="M569" s="5" t="s">
        <v>117</v>
      </c>
      <c r="N569" s="5" t="s">
        <v>52</v>
      </c>
      <c r="O569" s="5">
        <v>17075.0</v>
      </c>
      <c r="P569" s="5">
        <v>44.0</v>
      </c>
      <c r="Q569" s="5">
        <v>5508.0</v>
      </c>
      <c r="R569" s="5">
        <v>11539.0</v>
      </c>
      <c r="S569" s="5">
        <v>10.0</v>
      </c>
      <c r="T569" s="5">
        <v>5086.08996</v>
      </c>
    </row>
    <row r="570">
      <c r="A570" s="4" t="s">
        <v>835</v>
      </c>
      <c r="B570" s="4" t="str">
        <f>IFERROR(__xludf.DUMMYFUNCTION("SPLIT(A570:A1296, ""&gt;"")"),"Online Behavior")</f>
        <v>Online Behavior</v>
      </c>
      <c r="C570" s="4" t="str">
        <f>IFERROR(__xludf.DUMMYFUNCTION("""COMPUTED_VALUE"""),"United States")</f>
        <v>United States</v>
      </c>
      <c r="D570" s="4" t="str">
        <f>IFERROR(__xludf.DUMMYFUNCTION("""COMPUTED_VALUE"""),"The Changing Consumer")</f>
        <v>The Changing Consumer</v>
      </c>
      <c r="E570" s="4" t="str">
        <f>IFERROR(__xludf.DUMMYFUNCTION("""COMPUTED_VALUE"""),"Streaming Services")</f>
        <v>Streaming Services</v>
      </c>
      <c r="F570" s="4"/>
      <c r="G570" s="4"/>
      <c r="H570" s="4"/>
      <c r="I570" s="5" t="s">
        <v>22</v>
      </c>
      <c r="J570" s="5" t="s">
        <v>23</v>
      </c>
      <c r="K570" s="5" t="s">
        <v>84</v>
      </c>
      <c r="L570" s="6" t="s">
        <v>836</v>
      </c>
      <c r="M570" s="5" t="s">
        <v>19</v>
      </c>
      <c r="N570" s="5" t="s">
        <v>27</v>
      </c>
      <c r="O570" s="5">
        <v>9709.0</v>
      </c>
      <c r="P570" s="5">
        <v>58.0</v>
      </c>
      <c r="Q570" s="5">
        <v>3339.0</v>
      </c>
      <c r="R570" s="5">
        <v>7891.0</v>
      </c>
      <c r="S570" s="5">
        <v>3.0</v>
      </c>
      <c r="T570" s="5">
        <v>6994.085353</v>
      </c>
    </row>
    <row r="571">
      <c r="A571" s="4" t="s">
        <v>1567</v>
      </c>
      <c r="B571" s="4" t="str">
        <f>IFERROR(__xludf.DUMMYFUNCTION("SPLIT(A571:A1297, ""&gt;"")"),"Online Behavior")</f>
        <v>Online Behavior</v>
      </c>
      <c r="C571" s="4" t="str">
        <f>IFERROR(__xludf.DUMMYFUNCTION("""COMPUTED_VALUE"""),"United States")</f>
        <v>United States</v>
      </c>
      <c r="D571" s="4" t="str">
        <f>IFERROR(__xludf.DUMMYFUNCTION("""COMPUTED_VALUE"""),"Autos and Vehicles ")</f>
        <v>Autos and Vehicles </v>
      </c>
      <c r="E571" s="4" t="str">
        <f>IFERROR(__xludf.DUMMYFUNCTION("""COMPUTED_VALUE""")," Brands")</f>
        <v> Brands</v>
      </c>
      <c r="F571" s="4" t="str">
        <f>IFERROR(__xludf.DUMMYFUNCTION("""COMPUTED_VALUE"""),"Pontiac")</f>
        <v>Pontiac</v>
      </c>
      <c r="G571" s="4"/>
      <c r="H571" s="4"/>
      <c r="I571" s="5" t="s">
        <v>22</v>
      </c>
      <c r="J571" s="5" t="s">
        <v>16</v>
      </c>
      <c r="K571" s="5" t="s">
        <v>29</v>
      </c>
      <c r="L571" s="6" t="s">
        <v>836</v>
      </c>
      <c r="M571" s="5" t="s">
        <v>46</v>
      </c>
      <c r="N571" s="5" t="s">
        <v>27</v>
      </c>
      <c r="O571" s="5">
        <v>7769.0</v>
      </c>
      <c r="P571" s="5">
        <v>10.0</v>
      </c>
      <c r="Q571" s="5">
        <v>3152.0</v>
      </c>
      <c r="R571" s="5">
        <v>6464.0</v>
      </c>
      <c r="S571" s="5">
        <v>1.0</v>
      </c>
      <c r="T571" s="5">
        <v>5603.048132</v>
      </c>
    </row>
    <row r="572">
      <c r="A572" s="4" t="s">
        <v>838</v>
      </c>
      <c r="B572" s="4" t="str">
        <f>IFERROR(__xludf.DUMMYFUNCTION("SPLIT(A572:A1298, ""&gt;"")"),"Online Behavior")</f>
        <v>Online Behavior</v>
      </c>
      <c r="C572" s="4" t="str">
        <f>IFERROR(__xludf.DUMMYFUNCTION("""COMPUTED_VALUE"""),"United States")</f>
        <v>United States</v>
      </c>
      <c r="D572" s="4" t="str">
        <f>IFERROR(__xludf.DUMMYFUNCTION("""COMPUTED_VALUE"""),"Home and Garden")</f>
        <v>Home and Garden</v>
      </c>
      <c r="E572" s="4" t="str">
        <f>IFERROR(__xludf.DUMMYFUNCTION("""COMPUTED_VALUE"""),"Bed and Bath")</f>
        <v>Bed and Bath</v>
      </c>
      <c r="F572" s="4"/>
      <c r="G572" s="4"/>
      <c r="H572" s="4"/>
      <c r="I572" s="5" t="s">
        <v>15</v>
      </c>
      <c r="J572" s="5" t="s">
        <v>42</v>
      </c>
      <c r="K572" s="5" t="s">
        <v>17</v>
      </c>
      <c r="L572" s="6" t="s">
        <v>839</v>
      </c>
      <c r="M572" s="5" t="s">
        <v>19</v>
      </c>
      <c r="N572" s="5" t="s">
        <v>20</v>
      </c>
      <c r="O572" s="5">
        <v>28888.0</v>
      </c>
      <c r="P572" s="5">
        <v>85.0</v>
      </c>
      <c r="Q572" s="5">
        <v>21437.0</v>
      </c>
      <c r="R572" s="5">
        <v>27586.0</v>
      </c>
      <c r="S572" s="5">
        <v>19.0</v>
      </c>
      <c r="T572" s="5">
        <v>6858.578118</v>
      </c>
    </row>
    <row r="573">
      <c r="A573" s="4" t="s">
        <v>1568</v>
      </c>
      <c r="B573" s="4" t="str">
        <f>IFERROR(__xludf.DUMMYFUNCTION("SPLIT(A573:A1299, ""&gt;"")"),"Media and Entertainment ")</f>
        <v>Media and Entertainment </v>
      </c>
      <c r="C573" s="4" t="str">
        <f>IFERROR(__xludf.DUMMYFUNCTION("""COMPUTED_VALUE""")," Connected TV and Over-the-Top (CTV and OTT)")</f>
        <v> Connected TV and Over-the-Top (CTV and OTT)</v>
      </c>
      <c r="D573" s="4"/>
      <c r="E573" s="4"/>
      <c r="F573" s="4"/>
      <c r="G573" s="4"/>
      <c r="H573" s="4"/>
      <c r="I573" s="5" t="s">
        <v>15</v>
      </c>
      <c r="J573" s="5" t="s">
        <v>23</v>
      </c>
      <c r="K573" s="5" t="s">
        <v>35</v>
      </c>
      <c r="L573" s="6" t="s">
        <v>839</v>
      </c>
      <c r="M573" s="5" t="s">
        <v>19</v>
      </c>
      <c r="N573" s="5" t="s">
        <v>27</v>
      </c>
      <c r="O573" s="5">
        <v>756687.0</v>
      </c>
      <c r="P573" s="5">
        <v>1984.0</v>
      </c>
      <c r="Q573" s="5">
        <v>442979.0</v>
      </c>
      <c r="R573" s="5">
        <v>611813.0</v>
      </c>
      <c r="S573" s="5">
        <v>14.0</v>
      </c>
      <c r="T573" s="5">
        <v>2452.997504</v>
      </c>
    </row>
    <row r="574">
      <c r="A574" s="4" t="s">
        <v>1921</v>
      </c>
      <c r="B574" s="4" t="str">
        <f>IFERROR(__xludf.DUMMYFUNCTION("SPLIT(A574:A1300, ""&gt;"")"),"US ")</f>
        <v>US </v>
      </c>
      <c r="C574" s="4" t="str">
        <f>IFERROR(__xludf.DUMMYFUNCTION("""COMPUTED_VALUE""")," B2B ")</f>
        <v> B2B </v>
      </c>
      <c r="D574" s="4" t="str">
        <f>IFERROR(__xludf.DUMMYFUNCTION("""COMPUTED_VALUE""")," B2B Decision Maker Responsibilities ")</f>
        <v> B2B Decision Maker Responsibilities </v>
      </c>
      <c r="E574" s="4" t="str">
        <f>IFERROR(__xludf.DUMMYFUNCTION("""COMPUTED_VALUE""")," Television providers ")</f>
        <v> Television providers </v>
      </c>
      <c r="F574" s="4" t="str">
        <f>IFERROR(__xludf.DUMMYFUNCTION("""COMPUTED_VALUE""")," services")</f>
        <v> services</v>
      </c>
      <c r="G574" s="4"/>
      <c r="H574" s="4"/>
      <c r="I574" s="5" t="s">
        <v>15</v>
      </c>
      <c r="J574" s="5" t="s">
        <v>16</v>
      </c>
      <c r="K574" s="5" t="s">
        <v>84</v>
      </c>
      <c r="L574" s="6" t="s">
        <v>839</v>
      </c>
      <c r="M574" s="5" t="s">
        <v>19</v>
      </c>
      <c r="N574" s="5" t="s">
        <v>52</v>
      </c>
      <c r="O574" s="5">
        <v>56737.0</v>
      </c>
      <c r="P574" s="5">
        <v>145.0</v>
      </c>
      <c r="Q574" s="5">
        <v>41296.0</v>
      </c>
      <c r="R574" s="5">
        <v>53472.0</v>
      </c>
      <c r="S574" s="5">
        <v>5.0</v>
      </c>
      <c r="T574" s="5">
        <v>2028.370144</v>
      </c>
    </row>
    <row r="575">
      <c r="A575" s="4" t="s">
        <v>1922</v>
      </c>
      <c r="B575" s="4" t="str">
        <f>IFERROR(__xludf.DUMMYFUNCTION("SPLIT(A575:A1301, ""&gt;"")"),"US ")</f>
        <v>US </v>
      </c>
      <c r="C575" s="4" t="str">
        <f>IFERROR(__xludf.DUMMYFUNCTION("""COMPUTED_VALUE""")," B2B ")</f>
        <v> B2B </v>
      </c>
      <c r="D575" s="4" t="str">
        <f>IFERROR(__xludf.DUMMYFUNCTION("""COMPUTED_VALUE""")," Purchase DM ")</f>
        <v> Purchase DM </v>
      </c>
      <c r="E575" s="4" t="str">
        <f>IFERROR(__xludf.DUMMYFUNCTION("""COMPUTED_VALUE""")," Technology Services, Hardware and ")</f>
        <v> Technology Services, Hardware and </v>
      </c>
      <c r="F575" s="4" t="str">
        <f>IFERROR(__xludf.DUMMYFUNCTION("""COMPUTED_VALUE""")," or Software ")</f>
        <v> or Software </v>
      </c>
      <c r="G575" s="4" t="str">
        <f>IFERROR(__xludf.DUMMYFUNCTION("""COMPUTED_VALUE""")," I make the final decision with input from staff ")</f>
        <v> I make the final decision with input from staff </v>
      </c>
      <c r="H575" s="4" t="str">
        <f>IFERROR(__xludf.DUMMYFUNCTION("""COMPUTED_VALUE""")," management")</f>
        <v> management</v>
      </c>
      <c r="I575" s="5" t="s">
        <v>15</v>
      </c>
      <c r="J575" s="5" t="s">
        <v>42</v>
      </c>
      <c r="K575" s="5" t="s">
        <v>95</v>
      </c>
      <c r="L575" s="6" t="s">
        <v>843</v>
      </c>
      <c r="M575" s="5" t="s">
        <v>161</v>
      </c>
      <c r="N575" s="5" t="s">
        <v>27</v>
      </c>
      <c r="O575" s="5">
        <v>217824.0</v>
      </c>
      <c r="P575" s="5">
        <v>560.0</v>
      </c>
      <c r="Q575" s="5">
        <v>75089.0</v>
      </c>
      <c r="R575" s="5">
        <v>179723.0</v>
      </c>
      <c r="S575" s="5">
        <v>16.0</v>
      </c>
      <c r="T575" s="5">
        <v>1451.808544</v>
      </c>
    </row>
    <row r="576">
      <c r="A576" s="4" t="s">
        <v>1571</v>
      </c>
      <c r="B576" s="4" t="str">
        <f>IFERROR(__xludf.DUMMYFUNCTION("SPLIT(A576:A1302, ""&gt;"")"),"Online Behavior")</f>
        <v>Online Behavior</v>
      </c>
      <c r="C576" s="4" t="str">
        <f>IFERROR(__xludf.DUMMYFUNCTION("""COMPUTED_VALUE"""),"United States")</f>
        <v>United States</v>
      </c>
      <c r="D576" s="4" t="str">
        <f>IFERROR(__xludf.DUMMYFUNCTION("""COMPUTED_VALUE"""),"Intent ")</f>
        <v>Intent </v>
      </c>
      <c r="E576" s="4" t="str">
        <f>IFERROR(__xludf.DUMMYFUNCTION("""COMPUTED_VALUE""")," Auto Buyers ")</f>
        <v> Auto Buyers </v>
      </c>
      <c r="F576" s="4" t="str">
        <f>IFERROR(__xludf.DUMMYFUNCTION("""COMPUTED_VALUE""")," Category")</f>
        <v> Category</v>
      </c>
      <c r="G576" s="4" t="str">
        <f>IFERROR(__xludf.DUMMYFUNCTION("""COMPUTED_VALUE"""),"Van")</f>
        <v>Van</v>
      </c>
      <c r="H576" s="4"/>
      <c r="I576" s="5" t="s">
        <v>22</v>
      </c>
      <c r="J576" s="5" t="s">
        <v>23</v>
      </c>
      <c r="K576" s="5" t="s">
        <v>35</v>
      </c>
      <c r="L576" s="6" t="s">
        <v>845</v>
      </c>
      <c r="M576" s="5" t="s">
        <v>19</v>
      </c>
      <c r="N576" s="5" t="s">
        <v>27</v>
      </c>
      <c r="O576" s="5">
        <v>9153.0</v>
      </c>
      <c r="P576" s="5">
        <v>23.0</v>
      </c>
      <c r="Q576" s="5">
        <v>4345.0</v>
      </c>
      <c r="R576" s="5">
        <v>8376.0</v>
      </c>
      <c r="S576" s="5">
        <v>14.0</v>
      </c>
      <c r="T576" s="5">
        <v>5007.525805</v>
      </c>
    </row>
    <row r="577">
      <c r="A577" s="4" t="s">
        <v>1572</v>
      </c>
      <c r="B577" s="4" t="str">
        <f>IFERROR(__xludf.DUMMYFUNCTION("SPLIT(A577:A1303, ""&gt;"")"),"Online Behavior")</f>
        <v>Online Behavior</v>
      </c>
      <c r="C577" s="4" t="str">
        <f>IFERROR(__xludf.DUMMYFUNCTION("""COMPUTED_VALUE"""),"United States")</f>
        <v>United States</v>
      </c>
      <c r="D577" s="4" t="str">
        <f>IFERROR(__xludf.DUMMYFUNCTION("""COMPUTED_VALUE"""),"B2B ")</f>
        <v>B2B </v>
      </c>
      <c r="E577" s="4" t="str">
        <f>IFERROR(__xludf.DUMMYFUNCTION("""COMPUTED_VALUE""")," Occupation")</f>
        <v> Occupation</v>
      </c>
      <c r="F577" s="4" t="str">
        <f>IFERROR(__xludf.DUMMYFUNCTION("""COMPUTED_VALUE"""),"Broker")</f>
        <v>Broker</v>
      </c>
      <c r="G577" s="4"/>
      <c r="H577" s="4"/>
      <c r="I577" s="5" t="s">
        <v>22</v>
      </c>
      <c r="J577" s="5" t="s">
        <v>31</v>
      </c>
      <c r="K577" s="5" t="s">
        <v>43</v>
      </c>
      <c r="L577" s="6" t="s">
        <v>847</v>
      </c>
      <c r="M577" s="5" t="s">
        <v>46</v>
      </c>
      <c r="N577" s="5" t="s">
        <v>27</v>
      </c>
      <c r="O577" s="5">
        <v>21962.0</v>
      </c>
      <c r="P577" s="5">
        <v>120.0</v>
      </c>
      <c r="Q577" s="5">
        <v>10702.0</v>
      </c>
      <c r="R577" s="5">
        <v>21034.0</v>
      </c>
      <c r="S577" s="5">
        <v>11.0</v>
      </c>
      <c r="T577" s="5">
        <v>6404.003128</v>
      </c>
    </row>
    <row r="578">
      <c r="A578" s="4" t="s">
        <v>848</v>
      </c>
      <c r="B578" s="4" t="str">
        <f>IFERROR(__xludf.DUMMYFUNCTION("SPLIT(A578:A1304, ""&gt;"")"),"Online Behavior")</f>
        <v>Online Behavior</v>
      </c>
      <c r="C578" s="4" t="str">
        <f>IFERROR(__xludf.DUMMYFUNCTION("""COMPUTED_VALUE"""),"United States")</f>
        <v>United States</v>
      </c>
      <c r="D578" s="4" t="str">
        <f>IFERROR(__xludf.DUMMYFUNCTION("""COMPUTED_VALUE"""),"The Changing Consumer")</f>
        <v>The Changing Consumer</v>
      </c>
      <c r="E578" s="4" t="str">
        <f>IFERROR(__xludf.DUMMYFUNCTION("""COMPUTED_VALUE"""),"DIY")</f>
        <v>DIY</v>
      </c>
      <c r="F578" s="4"/>
      <c r="G578" s="4"/>
      <c r="H578" s="4"/>
      <c r="I578" s="5" t="s">
        <v>22</v>
      </c>
      <c r="J578" s="5" t="s">
        <v>23</v>
      </c>
      <c r="K578" s="5" t="s">
        <v>32</v>
      </c>
      <c r="L578" s="6" t="s">
        <v>849</v>
      </c>
      <c r="M578" s="5" t="s">
        <v>19</v>
      </c>
      <c r="N578" s="5" t="s">
        <v>27</v>
      </c>
      <c r="O578" s="5">
        <v>12161.0</v>
      </c>
      <c r="P578" s="5">
        <v>20.0</v>
      </c>
      <c r="Q578" s="5">
        <v>6284.0</v>
      </c>
      <c r="R578" s="5">
        <v>10919.0</v>
      </c>
      <c r="S578" s="5">
        <v>4.0</v>
      </c>
      <c r="T578" s="5">
        <v>7273.265988</v>
      </c>
    </row>
    <row r="579">
      <c r="A579" s="4" t="s">
        <v>1923</v>
      </c>
      <c r="B579" s="4" t="str">
        <f>IFERROR(__xludf.DUMMYFUNCTION("SPLIT(A579:A1305, ""&gt;"")"),"US ")</f>
        <v>US </v>
      </c>
      <c r="C579" s="4" t="str">
        <f>IFERROR(__xludf.DUMMYFUNCTION("""COMPUTED_VALUE""")," Reach ")</f>
        <v> Reach </v>
      </c>
      <c r="D579" s="4" t="str">
        <f>IFERROR(__xludf.DUMMYFUNCTION("""COMPUTED_VALUE""")," Propensity Models ")</f>
        <v> Propensity Models </v>
      </c>
      <c r="E579" s="4" t="str">
        <f>IFERROR(__xludf.DUMMYFUNCTION("""COMPUTED_VALUE""")," Hobbies and Interest ")</f>
        <v> Hobbies and Interest </v>
      </c>
      <c r="F579" s="4" t="str">
        <f>IFERROR(__xludf.DUMMYFUNCTION("""COMPUTED_VALUE""")," Sports ")</f>
        <v> Sports </v>
      </c>
      <c r="G579" s="4" t="str">
        <f>IFERROR(__xludf.DUMMYFUNCTION("""COMPUTED_VALUE""")," Canoeing ")</f>
        <v> Canoeing </v>
      </c>
      <c r="H579" s="4" t="str">
        <f>IFERROR(__xludf.DUMMYFUNCTION("""COMPUTED_VALUE""")," Kayaking")</f>
        <v> Kayaking</v>
      </c>
      <c r="I579" s="5" t="s">
        <v>15</v>
      </c>
      <c r="J579" s="5" t="s">
        <v>16</v>
      </c>
      <c r="K579" s="5" t="s">
        <v>29</v>
      </c>
      <c r="L579" s="6" t="s">
        <v>851</v>
      </c>
      <c r="M579" s="5" t="s">
        <v>46</v>
      </c>
      <c r="N579" s="5" t="s">
        <v>27</v>
      </c>
      <c r="O579" s="5">
        <v>10653.0</v>
      </c>
      <c r="P579" s="5">
        <v>68.0</v>
      </c>
      <c r="Q579" s="5">
        <v>5263.0</v>
      </c>
      <c r="R579" s="5">
        <v>9921.0</v>
      </c>
      <c r="S579" s="5">
        <v>11.0</v>
      </c>
      <c r="T579" s="5">
        <v>2641.478397</v>
      </c>
    </row>
    <row r="580">
      <c r="A580" s="4" t="s">
        <v>1574</v>
      </c>
      <c r="B580" s="4" t="str">
        <f>IFERROR(__xludf.DUMMYFUNCTION("SPLIT(A580:A1306, ""&gt;"")"),"Online Behavior")</f>
        <v>Online Behavior</v>
      </c>
      <c r="C580" s="4" t="str">
        <f>IFERROR(__xludf.DUMMYFUNCTION("""COMPUTED_VALUE"""),"United States")</f>
        <v>United States</v>
      </c>
      <c r="D580" s="4" t="str">
        <f>IFERROR(__xludf.DUMMYFUNCTION("""COMPUTED_VALUE"""),"Autos and Vehicles ")</f>
        <v>Autos and Vehicles </v>
      </c>
      <c r="E580" s="4" t="str">
        <f>IFERROR(__xludf.DUMMYFUNCTION("""COMPUTED_VALUE""")," Brands")</f>
        <v> Brands</v>
      </c>
      <c r="F580" s="4" t="str">
        <f>IFERROR(__xludf.DUMMYFUNCTION("""COMPUTED_VALUE"""),"Nissan")</f>
        <v>Nissan</v>
      </c>
      <c r="G580" s="4"/>
      <c r="H580" s="4"/>
      <c r="I580" s="5" t="s">
        <v>15</v>
      </c>
      <c r="J580" s="5" t="s">
        <v>23</v>
      </c>
      <c r="K580" s="5" t="s">
        <v>35</v>
      </c>
      <c r="L580" s="6" t="s">
        <v>853</v>
      </c>
      <c r="M580" s="5" t="s">
        <v>46</v>
      </c>
      <c r="N580" s="5" t="s">
        <v>27</v>
      </c>
      <c r="O580" s="5">
        <v>7691.0</v>
      </c>
      <c r="P580" s="5">
        <v>0.0</v>
      </c>
      <c r="Q580" s="5">
        <v>3890.0</v>
      </c>
      <c r="R580" s="5">
        <v>5905.0</v>
      </c>
      <c r="S580" s="5">
        <v>1.0</v>
      </c>
      <c r="T580" s="5">
        <v>5927.806788</v>
      </c>
    </row>
    <row r="581">
      <c r="A581" s="4" t="s">
        <v>1575</v>
      </c>
      <c r="B581" s="4" t="str">
        <f>IFERROR(__xludf.DUMMYFUNCTION("SPLIT(A581:A1307, ""&gt;"")"),"Online Behavior")</f>
        <v>Online Behavior</v>
      </c>
      <c r="C581" s="4" t="str">
        <f>IFERROR(__xludf.DUMMYFUNCTION("""COMPUTED_VALUE"""),"United States")</f>
        <v>United States</v>
      </c>
      <c r="D581" s="4" t="str">
        <f>IFERROR(__xludf.DUMMYFUNCTION("""COMPUTED_VALUE"""),"Finance ")</f>
        <v>Finance </v>
      </c>
      <c r="E581" s="4" t="str">
        <f>IFERROR(__xludf.DUMMYFUNCTION("""COMPUTED_VALUE""")," Banking")</f>
        <v> Banking</v>
      </c>
      <c r="F581" s="4" t="str">
        <f>IFERROR(__xludf.DUMMYFUNCTION("""COMPUTED_VALUE"""),"Debit and Checking Services")</f>
        <v>Debit and Checking Services</v>
      </c>
      <c r="G581" s="4"/>
      <c r="H581" s="4"/>
      <c r="I581" s="5" t="s">
        <v>15</v>
      </c>
      <c r="J581" s="5" t="s">
        <v>16</v>
      </c>
      <c r="K581" s="5" t="s">
        <v>35</v>
      </c>
      <c r="L581" s="6" t="s">
        <v>855</v>
      </c>
      <c r="M581" s="5" t="s">
        <v>46</v>
      </c>
      <c r="N581" s="5" t="s">
        <v>27</v>
      </c>
      <c r="O581" s="5">
        <v>8362.0</v>
      </c>
      <c r="P581" s="5">
        <v>31.0</v>
      </c>
      <c r="Q581" s="5">
        <v>5959.0</v>
      </c>
      <c r="R581" s="5">
        <v>7947.0</v>
      </c>
      <c r="S581" s="5">
        <v>7.0</v>
      </c>
      <c r="T581" s="5">
        <v>6997.468963</v>
      </c>
    </row>
    <row r="582">
      <c r="A582" s="4" t="s">
        <v>1576</v>
      </c>
      <c r="B582" s="4" t="str">
        <f>IFERROR(__xludf.DUMMYFUNCTION("SPLIT(A582:A1308, ""&gt;"")"),"OnAudience ")</f>
        <v>OnAudience </v>
      </c>
      <c r="C582" s="4" t="str">
        <f>IFERROR(__xludf.DUMMYFUNCTION("""COMPUTED_VALUE""")," Interest ")</f>
        <v> Interest </v>
      </c>
      <c r="D582" s="4" t="str">
        <f>IFERROR(__xludf.DUMMYFUNCTION("""COMPUTED_VALUE""")," Society")</f>
        <v> Society</v>
      </c>
      <c r="E582" s="4"/>
      <c r="F582" s="4"/>
      <c r="G582" s="4"/>
      <c r="H582" s="4"/>
      <c r="I582" s="5" t="s">
        <v>61</v>
      </c>
      <c r="J582" s="5" t="s">
        <v>16</v>
      </c>
      <c r="K582" s="5" t="s">
        <v>66</v>
      </c>
      <c r="L582" s="6" t="s">
        <v>857</v>
      </c>
      <c r="M582" s="5" t="s">
        <v>26</v>
      </c>
      <c r="N582" s="5" t="s">
        <v>27</v>
      </c>
      <c r="O582" s="5">
        <v>7531.0</v>
      </c>
      <c r="P582" s="5">
        <v>10.0</v>
      </c>
      <c r="Q582" s="5">
        <v>3059.0</v>
      </c>
      <c r="R582" s="5">
        <v>6523.0</v>
      </c>
      <c r="S582" s="5">
        <v>1.0</v>
      </c>
      <c r="T582" s="5">
        <v>1937.058388</v>
      </c>
    </row>
    <row r="583">
      <c r="A583" s="4" t="s">
        <v>1577</v>
      </c>
      <c r="B583" s="4" t="str">
        <f>IFERROR(__xludf.DUMMYFUNCTION("SPLIT(A583:A1309, ""&gt;"")"),"Online Behavior")</f>
        <v>Online Behavior</v>
      </c>
      <c r="C583" s="4" t="str">
        <f>IFERROR(__xludf.DUMMYFUNCTION("""COMPUTED_VALUE"""),"United States")</f>
        <v>United States</v>
      </c>
      <c r="D583" s="4" t="str">
        <f>IFERROR(__xludf.DUMMYFUNCTION("""COMPUTED_VALUE"""),"Autos and Vehicles ")</f>
        <v>Autos and Vehicles </v>
      </c>
      <c r="E583" s="4" t="str">
        <f>IFERROR(__xludf.DUMMYFUNCTION("""COMPUTED_VALUE""")," Brands")</f>
        <v> Brands</v>
      </c>
      <c r="F583" s="4" t="str">
        <f>IFERROR(__xludf.DUMMYFUNCTION("""COMPUTED_VALUE"""),"Fiat")</f>
        <v>Fiat</v>
      </c>
      <c r="G583" s="4"/>
      <c r="H583" s="4"/>
      <c r="I583" s="5" t="s">
        <v>15</v>
      </c>
      <c r="J583" s="5" t="s">
        <v>42</v>
      </c>
      <c r="K583" s="5" t="s">
        <v>35</v>
      </c>
      <c r="L583" s="6" t="s">
        <v>859</v>
      </c>
      <c r="M583" s="5" t="s">
        <v>36</v>
      </c>
      <c r="N583" s="5" t="s">
        <v>27</v>
      </c>
      <c r="O583" s="5">
        <v>11417.0</v>
      </c>
      <c r="P583" s="5">
        <v>78.0</v>
      </c>
      <c r="Q583" s="5">
        <v>1387.0</v>
      </c>
      <c r="R583" s="5">
        <v>9924.0</v>
      </c>
      <c r="S583" s="5">
        <v>9.0</v>
      </c>
      <c r="T583" s="5">
        <v>6206.637108</v>
      </c>
    </row>
    <row r="584">
      <c r="A584" s="4" t="s">
        <v>1924</v>
      </c>
      <c r="B584" s="4" t="str">
        <f>IFERROR(__xludf.DUMMYFUNCTION("SPLIT(A584:A1310, ""&gt;"")"),"Mobile - US ")</f>
        <v>Mobile - US </v>
      </c>
      <c r="C584" s="4" t="str">
        <f>IFERROR(__xludf.DUMMYFUNCTION("""COMPUTED_VALUE""")," Automotive ")</f>
        <v> Automotive </v>
      </c>
      <c r="D584" s="4" t="str">
        <f>IFERROR(__xludf.DUMMYFUNCTION("""COMPUTED_VALUE""")," Repair &amp; Oil Change ")</f>
        <v> Repair &amp; Oil Change </v>
      </c>
      <c r="E584" s="4" t="str">
        <f>IFERROR(__xludf.DUMMYFUNCTION("""COMPUTED_VALUE""")," Intend")</f>
        <v> Intend</v>
      </c>
      <c r="F584" s="4"/>
      <c r="G584" s="4"/>
      <c r="H584" s="4"/>
      <c r="I584" s="5" t="s">
        <v>22</v>
      </c>
      <c r="J584" s="5" t="s">
        <v>16</v>
      </c>
      <c r="K584" s="5" t="s">
        <v>29</v>
      </c>
      <c r="L584" s="6" t="s">
        <v>861</v>
      </c>
      <c r="M584" s="5" t="s">
        <v>117</v>
      </c>
      <c r="N584" s="5" t="s">
        <v>27</v>
      </c>
      <c r="O584" s="5">
        <v>9157.0</v>
      </c>
      <c r="P584" s="5">
        <v>60.0</v>
      </c>
      <c r="Q584" s="5">
        <v>4520.0</v>
      </c>
      <c r="R584" s="5">
        <v>8037.0</v>
      </c>
      <c r="S584" s="5">
        <v>2.0</v>
      </c>
      <c r="T584" s="5">
        <v>1449.177804</v>
      </c>
    </row>
    <row r="585">
      <c r="A585" s="4" t="s">
        <v>1925</v>
      </c>
      <c r="B585" s="4" t="str">
        <f>IFERROR(__xludf.DUMMYFUNCTION("SPLIT(A585:A1311, ""&gt;"")"),"US ")</f>
        <v>US </v>
      </c>
      <c r="C585" s="4" t="str">
        <f>IFERROR(__xludf.DUMMYFUNCTION("""COMPUTED_VALUE""")," Home Renovation ")</f>
        <v> Home Renovation </v>
      </c>
      <c r="D585" s="4" t="str">
        <f>IFERROR(__xludf.DUMMYFUNCTION("""COMPUTED_VALUE""")," Home Renovators")</f>
        <v> Home Renovators</v>
      </c>
      <c r="E585" s="4"/>
      <c r="F585" s="4"/>
      <c r="G585" s="4"/>
      <c r="H585" s="4"/>
      <c r="I585" s="5" t="s">
        <v>15</v>
      </c>
      <c r="J585" s="5" t="s">
        <v>31</v>
      </c>
      <c r="K585" s="5" t="s">
        <v>35</v>
      </c>
      <c r="L585" s="6" t="s">
        <v>863</v>
      </c>
      <c r="M585" s="5" t="s">
        <v>19</v>
      </c>
      <c r="N585" s="5" t="s">
        <v>27</v>
      </c>
      <c r="O585" s="5">
        <v>15547.0</v>
      </c>
      <c r="P585" s="5">
        <v>70.0</v>
      </c>
      <c r="Q585" s="5">
        <v>7615.0</v>
      </c>
      <c r="R585" s="5">
        <v>14939.0</v>
      </c>
      <c r="S585" s="5">
        <v>3.0</v>
      </c>
      <c r="T585" s="5">
        <v>1767.464456</v>
      </c>
    </row>
    <row r="586">
      <c r="A586" s="4" t="s">
        <v>864</v>
      </c>
      <c r="B586" s="4" t="str">
        <f>IFERROR(__xludf.DUMMYFUNCTION("SPLIT(A586:A1312, ""&gt;"")"),"Online Behavior")</f>
        <v>Online Behavior</v>
      </c>
      <c r="C586" s="4" t="str">
        <f>IFERROR(__xludf.DUMMYFUNCTION("""COMPUTED_VALUE"""),"United States")</f>
        <v>United States</v>
      </c>
      <c r="D586" s="4" t="str">
        <f>IFERROR(__xludf.DUMMYFUNCTION("""COMPUTED_VALUE"""),"News")</f>
        <v>News</v>
      </c>
      <c r="E586" s="4" t="str">
        <f>IFERROR(__xludf.DUMMYFUNCTION("""COMPUTED_VALUE"""),"Politics")</f>
        <v>Politics</v>
      </c>
      <c r="F586" s="4"/>
      <c r="G586" s="4"/>
      <c r="H586" s="4"/>
      <c r="I586" s="5" t="s">
        <v>22</v>
      </c>
      <c r="J586" s="5" t="s">
        <v>23</v>
      </c>
      <c r="K586" s="5" t="s">
        <v>78</v>
      </c>
      <c r="L586" s="6" t="s">
        <v>865</v>
      </c>
      <c r="M586" s="5" t="s">
        <v>19</v>
      </c>
      <c r="N586" s="5" t="s">
        <v>27</v>
      </c>
      <c r="O586" s="5">
        <v>55445.0</v>
      </c>
      <c r="P586" s="5">
        <v>155.0</v>
      </c>
      <c r="Q586" s="5">
        <v>4565.0</v>
      </c>
      <c r="R586" s="5">
        <v>53407.0</v>
      </c>
      <c r="S586" s="5">
        <v>36.0</v>
      </c>
      <c r="T586" s="5">
        <v>7948.480752</v>
      </c>
    </row>
    <row r="587">
      <c r="A587" s="4" t="s">
        <v>866</v>
      </c>
      <c r="B587" s="4" t="str">
        <f>IFERROR(__xludf.DUMMYFUNCTION("SPLIT(A587:A1313, ""&gt;"")"),"Online Behavior")</f>
        <v>Online Behavior</v>
      </c>
      <c r="C587" s="4" t="str">
        <f>IFERROR(__xludf.DUMMYFUNCTION("""COMPUTED_VALUE"""),"United States")</f>
        <v>United States</v>
      </c>
      <c r="D587" s="4" t="str">
        <f>IFERROR(__xludf.DUMMYFUNCTION("""COMPUTED_VALUE"""),"Life Event")</f>
        <v>Life Event</v>
      </c>
      <c r="E587" s="4" t="str">
        <f>IFERROR(__xludf.DUMMYFUNCTION("""COMPUTED_VALUE"""),"Job Search")</f>
        <v>Job Search</v>
      </c>
      <c r="F587" s="4"/>
      <c r="G587" s="4"/>
      <c r="H587" s="4"/>
      <c r="I587" s="5" t="s">
        <v>22</v>
      </c>
      <c r="J587" s="5" t="s">
        <v>42</v>
      </c>
      <c r="K587" s="5" t="s">
        <v>78</v>
      </c>
      <c r="L587" s="6" t="s">
        <v>865</v>
      </c>
      <c r="M587" s="5" t="s">
        <v>19</v>
      </c>
      <c r="N587" s="5" t="s">
        <v>27</v>
      </c>
      <c r="O587" s="5">
        <v>18081.0</v>
      </c>
      <c r="P587" s="5">
        <v>44.0</v>
      </c>
      <c r="Q587" s="5">
        <v>4545.0</v>
      </c>
      <c r="R587" s="5">
        <v>15617.0</v>
      </c>
      <c r="S587" s="5">
        <v>15.0</v>
      </c>
      <c r="T587" s="5">
        <v>6522.637526</v>
      </c>
    </row>
    <row r="588">
      <c r="A588" s="4" t="s">
        <v>1581</v>
      </c>
      <c r="B588" s="4" t="str">
        <f>IFERROR(__xludf.DUMMYFUNCTION("SPLIT(A588:A1314, ""&gt;"")"),"Online Behavior")</f>
        <v>Online Behavior</v>
      </c>
      <c r="C588" s="4" t="str">
        <f>IFERROR(__xludf.DUMMYFUNCTION("""COMPUTED_VALUE"""),"United States")</f>
        <v>United States</v>
      </c>
      <c r="D588" s="4" t="str">
        <f>IFERROR(__xludf.DUMMYFUNCTION("""COMPUTED_VALUE"""),"Food and Drink")</f>
        <v>Food and Drink</v>
      </c>
      <c r="E588" s="4" t="str">
        <f>IFERROR(__xludf.DUMMYFUNCTION("""COMPUTED_VALUE"""),"Restaurants ")</f>
        <v>Restaurants </v>
      </c>
      <c r="F588" s="4" t="str">
        <f>IFERROR(__xludf.DUMMYFUNCTION("""COMPUTED_VALUE""")," Fine Dining")</f>
        <v> Fine Dining</v>
      </c>
      <c r="G588" s="4"/>
      <c r="H588" s="4"/>
      <c r="I588" s="5" t="s">
        <v>15</v>
      </c>
      <c r="J588" s="5" t="s">
        <v>31</v>
      </c>
      <c r="K588" s="5" t="s">
        <v>78</v>
      </c>
      <c r="L588" s="6" t="s">
        <v>865</v>
      </c>
      <c r="M588" s="5" t="s">
        <v>19</v>
      </c>
      <c r="N588" s="5" t="s">
        <v>52</v>
      </c>
      <c r="O588" s="5">
        <v>95655.0</v>
      </c>
      <c r="P588" s="5">
        <v>275.0</v>
      </c>
      <c r="Q588" s="5">
        <v>9202.0</v>
      </c>
      <c r="R588" s="5">
        <v>85273.0</v>
      </c>
      <c r="S588" s="5">
        <v>24.0</v>
      </c>
      <c r="T588" s="5">
        <v>6189.416082</v>
      </c>
    </row>
    <row r="589">
      <c r="A589" s="4" t="s">
        <v>1926</v>
      </c>
      <c r="B589" s="4" t="str">
        <f>IFERROR(__xludf.DUMMYFUNCTION("SPLIT(A589:A1315, ""&gt;"")"),"US ")</f>
        <v>US </v>
      </c>
      <c r="C589" s="4" t="str">
        <f>IFERROR(__xludf.DUMMYFUNCTION("""COMPUTED_VALUE""")," Brand Propensities ")</f>
        <v> Brand Propensities </v>
      </c>
      <c r="D589" s="4" t="str">
        <f>IFERROR(__xludf.DUMMYFUNCTION("""COMPUTED_VALUE""")," Apparel ")</f>
        <v> Apparel </v>
      </c>
      <c r="E589" s="4" t="str">
        <f>IFERROR(__xludf.DUMMYFUNCTION("""COMPUTED_VALUE""")," Lady Foot Locker Buyer Propensity")</f>
        <v> Lady Foot Locker Buyer Propensity</v>
      </c>
      <c r="F589" s="4"/>
      <c r="G589" s="4"/>
      <c r="H589" s="4"/>
      <c r="I589" s="5" t="s">
        <v>15</v>
      </c>
      <c r="J589" s="5" t="s">
        <v>16</v>
      </c>
      <c r="K589" s="5" t="s">
        <v>641</v>
      </c>
      <c r="L589" s="6" t="s">
        <v>865</v>
      </c>
      <c r="M589" s="5" t="s">
        <v>26</v>
      </c>
      <c r="N589" s="5" t="s">
        <v>52</v>
      </c>
      <c r="O589" s="5">
        <v>57257.0</v>
      </c>
      <c r="P589" s="5">
        <v>167.0</v>
      </c>
      <c r="Q589" s="5">
        <v>3797.0</v>
      </c>
      <c r="R589" s="5">
        <v>51520.0</v>
      </c>
      <c r="S589" s="5">
        <v>1.0</v>
      </c>
      <c r="T589" s="5">
        <v>1841.358126</v>
      </c>
    </row>
    <row r="590">
      <c r="A590" s="4" t="s">
        <v>1927</v>
      </c>
      <c r="B590" s="4" t="str">
        <f>IFERROR(__xludf.DUMMYFUNCTION("SPLIT(A590:A1316, ""&gt;"")"),"US ")</f>
        <v>US </v>
      </c>
      <c r="C590" s="4" t="str">
        <f>IFERROR(__xludf.DUMMYFUNCTION("""COMPUTED_VALUE""")," Demographic ")</f>
        <v> Demographic </v>
      </c>
      <c r="D590" s="4" t="str">
        <f>IFERROR(__xludf.DUMMYFUNCTION("""COMPUTED_VALUE""")," Household Income $50k+")</f>
        <v> Household Income $50k+</v>
      </c>
      <c r="E590" s="4"/>
      <c r="F590" s="4"/>
      <c r="G590" s="4"/>
      <c r="H590" s="4"/>
      <c r="I590" s="5" t="s">
        <v>61</v>
      </c>
      <c r="J590" s="5" t="s">
        <v>42</v>
      </c>
      <c r="K590" s="5" t="s">
        <v>39</v>
      </c>
      <c r="L590" s="6" t="s">
        <v>865</v>
      </c>
      <c r="M590" s="5" t="s">
        <v>36</v>
      </c>
      <c r="N590" s="5" t="s">
        <v>27</v>
      </c>
      <c r="O590" s="5">
        <v>20417.0</v>
      </c>
      <c r="P590" s="5">
        <v>86.0</v>
      </c>
      <c r="Q590" s="5">
        <v>1016.0</v>
      </c>
      <c r="R590" s="5">
        <v>13468.0</v>
      </c>
      <c r="S590" s="5">
        <v>5.0</v>
      </c>
      <c r="T590" s="5">
        <v>1805.600513</v>
      </c>
    </row>
    <row r="591">
      <c r="A591" s="4" t="s">
        <v>1928</v>
      </c>
      <c r="B591" s="4" t="str">
        <f>IFERROR(__xludf.DUMMYFUNCTION("SPLIT(A591:A1317, ""&gt;"")"),"Mobile - US ")</f>
        <v>Mobile - US </v>
      </c>
      <c r="C591" s="4" t="str">
        <f>IFERROR(__xludf.DUMMYFUNCTION("""COMPUTED_VALUE""")," Food ")</f>
        <v> Food </v>
      </c>
      <c r="D591" s="4" t="str">
        <f>IFERROR(__xludf.DUMMYFUNCTION("""COMPUTED_VALUE""")," Restaurant ")</f>
        <v> Restaurant </v>
      </c>
      <c r="E591" s="4" t="str">
        <f>IFERROR(__xludf.DUMMYFUNCTION("""COMPUTED_VALUE""")," Brand ")</f>
        <v> Brand </v>
      </c>
      <c r="F591" s="4" t="str">
        <f>IFERROR(__xludf.DUMMYFUNCTION("""COMPUTED_VALUE""")," Red Lobster")</f>
        <v> Red Lobster</v>
      </c>
      <c r="G591" s="4"/>
      <c r="H591" s="4"/>
      <c r="I591" s="5" t="s">
        <v>15</v>
      </c>
      <c r="J591" s="5" t="s">
        <v>23</v>
      </c>
      <c r="K591" s="5" t="s">
        <v>35</v>
      </c>
      <c r="L591" s="6" t="s">
        <v>865</v>
      </c>
      <c r="M591" s="5" t="s">
        <v>46</v>
      </c>
      <c r="N591" s="5" t="s">
        <v>27</v>
      </c>
      <c r="O591" s="5">
        <v>57917.0</v>
      </c>
      <c r="P591" s="5">
        <v>212.0</v>
      </c>
      <c r="Q591" s="5">
        <v>3650.0</v>
      </c>
      <c r="R591" s="5">
        <v>55128.0</v>
      </c>
      <c r="S591" s="5">
        <v>5.0</v>
      </c>
      <c r="T591" s="5">
        <v>1669.728905</v>
      </c>
    </row>
    <row r="592">
      <c r="A592" s="4" t="s">
        <v>1929</v>
      </c>
      <c r="B592" s="4" t="str">
        <f>IFERROR(__xludf.DUMMYFUNCTION("SPLIT(A592:A1318, ""&gt;"")"),"US ")</f>
        <v>US </v>
      </c>
      <c r="C592" s="4" t="str">
        <f>IFERROR(__xludf.DUMMYFUNCTION("""COMPUTED_VALUE""")," B2B ")</f>
        <v> B2B </v>
      </c>
      <c r="D592" s="4" t="str">
        <f>IFERROR(__xludf.DUMMYFUNCTION("""COMPUTED_VALUE""")," B2B Decision Maker Responsibilities ")</f>
        <v> B2B Decision Maker Responsibilities </v>
      </c>
      <c r="E592" s="4" t="str">
        <f>IFERROR(__xludf.DUMMYFUNCTION("""COMPUTED_VALUE""")," Print, Copy or Photo Services")</f>
        <v> Print, Copy or Photo Services</v>
      </c>
      <c r="F592" s="4"/>
      <c r="G592" s="4"/>
      <c r="H592" s="4"/>
      <c r="I592" s="5" t="s">
        <v>15</v>
      </c>
      <c r="J592" s="5" t="s">
        <v>16</v>
      </c>
      <c r="K592" s="5" t="s">
        <v>29</v>
      </c>
      <c r="L592" s="6" t="s">
        <v>865</v>
      </c>
      <c r="M592" s="5" t="s">
        <v>19</v>
      </c>
      <c r="N592" s="5" t="s">
        <v>27</v>
      </c>
      <c r="O592" s="5">
        <v>141157.0</v>
      </c>
      <c r="P592" s="5">
        <v>420.0</v>
      </c>
      <c r="Q592" s="5">
        <v>8280.0</v>
      </c>
      <c r="R592" s="5">
        <v>107935.0</v>
      </c>
      <c r="S592" s="5">
        <v>4.0</v>
      </c>
      <c r="T592" s="5">
        <v>1631.782949</v>
      </c>
    </row>
    <row r="593">
      <c r="A593" s="4" t="s">
        <v>1586</v>
      </c>
      <c r="B593" s="4" t="str">
        <f>IFERROR(__xludf.DUMMYFUNCTION("SPLIT(A593:A1319, ""&gt;"")"),"Online Behavior")</f>
        <v>Online Behavior</v>
      </c>
      <c r="C593" s="4" t="str">
        <f>IFERROR(__xludf.DUMMYFUNCTION("""COMPUTED_VALUE"""),"United States")</f>
        <v>United States</v>
      </c>
      <c r="D593" s="4" t="str">
        <f>IFERROR(__xludf.DUMMYFUNCTION("""COMPUTED_VALUE"""),"Beauty and Fitness")</f>
        <v>Beauty and Fitness</v>
      </c>
      <c r="E593" s="4" t="str">
        <f>IFERROR(__xludf.DUMMYFUNCTION("""COMPUTED_VALUE"""),"Face and Body Care ")</f>
        <v>Face and Body Care </v>
      </c>
      <c r="F593" s="4" t="str">
        <f>IFERROR(__xludf.DUMMYFUNCTION("""COMPUTED_VALUE""")," Hygiene and Toiletries")</f>
        <v> Hygiene and Toiletries</v>
      </c>
      <c r="G593" s="4"/>
      <c r="H593" s="4"/>
      <c r="I593" s="5" t="s">
        <v>15</v>
      </c>
      <c r="J593" s="5" t="s">
        <v>31</v>
      </c>
      <c r="K593" s="5" t="s">
        <v>35</v>
      </c>
      <c r="L593" s="6" t="s">
        <v>873</v>
      </c>
      <c r="M593" s="5" t="s">
        <v>48</v>
      </c>
      <c r="N593" s="5" t="s">
        <v>27</v>
      </c>
      <c r="O593" s="5">
        <v>247106.0</v>
      </c>
      <c r="P593" s="5">
        <v>750.0</v>
      </c>
      <c r="Q593" s="5">
        <v>159618.0</v>
      </c>
      <c r="R593" s="5">
        <v>233150.0</v>
      </c>
      <c r="S593" s="5">
        <v>32.0</v>
      </c>
      <c r="T593" s="5">
        <v>7629.94427</v>
      </c>
    </row>
    <row r="594">
      <c r="A594" s="4" t="s">
        <v>1587</v>
      </c>
      <c r="B594" s="4" t="str">
        <f>IFERROR(__xludf.DUMMYFUNCTION("SPLIT(A594:A1320, ""&gt;"")"),"Online Behavior")</f>
        <v>Online Behavior</v>
      </c>
      <c r="C594" s="4" t="str">
        <f>IFERROR(__xludf.DUMMYFUNCTION("""COMPUTED_VALUE"""),"United States")</f>
        <v>United States</v>
      </c>
      <c r="D594" s="4" t="str">
        <f>IFERROR(__xludf.DUMMYFUNCTION("""COMPUTED_VALUE"""),"Finance ")</f>
        <v>Finance </v>
      </c>
      <c r="E594" s="4" t="str">
        <f>IFERROR(__xludf.DUMMYFUNCTION("""COMPUTED_VALUE""")," Banking")</f>
        <v> Banking</v>
      </c>
      <c r="F594" s="4" t="str">
        <f>IFERROR(__xludf.DUMMYFUNCTION("""COMPUTED_VALUE"""),"Savings Accounts")</f>
        <v>Savings Accounts</v>
      </c>
      <c r="G594" s="4"/>
      <c r="H594" s="4"/>
      <c r="I594" s="5" t="s">
        <v>15</v>
      </c>
      <c r="J594" s="5" t="s">
        <v>16</v>
      </c>
      <c r="K594" s="5" t="s">
        <v>35</v>
      </c>
      <c r="L594" s="6" t="s">
        <v>873</v>
      </c>
      <c r="M594" s="5" t="s">
        <v>19</v>
      </c>
      <c r="N594" s="5" t="s">
        <v>27</v>
      </c>
      <c r="O594" s="5">
        <v>357707.0</v>
      </c>
      <c r="P594" s="5">
        <v>951.0</v>
      </c>
      <c r="Q594" s="5">
        <v>203987.0</v>
      </c>
      <c r="R594" s="5">
        <v>338107.0</v>
      </c>
      <c r="S594" s="5">
        <v>74.0</v>
      </c>
      <c r="T594" s="5">
        <v>6749.202353</v>
      </c>
    </row>
    <row r="595">
      <c r="A595" s="4" t="s">
        <v>1588</v>
      </c>
      <c r="B595" s="4" t="str">
        <f>IFERROR(__xludf.DUMMYFUNCTION("SPLIT(A595:A1321, ""&gt;"")"),"Online Behavior")</f>
        <v>Online Behavior</v>
      </c>
      <c r="C595" s="4" t="str">
        <f>IFERROR(__xludf.DUMMYFUNCTION("""COMPUTED_VALUE"""),"United States")</f>
        <v>United States</v>
      </c>
      <c r="D595" s="4" t="str">
        <f>IFERROR(__xludf.DUMMYFUNCTION("""COMPUTED_VALUE"""),"Validated Demographic ")</f>
        <v>Validated Demographic </v>
      </c>
      <c r="E595" s="4" t="str">
        <f>IFERROR(__xludf.DUMMYFUNCTION("""COMPUTED_VALUE""")," Gender and Age Combined")</f>
        <v> Gender and Age Combined</v>
      </c>
      <c r="F595" s="4" t="str">
        <f>IFERROR(__xludf.DUMMYFUNCTION("""COMPUTED_VALUE"""),"Males 25-64")</f>
        <v>Males 25-64</v>
      </c>
      <c r="G595" s="4"/>
      <c r="H595" s="4"/>
      <c r="I595" s="5" t="s">
        <v>15</v>
      </c>
      <c r="J595" s="5" t="s">
        <v>42</v>
      </c>
      <c r="K595" s="5" t="s">
        <v>35</v>
      </c>
      <c r="L595" s="6" t="s">
        <v>873</v>
      </c>
      <c r="M595" s="5" t="s">
        <v>117</v>
      </c>
      <c r="N595" s="5" t="s">
        <v>20</v>
      </c>
      <c r="O595" s="5">
        <v>48707.0</v>
      </c>
      <c r="P595" s="5">
        <v>185.0</v>
      </c>
      <c r="Q595" s="5">
        <v>25182.0</v>
      </c>
      <c r="R595" s="5">
        <v>44696.0</v>
      </c>
      <c r="S595" s="5">
        <v>13.0</v>
      </c>
      <c r="T595" s="5">
        <v>5600.355643</v>
      </c>
    </row>
    <row r="596">
      <c r="A596" s="4" t="s">
        <v>1930</v>
      </c>
      <c r="B596" s="4" t="str">
        <f>IFERROR(__xludf.DUMMYFUNCTION("SPLIT(A596:A1322, ""&gt;"")"),"Mobile - US ")</f>
        <v>Mobile - US </v>
      </c>
      <c r="C596" s="4" t="str">
        <f>IFERROR(__xludf.DUMMYFUNCTION("""COMPUTED_VALUE""")," Gamers ")</f>
        <v> Gamers </v>
      </c>
      <c r="D596" s="4" t="str">
        <f>IFERROR(__xludf.DUMMYFUNCTION("""COMPUTED_VALUE""")," Online ")</f>
        <v> Online </v>
      </c>
      <c r="E596" s="4" t="str">
        <f>IFERROR(__xludf.DUMMYFUNCTION("""COMPUTED_VALUE""")," Users")</f>
        <v> Users</v>
      </c>
      <c r="F596" s="4"/>
      <c r="G596" s="4"/>
      <c r="H596" s="4"/>
      <c r="I596" s="5" t="s">
        <v>22</v>
      </c>
      <c r="J596" s="5" t="s">
        <v>16</v>
      </c>
      <c r="K596" s="5" t="s">
        <v>155</v>
      </c>
      <c r="L596" s="6" t="s">
        <v>873</v>
      </c>
      <c r="M596" s="5" t="s">
        <v>36</v>
      </c>
      <c r="N596" s="5" t="s">
        <v>27</v>
      </c>
      <c r="O596" s="5">
        <v>16372.0</v>
      </c>
      <c r="P596" s="5">
        <v>90.0</v>
      </c>
      <c r="Q596" s="5">
        <v>4731.0</v>
      </c>
      <c r="R596" s="5">
        <v>15332.0</v>
      </c>
      <c r="S596" s="5">
        <v>9.0</v>
      </c>
      <c r="T596" s="5">
        <v>1704.511123</v>
      </c>
    </row>
    <row r="597">
      <c r="A597" s="4" t="s">
        <v>1931</v>
      </c>
      <c r="B597" s="4" t="str">
        <f>IFERROR(__xludf.DUMMYFUNCTION("SPLIT(A597:A1323, ""&gt;"")"),"US ")</f>
        <v>US </v>
      </c>
      <c r="C597" s="4" t="str">
        <f>IFERROR(__xludf.DUMMYFUNCTION("""COMPUTED_VALUE""")," Interest Propensities ")</f>
        <v> Interest Propensities </v>
      </c>
      <c r="D597" s="4" t="str">
        <f>IFERROR(__xludf.DUMMYFUNCTION("""COMPUTED_VALUE""")," Activities and Interests ")</f>
        <v> Activities and Interests </v>
      </c>
      <c r="E597" s="4" t="str">
        <f>IFERROR(__xludf.DUMMYFUNCTION("""COMPUTED_VALUE""")," Buying and Selling Homes ")</f>
        <v> Buying and Selling Homes </v>
      </c>
      <c r="F597" s="4" t="str">
        <f>IFERROR(__xludf.DUMMYFUNCTION("""COMPUTED_VALUE""")," Real Estate")</f>
        <v> Real Estate</v>
      </c>
      <c r="G597" s="4"/>
      <c r="H597" s="4"/>
      <c r="I597" s="5" t="s">
        <v>15</v>
      </c>
      <c r="J597" s="5" t="s">
        <v>16</v>
      </c>
      <c r="K597" s="5" t="s">
        <v>55</v>
      </c>
      <c r="L597" s="6" t="s">
        <v>873</v>
      </c>
      <c r="M597" s="5" t="s">
        <v>19</v>
      </c>
      <c r="N597" s="5" t="s">
        <v>27</v>
      </c>
      <c r="O597" s="5">
        <v>14799.0</v>
      </c>
      <c r="P597" s="5">
        <v>59.0</v>
      </c>
      <c r="Q597" s="5">
        <v>1403.0</v>
      </c>
      <c r="R597" s="5">
        <v>13410.0</v>
      </c>
      <c r="S597" s="5">
        <v>9.0</v>
      </c>
      <c r="T597" s="5">
        <v>1693.760435</v>
      </c>
    </row>
    <row r="598">
      <c r="A598" s="4" t="s">
        <v>1932</v>
      </c>
      <c r="B598" s="4" t="str">
        <f>IFERROR(__xludf.DUMMYFUNCTION("SPLIT(A598:A1324, ""&gt;"")"),"OnAudience ")</f>
        <v>OnAudience </v>
      </c>
      <c r="C598" s="4" t="str">
        <f>IFERROR(__xludf.DUMMYFUNCTION("""COMPUTED_VALUE""")," Interest ")</f>
        <v> Interest </v>
      </c>
      <c r="D598" s="4" t="str">
        <f>IFERROR(__xludf.DUMMYFUNCTION("""COMPUTED_VALUE""")," Shopping ")</f>
        <v> Shopping </v>
      </c>
      <c r="E598" s="4" t="str">
        <f>IFERROR(__xludf.DUMMYFUNCTION("""COMPUTED_VALUE""")," Luxurious Brands")</f>
        <v> Luxurious Brands</v>
      </c>
      <c r="F598" s="4"/>
      <c r="G598" s="4"/>
      <c r="H598" s="4"/>
      <c r="I598" s="5" t="s">
        <v>22</v>
      </c>
      <c r="J598" s="5" t="s">
        <v>42</v>
      </c>
      <c r="K598" s="5" t="s">
        <v>45</v>
      </c>
      <c r="L598" s="6" t="s">
        <v>873</v>
      </c>
      <c r="M598" s="5" t="s">
        <v>19</v>
      </c>
      <c r="N598" s="5" t="s">
        <v>27</v>
      </c>
      <c r="O598" s="5">
        <v>97346.0</v>
      </c>
      <c r="P598" s="5">
        <v>790.0</v>
      </c>
      <c r="Q598" s="5">
        <v>44118.0</v>
      </c>
      <c r="R598" s="5">
        <v>91080.0</v>
      </c>
      <c r="S598" s="5">
        <v>19.0</v>
      </c>
      <c r="T598" s="5">
        <v>1657.56487</v>
      </c>
    </row>
    <row r="599">
      <c r="A599" s="4" t="s">
        <v>1592</v>
      </c>
      <c r="B599" s="4" t="str">
        <f>IFERROR(__xludf.DUMMYFUNCTION("SPLIT(A599:A1325, ""&gt;"")"),"Online Behavior")</f>
        <v>Online Behavior</v>
      </c>
      <c r="C599" s="4" t="str">
        <f>IFERROR(__xludf.DUMMYFUNCTION("""COMPUTED_VALUE"""),"United States")</f>
        <v>United States</v>
      </c>
      <c r="D599" s="4" t="str">
        <f>IFERROR(__xludf.DUMMYFUNCTION("""COMPUTED_VALUE"""),"Validated Demographic ")</f>
        <v>Validated Demographic </v>
      </c>
      <c r="E599" s="4" t="str">
        <f>IFERROR(__xludf.DUMMYFUNCTION("""COMPUTED_VALUE""")," Gender and Age Combined")</f>
        <v> Gender and Age Combined</v>
      </c>
      <c r="F599" s="4" t="str">
        <f>IFERROR(__xludf.DUMMYFUNCTION("""COMPUTED_VALUE"""),"Males 55-64")</f>
        <v>Males 55-64</v>
      </c>
      <c r="G599" s="4"/>
      <c r="H599" s="4"/>
      <c r="I599" s="5" t="s">
        <v>22</v>
      </c>
      <c r="J599" s="5" t="s">
        <v>23</v>
      </c>
      <c r="K599" s="5" t="s">
        <v>78</v>
      </c>
      <c r="L599" s="6" t="s">
        <v>880</v>
      </c>
      <c r="M599" s="5" t="s">
        <v>50</v>
      </c>
      <c r="N599" s="5" t="s">
        <v>27</v>
      </c>
      <c r="O599" s="5">
        <v>44361.0</v>
      </c>
      <c r="P599" s="5">
        <v>166.0</v>
      </c>
      <c r="Q599" s="5">
        <v>36040.0</v>
      </c>
      <c r="R599" s="5">
        <v>40684.0</v>
      </c>
      <c r="S599" s="5">
        <v>17.0</v>
      </c>
      <c r="T599" s="5">
        <v>5048.852553</v>
      </c>
    </row>
    <row r="600">
      <c r="A600" s="4" t="s">
        <v>881</v>
      </c>
      <c r="B600" s="4" t="str">
        <f>IFERROR(__xludf.DUMMYFUNCTION("SPLIT(A600:A1326, ""&gt;"")"),"Restaurants")</f>
        <v>Restaurants</v>
      </c>
      <c r="C600" s="4"/>
      <c r="D600" s="4"/>
      <c r="E600" s="4"/>
      <c r="F600" s="4"/>
      <c r="G600" s="4"/>
      <c r="H600" s="4"/>
      <c r="I600" s="5" t="s">
        <v>15</v>
      </c>
      <c r="J600" s="5" t="s">
        <v>42</v>
      </c>
      <c r="K600" s="5" t="s">
        <v>39</v>
      </c>
      <c r="L600" s="6" t="s">
        <v>880</v>
      </c>
      <c r="M600" s="5" t="s">
        <v>19</v>
      </c>
      <c r="N600" s="5" t="s">
        <v>27</v>
      </c>
      <c r="O600" s="5">
        <v>12280.0</v>
      </c>
      <c r="P600" s="5">
        <v>40.0</v>
      </c>
      <c r="Q600" s="5">
        <v>9613.0</v>
      </c>
      <c r="R600" s="5">
        <v>11247.0</v>
      </c>
      <c r="S600" s="5">
        <v>4.0</v>
      </c>
      <c r="T600" s="5">
        <v>1765.39871</v>
      </c>
    </row>
    <row r="601">
      <c r="A601" s="4" t="s">
        <v>1593</v>
      </c>
      <c r="B601" s="4" t="str">
        <f>IFERROR(__xludf.DUMMYFUNCTION("SPLIT(A601:A1327, ""&gt;"")"),"OnAudience ")</f>
        <v>OnAudience </v>
      </c>
      <c r="C601" s="4" t="str">
        <f>IFERROR(__xludf.DUMMYFUNCTION("""COMPUTED_VALUE""")," Interest ")</f>
        <v> Interest </v>
      </c>
      <c r="D601" s="4" t="str">
        <f>IFERROR(__xludf.DUMMYFUNCTION("""COMPUTED_VALUE""")," Hobbies &amp; Interests ")</f>
        <v> Hobbies &amp; Interests </v>
      </c>
      <c r="E601" s="4" t="str">
        <f>IFERROR(__xludf.DUMMYFUNCTION("""COMPUTED_VALUE""")," Art")</f>
        <v> Art</v>
      </c>
      <c r="F601" s="4"/>
      <c r="G601" s="4"/>
      <c r="H601" s="4"/>
      <c r="I601" s="5" t="s">
        <v>15</v>
      </c>
      <c r="J601" s="5" t="s">
        <v>16</v>
      </c>
      <c r="K601" s="5" t="s">
        <v>17</v>
      </c>
      <c r="L601" s="6" t="s">
        <v>880</v>
      </c>
      <c r="M601" s="5" t="s">
        <v>36</v>
      </c>
      <c r="N601" s="5" t="s">
        <v>52</v>
      </c>
      <c r="O601" s="5">
        <v>22934.0</v>
      </c>
      <c r="P601" s="5">
        <v>81.0</v>
      </c>
      <c r="Q601" s="5">
        <v>18536.0</v>
      </c>
      <c r="R601" s="5">
        <v>21019.0</v>
      </c>
      <c r="S601" s="5">
        <v>5.0</v>
      </c>
      <c r="T601" s="5">
        <v>1711.106338</v>
      </c>
    </row>
    <row r="602">
      <c r="A602" s="4" t="s">
        <v>1594</v>
      </c>
      <c r="B602" s="4" t="str">
        <f>IFERROR(__xludf.DUMMYFUNCTION("SPLIT(A602:A1328, ""&gt;"")"),"Online Behavior")</f>
        <v>Online Behavior</v>
      </c>
      <c r="C602" s="4" t="str">
        <f>IFERROR(__xludf.DUMMYFUNCTION("""COMPUTED_VALUE"""),"United States")</f>
        <v>United States</v>
      </c>
      <c r="D602" s="4" t="str">
        <f>IFERROR(__xludf.DUMMYFUNCTION("""COMPUTED_VALUE"""),"Autos and Vehicles ")</f>
        <v>Autos and Vehicles </v>
      </c>
      <c r="E602" s="4" t="str">
        <f>IFERROR(__xludf.DUMMYFUNCTION("""COMPUTED_VALUE""")," Brands")</f>
        <v> Brands</v>
      </c>
      <c r="F602" s="4" t="str">
        <f>IFERROR(__xludf.DUMMYFUNCTION("""COMPUTED_VALUE"""),"Peugeot")</f>
        <v>Peugeot</v>
      </c>
      <c r="G602" s="4"/>
      <c r="H602" s="4"/>
      <c r="I602" s="5" t="s">
        <v>22</v>
      </c>
      <c r="J602" s="5" t="s">
        <v>42</v>
      </c>
      <c r="K602" s="5" t="s">
        <v>35</v>
      </c>
      <c r="L602" s="6" t="s">
        <v>884</v>
      </c>
      <c r="M602" s="5" t="s">
        <v>19</v>
      </c>
      <c r="N602" s="5" t="s">
        <v>27</v>
      </c>
      <c r="O602" s="5">
        <v>17317.0</v>
      </c>
      <c r="P602" s="5">
        <v>68.0</v>
      </c>
      <c r="Q602" s="5">
        <v>8055.0</v>
      </c>
      <c r="R602" s="5">
        <v>12724.0</v>
      </c>
      <c r="S602" s="5">
        <v>12.0</v>
      </c>
      <c r="T602" s="5">
        <v>5668.857079</v>
      </c>
    </row>
    <row r="603">
      <c r="A603" s="4" t="s">
        <v>1595</v>
      </c>
      <c r="B603" s="4" t="str">
        <f>IFERROR(__xludf.DUMMYFUNCTION("SPLIT(A603:A1329, ""&gt;"")"),"OnAudience ")</f>
        <v>OnAudience </v>
      </c>
      <c r="C603" s="4" t="str">
        <f>IFERROR(__xludf.DUMMYFUNCTION("""COMPUTED_VALUE""")," Interest")</f>
        <v> Interest</v>
      </c>
      <c r="D603" s="4"/>
      <c r="E603" s="4"/>
      <c r="F603" s="4"/>
      <c r="G603" s="4"/>
      <c r="H603" s="4"/>
      <c r="I603" s="5" t="s">
        <v>15</v>
      </c>
      <c r="J603" s="5" t="s">
        <v>23</v>
      </c>
      <c r="K603" s="5" t="s">
        <v>78</v>
      </c>
      <c r="L603" s="6" t="s">
        <v>886</v>
      </c>
      <c r="M603" s="5" t="s">
        <v>36</v>
      </c>
      <c r="N603" s="5" t="s">
        <v>27</v>
      </c>
      <c r="O603" s="5">
        <v>11343.0</v>
      </c>
      <c r="P603" s="5">
        <v>69.0</v>
      </c>
      <c r="Q603" s="5">
        <v>5900.0</v>
      </c>
      <c r="R603" s="5">
        <v>10175.0</v>
      </c>
      <c r="S603" s="5">
        <v>3.0</v>
      </c>
      <c r="T603" s="5">
        <v>2178.153775</v>
      </c>
    </row>
    <row r="604">
      <c r="A604" s="4" t="s">
        <v>1596</v>
      </c>
      <c r="B604" s="4" t="str">
        <f>IFERROR(__xludf.DUMMYFUNCTION("SPLIT(A604:A1330, ""&gt;"")"),"Real Estate ")</f>
        <v>Real Estate </v>
      </c>
      <c r="C604" s="4" t="str">
        <f>IFERROR(__xludf.DUMMYFUNCTION("""COMPUTED_VALUE""")," Property Type")</f>
        <v> Property Type</v>
      </c>
      <c r="D604" s="4" t="str">
        <f>IFERROR(__xludf.DUMMYFUNCTION("""COMPUTED_VALUE""")," Residential")</f>
        <v> Residential</v>
      </c>
      <c r="E604" s="4"/>
      <c r="F604" s="4"/>
      <c r="G604" s="4"/>
      <c r="H604" s="4"/>
      <c r="I604" s="5" t="s">
        <v>15</v>
      </c>
      <c r="J604" s="5" t="s">
        <v>42</v>
      </c>
      <c r="K604" s="5" t="s">
        <v>356</v>
      </c>
      <c r="L604" s="6" t="s">
        <v>886</v>
      </c>
      <c r="M604" s="5" t="s">
        <v>19</v>
      </c>
      <c r="N604" s="5" t="s">
        <v>20</v>
      </c>
      <c r="O604" s="5">
        <v>11043.0</v>
      </c>
      <c r="P604" s="5">
        <v>125.0</v>
      </c>
      <c r="Q604" s="5">
        <v>4547.0</v>
      </c>
      <c r="R604" s="5">
        <v>9666.0</v>
      </c>
      <c r="S604" s="5">
        <v>13.0</v>
      </c>
      <c r="T604" s="5">
        <v>1858.132171</v>
      </c>
    </row>
    <row r="605">
      <c r="A605" s="4" t="s">
        <v>1933</v>
      </c>
      <c r="B605" s="4" t="str">
        <f>IFERROR(__xludf.DUMMYFUNCTION("SPLIT(A605:A1331, ""&gt;"")"),"Media Source ")</f>
        <v>Media Source </v>
      </c>
      <c r="C605" s="4" t="str">
        <f>IFERROR(__xludf.DUMMYFUNCTION("""COMPUTED_VALUE""")," LBDigital ")</f>
        <v> LBDigital </v>
      </c>
      <c r="D605" s="4" t="str">
        <f>IFERROR(__xludf.DUMMYFUNCTION("""COMPUTED_VALUE""")," Open For Business B2B")</f>
        <v> Open For Business B2B</v>
      </c>
      <c r="E605" s="4"/>
      <c r="F605" s="4"/>
      <c r="G605" s="4"/>
      <c r="H605" s="4"/>
      <c r="I605" s="5" t="s">
        <v>22</v>
      </c>
      <c r="J605" s="5" t="s">
        <v>31</v>
      </c>
      <c r="K605" s="5" t="s">
        <v>17</v>
      </c>
      <c r="L605" s="6" t="s">
        <v>886</v>
      </c>
      <c r="M605" s="5" t="s">
        <v>48</v>
      </c>
      <c r="N605" s="5" t="s">
        <v>27</v>
      </c>
      <c r="O605" s="5">
        <v>21737.0</v>
      </c>
      <c r="P605" s="5">
        <v>80.0</v>
      </c>
      <c r="Q605" s="5">
        <v>11206.0</v>
      </c>
      <c r="R605" s="5">
        <v>19459.0</v>
      </c>
      <c r="S605" s="5">
        <v>4.0</v>
      </c>
      <c r="T605" s="5">
        <v>1521.576648</v>
      </c>
    </row>
    <row r="606">
      <c r="A606" s="4" t="s">
        <v>889</v>
      </c>
      <c r="B606" s="4" t="str">
        <f>IFERROR(__xludf.DUMMYFUNCTION("SPLIT(A606:A1332, ""&gt;"")"),"Online Behavior")</f>
        <v>Online Behavior</v>
      </c>
      <c r="C606" s="4" t="str">
        <f>IFERROR(__xludf.DUMMYFUNCTION("""COMPUTED_VALUE"""),"United States")</f>
        <v>United States</v>
      </c>
      <c r="D606" s="4" t="str">
        <f>IFERROR(__xludf.DUMMYFUNCTION("""COMPUTED_VALUE"""),"Life Event")</f>
        <v>Life Event</v>
      </c>
      <c r="E606" s="4" t="str">
        <f>IFERROR(__xludf.DUMMYFUNCTION("""COMPUTED_VALUE"""),"Home Buying")</f>
        <v>Home Buying</v>
      </c>
      <c r="F606" s="4"/>
      <c r="G606" s="4"/>
      <c r="H606" s="4"/>
      <c r="I606" s="5" t="s">
        <v>15</v>
      </c>
      <c r="J606" s="5" t="s">
        <v>16</v>
      </c>
      <c r="K606" s="5" t="s">
        <v>78</v>
      </c>
      <c r="L606" s="6" t="s">
        <v>890</v>
      </c>
      <c r="M606" s="5" t="s">
        <v>26</v>
      </c>
      <c r="N606" s="5" t="s">
        <v>27</v>
      </c>
      <c r="O606" s="5">
        <v>9362.0</v>
      </c>
      <c r="P606" s="5">
        <v>39.0</v>
      </c>
      <c r="Q606" s="5">
        <v>5202.0</v>
      </c>
      <c r="R606" s="5">
        <v>8928.0</v>
      </c>
      <c r="S606" s="5">
        <v>6.0</v>
      </c>
      <c r="T606" s="5">
        <v>7312.492757</v>
      </c>
    </row>
    <row r="607">
      <c r="A607" s="4" t="s">
        <v>1598</v>
      </c>
      <c r="B607" s="4" t="str">
        <f>IFERROR(__xludf.DUMMYFUNCTION("SPLIT(A607:A1333, ""&gt;"")"),"OnAudience ")</f>
        <v>OnAudience </v>
      </c>
      <c r="C607" s="4" t="str">
        <f>IFERROR(__xludf.DUMMYFUNCTION("""COMPUTED_VALUE""")," Intent ")</f>
        <v> Intent </v>
      </c>
      <c r="D607" s="4" t="str">
        <f>IFERROR(__xludf.DUMMYFUNCTION("""COMPUTED_VALUE""")," Baby &amp; Toddler")</f>
        <v> Baby &amp; Toddler</v>
      </c>
      <c r="E607" s="4"/>
      <c r="F607" s="4"/>
      <c r="G607" s="4"/>
      <c r="H607" s="4"/>
      <c r="I607" s="5" t="s">
        <v>15</v>
      </c>
      <c r="J607" s="5" t="s">
        <v>31</v>
      </c>
      <c r="K607" s="5" t="s">
        <v>183</v>
      </c>
      <c r="L607" s="6" t="s">
        <v>890</v>
      </c>
      <c r="M607" s="5" t="s">
        <v>117</v>
      </c>
      <c r="N607" s="5" t="s">
        <v>52</v>
      </c>
      <c r="O607" s="5">
        <v>16628.0</v>
      </c>
      <c r="P607" s="5">
        <v>70.0</v>
      </c>
      <c r="Q607" s="5">
        <v>7974.0</v>
      </c>
      <c r="R607" s="5">
        <v>15969.0</v>
      </c>
      <c r="S607" s="5">
        <v>13.0</v>
      </c>
      <c r="T607" s="5">
        <v>1665.965851</v>
      </c>
    </row>
    <row r="608">
      <c r="A608" s="4" t="s">
        <v>1599</v>
      </c>
      <c r="B608" s="4" t="str">
        <f>IFERROR(__xludf.DUMMYFUNCTION("SPLIT(A608:A1334, ""&gt;"")"),"Online Behavior")</f>
        <v>Online Behavior</v>
      </c>
      <c r="C608" s="4" t="str">
        <f>IFERROR(__xludf.DUMMYFUNCTION("""COMPUTED_VALUE"""),"United States")</f>
        <v>United States</v>
      </c>
      <c r="D608" s="4" t="str">
        <f>IFERROR(__xludf.DUMMYFUNCTION("""COMPUTED_VALUE"""),"Beauty and Fitness")</f>
        <v>Beauty and Fitness</v>
      </c>
      <c r="E608" s="4" t="str">
        <f>IFERROR(__xludf.DUMMYFUNCTION("""COMPUTED_VALUE"""),"Fitness ")</f>
        <v>Fitness </v>
      </c>
      <c r="F608" s="4" t="str">
        <f>IFERROR(__xludf.DUMMYFUNCTION("""COMPUTED_VALUE""")," Fitness Equipment and Accessories")</f>
        <v> Fitness Equipment and Accessories</v>
      </c>
      <c r="G608" s="4"/>
      <c r="H608" s="4"/>
      <c r="I608" s="5" t="s">
        <v>15</v>
      </c>
      <c r="J608" s="5" t="s">
        <v>31</v>
      </c>
      <c r="K608" s="5" t="s">
        <v>66</v>
      </c>
      <c r="L608" s="6" t="s">
        <v>893</v>
      </c>
      <c r="M608" s="5" t="s">
        <v>19</v>
      </c>
      <c r="N608" s="5" t="s">
        <v>52</v>
      </c>
      <c r="O608" s="5">
        <v>24875.0</v>
      </c>
      <c r="P608" s="5">
        <v>67.0</v>
      </c>
      <c r="Q608" s="5">
        <v>14213.0</v>
      </c>
      <c r="R608" s="5">
        <v>23455.0</v>
      </c>
      <c r="S608" s="5">
        <v>8.0</v>
      </c>
      <c r="T608" s="5">
        <v>4652.242051</v>
      </c>
    </row>
    <row r="609">
      <c r="A609" s="4" t="s">
        <v>1934</v>
      </c>
      <c r="B609" s="4" t="str">
        <f>IFERROR(__xludf.DUMMYFUNCTION("SPLIT(A609:A1335, ""&gt;"")"),"US Buying Channel Preference ")</f>
        <v>US Buying Channel Preference </v>
      </c>
      <c r="C609" s="4" t="str">
        <f>IFERROR(__xludf.DUMMYFUNCTION("""COMPUTED_VALUE""")," Online")</f>
        <v> Online</v>
      </c>
      <c r="D609" s="4"/>
      <c r="E609" s="4"/>
      <c r="F609" s="4"/>
      <c r="G609" s="4"/>
      <c r="H609" s="4"/>
      <c r="I609" s="5" t="s">
        <v>22</v>
      </c>
      <c r="J609" s="5" t="s">
        <v>31</v>
      </c>
      <c r="K609" s="5" t="s">
        <v>32</v>
      </c>
      <c r="L609" s="6" t="s">
        <v>893</v>
      </c>
      <c r="M609" s="5" t="s">
        <v>46</v>
      </c>
      <c r="N609" s="5" t="s">
        <v>27</v>
      </c>
      <c r="O609" s="5">
        <v>10707.0</v>
      </c>
      <c r="P609" s="5">
        <v>57.0</v>
      </c>
      <c r="Q609" s="5">
        <v>6300.0</v>
      </c>
      <c r="R609" s="5">
        <v>10089.0</v>
      </c>
      <c r="S609" s="5">
        <v>3.0</v>
      </c>
      <c r="T609" s="5">
        <v>1603.859264</v>
      </c>
    </row>
    <row r="610">
      <c r="A610" s="4" t="s">
        <v>1601</v>
      </c>
      <c r="B610" s="4" t="str">
        <f>IFERROR(__xludf.DUMMYFUNCTION("SPLIT(A610:A1336, ""&gt;"")"),"Online Behavior")</f>
        <v>Online Behavior</v>
      </c>
      <c r="C610" s="4" t="str">
        <f>IFERROR(__xludf.DUMMYFUNCTION("""COMPUTED_VALUE"""),"United States")</f>
        <v>United States</v>
      </c>
      <c r="D610" s="4" t="str">
        <f>IFERROR(__xludf.DUMMYFUNCTION("""COMPUTED_VALUE"""),"Validated Demographic ")</f>
        <v>Validated Demographic </v>
      </c>
      <c r="E610" s="4" t="str">
        <f>IFERROR(__xludf.DUMMYFUNCTION("""COMPUTED_VALUE""")," Age")</f>
        <v> Age</v>
      </c>
      <c r="F610" s="4" t="str">
        <f>IFERROR(__xludf.DUMMYFUNCTION("""COMPUTED_VALUE"""),"65 or older")</f>
        <v>65 or older</v>
      </c>
      <c r="G610" s="4"/>
      <c r="H610" s="4"/>
      <c r="I610" s="5" t="s">
        <v>22</v>
      </c>
      <c r="J610" s="5" t="s">
        <v>42</v>
      </c>
      <c r="K610" s="5" t="s">
        <v>39</v>
      </c>
      <c r="L610" s="6" t="s">
        <v>896</v>
      </c>
      <c r="M610" s="5" t="s">
        <v>167</v>
      </c>
      <c r="N610" s="5" t="s">
        <v>27</v>
      </c>
      <c r="O610" s="5">
        <v>10386.0</v>
      </c>
      <c r="P610" s="5">
        <v>65.0</v>
      </c>
      <c r="Q610" s="5">
        <v>5876.0</v>
      </c>
      <c r="R610" s="5">
        <v>10048.0</v>
      </c>
      <c r="S610" s="5">
        <v>15.0</v>
      </c>
      <c r="T610" s="5">
        <v>4439.838064</v>
      </c>
    </row>
    <row r="611">
      <c r="A611" s="4" t="s">
        <v>1935</v>
      </c>
      <c r="B611" s="4" t="str">
        <f>IFERROR(__xludf.DUMMYFUNCTION("SPLIT(A611:A1337, ""&gt;"")"),"US ")</f>
        <v>US </v>
      </c>
      <c r="C611" s="4" t="str">
        <f>IFERROR(__xludf.DUMMYFUNCTION("""COMPUTED_VALUE"""),"Made In America Audience")</f>
        <v>Made In America Audience</v>
      </c>
      <c r="D611" s="4"/>
      <c r="E611" s="4"/>
      <c r="F611" s="4"/>
      <c r="G611" s="4"/>
      <c r="H611" s="4"/>
      <c r="I611" s="5" t="s">
        <v>22</v>
      </c>
      <c r="J611" s="5" t="s">
        <v>31</v>
      </c>
      <c r="K611" s="5" t="s">
        <v>78</v>
      </c>
      <c r="L611" s="6" t="s">
        <v>898</v>
      </c>
      <c r="M611" s="5" t="s">
        <v>26</v>
      </c>
      <c r="N611" s="5" t="s">
        <v>27</v>
      </c>
      <c r="O611" s="5">
        <v>16137.0</v>
      </c>
      <c r="P611" s="5">
        <v>40.0</v>
      </c>
      <c r="Q611" s="5">
        <v>7938.0</v>
      </c>
      <c r="R611" s="5">
        <v>14030.0</v>
      </c>
      <c r="S611" s="5">
        <v>4.0</v>
      </c>
      <c r="T611" s="5">
        <v>1835.048738</v>
      </c>
    </row>
    <row r="612">
      <c r="A612" s="4" t="s">
        <v>1603</v>
      </c>
      <c r="B612" s="4" t="str">
        <f>IFERROR(__xludf.DUMMYFUNCTION("SPLIT(A612:A1338, ""&gt;"")"),"Online Behavior")</f>
        <v>Online Behavior</v>
      </c>
      <c r="C612" s="4" t="str">
        <f>IFERROR(__xludf.DUMMYFUNCTION("""COMPUTED_VALUE"""),"United States")</f>
        <v>United States</v>
      </c>
      <c r="D612" s="4" t="str">
        <f>IFERROR(__xludf.DUMMYFUNCTION("""COMPUTED_VALUE"""),"Intent ")</f>
        <v>Intent </v>
      </c>
      <c r="E612" s="4" t="str">
        <f>IFERROR(__xludf.DUMMYFUNCTION("""COMPUTED_VALUE""")," Shopping")</f>
        <v> Shopping</v>
      </c>
      <c r="F612" s="4" t="str">
        <f>IFERROR(__xludf.DUMMYFUNCTION("""COMPUTED_VALUE"""),"Drug Stores ")</f>
        <v>Drug Stores </v>
      </c>
      <c r="G612" s="4" t="str">
        <f>IFERROR(__xludf.DUMMYFUNCTION("""COMPUTED_VALUE""")," Walgreens")</f>
        <v> Walgreens</v>
      </c>
      <c r="H612" s="4"/>
      <c r="I612" s="5" t="s">
        <v>61</v>
      </c>
      <c r="J612" s="5" t="s">
        <v>16</v>
      </c>
      <c r="K612" s="5" t="s">
        <v>78</v>
      </c>
      <c r="L612" s="6" t="s">
        <v>900</v>
      </c>
      <c r="M612" s="5" t="s">
        <v>19</v>
      </c>
      <c r="N612" s="5" t="s">
        <v>27</v>
      </c>
      <c r="O612" s="5">
        <v>39373.0</v>
      </c>
      <c r="P612" s="5">
        <v>99.0</v>
      </c>
      <c r="Q612" s="5">
        <v>23152.0</v>
      </c>
      <c r="R612" s="5">
        <v>35857.0</v>
      </c>
      <c r="S612" s="5">
        <v>17.0</v>
      </c>
      <c r="T612" s="5">
        <v>6342.885786</v>
      </c>
    </row>
    <row r="613">
      <c r="A613" s="4" t="s">
        <v>1605</v>
      </c>
      <c r="B613" s="4" t="str">
        <f>IFERROR(__xludf.DUMMYFUNCTION("SPLIT(A613:A1339, ""&gt;"")"),"Online Behavior")</f>
        <v>Online Behavior</v>
      </c>
      <c r="C613" s="4" t="str">
        <f>IFERROR(__xludf.DUMMYFUNCTION("""COMPUTED_VALUE"""),"United States")</f>
        <v>United States</v>
      </c>
      <c r="D613" s="4" t="str">
        <f>IFERROR(__xludf.DUMMYFUNCTION("""COMPUTED_VALUE"""),"Validated Demographic ")</f>
        <v>Validated Demographic </v>
      </c>
      <c r="E613" s="4" t="str">
        <f>IFERROR(__xludf.DUMMYFUNCTION("""COMPUTED_VALUE""")," Gender and Age Combined")</f>
        <v> Gender and Age Combined</v>
      </c>
      <c r="F613" s="4" t="str">
        <f>IFERROR(__xludf.DUMMYFUNCTION("""COMPUTED_VALUE"""),"Males 25 or older")</f>
        <v>Males 25 or older</v>
      </c>
      <c r="G613" s="4"/>
      <c r="H613" s="4"/>
      <c r="I613" s="5" t="s">
        <v>22</v>
      </c>
      <c r="J613" s="5" t="s">
        <v>16</v>
      </c>
      <c r="K613" s="5" t="s">
        <v>35</v>
      </c>
      <c r="L613" s="6" t="s">
        <v>900</v>
      </c>
      <c r="M613" s="5" t="s">
        <v>48</v>
      </c>
      <c r="N613" s="5" t="s">
        <v>27</v>
      </c>
      <c r="O613" s="5">
        <v>47016.0</v>
      </c>
      <c r="P613" s="5">
        <v>199.0</v>
      </c>
      <c r="Q613" s="5">
        <v>12210.0</v>
      </c>
      <c r="R613" s="5">
        <v>38039.0</v>
      </c>
      <c r="S613" s="5">
        <v>13.0</v>
      </c>
      <c r="T613" s="5">
        <v>5974.87508</v>
      </c>
    </row>
    <row r="614">
      <c r="A614" s="4" t="s">
        <v>1606</v>
      </c>
      <c r="B614" s="4" t="str">
        <f>IFERROR(__xludf.DUMMYFUNCTION("SPLIT(A614:A1340, ""&gt;"")"),"Online Behavior")</f>
        <v>Online Behavior</v>
      </c>
      <c r="C614" s="4" t="str">
        <f>IFERROR(__xludf.DUMMYFUNCTION("""COMPUTED_VALUE"""),"United States")</f>
        <v>United States</v>
      </c>
      <c r="D614" s="4" t="str">
        <f>IFERROR(__xludf.DUMMYFUNCTION("""COMPUTED_VALUE"""),"Intent ")</f>
        <v>Intent </v>
      </c>
      <c r="E614" s="4" t="str">
        <f>IFERROR(__xludf.DUMMYFUNCTION("""COMPUTED_VALUE""")," Auto Buyers ")</f>
        <v> Auto Buyers </v>
      </c>
      <c r="F614" s="4" t="str">
        <f>IFERROR(__xludf.DUMMYFUNCTION("""COMPUTED_VALUE""")," Type")</f>
        <v> Type</v>
      </c>
      <c r="G614" s="4" t="str">
        <f>IFERROR(__xludf.DUMMYFUNCTION("""COMPUTED_VALUE"""),"Crossover")</f>
        <v>Crossover</v>
      </c>
      <c r="H614" s="4"/>
      <c r="I614" s="5" t="s">
        <v>22</v>
      </c>
      <c r="J614" s="5" t="s">
        <v>31</v>
      </c>
      <c r="K614" s="5" t="s">
        <v>35</v>
      </c>
      <c r="L614" s="6" t="s">
        <v>900</v>
      </c>
      <c r="M614" s="5" t="s">
        <v>19</v>
      </c>
      <c r="N614" s="5" t="s">
        <v>27</v>
      </c>
      <c r="O614" s="5">
        <v>25539.0</v>
      </c>
      <c r="P614" s="5">
        <v>78.0</v>
      </c>
      <c r="Q614" s="5">
        <v>12130.0</v>
      </c>
      <c r="R614" s="5">
        <v>24129.0</v>
      </c>
      <c r="S614" s="5">
        <v>15.0</v>
      </c>
      <c r="T614" s="5">
        <v>4804.493233</v>
      </c>
    </row>
    <row r="615">
      <c r="A615" s="4" t="s">
        <v>1607</v>
      </c>
      <c r="B615" s="4" t="str">
        <f>IFERROR(__xludf.DUMMYFUNCTION("SPLIT(A615:A1341, ""&gt;"")"),"Online Behavior")</f>
        <v>Online Behavior</v>
      </c>
      <c r="C615" s="4" t="str">
        <f>IFERROR(__xludf.DUMMYFUNCTION("""COMPUTED_VALUE"""),"United States")</f>
        <v>United States</v>
      </c>
      <c r="D615" s="4" t="str">
        <f>IFERROR(__xludf.DUMMYFUNCTION("""COMPUTED_VALUE"""),"Intent ")</f>
        <v>Intent </v>
      </c>
      <c r="E615" s="4" t="str">
        <f>IFERROR(__xludf.DUMMYFUNCTION("""COMPUTED_VALUE""")," Auto Buyers ")</f>
        <v> Auto Buyers </v>
      </c>
      <c r="F615" s="4" t="str">
        <f>IFERROR(__xludf.DUMMYFUNCTION("""COMPUTED_VALUE""")," Car Make")</f>
        <v> Car Make</v>
      </c>
      <c r="G615" s="4" t="str">
        <f>IFERROR(__xludf.DUMMYFUNCTION("""COMPUTED_VALUE"""),"Peugeot")</f>
        <v>Peugeot</v>
      </c>
      <c r="H615" s="4"/>
      <c r="I615" s="5" t="s">
        <v>15</v>
      </c>
      <c r="J615" s="5" t="s">
        <v>23</v>
      </c>
      <c r="K615" s="5" t="s">
        <v>78</v>
      </c>
      <c r="L615" s="6" t="s">
        <v>900</v>
      </c>
      <c r="M615" s="5" t="s">
        <v>19</v>
      </c>
      <c r="N615" s="5" t="s">
        <v>27</v>
      </c>
      <c r="O615" s="5">
        <v>186404.0</v>
      </c>
      <c r="P615" s="5">
        <v>940.0</v>
      </c>
      <c r="Q615" s="5">
        <v>30885.0</v>
      </c>
      <c r="R615" s="5">
        <v>151358.0</v>
      </c>
      <c r="S615" s="5">
        <v>3.0</v>
      </c>
      <c r="T615" s="5">
        <v>4702.027505</v>
      </c>
    </row>
    <row r="616">
      <c r="A616" s="4" t="s">
        <v>1608</v>
      </c>
      <c r="B616" s="4" t="str">
        <f>IFERROR(__xludf.DUMMYFUNCTION("SPLIT(A616:A1342, ""&gt;"")"),"Purchase Behaviors ")</f>
        <v>Purchase Behaviors </v>
      </c>
      <c r="C616" s="4" t="str">
        <f>IFERROR(__xludf.DUMMYFUNCTION("""COMPUTED_VALUE""")," Q2 Spring Cleaners")</f>
        <v> Q2 Spring Cleaners</v>
      </c>
      <c r="D616" s="4"/>
      <c r="E616" s="4"/>
      <c r="F616" s="4"/>
      <c r="G616" s="4"/>
      <c r="H616" s="4"/>
      <c r="I616" s="5" t="s">
        <v>22</v>
      </c>
      <c r="J616" s="5" t="s">
        <v>16</v>
      </c>
      <c r="K616" s="5" t="s">
        <v>433</v>
      </c>
      <c r="L616" s="6" t="s">
        <v>900</v>
      </c>
      <c r="M616" s="5" t="s">
        <v>46</v>
      </c>
      <c r="N616" s="5" t="s">
        <v>27</v>
      </c>
      <c r="O616" s="5">
        <v>19549.0</v>
      </c>
      <c r="P616" s="5">
        <v>84.0</v>
      </c>
      <c r="Q616" s="5">
        <v>6187.0</v>
      </c>
      <c r="R616" s="5">
        <v>17166.0</v>
      </c>
      <c r="S616" s="5">
        <v>2.0</v>
      </c>
      <c r="T616" s="5">
        <v>1844.986921</v>
      </c>
    </row>
    <row r="617">
      <c r="A617" s="4" t="s">
        <v>1936</v>
      </c>
      <c r="B617" s="4" t="str">
        <f>IFERROR(__xludf.DUMMYFUNCTION("SPLIT(A617:A1343, ""&gt;"")"),"Mobile - US ")</f>
        <v>Mobile - US </v>
      </c>
      <c r="C617" s="4" t="str">
        <f>IFERROR(__xludf.DUMMYFUNCTION("""COMPUTED_VALUE""")," Automotive ")</f>
        <v> Automotive </v>
      </c>
      <c r="D617" s="4" t="str">
        <f>IFERROR(__xludf.DUMMYFUNCTION("""COMPUTED_VALUE""")," Vehicle Ownership ")</f>
        <v> Vehicle Ownership </v>
      </c>
      <c r="E617" s="4" t="str">
        <f>IFERROR(__xludf.DUMMYFUNCTION("""COMPUTED_VALUE""")," Brand ")</f>
        <v> Brand </v>
      </c>
      <c r="F617" s="4" t="str">
        <f>IFERROR(__xludf.DUMMYFUNCTION("""COMPUTED_VALUE""")," BMW")</f>
        <v> BMW</v>
      </c>
      <c r="G617" s="4"/>
      <c r="H617" s="4"/>
      <c r="I617" s="5" t="s">
        <v>22</v>
      </c>
      <c r="J617" s="5" t="s">
        <v>42</v>
      </c>
      <c r="K617" s="5" t="s">
        <v>39</v>
      </c>
      <c r="L617" s="6" t="s">
        <v>906</v>
      </c>
      <c r="M617" s="5" t="s">
        <v>46</v>
      </c>
      <c r="N617" s="5" t="s">
        <v>27</v>
      </c>
      <c r="O617" s="5">
        <v>17561.0</v>
      </c>
      <c r="P617" s="5">
        <v>50.0</v>
      </c>
      <c r="Q617" s="5">
        <v>2960.0</v>
      </c>
      <c r="R617" s="5">
        <v>9953.0</v>
      </c>
      <c r="S617" s="5">
        <v>10.0</v>
      </c>
      <c r="T617" s="5">
        <v>1519.90401</v>
      </c>
    </row>
    <row r="618">
      <c r="A618" s="4" t="s">
        <v>1937</v>
      </c>
      <c r="B618" s="4" t="str">
        <f>IFERROR(__xludf.DUMMYFUNCTION("SPLIT(A618:A1344, ""&gt;"")"),"Mobile - US ")</f>
        <v>Mobile - US </v>
      </c>
      <c r="C618" s="4" t="str">
        <f>IFERROR(__xludf.DUMMYFUNCTION("""COMPUTED_VALUE""")," Food ")</f>
        <v> Food </v>
      </c>
      <c r="D618" s="4" t="str">
        <f>IFERROR(__xludf.DUMMYFUNCTION("""COMPUTED_VALUE""")," Restaurant ")</f>
        <v> Restaurant </v>
      </c>
      <c r="E618" s="4" t="str">
        <f>IFERROR(__xludf.DUMMYFUNCTION("""COMPUTED_VALUE""")," Brand ")</f>
        <v> Brand </v>
      </c>
      <c r="F618" s="4" t="str">
        <f>IFERROR(__xludf.DUMMYFUNCTION("""COMPUTED_VALUE""")," Krispy Kreme")</f>
        <v> Krispy Kreme</v>
      </c>
      <c r="G618" s="4"/>
      <c r="H618" s="4"/>
      <c r="I618" s="5" t="s">
        <v>61</v>
      </c>
      <c r="J618" s="5" t="s">
        <v>42</v>
      </c>
      <c r="K618" s="5" t="s">
        <v>32</v>
      </c>
      <c r="L618" s="6" t="s">
        <v>908</v>
      </c>
      <c r="M618" s="5" t="s">
        <v>26</v>
      </c>
      <c r="N618" s="5" t="s">
        <v>27</v>
      </c>
      <c r="O618" s="5">
        <v>13608.0</v>
      </c>
      <c r="P618" s="5">
        <v>66.0</v>
      </c>
      <c r="Q618" s="5">
        <v>2714.0</v>
      </c>
      <c r="R618" s="5">
        <v>9332.0</v>
      </c>
      <c r="S618" s="5">
        <v>1.0</v>
      </c>
      <c r="T618" s="5">
        <v>1762.663235</v>
      </c>
    </row>
    <row r="619">
      <c r="A619" s="4" t="s">
        <v>1938</v>
      </c>
      <c r="B619" s="4" t="str">
        <f>IFERROR(__xludf.DUMMYFUNCTION("SPLIT(A619:A1345, ""&gt;"")"),"Online Behavior")</f>
        <v>Online Behavior</v>
      </c>
      <c r="C619" s="4" t="str">
        <f>IFERROR(__xludf.DUMMYFUNCTION("""COMPUTED_VALUE"""),"United States")</f>
        <v>United States</v>
      </c>
      <c r="D619" s="4" t="str">
        <f>IFERROR(__xludf.DUMMYFUNCTION("""COMPUTED_VALUE"""),"Arts and Entertainment")</f>
        <v>Arts and Entertainment</v>
      </c>
      <c r="E619" s="4" t="str">
        <f>IFERROR(__xludf.DUMMYFUNCTION("""COMPUTED_VALUE"""),"Events and Listings ")</f>
        <v>Events and Listings </v>
      </c>
      <c r="F619" s="4" t="str">
        <f>IFERROR(__xludf.DUMMYFUNCTION("""COMPUTED_VALUE""")," Concerts and Music Festivals")</f>
        <v> Concerts and Music Festivals</v>
      </c>
      <c r="G619" s="4"/>
      <c r="H619" s="4"/>
      <c r="I619" s="5" t="s">
        <v>61</v>
      </c>
      <c r="J619" s="5" t="s">
        <v>23</v>
      </c>
      <c r="K619" s="5" t="s">
        <v>35</v>
      </c>
      <c r="L619" s="6" t="s">
        <v>910</v>
      </c>
      <c r="M619" s="5" t="s">
        <v>19</v>
      </c>
      <c r="N619" s="5" t="s">
        <v>27</v>
      </c>
      <c r="O619" s="7">
        <v>446774.0</v>
      </c>
      <c r="P619" s="5">
        <v>951.0</v>
      </c>
      <c r="Q619" s="7">
        <v>196581.0</v>
      </c>
      <c r="R619" s="7">
        <v>379758.0</v>
      </c>
      <c r="S619" s="5">
        <v>33.0</v>
      </c>
      <c r="T619" s="5">
        <v>6956.627366</v>
      </c>
    </row>
    <row r="620">
      <c r="A620" s="4" t="s">
        <v>911</v>
      </c>
      <c r="B620" s="4" t="str">
        <f>IFERROR(__xludf.DUMMYFUNCTION("SPLIT(A620:A1346, ""&gt;"")"),"Online Behavior")</f>
        <v>Online Behavior</v>
      </c>
      <c r="C620" s="4" t="str">
        <f>IFERROR(__xludf.DUMMYFUNCTION("""COMPUTED_VALUE"""),"United States")</f>
        <v>United States</v>
      </c>
      <c r="D620" s="4" t="str">
        <f>IFERROR(__xludf.DUMMYFUNCTION("""COMPUTED_VALUE"""),"Home and Garden")</f>
        <v>Home and Garden</v>
      </c>
      <c r="E620" s="4" t="str">
        <f>IFERROR(__xludf.DUMMYFUNCTION("""COMPUTED_VALUE"""),"Yard and Patio")</f>
        <v>Yard and Patio</v>
      </c>
      <c r="F620" s="4"/>
      <c r="G620" s="4"/>
      <c r="H620" s="4"/>
      <c r="I620" s="5" t="s">
        <v>15</v>
      </c>
      <c r="J620" s="5" t="s">
        <v>16</v>
      </c>
      <c r="K620" s="5" t="s">
        <v>17</v>
      </c>
      <c r="L620" s="6" t="s">
        <v>912</v>
      </c>
      <c r="M620" s="5" t="s">
        <v>117</v>
      </c>
      <c r="N620" s="5" t="s">
        <v>27</v>
      </c>
      <c r="O620" s="5">
        <v>11607.0</v>
      </c>
      <c r="P620" s="5">
        <v>184.0</v>
      </c>
      <c r="Q620" s="5">
        <v>5218.0</v>
      </c>
      <c r="R620" s="5">
        <v>10763.0</v>
      </c>
      <c r="S620" s="5">
        <v>12.0</v>
      </c>
      <c r="T620" s="5">
        <v>6909.732318</v>
      </c>
    </row>
    <row r="621">
      <c r="A621" s="4" t="s">
        <v>1939</v>
      </c>
      <c r="B621" s="4" t="str">
        <f>IFERROR(__xludf.DUMMYFUNCTION("SPLIT(A621:A1347, ""&gt;"")"),"US ")</f>
        <v>US </v>
      </c>
      <c r="C621" s="4" t="str">
        <f>IFERROR(__xludf.DUMMYFUNCTION("""COMPUTED_VALUE""")," Sociodemographic ")</f>
        <v> Sociodemographic </v>
      </c>
      <c r="D621" s="4" t="str">
        <f>IFERROR(__xludf.DUMMYFUNCTION("""COMPUTED_VALUE""")," PRIZM Premier Lifestage ")</f>
        <v> PRIZM Premier Lifestage </v>
      </c>
      <c r="E621" s="4" t="str">
        <f>IFERROR(__xludf.DUMMYFUNCTION("""COMPUTED_VALUE""")," F2 Young Accumulators")</f>
        <v> F2 Young Accumulators</v>
      </c>
      <c r="F621" s="4"/>
      <c r="G621" s="4"/>
      <c r="H621" s="4"/>
      <c r="I621" s="5" t="s">
        <v>61</v>
      </c>
      <c r="J621" s="5" t="s">
        <v>16</v>
      </c>
      <c r="K621" s="5" t="s">
        <v>78</v>
      </c>
      <c r="L621" s="6" t="s">
        <v>912</v>
      </c>
      <c r="M621" s="5" t="s">
        <v>117</v>
      </c>
      <c r="N621" s="5" t="s">
        <v>27</v>
      </c>
      <c r="O621" s="5">
        <v>72117.0</v>
      </c>
      <c r="P621" s="5">
        <v>187.0</v>
      </c>
      <c r="Q621" s="5">
        <v>9807.0</v>
      </c>
      <c r="R621" s="5">
        <v>68568.0</v>
      </c>
      <c r="S621" s="5">
        <v>16.0</v>
      </c>
      <c r="T621" s="5">
        <v>1702.317206</v>
      </c>
    </row>
    <row r="622">
      <c r="A622" s="4" t="s">
        <v>1616</v>
      </c>
      <c r="B622" s="4" t="str">
        <f>IFERROR(__xludf.DUMMYFUNCTION("SPLIT(A622:A1348, ""&gt;"")"),"OnAudience ")</f>
        <v>OnAudience </v>
      </c>
      <c r="C622" s="4" t="str">
        <f>IFERROR(__xludf.DUMMYFUNCTION("""COMPUTED_VALUE""")," Interest ")</f>
        <v> Interest </v>
      </c>
      <c r="D622" s="4" t="str">
        <f>IFERROR(__xludf.DUMMYFUNCTION("""COMPUTED_VALUE""")," Food &amp; Drink")</f>
        <v> Food &amp; Drink</v>
      </c>
      <c r="E622" s="4"/>
      <c r="F622" s="4"/>
      <c r="G622" s="4"/>
      <c r="H622" s="4"/>
      <c r="I622" s="5" t="s">
        <v>15</v>
      </c>
      <c r="J622" s="5" t="s">
        <v>42</v>
      </c>
      <c r="K622" s="5" t="s">
        <v>126</v>
      </c>
      <c r="L622" s="6" t="s">
        <v>912</v>
      </c>
      <c r="M622" s="5" t="s">
        <v>19</v>
      </c>
      <c r="N622" s="5" t="s">
        <v>52</v>
      </c>
      <c r="O622" s="5">
        <v>38070.0</v>
      </c>
      <c r="P622" s="5">
        <v>146.0</v>
      </c>
      <c r="Q622" s="5">
        <v>15253.0</v>
      </c>
      <c r="R622" s="5">
        <v>35453.0</v>
      </c>
      <c r="S622" s="5">
        <v>8.0</v>
      </c>
      <c r="T622" s="5">
        <v>1653.510777</v>
      </c>
    </row>
    <row r="623">
      <c r="A623" s="4" t="s">
        <v>1940</v>
      </c>
      <c r="B623" s="4" t="str">
        <f>IFERROR(__xludf.DUMMYFUNCTION("SPLIT(A623:A1349, ""&gt;"")"),"US ")</f>
        <v>US </v>
      </c>
      <c r="C623" s="4" t="str">
        <f>IFERROR(__xludf.DUMMYFUNCTION("""COMPUTED_VALUE""")," Brand Propensities ")</f>
        <v> Brand Propensities </v>
      </c>
      <c r="D623" s="4" t="str">
        <f>IFERROR(__xludf.DUMMYFUNCTION("""COMPUTED_VALUE""")," Travel ")</f>
        <v> Travel </v>
      </c>
      <c r="E623" s="4" t="str">
        <f>IFERROR(__xludf.DUMMYFUNCTION("""COMPUTED_VALUE""")," MGM Resorts International Buyer Propensity")</f>
        <v> MGM Resorts International Buyer Propensity</v>
      </c>
      <c r="F623" s="4"/>
      <c r="G623" s="4"/>
      <c r="H623" s="4"/>
      <c r="I623" s="5" t="s">
        <v>61</v>
      </c>
      <c r="J623" s="5" t="s">
        <v>16</v>
      </c>
      <c r="K623" s="5" t="s">
        <v>78</v>
      </c>
      <c r="L623" s="6" t="s">
        <v>912</v>
      </c>
      <c r="M623" s="5" t="s">
        <v>46</v>
      </c>
      <c r="N623" s="5" t="s">
        <v>27</v>
      </c>
      <c r="O623" s="5">
        <v>32400.0</v>
      </c>
      <c r="P623" s="5">
        <v>87.0</v>
      </c>
      <c r="Q623" s="5">
        <v>5152.0</v>
      </c>
      <c r="R623" s="5">
        <v>30383.0</v>
      </c>
      <c r="S623" s="5">
        <v>9.0</v>
      </c>
      <c r="T623" s="5">
        <v>1522.352623</v>
      </c>
    </row>
    <row r="624">
      <c r="A624" s="4" t="s">
        <v>916</v>
      </c>
      <c r="B624" s="4" t="str">
        <f>IFERROR(__xludf.DUMMYFUNCTION("SPLIT(A624:A1350, ""&gt;"")"),"Online Behavior")</f>
        <v>Online Behavior</v>
      </c>
      <c r="C624" s="4" t="str">
        <f>IFERROR(__xludf.DUMMYFUNCTION("""COMPUTED_VALUE"""),"United States")</f>
        <v>United States</v>
      </c>
      <c r="D624" s="4" t="str">
        <f>IFERROR(__xludf.DUMMYFUNCTION("""COMPUTED_VALUE"""),"Law and Government")</f>
        <v>Law and Government</v>
      </c>
      <c r="E624" s="4" t="str">
        <f>IFERROR(__xludf.DUMMYFUNCTION("""COMPUTED_VALUE"""),"Legal")</f>
        <v>Legal</v>
      </c>
      <c r="F624" s="4"/>
      <c r="G624" s="4"/>
      <c r="H624" s="4"/>
      <c r="I624" s="5" t="s">
        <v>22</v>
      </c>
      <c r="J624" s="5" t="s">
        <v>42</v>
      </c>
      <c r="K624" s="5" t="s">
        <v>35</v>
      </c>
      <c r="L624" s="6" t="s">
        <v>917</v>
      </c>
      <c r="M624" s="5" t="s">
        <v>33</v>
      </c>
      <c r="N624" s="5" t="s">
        <v>27</v>
      </c>
      <c r="O624" s="5">
        <v>9867.0</v>
      </c>
      <c r="P624" s="5">
        <v>30.0</v>
      </c>
      <c r="Q624" s="5">
        <v>6867.0</v>
      </c>
      <c r="R624" s="5">
        <v>9347.0</v>
      </c>
      <c r="S624" s="5">
        <v>12.0</v>
      </c>
      <c r="T624" s="5">
        <v>6839.569086</v>
      </c>
    </row>
    <row r="625">
      <c r="A625" s="4" t="s">
        <v>918</v>
      </c>
      <c r="B625" s="4" t="str">
        <f>IFERROR(__xludf.DUMMYFUNCTION("SPLIT(A625:A1351, ""&gt;"")"),"Online Behavior")</f>
        <v>Online Behavior</v>
      </c>
      <c r="C625" s="4" t="str">
        <f>IFERROR(__xludf.DUMMYFUNCTION("""COMPUTED_VALUE"""),"United States")</f>
        <v>United States</v>
      </c>
      <c r="D625" s="4" t="str">
        <f>IFERROR(__xludf.DUMMYFUNCTION("""COMPUTED_VALUE"""),"Sports")</f>
        <v>Sports</v>
      </c>
      <c r="E625" s="4" t="str">
        <f>IFERROR(__xludf.DUMMYFUNCTION("""COMPUTED_VALUE"""),"College Sports")</f>
        <v>College Sports</v>
      </c>
      <c r="F625" s="4"/>
      <c r="G625" s="4"/>
      <c r="H625" s="4"/>
      <c r="I625" s="5" t="s">
        <v>15</v>
      </c>
      <c r="J625" s="5" t="s">
        <v>31</v>
      </c>
      <c r="K625" s="5" t="s">
        <v>17</v>
      </c>
      <c r="L625" s="6" t="s">
        <v>919</v>
      </c>
      <c r="M625" s="5" t="s">
        <v>36</v>
      </c>
      <c r="N625" s="5" t="s">
        <v>27</v>
      </c>
      <c r="O625" s="5">
        <v>1109184.0</v>
      </c>
      <c r="P625" s="5">
        <v>3142.0</v>
      </c>
      <c r="Q625" s="5">
        <v>83035.0</v>
      </c>
      <c r="R625" s="5">
        <v>782482.0</v>
      </c>
      <c r="S625" s="5">
        <v>25.0</v>
      </c>
      <c r="T625" s="5">
        <v>7490.860779</v>
      </c>
    </row>
    <row r="626">
      <c r="A626" s="4" t="s">
        <v>1618</v>
      </c>
      <c r="B626" s="4" t="str">
        <f>IFERROR(__xludf.DUMMYFUNCTION("SPLIT(A626:A1352, ""&gt;"")"),"Online Behavior")</f>
        <v>Online Behavior</v>
      </c>
      <c r="C626" s="4" t="str">
        <f>IFERROR(__xludf.DUMMYFUNCTION("""COMPUTED_VALUE"""),"United States")</f>
        <v>United States</v>
      </c>
      <c r="D626" s="4" t="str">
        <f>IFERROR(__xludf.DUMMYFUNCTION("""COMPUTED_VALUE"""),"B2B ")</f>
        <v>B2B </v>
      </c>
      <c r="E626" s="4" t="str">
        <f>IFERROR(__xludf.DUMMYFUNCTION("""COMPUTED_VALUE""")," Occupation")</f>
        <v> Occupation</v>
      </c>
      <c r="F626" s="4" t="str">
        <f>IFERROR(__xludf.DUMMYFUNCTION("""COMPUTED_VALUE"""),"Entrepreneur")</f>
        <v>Entrepreneur</v>
      </c>
      <c r="G626" s="4"/>
      <c r="H626" s="4"/>
      <c r="I626" s="5" t="s">
        <v>22</v>
      </c>
      <c r="J626" s="5" t="s">
        <v>42</v>
      </c>
      <c r="K626" s="5" t="s">
        <v>29</v>
      </c>
      <c r="L626" s="6" t="s">
        <v>919</v>
      </c>
      <c r="M626" s="5" t="s">
        <v>26</v>
      </c>
      <c r="N626" s="5" t="s">
        <v>27</v>
      </c>
      <c r="O626" s="5">
        <v>686858.0</v>
      </c>
      <c r="P626" s="5">
        <v>2085.0</v>
      </c>
      <c r="Q626" s="5">
        <v>81956.0</v>
      </c>
      <c r="R626" s="5">
        <v>624118.0</v>
      </c>
      <c r="S626" s="5">
        <v>19.0</v>
      </c>
      <c r="T626" s="5">
        <v>7467.081487</v>
      </c>
    </row>
    <row r="627">
      <c r="A627" s="4" t="s">
        <v>921</v>
      </c>
      <c r="B627" s="4" t="str">
        <f>IFERROR(__xludf.DUMMYFUNCTION("SPLIT(A627:A1353, ""&gt;"")"),"Online Behavior")</f>
        <v>Online Behavior</v>
      </c>
      <c r="C627" s="4" t="str">
        <f>IFERROR(__xludf.DUMMYFUNCTION("""COMPUTED_VALUE"""),"United States")</f>
        <v>United States</v>
      </c>
      <c r="D627" s="4" t="str">
        <f>IFERROR(__xludf.DUMMYFUNCTION("""COMPUTED_VALUE"""),"Food and Drink")</f>
        <v>Food and Drink</v>
      </c>
      <c r="E627" s="4" t="str">
        <f>IFERROR(__xludf.DUMMYFUNCTION("""COMPUTED_VALUE"""),"Cooking and Recipes")</f>
        <v>Cooking and Recipes</v>
      </c>
      <c r="F627" s="4"/>
      <c r="G627" s="4"/>
      <c r="H627" s="4"/>
      <c r="I627" s="5" t="s">
        <v>61</v>
      </c>
      <c r="J627" s="5" t="s">
        <v>23</v>
      </c>
      <c r="K627" s="5" t="s">
        <v>35</v>
      </c>
      <c r="L627" s="6" t="s">
        <v>919</v>
      </c>
      <c r="M627" s="5" t="s">
        <v>46</v>
      </c>
      <c r="N627" s="5" t="s">
        <v>27</v>
      </c>
      <c r="O627" s="5">
        <v>40929.0</v>
      </c>
      <c r="P627" s="5">
        <v>142.0</v>
      </c>
      <c r="Q627" s="5">
        <v>9249.0</v>
      </c>
      <c r="R627" s="5">
        <v>31564.0</v>
      </c>
      <c r="S627" s="5">
        <v>8.0</v>
      </c>
      <c r="T627" s="5">
        <v>6764.520637</v>
      </c>
    </row>
    <row r="628">
      <c r="A628" s="4" t="s">
        <v>922</v>
      </c>
      <c r="B628" s="4" t="str">
        <f>IFERROR(__xludf.DUMMYFUNCTION("SPLIT(A628:A1354, ""&gt;"")"),"Online Behavior")</f>
        <v>Online Behavior</v>
      </c>
      <c r="C628" s="4" t="str">
        <f>IFERROR(__xludf.DUMMYFUNCTION("""COMPUTED_VALUE"""),"United States")</f>
        <v>United States</v>
      </c>
      <c r="D628" s="4" t="str">
        <f>IFERROR(__xludf.DUMMYFUNCTION("""COMPUTED_VALUE"""),"Online Communities")</f>
        <v>Online Communities</v>
      </c>
      <c r="E628" s="4" t="str">
        <f>IFERROR(__xludf.DUMMYFUNCTION("""COMPUTED_VALUE"""),"Dating and Personals")</f>
        <v>Dating and Personals</v>
      </c>
      <c r="F628" s="4"/>
      <c r="G628" s="4"/>
      <c r="H628" s="4"/>
      <c r="I628" s="5" t="s">
        <v>22</v>
      </c>
      <c r="J628" s="5" t="s">
        <v>23</v>
      </c>
      <c r="K628" s="5" t="s">
        <v>39</v>
      </c>
      <c r="L628" s="6" t="s">
        <v>919</v>
      </c>
      <c r="M628" s="5" t="s">
        <v>19</v>
      </c>
      <c r="N628" s="5" t="s">
        <v>27</v>
      </c>
      <c r="O628" s="5">
        <v>39844.0</v>
      </c>
      <c r="P628" s="5">
        <v>99.0</v>
      </c>
      <c r="Q628" s="5">
        <v>11077.0</v>
      </c>
      <c r="R628" s="5">
        <v>30190.0</v>
      </c>
      <c r="S628" s="5">
        <v>9.0</v>
      </c>
      <c r="T628" s="5">
        <v>6367.869929</v>
      </c>
    </row>
    <row r="629">
      <c r="A629" s="4" t="s">
        <v>1941</v>
      </c>
      <c r="B629" s="4" t="str">
        <f>IFERROR(__xludf.DUMMYFUNCTION("SPLIT(A629:A1355, ""&gt;"")"),"Online Behavior")</f>
        <v>Online Behavior</v>
      </c>
      <c r="C629" s="4" t="str">
        <f>IFERROR(__xludf.DUMMYFUNCTION("""COMPUTED_VALUE"""),"United States")</f>
        <v>United States</v>
      </c>
      <c r="D629" s="4" t="str">
        <f>IFERROR(__xludf.DUMMYFUNCTION("""COMPUTED_VALUE"""),"Intent ")</f>
        <v>Intent </v>
      </c>
      <c r="E629" s="4" t="str">
        <f>IFERROR(__xludf.DUMMYFUNCTION("""COMPUTED_VALUE""")," Shopping")</f>
        <v> Shopping</v>
      </c>
      <c r="F629" s="4" t="str">
        <f>IFERROR(__xludf.DUMMYFUNCTION("""COMPUTED_VALUE"""),"CPG� Home Care")</f>
        <v>CPG� Home Care</v>
      </c>
      <c r="G629" s="4"/>
      <c r="H629" s="4"/>
      <c r="I629" s="5" t="s">
        <v>22</v>
      </c>
      <c r="J629" s="5" t="s">
        <v>16</v>
      </c>
      <c r="K629" s="5" t="s">
        <v>66</v>
      </c>
      <c r="L629" s="6" t="s">
        <v>919</v>
      </c>
      <c r="M629" s="5" t="s">
        <v>19</v>
      </c>
      <c r="N629" s="5" t="s">
        <v>27</v>
      </c>
      <c r="O629" s="5">
        <v>210700.0</v>
      </c>
      <c r="P629" s="5">
        <v>704.0</v>
      </c>
      <c r="Q629" s="5">
        <v>94625.0</v>
      </c>
      <c r="R629" s="5">
        <v>180681.0</v>
      </c>
      <c r="S629" s="5">
        <v>3.0</v>
      </c>
      <c r="T629" s="5">
        <v>6341.879301</v>
      </c>
    </row>
    <row r="630">
      <c r="A630" s="4" t="s">
        <v>1620</v>
      </c>
      <c r="B630" s="4" t="str">
        <f>IFERROR(__xludf.DUMMYFUNCTION("SPLIT(A630:A1356, ""&gt;"")"),"Online Behavior")</f>
        <v>Online Behavior</v>
      </c>
      <c r="C630" s="4" t="str">
        <f>IFERROR(__xludf.DUMMYFUNCTION("""COMPUTED_VALUE"""),"United States")</f>
        <v>United States</v>
      </c>
      <c r="D630" s="4" t="str">
        <f>IFERROR(__xludf.DUMMYFUNCTION("""COMPUTED_VALUE"""),"Intent ")</f>
        <v>Intent </v>
      </c>
      <c r="E630" s="4" t="str">
        <f>IFERROR(__xludf.DUMMYFUNCTION("""COMPUTED_VALUE""")," Financial Intent")</f>
        <v> Financial Intent</v>
      </c>
      <c r="F630" s="4" t="str">
        <f>IFERROR(__xludf.DUMMYFUNCTION("""COMPUTED_VALUE"""),"Insurance ")</f>
        <v>Insurance </v>
      </c>
      <c r="G630" s="4" t="str">
        <f>IFERROR(__xludf.DUMMYFUNCTION("""COMPUTED_VALUE""")," Auto")</f>
        <v> Auto</v>
      </c>
      <c r="H630" s="4"/>
      <c r="I630" s="5" t="s">
        <v>22</v>
      </c>
      <c r="J630" s="5" t="s">
        <v>23</v>
      </c>
      <c r="K630" s="5" t="s">
        <v>142</v>
      </c>
      <c r="L630" s="6" t="s">
        <v>919</v>
      </c>
      <c r="M630" s="5" t="s">
        <v>26</v>
      </c>
      <c r="N630" s="5" t="s">
        <v>27</v>
      </c>
      <c r="O630" s="5">
        <v>42884.0</v>
      </c>
      <c r="P630" s="5">
        <v>104.0</v>
      </c>
      <c r="Q630" s="5">
        <v>4345.0</v>
      </c>
      <c r="R630" s="5">
        <v>25153.0</v>
      </c>
      <c r="S630" s="5">
        <v>9.0</v>
      </c>
      <c r="T630" s="5">
        <v>6322.152655</v>
      </c>
    </row>
    <row r="631">
      <c r="A631" s="4" t="s">
        <v>1621</v>
      </c>
      <c r="B631" s="4" t="str">
        <f>IFERROR(__xludf.DUMMYFUNCTION("SPLIT(A631:A1357, ""&gt;"")"),"Online Behavior")</f>
        <v>Online Behavior</v>
      </c>
      <c r="C631" s="4" t="str">
        <f>IFERROR(__xludf.DUMMYFUNCTION("""COMPUTED_VALUE"""),"United States")</f>
        <v>United States</v>
      </c>
      <c r="D631" s="4" t="str">
        <f>IFERROR(__xludf.DUMMYFUNCTION("""COMPUTED_VALUE"""),"Intent ")</f>
        <v>Intent </v>
      </c>
      <c r="E631" s="4" t="str">
        <f>IFERROR(__xludf.DUMMYFUNCTION("""COMPUTED_VALUE""")," Auto Buyers ")</f>
        <v> Auto Buyers </v>
      </c>
      <c r="F631" s="4" t="str">
        <f>IFERROR(__xludf.DUMMYFUNCTION("""COMPUTED_VALUE""")," Car Make")</f>
        <v> Car Make</v>
      </c>
      <c r="G631" s="4" t="str">
        <f>IFERROR(__xludf.DUMMYFUNCTION("""COMPUTED_VALUE"""),"Jeep")</f>
        <v>Jeep</v>
      </c>
      <c r="H631" s="4"/>
      <c r="I631" s="5" t="s">
        <v>15</v>
      </c>
      <c r="J631" s="5" t="s">
        <v>23</v>
      </c>
      <c r="K631" s="5" t="s">
        <v>78</v>
      </c>
      <c r="L631" s="6" t="s">
        <v>919</v>
      </c>
      <c r="M631" s="5" t="s">
        <v>136</v>
      </c>
      <c r="N631" s="5" t="s">
        <v>52</v>
      </c>
      <c r="O631" s="5">
        <v>96779.0</v>
      </c>
      <c r="P631" s="5">
        <v>299.0</v>
      </c>
      <c r="Q631" s="5">
        <v>9831.0</v>
      </c>
      <c r="R631" s="5">
        <v>63640.0</v>
      </c>
      <c r="S631" s="5">
        <v>12.0</v>
      </c>
      <c r="T631" s="5">
        <v>6317.510754</v>
      </c>
    </row>
    <row r="632">
      <c r="A632" s="4" t="s">
        <v>926</v>
      </c>
      <c r="B632" s="4" t="str">
        <f>IFERROR(__xludf.DUMMYFUNCTION("SPLIT(A632:A1358, ""&gt;"")"),"Online Behavior")</f>
        <v>Online Behavior</v>
      </c>
      <c r="C632" s="4" t="str">
        <f>IFERROR(__xludf.DUMMYFUNCTION("""COMPUTED_VALUE"""),"United States")</f>
        <v>United States</v>
      </c>
      <c r="D632" s="4" t="str">
        <f>IFERROR(__xludf.DUMMYFUNCTION("""COMPUTED_VALUE"""),"Travel")</f>
        <v>Travel</v>
      </c>
      <c r="E632" s="4" t="str">
        <f>IFERROR(__xludf.DUMMYFUNCTION("""COMPUTED_VALUE"""),"Specialty Travel")</f>
        <v>Specialty Travel</v>
      </c>
      <c r="F632" s="4"/>
      <c r="G632" s="4"/>
      <c r="H632" s="4"/>
      <c r="I632" s="5" t="s">
        <v>15</v>
      </c>
      <c r="J632" s="5" t="s">
        <v>23</v>
      </c>
      <c r="K632" s="5" t="s">
        <v>35</v>
      </c>
      <c r="L632" s="6" t="s">
        <v>919</v>
      </c>
      <c r="M632" s="5" t="s">
        <v>19</v>
      </c>
      <c r="N632" s="5" t="s">
        <v>27</v>
      </c>
      <c r="O632" s="5">
        <v>182114.0</v>
      </c>
      <c r="P632" s="5">
        <v>500.0</v>
      </c>
      <c r="Q632" s="5">
        <v>14477.0</v>
      </c>
      <c r="R632" s="5">
        <v>139167.0</v>
      </c>
      <c r="S632" s="5">
        <v>29.0</v>
      </c>
      <c r="T632" s="5">
        <v>6307.900751</v>
      </c>
    </row>
    <row r="633">
      <c r="A633" s="4" t="s">
        <v>927</v>
      </c>
      <c r="B633" s="4" t="str">
        <f>IFERROR(__xludf.DUMMYFUNCTION("SPLIT(A633:A1359, ""&gt;"")"),"Online Behavior")</f>
        <v>Online Behavior</v>
      </c>
      <c r="C633" s="4" t="str">
        <f>IFERROR(__xludf.DUMMYFUNCTION("""COMPUTED_VALUE"""),"United States")</f>
        <v>United States</v>
      </c>
      <c r="D633" s="4" t="str">
        <f>IFERROR(__xludf.DUMMYFUNCTION("""COMPUTED_VALUE"""),"Hobbies and Leisure")</f>
        <v>Hobbies and Leisure</v>
      </c>
      <c r="E633" s="4" t="str">
        <f>IFERROR(__xludf.DUMMYFUNCTION("""COMPUTED_VALUE"""),"Clubs and Organizations")</f>
        <v>Clubs and Organizations</v>
      </c>
      <c r="F633" s="4"/>
      <c r="G633" s="4"/>
      <c r="H633" s="4"/>
      <c r="I633" s="5" t="s">
        <v>61</v>
      </c>
      <c r="J633" s="5" t="s">
        <v>16</v>
      </c>
      <c r="K633" s="5" t="s">
        <v>35</v>
      </c>
      <c r="L633" s="6" t="s">
        <v>919</v>
      </c>
      <c r="M633" s="5" t="s">
        <v>19</v>
      </c>
      <c r="N633" s="5" t="s">
        <v>27</v>
      </c>
      <c r="O633" s="5">
        <v>207823.0</v>
      </c>
      <c r="P633" s="5">
        <v>600.0</v>
      </c>
      <c r="Q633" s="5">
        <v>33602.0</v>
      </c>
      <c r="R633" s="5">
        <v>167814.0</v>
      </c>
      <c r="S633" s="5">
        <v>13.0</v>
      </c>
      <c r="T633" s="5">
        <v>6048.955611</v>
      </c>
    </row>
    <row r="634">
      <c r="A634" s="4" t="s">
        <v>1622</v>
      </c>
      <c r="B634" s="4" t="str">
        <f>IFERROR(__xludf.DUMMYFUNCTION("SPLIT(A634:A1360, ""&gt;"")"),"Online Behavior")</f>
        <v>Online Behavior</v>
      </c>
      <c r="C634" s="4" t="str">
        <f>IFERROR(__xludf.DUMMYFUNCTION("""COMPUTED_VALUE"""),"United States")</f>
        <v>United States</v>
      </c>
      <c r="D634" s="4" t="str">
        <f>IFERROR(__xludf.DUMMYFUNCTION("""COMPUTED_VALUE"""),"Autos and Vehicles ")</f>
        <v>Autos and Vehicles </v>
      </c>
      <c r="E634" s="4" t="str">
        <f>IFERROR(__xludf.DUMMYFUNCTION("""COMPUTED_VALUE""")," Brands")</f>
        <v> Brands</v>
      </c>
      <c r="F634" s="4" t="str">
        <f>IFERROR(__xludf.DUMMYFUNCTION("""COMPUTED_VALUE"""),"Kia")</f>
        <v>Kia</v>
      </c>
      <c r="G634" s="4"/>
      <c r="H634" s="4"/>
      <c r="I634" s="5" t="s">
        <v>61</v>
      </c>
      <c r="J634" s="5" t="s">
        <v>16</v>
      </c>
      <c r="K634" s="5" t="s">
        <v>29</v>
      </c>
      <c r="L634" s="6" t="s">
        <v>919</v>
      </c>
      <c r="M634" s="5" t="s">
        <v>19</v>
      </c>
      <c r="N634" s="5" t="s">
        <v>27</v>
      </c>
      <c r="O634" s="5">
        <v>257862.0</v>
      </c>
      <c r="P634" s="5">
        <v>700.0</v>
      </c>
      <c r="Q634" s="5">
        <v>105048.0</v>
      </c>
      <c r="R634" s="5">
        <v>238629.0</v>
      </c>
      <c r="S634" s="5">
        <v>21.0</v>
      </c>
      <c r="T634" s="5">
        <v>5899.429483</v>
      </c>
    </row>
    <row r="635">
      <c r="A635" s="4" t="s">
        <v>929</v>
      </c>
      <c r="B635" s="4" t="str">
        <f>IFERROR(__xludf.DUMMYFUNCTION("SPLIT(A635:A1361, ""&gt;"")"),"Online Behavior")</f>
        <v>Online Behavior</v>
      </c>
      <c r="C635" s="4" t="str">
        <f>IFERROR(__xludf.DUMMYFUNCTION("""COMPUTED_VALUE"""),"United States")</f>
        <v>United States</v>
      </c>
      <c r="D635" s="4" t="str">
        <f>IFERROR(__xludf.DUMMYFUNCTION("""COMPUTED_VALUE"""),"Internet and Telecom")</f>
        <v>Internet and Telecom</v>
      </c>
      <c r="E635" s="4" t="str">
        <f>IFERROR(__xludf.DUMMYFUNCTION("""COMPUTED_VALUE"""),"Search Engines")</f>
        <v>Search Engines</v>
      </c>
      <c r="F635" s="4"/>
      <c r="G635" s="4"/>
      <c r="H635" s="4"/>
      <c r="I635" s="5" t="s">
        <v>15</v>
      </c>
      <c r="J635" s="5" t="s">
        <v>42</v>
      </c>
      <c r="K635" s="5" t="s">
        <v>35</v>
      </c>
      <c r="L635" s="6" t="s">
        <v>919</v>
      </c>
      <c r="M635" s="5" t="s">
        <v>26</v>
      </c>
      <c r="N635" s="5" t="s">
        <v>52</v>
      </c>
      <c r="O635" s="5">
        <v>26439.0</v>
      </c>
      <c r="P635" s="5">
        <v>95.0</v>
      </c>
      <c r="Q635" s="5">
        <v>7093.0</v>
      </c>
      <c r="R635" s="5">
        <v>19681.0</v>
      </c>
      <c r="S635" s="5">
        <v>7.0</v>
      </c>
      <c r="T635" s="5">
        <v>5330.781969</v>
      </c>
    </row>
    <row r="636">
      <c r="A636" s="4" t="s">
        <v>930</v>
      </c>
      <c r="B636" s="4" t="str">
        <f>IFERROR(__xludf.DUMMYFUNCTION("SPLIT(A636:A1362, ""&gt;"")"),"Online Behavior")</f>
        <v>Online Behavior</v>
      </c>
      <c r="C636" s="4" t="str">
        <f>IFERROR(__xludf.DUMMYFUNCTION("""COMPUTED_VALUE"""),"United States")</f>
        <v>United States</v>
      </c>
      <c r="D636" s="4" t="str">
        <f>IFERROR(__xludf.DUMMYFUNCTION("""COMPUTED_VALUE"""),"Internet and Telecom")</f>
        <v>Internet and Telecom</v>
      </c>
      <c r="E636" s="4" t="str">
        <f>IFERROR(__xludf.DUMMYFUNCTION("""COMPUTED_VALUE"""),"Web Portals")</f>
        <v>Web Portals</v>
      </c>
      <c r="F636" s="4"/>
      <c r="G636" s="4"/>
      <c r="H636" s="4"/>
      <c r="I636" s="5" t="s">
        <v>22</v>
      </c>
      <c r="J636" s="5" t="s">
        <v>42</v>
      </c>
      <c r="K636" s="5" t="s">
        <v>204</v>
      </c>
      <c r="L636" s="6" t="s">
        <v>919</v>
      </c>
      <c r="M636" s="5" t="s">
        <v>19</v>
      </c>
      <c r="N636" s="5" t="s">
        <v>27</v>
      </c>
      <c r="O636" s="5">
        <v>96508.0</v>
      </c>
      <c r="P636" s="5">
        <v>351.0</v>
      </c>
      <c r="Q636" s="5">
        <v>47065.0</v>
      </c>
      <c r="R636" s="5">
        <v>73640.0</v>
      </c>
      <c r="S636" s="5">
        <v>15.0</v>
      </c>
      <c r="T636" s="5">
        <v>5310.769572</v>
      </c>
    </row>
    <row r="637">
      <c r="A637" s="4" t="s">
        <v>1623</v>
      </c>
      <c r="B637" s="4" t="str">
        <f>IFERROR(__xludf.DUMMYFUNCTION("SPLIT(A637:A1363, ""&gt;"")"),"Online Behavior")</f>
        <v>Online Behavior</v>
      </c>
      <c r="C637" s="4" t="str">
        <f>IFERROR(__xludf.DUMMYFUNCTION("""COMPUTED_VALUE"""),"United States")</f>
        <v>United States</v>
      </c>
      <c r="D637" s="4" t="str">
        <f>IFERROR(__xludf.DUMMYFUNCTION("""COMPUTED_VALUE"""),"Validated Demographic ")</f>
        <v>Validated Demographic </v>
      </c>
      <c r="E637" s="4" t="str">
        <f>IFERROR(__xludf.DUMMYFUNCTION("""COMPUTED_VALUE""")," Age")</f>
        <v> Age</v>
      </c>
      <c r="F637" s="4" t="str">
        <f>IFERROR(__xludf.DUMMYFUNCTION("""COMPUTED_VALUE"""),"25-54")</f>
        <v>25-54</v>
      </c>
      <c r="G637" s="4"/>
      <c r="H637" s="4"/>
      <c r="I637" s="5" t="s">
        <v>15</v>
      </c>
      <c r="J637" s="5" t="s">
        <v>16</v>
      </c>
      <c r="K637" s="5" t="s">
        <v>78</v>
      </c>
      <c r="L637" s="6" t="s">
        <v>919</v>
      </c>
      <c r="M637" s="5" t="s">
        <v>19</v>
      </c>
      <c r="N637" s="5" t="s">
        <v>27</v>
      </c>
      <c r="O637" s="5">
        <v>198163.0</v>
      </c>
      <c r="P637" s="5">
        <v>469.0</v>
      </c>
      <c r="Q637" s="5">
        <v>76695.0</v>
      </c>
      <c r="R637" s="5">
        <v>183585.0</v>
      </c>
      <c r="S637" s="5">
        <v>31.0</v>
      </c>
      <c r="T637" s="5">
        <v>5204.313768</v>
      </c>
    </row>
    <row r="638">
      <c r="A638" s="4" t="s">
        <v>932</v>
      </c>
      <c r="B638" s="4" t="str">
        <f>IFERROR(__xludf.DUMMYFUNCTION("SPLIT(A638:A1364, ""&gt;"")"),"Online Behavior")</f>
        <v>Online Behavior</v>
      </c>
      <c r="C638" s="4" t="str">
        <f>IFERROR(__xludf.DUMMYFUNCTION("""COMPUTED_VALUE"""),"United States")</f>
        <v>United States</v>
      </c>
      <c r="D638" s="4" t="str">
        <f>IFERROR(__xludf.DUMMYFUNCTION("""COMPUTED_VALUE"""),"Hobbies and Leisure")</f>
        <v>Hobbies and Leisure</v>
      </c>
      <c r="E638" s="4" t="str">
        <f>IFERROR(__xludf.DUMMYFUNCTION("""COMPUTED_VALUE"""),"Water Activities")</f>
        <v>Water Activities</v>
      </c>
      <c r="F638" s="4"/>
      <c r="G638" s="4"/>
      <c r="H638" s="4"/>
      <c r="I638" s="5" t="s">
        <v>22</v>
      </c>
      <c r="J638" s="5" t="s">
        <v>31</v>
      </c>
      <c r="K638" s="5" t="s">
        <v>214</v>
      </c>
      <c r="L638" s="6" t="s">
        <v>919</v>
      </c>
      <c r="M638" s="5" t="s">
        <v>19</v>
      </c>
      <c r="N638" s="5" t="s">
        <v>27</v>
      </c>
      <c r="O638" s="5">
        <v>156427.0</v>
      </c>
      <c r="P638" s="5">
        <v>512.0</v>
      </c>
      <c r="Q638" s="5">
        <v>61821.0</v>
      </c>
      <c r="R638" s="5">
        <v>145505.0</v>
      </c>
      <c r="S638" s="5">
        <v>3.0</v>
      </c>
      <c r="T638" s="5">
        <v>5159.747494</v>
      </c>
    </row>
    <row r="639">
      <c r="A639" s="4" t="s">
        <v>1624</v>
      </c>
      <c r="B639" s="4" t="str">
        <f>IFERROR(__xludf.DUMMYFUNCTION("SPLIT(A639:A1365, ""&gt;"")"),"Online Behavior")</f>
        <v>Online Behavior</v>
      </c>
      <c r="C639" s="4" t="str">
        <f>IFERROR(__xludf.DUMMYFUNCTION("""COMPUTED_VALUE"""),"United States")</f>
        <v>United States</v>
      </c>
      <c r="D639" s="4" t="str">
        <f>IFERROR(__xludf.DUMMYFUNCTION("""COMPUTED_VALUE"""),"Finance ")</f>
        <v>Finance </v>
      </c>
      <c r="E639" s="4" t="str">
        <f>IFERROR(__xludf.DUMMYFUNCTION("""COMPUTED_VALUE""")," Insurance")</f>
        <v> Insurance</v>
      </c>
      <c r="F639" s="4" t="str">
        <f>IFERROR(__xludf.DUMMYFUNCTION("""COMPUTED_VALUE"""),"Travel Insurance")</f>
        <v>Travel Insurance</v>
      </c>
      <c r="G639" s="4"/>
      <c r="H639" s="4"/>
      <c r="I639" s="5" t="s">
        <v>15</v>
      </c>
      <c r="J639" s="5" t="s">
        <v>42</v>
      </c>
      <c r="K639" s="5" t="s">
        <v>39</v>
      </c>
      <c r="L639" s="6" t="s">
        <v>919</v>
      </c>
      <c r="M639" s="5" t="s">
        <v>36</v>
      </c>
      <c r="N639" s="5" t="s">
        <v>27</v>
      </c>
      <c r="O639" s="5">
        <v>61574.0</v>
      </c>
      <c r="P639" s="5">
        <v>280.0</v>
      </c>
      <c r="Q639" s="5">
        <v>18717.0</v>
      </c>
      <c r="R639" s="5">
        <v>46367.0</v>
      </c>
      <c r="S639" s="5">
        <v>8.0</v>
      </c>
      <c r="T639" s="5">
        <v>4999.665205</v>
      </c>
    </row>
    <row r="640">
      <c r="A640" s="4" t="s">
        <v>1625</v>
      </c>
      <c r="B640" s="4" t="str">
        <f>IFERROR(__xludf.DUMMYFUNCTION("SPLIT(A640:A1366, ""&gt;"")"),"Online Behavior")</f>
        <v>Online Behavior</v>
      </c>
      <c r="C640" s="4" t="str">
        <f>IFERROR(__xludf.DUMMYFUNCTION("""COMPUTED_VALUE"""),"United States")</f>
        <v>United States</v>
      </c>
      <c r="D640" s="4" t="str">
        <f>IFERROR(__xludf.DUMMYFUNCTION("""COMPUTED_VALUE"""),"Intent ")</f>
        <v>Intent </v>
      </c>
      <c r="E640" s="4" t="str">
        <f>IFERROR(__xludf.DUMMYFUNCTION("""COMPUTED_VALUE""")," Services")</f>
        <v> Services</v>
      </c>
      <c r="F640" s="4" t="str">
        <f>IFERROR(__xludf.DUMMYFUNCTION("""COMPUTED_VALUE"""),"Restaurants")</f>
        <v>Restaurants</v>
      </c>
      <c r="G640" s="4"/>
      <c r="H640" s="4"/>
      <c r="I640" s="5" t="s">
        <v>15</v>
      </c>
      <c r="J640" s="5" t="s">
        <v>31</v>
      </c>
      <c r="K640" s="5" t="s">
        <v>29</v>
      </c>
      <c r="L640" s="6" t="s">
        <v>919</v>
      </c>
      <c r="M640" s="5" t="s">
        <v>19</v>
      </c>
      <c r="N640" s="5" t="s">
        <v>20</v>
      </c>
      <c r="O640" s="5">
        <v>29856.0</v>
      </c>
      <c r="P640" s="5">
        <v>111.0</v>
      </c>
      <c r="Q640" s="5">
        <v>7664.0</v>
      </c>
      <c r="R640" s="5">
        <v>21698.0</v>
      </c>
      <c r="S640" s="5">
        <v>9.0</v>
      </c>
      <c r="T640" s="5">
        <v>4851.394446</v>
      </c>
    </row>
    <row r="641">
      <c r="A641" s="4" t="s">
        <v>1626</v>
      </c>
      <c r="B641" s="4" t="str">
        <f>IFERROR(__xludf.DUMMYFUNCTION("SPLIT(A641:A1367, ""&gt;"")"),"Online Behavior")</f>
        <v>Online Behavior</v>
      </c>
      <c r="C641" s="4" t="str">
        <f>IFERROR(__xludf.DUMMYFUNCTION("""COMPUTED_VALUE"""),"United States")</f>
        <v>United States</v>
      </c>
      <c r="D641" s="4" t="str">
        <f>IFERROR(__xludf.DUMMYFUNCTION("""COMPUTED_VALUE"""),"Intent ")</f>
        <v>Intent </v>
      </c>
      <c r="E641" s="4" t="str">
        <f>IFERROR(__xludf.DUMMYFUNCTION("""COMPUTED_VALUE""")," Travel")</f>
        <v> Travel</v>
      </c>
      <c r="F641" s="4" t="str">
        <f>IFERROR(__xludf.DUMMYFUNCTION("""COMPUTED_VALUE"""),"Future Travel")</f>
        <v>Future Travel</v>
      </c>
      <c r="G641" s="4"/>
      <c r="H641" s="4"/>
      <c r="I641" s="5" t="s">
        <v>15</v>
      </c>
      <c r="J641" s="5" t="s">
        <v>31</v>
      </c>
      <c r="K641" s="5" t="s">
        <v>35</v>
      </c>
      <c r="L641" s="6" t="s">
        <v>919</v>
      </c>
      <c r="M641" s="5" t="s">
        <v>19</v>
      </c>
      <c r="N641" s="5" t="s">
        <v>27</v>
      </c>
      <c r="O641" s="5">
        <v>100991.0</v>
      </c>
      <c r="P641" s="5">
        <v>286.0</v>
      </c>
      <c r="Q641" s="5">
        <v>56138.0</v>
      </c>
      <c r="R641" s="5">
        <v>88836.0</v>
      </c>
      <c r="S641" s="5">
        <v>9.0</v>
      </c>
      <c r="T641" s="5">
        <v>4652.367629</v>
      </c>
    </row>
    <row r="642">
      <c r="A642" s="4" t="s">
        <v>1942</v>
      </c>
      <c r="B642" s="4" t="str">
        <f>IFERROR(__xludf.DUMMYFUNCTION("SPLIT(A642:A1368, ""&gt;"")"),"Online Behavior")</f>
        <v>Online Behavior</v>
      </c>
      <c r="C642" s="4" t="str">
        <f>IFERROR(__xludf.DUMMYFUNCTION("""COMPUTED_VALUE"""),"United States")</f>
        <v>United States</v>
      </c>
      <c r="D642" s="4" t="str">
        <f>IFERROR(__xludf.DUMMYFUNCTION("""COMPUTED_VALUE"""),"Intent ")</f>
        <v>Intent </v>
      </c>
      <c r="E642" s="4" t="str">
        <f>IFERROR(__xludf.DUMMYFUNCTION("""COMPUTED_VALUE""")," Shopping")</f>
        <v> Shopping</v>
      </c>
      <c r="F642" s="4" t="str">
        <f>IFERROR(__xludf.DUMMYFUNCTION("""COMPUTED_VALUE"""),"CPG� Cosmetics")</f>
        <v>CPG� Cosmetics</v>
      </c>
      <c r="G642" s="4"/>
      <c r="H642" s="4"/>
      <c r="I642" s="5" t="s">
        <v>22</v>
      </c>
      <c r="J642" s="5" t="s">
        <v>16</v>
      </c>
      <c r="K642" s="5" t="s">
        <v>35</v>
      </c>
      <c r="L642" s="6" t="s">
        <v>919</v>
      </c>
      <c r="M642" s="5" t="s">
        <v>19</v>
      </c>
      <c r="N642" s="5" t="s">
        <v>27</v>
      </c>
      <c r="O642" s="5">
        <v>43327.0</v>
      </c>
      <c r="P642" s="5">
        <v>140.0</v>
      </c>
      <c r="Q642" s="5">
        <v>4689.0</v>
      </c>
      <c r="R642" s="5">
        <v>31363.0</v>
      </c>
      <c r="S642" s="5">
        <v>14.0</v>
      </c>
      <c r="T642" s="5">
        <v>4554.876884</v>
      </c>
    </row>
    <row r="643">
      <c r="A643" s="4" t="s">
        <v>937</v>
      </c>
      <c r="B643" s="4" t="str">
        <f>IFERROR(__xludf.DUMMYFUNCTION("SPLIT(A643:A1369, ""&gt;"")"),"Online Behavior")</f>
        <v>Online Behavior</v>
      </c>
      <c r="C643" s="4" t="str">
        <f>IFERROR(__xludf.DUMMYFUNCTION("""COMPUTED_VALUE"""),"United States")</f>
        <v>United States</v>
      </c>
      <c r="D643" s="4" t="str">
        <f>IFERROR(__xludf.DUMMYFUNCTION("""COMPUTED_VALUE"""),"Travel")</f>
        <v>Travel</v>
      </c>
      <c r="E643" s="4" t="str">
        <f>IFERROR(__xludf.DUMMYFUNCTION("""COMPUTED_VALUE"""),"Travel Guides and Travelogues")</f>
        <v>Travel Guides and Travelogues</v>
      </c>
      <c r="F643" s="4"/>
      <c r="G643" s="4"/>
      <c r="H643" s="4"/>
      <c r="I643" s="5" t="s">
        <v>22</v>
      </c>
      <c r="J643" s="5" t="s">
        <v>16</v>
      </c>
      <c r="K643" s="5" t="s">
        <v>29</v>
      </c>
      <c r="L643" s="6" t="s">
        <v>919</v>
      </c>
      <c r="M643" s="5" t="s">
        <v>19</v>
      </c>
      <c r="N643" s="5" t="s">
        <v>27</v>
      </c>
      <c r="O643" s="5">
        <v>212009.0</v>
      </c>
      <c r="P643" s="5">
        <v>555.0</v>
      </c>
      <c r="Q643" s="5">
        <v>16903.0</v>
      </c>
      <c r="R643" s="5">
        <v>149653.0</v>
      </c>
      <c r="S643" s="5">
        <v>15.0</v>
      </c>
      <c r="T643" s="5">
        <v>3983.621797</v>
      </c>
    </row>
    <row r="644">
      <c r="A644" s="4" t="s">
        <v>938</v>
      </c>
      <c r="B644" s="4" t="str">
        <f>IFERROR(__xludf.DUMMYFUNCTION("SPLIT(A644:A1370, ""&gt;"")"),"Online Behavior")</f>
        <v>Online Behavior</v>
      </c>
      <c r="C644" s="4" t="str">
        <f>IFERROR(__xludf.DUMMYFUNCTION("""COMPUTED_VALUE"""),"United States")</f>
        <v>United States</v>
      </c>
      <c r="D644" s="4" t="str">
        <f>IFERROR(__xludf.DUMMYFUNCTION("""COMPUTED_VALUE"""),"The Changing Consumer")</f>
        <v>The Changing Consumer</v>
      </c>
      <c r="E644" s="4" t="str">
        <f>IFERROR(__xludf.DUMMYFUNCTION("""COMPUTED_VALUE"""),"Pet Adoption")</f>
        <v>Pet Adoption</v>
      </c>
      <c r="F644" s="4"/>
      <c r="G644" s="4"/>
      <c r="H644" s="4"/>
      <c r="I644" s="5" t="s">
        <v>15</v>
      </c>
      <c r="J644" s="5" t="s">
        <v>16</v>
      </c>
      <c r="K644" s="5" t="s">
        <v>66</v>
      </c>
      <c r="L644" s="6" t="s">
        <v>919</v>
      </c>
      <c r="M644" s="5" t="s">
        <v>19</v>
      </c>
      <c r="N644" s="5" t="s">
        <v>20</v>
      </c>
      <c r="O644" s="5">
        <v>45668.0</v>
      </c>
      <c r="P644" s="5">
        <v>130.0</v>
      </c>
      <c r="Q644" s="5">
        <v>16872.0</v>
      </c>
      <c r="R644" s="5">
        <v>32085.0</v>
      </c>
      <c r="S644" s="5">
        <v>9.0</v>
      </c>
      <c r="T644" s="5">
        <v>3444.202946</v>
      </c>
    </row>
    <row r="645">
      <c r="A645" s="4" t="s">
        <v>939</v>
      </c>
      <c r="B645" s="4" t="str">
        <f>IFERROR(__xludf.DUMMYFUNCTION("SPLIT(A645:A1371, ""&gt;"")"),"Media and Entertainment")</f>
        <v>Media and Entertainment</v>
      </c>
      <c r="C645" s="4"/>
      <c r="D645" s="4"/>
      <c r="E645" s="4"/>
      <c r="F645" s="4"/>
      <c r="G645" s="4"/>
      <c r="H645" s="4"/>
      <c r="I645" s="5" t="s">
        <v>22</v>
      </c>
      <c r="J645" s="5" t="s">
        <v>42</v>
      </c>
      <c r="K645" s="5" t="s">
        <v>78</v>
      </c>
      <c r="L645" s="6" t="s">
        <v>919</v>
      </c>
      <c r="M645" s="5" t="s">
        <v>19</v>
      </c>
      <c r="N645" s="5" t="s">
        <v>27</v>
      </c>
      <c r="O645" s="5">
        <v>654902.0</v>
      </c>
      <c r="P645" s="5">
        <v>1874.0</v>
      </c>
      <c r="Q645" s="5">
        <v>40733.0</v>
      </c>
      <c r="R645" s="5">
        <v>477114.0</v>
      </c>
      <c r="S645" s="5">
        <v>14.0</v>
      </c>
      <c r="T645" s="5">
        <v>3178.610315</v>
      </c>
    </row>
    <row r="646">
      <c r="A646" s="4" t="s">
        <v>940</v>
      </c>
      <c r="B646" s="4" t="str">
        <f>IFERROR(__xludf.DUMMYFUNCTION("SPLIT(A646:A1372, ""&gt;"")"),"Retail")</f>
        <v>Retail</v>
      </c>
      <c r="C646" s="4"/>
      <c r="D646" s="4"/>
      <c r="E646" s="4"/>
      <c r="F646" s="4"/>
      <c r="G646" s="4"/>
      <c r="H646" s="4"/>
      <c r="I646" s="5" t="s">
        <v>22</v>
      </c>
      <c r="J646" s="5" t="s">
        <v>23</v>
      </c>
      <c r="K646" s="5" t="s">
        <v>150</v>
      </c>
      <c r="L646" s="6" t="s">
        <v>919</v>
      </c>
      <c r="M646" s="5" t="s">
        <v>26</v>
      </c>
      <c r="N646" s="5" t="s">
        <v>27</v>
      </c>
      <c r="O646" s="5">
        <v>239164.0</v>
      </c>
      <c r="P646" s="5">
        <v>699.0</v>
      </c>
      <c r="Q646" s="5">
        <v>86250.0</v>
      </c>
      <c r="R646" s="5">
        <v>198209.0</v>
      </c>
      <c r="S646" s="5">
        <v>41.0</v>
      </c>
      <c r="T646" s="5">
        <v>2819.935266</v>
      </c>
    </row>
    <row r="647">
      <c r="A647" s="4" t="s">
        <v>1943</v>
      </c>
      <c r="B647" s="4" t="str">
        <f>IFERROR(__xludf.DUMMYFUNCTION("SPLIT(A647:A1373, ""&gt;"")"),"US ")</f>
        <v>US </v>
      </c>
      <c r="C647" s="4" t="str">
        <f>IFERROR(__xludf.DUMMYFUNCTION("""COMPUTED_VALUE""")," Reach ")</f>
        <v> Reach </v>
      </c>
      <c r="D647" s="4" t="str">
        <f>IFERROR(__xludf.DUMMYFUNCTION("""COMPUTED_VALUE""")," Propensity Models ")</f>
        <v> Propensity Models </v>
      </c>
      <c r="E647" s="4" t="str">
        <f>IFERROR(__xludf.DUMMYFUNCTION("""COMPUTED_VALUE""")," Hobbies and Interest ")</f>
        <v> Hobbies and Interest </v>
      </c>
      <c r="F647" s="4" t="str">
        <f>IFERROR(__xludf.DUMMYFUNCTION("""COMPUTED_VALUE""")," Sports ")</f>
        <v> Sports </v>
      </c>
      <c r="G647" s="4" t="str">
        <f>IFERROR(__xludf.DUMMYFUNCTION("""COMPUTED_VALUE""")," Boating")</f>
        <v> Boating</v>
      </c>
      <c r="H647" s="4"/>
      <c r="I647" s="5" t="s">
        <v>15</v>
      </c>
      <c r="J647" s="5" t="s">
        <v>16</v>
      </c>
      <c r="K647" s="5" t="s">
        <v>35</v>
      </c>
      <c r="L647" s="6" t="s">
        <v>919</v>
      </c>
      <c r="M647" s="5" t="s">
        <v>36</v>
      </c>
      <c r="N647" s="5" t="s">
        <v>27</v>
      </c>
      <c r="O647" s="5">
        <v>564387.0</v>
      </c>
      <c r="P647" s="5">
        <v>1984.0</v>
      </c>
      <c r="Q647" s="5">
        <v>78234.0</v>
      </c>
      <c r="R647" s="5">
        <v>438695.0</v>
      </c>
      <c r="S647" s="5">
        <v>6.0</v>
      </c>
      <c r="T647" s="5">
        <v>2712.379678</v>
      </c>
    </row>
    <row r="648">
      <c r="A648" s="4" t="s">
        <v>1944</v>
      </c>
      <c r="B648" s="4" t="str">
        <f>IFERROR(__xludf.DUMMYFUNCTION("SPLIT(A648:A1374, ""&gt;"")"),"US ")</f>
        <v>US </v>
      </c>
      <c r="C648" s="4" t="str">
        <f>IFERROR(__xludf.DUMMYFUNCTION("""COMPUTED_VALUE""")," Financially in Charge ")</f>
        <v> Financially in Charge </v>
      </c>
      <c r="D648" s="4" t="str">
        <f>IFERROR(__xludf.DUMMYFUNCTION("""COMPUTED_VALUE""")," Performance Score: Top 50%")</f>
        <v> Performance Score: Top 50%</v>
      </c>
      <c r="E648" s="4"/>
      <c r="F648" s="4"/>
      <c r="G648" s="4"/>
      <c r="H648" s="4"/>
      <c r="I648" s="5" t="s">
        <v>22</v>
      </c>
      <c r="J648" s="5" t="s">
        <v>42</v>
      </c>
      <c r="K648" s="5" t="s">
        <v>78</v>
      </c>
      <c r="L648" s="6" t="s">
        <v>919</v>
      </c>
      <c r="M648" s="5" t="s">
        <v>19</v>
      </c>
      <c r="N648" s="5" t="s">
        <v>27</v>
      </c>
      <c r="O648" s="5">
        <v>12512.0</v>
      </c>
      <c r="P648" s="5">
        <v>69.0</v>
      </c>
      <c r="Q648" s="5">
        <v>6240.0</v>
      </c>
      <c r="R648" s="5">
        <v>9672.0</v>
      </c>
      <c r="S648" s="5">
        <v>1.0</v>
      </c>
      <c r="T648" s="5">
        <v>2298.888965</v>
      </c>
    </row>
    <row r="649">
      <c r="A649" s="4" t="s">
        <v>1945</v>
      </c>
      <c r="B649" s="4" t="str">
        <f>IFERROR(__xludf.DUMMYFUNCTION("SPLIT(A649:A1375, ""&gt;"")"),"US ")</f>
        <v>US </v>
      </c>
      <c r="C649" s="4" t="str">
        <f>IFERROR(__xludf.DUMMYFUNCTION("""COMPUTED_VALUE""")," Reach ")</f>
        <v> Reach </v>
      </c>
      <c r="D649" s="4" t="str">
        <f>IFERROR(__xludf.DUMMYFUNCTION("""COMPUTED_VALUE""")," Propensity Models ")</f>
        <v> Propensity Models </v>
      </c>
      <c r="E649" s="4" t="str">
        <f>IFERROR(__xludf.DUMMYFUNCTION("""COMPUTED_VALUE""")," Online ")</f>
        <v> Online </v>
      </c>
      <c r="F649" s="4" t="str">
        <f>IFERROR(__xludf.DUMMYFUNCTION("""COMPUTED_VALUE""")," Pets")</f>
        <v> Pets</v>
      </c>
      <c r="G649" s="4"/>
      <c r="H649" s="4"/>
      <c r="I649" s="5" t="s">
        <v>22</v>
      </c>
      <c r="J649" s="5" t="s">
        <v>16</v>
      </c>
      <c r="K649" s="5" t="s">
        <v>17</v>
      </c>
      <c r="L649" s="6" t="s">
        <v>919</v>
      </c>
      <c r="M649" s="5" t="s">
        <v>19</v>
      </c>
      <c r="N649" s="5" t="s">
        <v>27</v>
      </c>
      <c r="O649" s="5">
        <v>68008.0</v>
      </c>
      <c r="P649" s="5">
        <v>204.0</v>
      </c>
      <c r="Q649" s="5">
        <v>2996.0</v>
      </c>
      <c r="R649" s="5">
        <v>49686.0</v>
      </c>
      <c r="S649" s="5">
        <v>9.0</v>
      </c>
      <c r="T649" s="5">
        <v>1923.808141</v>
      </c>
    </row>
    <row r="650">
      <c r="A650" s="4" t="s">
        <v>1946</v>
      </c>
      <c r="B650" s="4" t="str">
        <f>IFERROR(__xludf.DUMMYFUNCTION("SPLIT(A650:A1376, ""&gt;"")"),"US ")</f>
        <v>US </v>
      </c>
      <c r="C650" s="4" t="str">
        <f>IFERROR(__xludf.DUMMYFUNCTION("""COMPUTED_VALUE""")," Interest Propensities ")</f>
        <v> Interest Propensities </v>
      </c>
      <c r="D650" s="4" t="str">
        <f>IFERROR(__xludf.DUMMYFUNCTION("""COMPUTED_VALUE""")," Insurance ")</f>
        <v> Insurance </v>
      </c>
      <c r="E650" s="4" t="str">
        <f>IFERROR(__xludf.DUMMYFUNCTION("""COMPUTED_VALUE""")," Lincoln Heritage")</f>
        <v> Lincoln Heritage</v>
      </c>
      <c r="F650" s="4"/>
      <c r="G650" s="4"/>
      <c r="H650" s="4"/>
      <c r="I650" s="5" t="s">
        <v>22</v>
      </c>
      <c r="J650" s="5" t="s">
        <v>23</v>
      </c>
      <c r="K650" s="5" t="s">
        <v>78</v>
      </c>
      <c r="L650" s="6" t="s">
        <v>919</v>
      </c>
      <c r="M650" s="5" t="s">
        <v>26</v>
      </c>
      <c r="N650" s="5" t="s">
        <v>27</v>
      </c>
      <c r="O650" s="5">
        <v>61848.0</v>
      </c>
      <c r="P650" s="5">
        <v>213.0</v>
      </c>
      <c r="Q650" s="5">
        <v>6581.0</v>
      </c>
      <c r="R650" s="5">
        <v>44917.0</v>
      </c>
      <c r="S650" s="5">
        <v>15.0</v>
      </c>
      <c r="T650" s="5">
        <v>1819.893602</v>
      </c>
    </row>
    <row r="651">
      <c r="A651" s="4" t="s">
        <v>1632</v>
      </c>
      <c r="B651" s="4" t="str">
        <f>IFERROR(__xludf.DUMMYFUNCTION("SPLIT(A651:A1377, ""&gt;"")"),"Real Estate ")</f>
        <v>Real Estate </v>
      </c>
      <c r="C651" s="4" t="str">
        <f>IFERROR(__xludf.DUMMYFUNCTION("""COMPUTED_VALUE""")," Lot Size ")</f>
        <v> Lot Size </v>
      </c>
      <c r="D651" s="4" t="str">
        <f>IFERROR(__xludf.DUMMYFUNCTION("""COMPUTED_VALUE""")," Cozy Outdoor Living Space (Less than  an Acre)")</f>
        <v> Cozy Outdoor Living Space (Less than  an Acre)</v>
      </c>
      <c r="E651" s="4"/>
      <c r="F651" s="4"/>
      <c r="G651" s="4"/>
      <c r="H651" s="4"/>
      <c r="I651" s="5" t="s">
        <v>15</v>
      </c>
      <c r="J651" s="5" t="s">
        <v>31</v>
      </c>
      <c r="K651" s="5" t="s">
        <v>78</v>
      </c>
      <c r="L651" s="6" t="s">
        <v>919</v>
      </c>
      <c r="M651" s="5" t="s">
        <v>36</v>
      </c>
      <c r="N651" s="5" t="s">
        <v>27</v>
      </c>
      <c r="O651" s="5">
        <v>232635.0</v>
      </c>
      <c r="P651" s="5">
        <v>666.0</v>
      </c>
      <c r="Q651" s="5">
        <v>34008.0</v>
      </c>
      <c r="R651" s="5">
        <v>195803.0</v>
      </c>
      <c r="S651" s="5">
        <v>39.0</v>
      </c>
      <c r="T651" s="5">
        <v>1773.991882</v>
      </c>
    </row>
    <row r="652">
      <c r="A652" s="4" t="s">
        <v>1947</v>
      </c>
      <c r="B652" s="4" t="str">
        <f>IFERROR(__xludf.DUMMYFUNCTION("SPLIT(A652:A1378, ""&gt;"")"),"US Demographic ")</f>
        <v>US Demographic </v>
      </c>
      <c r="C652" s="4" t="str">
        <f>IFERROR(__xludf.DUMMYFUNCTION("""COMPUTED_VALUE""")," Age ")</f>
        <v> Age </v>
      </c>
      <c r="D652" s="4" t="str">
        <f>IFERROR(__xludf.DUMMYFUNCTION("""COMPUTED_VALUE""")," Specialty Age Range ")</f>
        <v> Specialty Age Range </v>
      </c>
      <c r="E652" s="4" t="str">
        <f>IFERROR(__xludf.DUMMYFUNCTION("""COMPUTED_VALUE""")," 21+")</f>
        <v> 21+</v>
      </c>
      <c r="F652" s="4"/>
      <c r="G652" s="4"/>
      <c r="H652" s="4"/>
      <c r="I652" s="5" t="s">
        <v>15</v>
      </c>
      <c r="J652" s="5" t="s">
        <v>16</v>
      </c>
      <c r="K652" s="5" t="s">
        <v>35</v>
      </c>
      <c r="L652" s="6" t="s">
        <v>919</v>
      </c>
      <c r="M652" s="5" t="s">
        <v>26</v>
      </c>
      <c r="N652" s="5" t="s">
        <v>27</v>
      </c>
      <c r="O652" s="5">
        <v>180353.0</v>
      </c>
      <c r="P652" s="5">
        <v>471.0</v>
      </c>
      <c r="Q652" s="5">
        <v>67637.0</v>
      </c>
      <c r="R652" s="5">
        <v>145416.0</v>
      </c>
      <c r="S652" s="5">
        <v>8.0</v>
      </c>
      <c r="T652" s="5">
        <v>1720.881985</v>
      </c>
    </row>
    <row r="653">
      <c r="A653" s="4" t="s">
        <v>947</v>
      </c>
      <c r="B653" s="4" t="str">
        <f>IFERROR(__xludf.DUMMYFUNCTION("SPLIT(A653:A1379, ""&gt;"")"),"US Mail Order Buyer")</f>
        <v>US Mail Order Buyer</v>
      </c>
      <c r="C653" s="4"/>
      <c r="D653" s="4"/>
      <c r="E653" s="4"/>
      <c r="F653" s="4"/>
      <c r="G653" s="4"/>
      <c r="H653" s="4"/>
      <c r="I653" s="5" t="s">
        <v>22</v>
      </c>
      <c r="J653" s="5" t="s">
        <v>16</v>
      </c>
      <c r="K653" s="5" t="s">
        <v>78</v>
      </c>
      <c r="L653" s="6" t="s">
        <v>919</v>
      </c>
      <c r="M653" s="5" t="s">
        <v>19</v>
      </c>
      <c r="N653" s="5" t="s">
        <v>27</v>
      </c>
      <c r="O653" s="5">
        <v>78433.0</v>
      </c>
      <c r="P653" s="5">
        <v>204.0</v>
      </c>
      <c r="Q653" s="5">
        <v>24067.0</v>
      </c>
      <c r="R653" s="5">
        <v>58308.0</v>
      </c>
      <c r="S653" s="5">
        <v>16.0</v>
      </c>
      <c r="T653" s="5">
        <v>1612.549327</v>
      </c>
    </row>
    <row r="654">
      <c r="A654" s="4" t="s">
        <v>1948</v>
      </c>
      <c r="B654" s="4" t="str">
        <f>IFERROR(__xludf.DUMMYFUNCTION("SPLIT(A654:A1380, ""&gt;"")"),"US ")</f>
        <v>US </v>
      </c>
      <c r="C654" s="4" t="str">
        <f>IFERROR(__xludf.DUMMYFUNCTION("""COMPUTED_VALUE""")," Brand Propensities ")</f>
        <v> Brand Propensities </v>
      </c>
      <c r="D654" s="4" t="str">
        <f>IFERROR(__xludf.DUMMYFUNCTION("""COMPUTED_VALUE""")," Big Box Dollar General Buyer Propensity")</f>
        <v> Big Box Dollar General Buyer Propensity</v>
      </c>
      <c r="E654" s="4"/>
      <c r="F654" s="4"/>
      <c r="G654" s="4"/>
      <c r="H654" s="4"/>
      <c r="I654" s="5" t="s">
        <v>22</v>
      </c>
      <c r="J654" s="5" t="s">
        <v>23</v>
      </c>
      <c r="K654" s="5" t="s">
        <v>35</v>
      </c>
      <c r="L654" s="6" t="s">
        <v>919</v>
      </c>
      <c r="M654" s="5" t="s">
        <v>117</v>
      </c>
      <c r="N654" s="5" t="s">
        <v>27</v>
      </c>
      <c r="O654" s="5">
        <v>194833.0</v>
      </c>
      <c r="P654" s="5">
        <v>499.0</v>
      </c>
      <c r="Q654" s="5">
        <v>29091.0</v>
      </c>
      <c r="R654" s="5">
        <v>143813.0</v>
      </c>
      <c r="S654" s="5">
        <v>4.0</v>
      </c>
      <c r="T654" s="5">
        <v>1586.314519</v>
      </c>
    </row>
    <row r="655">
      <c r="A655" s="4" t="s">
        <v>1636</v>
      </c>
      <c r="B655" s="4" t="str">
        <f>IFERROR(__xludf.DUMMYFUNCTION("SPLIT(A655:A1381, ""&gt;"")"),"OnAudience ")</f>
        <v>OnAudience </v>
      </c>
      <c r="C655" s="4" t="str">
        <f>IFERROR(__xludf.DUMMYFUNCTION("""COMPUTED_VALUE""")," Interest ")</f>
        <v> Interest </v>
      </c>
      <c r="D655" s="4" t="str">
        <f>IFERROR(__xludf.DUMMYFUNCTION("""COMPUTED_VALUE""")," News ")</f>
        <v> News </v>
      </c>
      <c r="E655" s="4" t="str">
        <f>IFERROR(__xludf.DUMMYFUNCTION("""COMPUTED_VALUE""")," International News")</f>
        <v> International News</v>
      </c>
      <c r="F655" s="4"/>
      <c r="G655" s="4"/>
      <c r="H655" s="4"/>
      <c r="I655" s="5" t="s">
        <v>15</v>
      </c>
      <c r="J655" s="5" t="s">
        <v>31</v>
      </c>
      <c r="K655" s="5" t="s">
        <v>142</v>
      </c>
      <c r="L655" s="6" t="s">
        <v>919</v>
      </c>
      <c r="M655" s="5" t="s">
        <v>117</v>
      </c>
      <c r="N655" s="5" t="s">
        <v>27</v>
      </c>
      <c r="O655" s="5">
        <v>197192.0</v>
      </c>
      <c r="P655" s="5">
        <v>519.0</v>
      </c>
      <c r="Q655" s="5">
        <v>80623.0</v>
      </c>
      <c r="R655" s="5">
        <v>181763.0</v>
      </c>
      <c r="S655" s="5">
        <v>5.0</v>
      </c>
      <c r="T655" s="5">
        <v>1584.731757</v>
      </c>
    </row>
    <row r="656">
      <c r="A656" s="4" t="s">
        <v>1949</v>
      </c>
      <c r="B656" s="4" t="str">
        <f>IFERROR(__xludf.DUMMYFUNCTION("SPLIT(A656:A1382, ""&gt;"")"),"Mobile Audience ")</f>
        <v>Mobile Audience </v>
      </c>
      <c r="C656" s="4" t="str">
        <f>IFERROR(__xludf.DUMMYFUNCTION("""COMPUTED_VALUE""")," Lifestyle ")</f>
        <v> Lifestyle </v>
      </c>
      <c r="D656" s="4" t="str">
        <f>IFERROR(__xludf.DUMMYFUNCTION("""COMPUTED_VALUE""")," Arts Enthusiasts")</f>
        <v> Arts Enthusiasts</v>
      </c>
      <c r="E656" s="4"/>
      <c r="F656" s="4"/>
      <c r="G656" s="4"/>
      <c r="H656" s="4"/>
      <c r="I656" s="5" t="s">
        <v>15</v>
      </c>
      <c r="J656" s="5" t="s">
        <v>42</v>
      </c>
      <c r="K656" s="5" t="s">
        <v>55</v>
      </c>
      <c r="L656" s="6" t="s">
        <v>919</v>
      </c>
      <c r="M656" s="5" t="s">
        <v>26</v>
      </c>
      <c r="N656" s="5" t="s">
        <v>27</v>
      </c>
      <c r="O656" s="5">
        <v>40519.0</v>
      </c>
      <c r="P656" s="5">
        <v>111.0</v>
      </c>
      <c r="Q656" s="5">
        <v>6105.0</v>
      </c>
      <c r="R656" s="5">
        <v>26283.0</v>
      </c>
      <c r="S656" s="5">
        <v>10.0</v>
      </c>
      <c r="T656" s="5">
        <v>1582.410977</v>
      </c>
    </row>
    <row r="657">
      <c r="A657" s="4" t="s">
        <v>1950</v>
      </c>
      <c r="B657" s="4" t="str">
        <f>IFERROR(__xludf.DUMMYFUNCTION("SPLIT(A657:A1383, ""&gt;"")"),"US ")</f>
        <v>US </v>
      </c>
      <c r="C657" s="4" t="str">
        <f>IFERROR(__xludf.DUMMYFUNCTION("""COMPUTED_VALUE""")," Interest Propensities ")</f>
        <v> Interest Propensities </v>
      </c>
      <c r="D657" s="4" t="str">
        <f>IFERROR(__xludf.DUMMYFUNCTION("""COMPUTED_VALUE""")," Music ")</f>
        <v> Music </v>
      </c>
      <c r="E657" s="4" t="str">
        <f>IFERROR(__xludf.DUMMYFUNCTION("""COMPUTED_VALUE""")," Hip Hop and Rap")</f>
        <v> Hip Hop and Rap</v>
      </c>
      <c r="F657" s="4"/>
      <c r="G657" s="4"/>
      <c r="H657" s="4"/>
      <c r="I657" s="5" t="s">
        <v>22</v>
      </c>
      <c r="J657" s="5" t="s">
        <v>23</v>
      </c>
      <c r="K657" s="5" t="s">
        <v>173</v>
      </c>
      <c r="L657" s="6" t="s">
        <v>919</v>
      </c>
      <c r="M657" s="5" t="s">
        <v>19</v>
      </c>
      <c r="N657" s="5" t="s">
        <v>27</v>
      </c>
      <c r="O657" s="5">
        <v>254780.0</v>
      </c>
      <c r="P657" s="5">
        <v>699.0</v>
      </c>
      <c r="Q657" s="5">
        <v>19169.0</v>
      </c>
      <c r="R657" s="5">
        <v>182583.0</v>
      </c>
      <c r="S657" s="5">
        <v>4.0</v>
      </c>
      <c r="T657" s="5">
        <v>1561.021915</v>
      </c>
    </row>
    <row r="658">
      <c r="A658" s="4" t="s">
        <v>1639</v>
      </c>
      <c r="B658" s="4" t="str">
        <f>IFERROR(__xludf.DUMMYFUNCTION("SPLIT(A658:A1384, ""&gt;"")"),"Lotame ")</f>
        <v>Lotame </v>
      </c>
      <c r="C658" s="4" t="str">
        <f>IFERROR(__xludf.DUMMYFUNCTION("""COMPUTED_VALUE""")," Travel ")</f>
        <v> Travel </v>
      </c>
      <c r="D658" s="4" t="str">
        <f>IFERROR(__xludf.DUMMYFUNCTION("""COMPUTED_VALUE""")," Thanksgiving Travel")</f>
        <v> Thanksgiving Travel</v>
      </c>
      <c r="E658" s="4"/>
      <c r="F658" s="4"/>
      <c r="G658" s="4"/>
      <c r="H658" s="4"/>
      <c r="I658" s="5" t="s">
        <v>22</v>
      </c>
      <c r="J658" s="5" t="s">
        <v>31</v>
      </c>
      <c r="K658" s="5" t="s">
        <v>953</v>
      </c>
      <c r="L658" s="6" t="s">
        <v>919</v>
      </c>
      <c r="M658" s="5" t="s">
        <v>19</v>
      </c>
      <c r="N658" s="5" t="s">
        <v>27</v>
      </c>
      <c r="O658" s="5">
        <v>36543.0</v>
      </c>
      <c r="P658" s="5">
        <v>147.0</v>
      </c>
      <c r="Q658" s="5">
        <v>18046.0</v>
      </c>
      <c r="R658" s="5">
        <v>27358.0</v>
      </c>
      <c r="S658" s="5">
        <v>6.0</v>
      </c>
      <c r="T658" s="5">
        <v>1513.088728</v>
      </c>
    </row>
    <row r="659">
      <c r="A659" s="4" t="s">
        <v>1951</v>
      </c>
      <c r="B659" s="4" t="str">
        <f>IFERROR(__xludf.DUMMYFUNCTION("SPLIT(A659:A1385, ""&gt;"")"),"US ")</f>
        <v>US </v>
      </c>
      <c r="C659" s="4" t="str">
        <f>IFERROR(__xludf.DUMMYFUNCTION("""COMPUTED_VALUE""")," Sociodemographic ")</f>
        <v> Sociodemographic </v>
      </c>
      <c r="D659" s="4" t="str">
        <f>IFERROR(__xludf.DUMMYFUNCTION("""COMPUTED_VALUE""")," ConneXions Lifestage ")</f>
        <v> ConneXions Lifestage </v>
      </c>
      <c r="E659" s="4" t="str">
        <f>IFERROR(__xludf.DUMMYFUNCTION("""COMPUTED_VALUE""")," F2 Suburban Spenders")</f>
        <v> F2 Suburban Spenders</v>
      </c>
      <c r="F659" s="4"/>
      <c r="G659" s="4"/>
      <c r="H659" s="4"/>
      <c r="I659" s="5" t="s">
        <v>22</v>
      </c>
      <c r="J659" s="5" t="s">
        <v>23</v>
      </c>
      <c r="K659" s="5" t="s">
        <v>29</v>
      </c>
      <c r="L659" s="6" t="s">
        <v>919</v>
      </c>
      <c r="M659" s="5" t="s">
        <v>19</v>
      </c>
      <c r="N659" s="5" t="s">
        <v>27</v>
      </c>
      <c r="O659" s="5">
        <v>292885.0</v>
      </c>
      <c r="P659" s="5">
        <v>796.0</v>
      </c>
      <c r="Q659" s="5">
        <v>12733.0</v>
      </c>
      <c r="R659" s="5">
        <v>203986.0</v>
      </c>
      <c r="S659" s="5">
        <v>4.0</v>
      </c>
      <c r="T659" s="5">
        <v>1503.913054</v>
      </c>
    </row>
    <row r="660">
      <c r="A660" s="4" t="s">
        <v>1641</v>
      </c>
      <c r="B660" s="4" t="str">
        <f>IFERROR(__xludf.DUMMYFUNCTION("SPLIT(A660:A1386, ""&gt;"")"),"Travel and Tourism ")</f>
        <v>Travel and Tourism </v>
      </c>
      <c r="C660" s="4" t="str">
        <f>IFERROR(__xludf.DUMMYFUNCTION("""COMPUTED_VALUE""")," Interest (Affinity) ")</f>
        <v> Interest (Affinity) </v>
      </c>
      <c r="D660" s="4" t="str">
        <f>IFERROR(__xludf.DUMMYFUNCTION("""COMPUTED_VALUE""")," Destinations ")</f>
        <v> Destinations </v>
      </c>
      <c r="E660" s="4" t="str">
        <f>IFERROR(__xludf.DUMMYFUNCTION("""COMPUTED_VALUE""")," Africa")</f>
        <v> Africa</v>
      </c>
      <c r="F660" s="4"/>
      <c r="G660" s="4"/>
      <c r="H660" s="4"/>
      <c r="I660" s="5" t="s">
        <v>15</v>
      </c>
      <c r="J660" s="5" t="s">
        <v>16</v>
      </c>
      <c r="K660" s="5" t="s">
        <v>55</v>
      </c>
      <c r="L660" s="6" t="s">
        <v>919</v>
      </c>
      <c r="M660" s="5" t="s">
        <v>136</v>
      </c>
      <c r="N660" s="5" t="s">
        <v>27</v>
      </c>
      <c r="O660" s="5">
        <v>253577.0</v>
      </c>
      <c r="P660" s="5">
        <v>890.0</v>
      </c>
      <c r="Q660" s="5">
        <v>66972.0</v>
      </c>
      <c r="R660" s="5">
        <v>191183.0</v>
      </c>
      <c r="S660" s="5">
        <v>44.0</v>
      </c>
      <c r="T660" s="5">
        <v>1493.074494</v>
      </c>
    </row>
    <row r="661">
      <c r="A661" s="4" t="s">
        <v>1642</v>
      </c>
      <c r="B661" s="4" t="str">
        <f>IFERROR(__xludf.DUMMYFUNCTION("SPLIT(A661:A1387, ""&gt;"")"),"Purchase-Based ")</f>
        <v>Purchase-Based </v>
      </c>
      <c r="C661" s="4" t="str">
        <f>IFERROR(__xludf.DUMMYFUNCTION("""COMPUTED_VALUE""")," Categories ")</f>
        <v> Categories </v>
      </c>
      <c r="D661" s="4" t="str">
        <f>IFERROR(__xludf.DUMMYFUNCTION("""COMPUTED_VALUE""")," Office Supplies Buyers")</f>
        <v> Office Supplies Buyers</v>
      </c>
      <c r="E661" s="4"/>
      <c r="F661" s="4"/>
      <c r="G661" s="4"/>
      <c r="H661" s="4"/>
      <c r="I661" s="5" t="s">
        <v>15</v>
      </c>
      <c r="J661" s="5" t="s">
        <v>16</v>
      </c>
      <c r="K661" s="5" t="s">
        <v>35</v>
      </c>
      <c r="L661" s="6" t="s">
        <v>919</v>
      </c>
      <c r="M661" s="5" t="s">
        <v>184</v>
      </c>
      <c r="N661" s="5" t="s">
        <v>27</v>
      </c>
      <c r="O661" s="5">
        <v>12280.0</v>
      </c>
      <c r="P661" s="5">
        <v>90.0</v>
      </c>
      <c r="Q661" s="5">
        <v>7633.0</v>
      </c>
      <c r="R661" s="5">
        <v>11053.0</v>
      </c>
      <c r="S661" s="5">
        <v>5.0</v>
      </c>
      <c r="T661" s="5">
        <v>1452.207361</v>
      </c>
    </row>
    <row r="662">
      <c r="A662" s="4" t="s">
        <v>957</v>
      </c>
      <c r="B662" s="4" t="str">
        <f>IFERROR(__xludf.DUMMYFUNCTION("SPLIT(A662:A1388, ""&gt;"")"),"Online Behavior")</f>
        <v>Online Behavior</v>
      </c>
      <c r="C662" s="4" t="str">
        <f>IFERROR(__xludf.DUMMYFUNCTION("""COMPUTED_VALUE"""),"United States")</f>
        <v>United States</v>
      </c>
      <c r="D662" s="4" t="str">
        <f>IFERROR(__xludf.DUMMYFUNCTION("""COMPUTED_VALUE"""),"Sports")</f>
        <v>Sports</v>
      </c>
      <c r="E662" s="4" t="str">
        <f>IFERROR(__xludf.DUMMYFUNCTION("""COMPUTED_VALUE"""),"Extreme Sports")</f>
        <v>Extreme Sports</v>
      </c>
      <c r="F662" s="4"/>
      <c r="G662" s="4"/>
      <c r="H662" s="4"/>
      <c r="I662" s="5" t="s">
        <v>15</v>
      </c>
      <c r="J662" s="5" t="s">
        <v>16</v>
      </c>
      <c r="K662" s="5" t="s">
        <v>55</v>
      </c>
      <c r="L662" s="6" t="s">
        <v>958</v>
      </c>
      <c r="M662" s="5" t="s">
        <v>50</v>
      </c>
      <c r="N662" s="5" t="s">
        <v>27</v>
      </c>
      <c r="O662" s="5">
        <v>14599.0</v>
      </c>
      <c r="P662" s="5">
        <v>33.0</v>
      </c>
      <c r="Q662" s="5">
        <v>1779.0</v>
      </c>
      <c r="R662" s="5">
        <v>12458.0</v>
      </c>
      <c r="S662" s="5">
        <v>4.0</v>
      </c>
      <c r="T662" s="5">
        <v>5092.559215</v>
      </c>
    </row>
    <row r="663">
      <c r="A663" s="4" t="s">
        <v>1952</v>
      </c>
      <c r="B663" s="4" t="str">
        <f>IFERROR(__xludf.DUMMYFUNCTION("SPLIT(A663:A1389, ""&gt;"")"),"US Financial ")</f>
        <v>US Financial </v>
      </c>
      <c r="C663" s="4" t="str">
        <f>IFERROR(__xludf.DUMMYFUNCTION("""COMPUTED_VALUE""")," Likely Attitude and Behavior ")</f>
        <v> Likely Attitude and Behavior </v>
      </c>
      <c r="D663" s="4" t="str">
        <f>IFERROR(__xludf.DUMMYFUNCTION("""COMPUTED_VALUE""")," Completely Disagree ")</f>
        <v> Completely Disagree </v>
      </c>
      <c r="E663" s="4" t="str">
        <f>IFERROR(__xludf.DUMMYFUNCTION("""COMPUTED_VALUE""")," When I Find A Financial Product/Service I Like I Typically Recommend It To People I Know (Financial)")</f>
        <v> When I Find A Financial Product/Service I Like I Typically Recommend It To People I Know (Financial)</v>
      </c>
      <c r="F663" s="4"/>
      <c r="G663" s="4"/>
      <c r="H663" s="4"/>
      <c r="I663" s="5" t="s">
        <v>15</v>
      </c>
      <c r="J663" s="5" t="s">
        <v>16</v>
      </c>
      <c r="K663" s="5" t="s">
        <v>78</v>
      </c>
      <c r="L663" s="6" t="s">
        <v>958</v>
      </c>
      <c r="M663" s="5" t="s">
        <v>19</v>
      </c>
      <c r="N663" s="5" t="s">
        <v>52</v>
      </c>
      <c r="O663" s="5">
        <v>16175.0</v>
      </c>
      <c r="P663" s="5">
        <v>35.0</v>
      </c>
      <c r="Q663" s="5">
        <v>1923.0</v>
      </c>
      <c r="R663" s="5">
        <v>15085.0</v>
      </c>
      <c r="S663" s="5">
        <v>2.0</v>
      </c>
      <c r="T663" s="5">
        <v>1649.069475</v>
      </c>
    </row>
    <row r="664">
      <c r="A664" s="4" t="s">
        <v>1644</v>
      </c>
      <c r="B664" s="4" t="str">
        <f>IFERROR(__xludf.DUMMYFUNCTION("SPLIT(A664:A1390, ""&gt;"")"),"Online Behavior")</f>
        <v>Online Behavior</v>
      </c>
      <c r="C664" s="4" t="str">
        <f>IFERROR(__xludf.DUMMYFUNCTION("""COMPUTED_VALUE"""),"United States")</f>
        <v>United States</v>
      </c>
      <c r="D664" s="4" t="str">
        <f>IFERROR(__xludf.DUMMYFUNCTION("""COMPUTED_VALUE"""),"Intent ")</f>
        <v>Intent </v>
      </c>
      <c r="E664" s="4" t="str">
        <f>IFERROR(__xludf.DUMMYFUNCTION("""COMPUTED_VALUE""")," Auto Buyers")</f>
        <v> Auto Buyers</v>
      </c>
      <c r="F664" s="4" t="str">
        <f>IFERROR(__xludf.DUMMYFUNCTION("""COMPUTED_VALUE"""),"New")</f>
        <v>New</v>
      </c>
      <c r="G664" s="4"/>
      <c r="H664" s="4"/>
      <c r="I664" s="5" t="s">
        <v>22</v>
      </c>
      <c r="J664" s="5" t="s">
        <v>31</v>
      </c>
      <c r="K664" s="5" t="s">
        <v>17</v>
      </c>
      <c r="L664" s="6" t="s">
        <v>961</v>
      </c>
      <c r="M664" s="5" t="s">
        <v>19</v>
      </c>
      <c r="N664" s="5" t="s">
        <v>27</v>
      </c>
      <c r="O664" s="5">
        <v>42830.0</v>
      </c>
      <c r="P664" s="5">
        <v>160.0</v>
      </c>
      <c r="Q664" s="5">
        <v>24499.0</v>
      </c>
      <c r="R664" s="5">
        <v>34496.0</v>
      </c>
      <c r="S664" s="5">
        <v>5.0</v>
      </c>
      <c r="T664" s="5">
        <v>6261.575724</v>
      </c>
    </row>
    <row r="665">
      <c r="A665" s="4" t="s">
        <v>962</v>
      </c>
      <c r="B665" s="4" t="str">
        <f>IFERROR(__xludf.DUMMYFUNCTION("SPLIT(A665:A1391, ""&gt;"")"),"Online Behavior")</f>
        <v>Online Behavior</v>
      </c>
      <c r="C665" s="4" t="str">
        <f>IFERROR(__xludf.DUMMYFUNCTION("""COMPUTED_VALUE"""),"United States")</f>
        <v>United States</v>
      </c>
      <c r="D665" s="4" t="str">
        <f>IFERROR(__xludf.DUMMYFUNCTION("""COMPUTED_VALUE"""),"The Changing Consumer")</f>
        <v>The Changing Consumer</v>
      </c>
      <c r="E665" s="4" t="str">
        <f>IFERROR(__xludf.DUMMYFUNCTION("""COMPUTED_VALUE"""),"Home Learning")</f>
        <v>Home Learning</v>
      </c>
      <c r="F665" s="4"/>
      <c r="G665" s="4"/>
      <c r="H665" s="4"/>
      <c r="I665" s="5" t="s">
        <v>22</v>
      </c>
      <c r="J665" s="5" t="s">
        <v>31</v>
      </c>
      <c r="K665" s="5" t="s">
        <v>35</v>
      </c>
      <c r="L665" s="6" t="s">
        <v>961</v>
      </c>
      <c r="M665" s="5" t="s">
        <v>19</v>
      </c>
      <c r="N665" s="5" t="s">
        <v>27</v>
      </c>
      <c r="O665" s="5">
        <v>12209.0</v>
      </c>
      <c r="P665" s="5">
        <v>147.0</v>
      </c>
      <c r="Q665" s="5">
        <v>3976.0</v>
      </c>
      <c r="R665" s="5">
        <v>5219.0</v>
      </c>
      <c r="S665" s="5">
        <v>4.0</v>
      </c>
      <c r="T665" s="5">
        <v>3818.955182</v>
      </c>
    </row>
    <row r="666">
      <c r="A666" s="4" t="s">
        <v>1645</v>
      </c>
      <c r="B666" s="4" t="str">
        <f>IFERROR(__xludf.DUMMYFUNCTION("SPLIT(A666:A1392, ""&gt;"")"),"Online Behavior")</f>
        <v>Online Behavior</v>
      </c>
      <c r="C666" s="4" t="str">
        <f>IFERROR(__xludf.DUMMYFUNCTION("""COMPUTED_VALUE"""),"United States")</f>
        <v>United States</v>
      </c>
      <c r="D666" s="4" t="str">
        <f>IFERROR(__xludf.DUMMYFUNCTION("""COMPUTED_VALUE"""),"B2B ")</f>
        <v>B2B </v>
      </c>
      <c r="E666" s="4" t="str">
        <f>IFERROR(__xludf.DUMMYFUNCTION("""COMPUTED_VALUE""")," Occupation")</f>
        <v> Occupation</v>
      </c>
      <c r="F666" s="4" t="str">
        <f>IFERROR(__xludf.DUMMYFUNCTION("""COMPUTED_VALUE"""),"PropertyManager")</f>
        <v>PropertyManager</v>
      </c>
      <c r="G666" s="4"/>
      <c r="H666" s="4"/>
      <c r="I666" s="5" t="s">
        <v>15</v>
      </c>
      <c r="J666" s="5" t="s">
        <v>42</v>
      </c>
      <c r="K666" s="5" t="s">
        <v>35</v>
      </c>
      <c r="L666" s="6" t="s">
        <v>961</v>
      </c>
      <c r="M666" s="5" t="s">
        <v>19</v>
      </c>
      <c r="N666" s="5" t="s">
        <v>20</v>
      </c>
      <c r="O666" s="5">
        <v>7447.0</v>
      </c>
      <c r="P666" s="5">
        <v>10.0</v>
      </c>
      <c r="Q666" s="5">
        <v>4163.0</v>
      </c>
      <c r="R666" s="5">
        <v>5586.0</v>
      </c>
      <c r="S666" s="5">
        <v>19.0</v>
      </c>
      <c r="T666" s="5">
        <v>3311.941246</v>
      </c>
    </row>
    <row r="667">
      <c r="A667" s="4" t="s">
        <v>1953</v>
      </c>
      <c r="B667" s="4" t="str">
        <f>IFERROR(__xludf.DUMMYFUNCTION("SPLIT(A667:A1393, ""&gt;"")"),"US ")</f>
        <v>US </v>
      </c>
      <c r="C667" s="4" t="str">
        <f>IFERROR(__xludf.DUMMYFUNCTION("""COMPUTED_VALUE""")," Entertainment and Pastimes ")</f>
        <v> Entertainment and Pastimes </v>
      </c>
      <c r="D667" s="4" t="str">
        <f>IFERROR(__xludf.DUMMYFUNCTION("""COMPUTED_VALUE""")," Entertainment and Pastimes")</f>
        <v> Entertainment and Pastimes</v>
      </c>
      <c r="E667" s="4"/>
      <c r="F667" s="4"/>
      <c r="G667" s="4"/>
      <c r="H667" s="4"/>
      <c r="I667" s="5" t="s">
        <v>15</v>
      </c>
      <c r="J667" s="5" t="s">
        <v>42</v>
      </c>
      <c r="K667" s="5" t="s">
        <v>84</v>
      </c>
      <c r="L667" s="6" t="s">
        <v>961</v>
      </c>
      <c r="M667" s="5" t="s">
        <v>36</v>
      </c>
      <c r="N667" s="5" t="s">
        <v>27</v>
      </c>
      <c r="O667" s="5">
        <v>8545.0</v>
      </c>
      <c r="P667" s="5">
        <v>20.0</v>
      </c>
      <c r="Q667" s="5">
        <v>3454.0</v>
      </c>
      <c r="R667" s="5">
        <v>5510.0</v>
      </c>
      <c r="S667" s="5">
        <v>2.0</v>
      </c>
      <c r="T667" s="5">
        <v>2181.247949</v>
      </c>
    </row>
    <row r="668">
      <c r="A668" s="4" t="s">
        <v>965</v>
      </c>
      <c r="B668" s="4" t="str">
        <f>IFERROR(__xludf.DUMMYFUNCTION("SPLIT(A668:A1394, ""&gt;"")"),"Travel")</f>
        <v>Travel</v>
      </c>
      <c r="C668" s="4"/>
      <c r="D668" s="4"/>
      <c r="E668" s="4"/>
      <c r="F668" s="4"/>
      <c r="G668" s="4"/>
      <c r="H668" s="4"/>
      <c r="I668" s="5" t="s">
        <v>15</v>
      </c>
      <c r="J668" s="5" t="s">
        <v>23</v>
      </c>
      <c r="K668" s="5" t="s">
        <v>55</v>
      </c>
      <c r="L668" s="6" t="s">
        <v>961</v>
      </c>
      <c r="M668" s="5" t="s">
        <v>46</v>
      </c>
      <c r="N668" s="5" t="s">
        <v>27</v>
      </c>
      <c r="O668" s="5">
        <v>12319.0</v>
      </c>
      <c r="P668" s="5">
        <v>40.0</v>
      </c>
      <c r="Q668" s="5">
        <v>7028.0</v>
      </c>
      <c r="R668" s="5">
        <v>10191.0</v>
      </c>
      <c r="S668" s="5">
        <v>7.0</v>
      </c>
      <c r="T668" s="5">
        <v>1668.016</v>
      </c>
    </row>
    <row r="669">
      <c r="A669" s="4" t="s">
        <v>1954</v>
      </c>
      <c r="B669" s="4" t="str">
        <f>IFERROR(__xludf.DUMMYFUNCTION("SPLIT(A669:A1395, ""&gt;"")"),"US ")</f>
        <v>US </v>
      </c>
      <c r="C669" s="4" t="str">
        <f>IFERROR(__xludf.DUMMYFUNCTION("""COMPUTED_VALUE""")," AUTO ")</f>
        <v> AUTO </v>
      </c>
      <c r="D669" s="4" t="str">
        <f>IFERROR(__xludf.DUMMYFUNCTION("""COMPUTED_VALUE""")," Auto Car Purchase Next Year ")</f>
        <v> Auto Car Purchase Next Year </v>
      </c>
      <c r="E669" s="4" t="str">
        <f>IFERROR(__xludf.DUMMYFUNCTION("""COMPUTED_VALUE""")," Yes")</f>
        <v> Yes</v>
      </c>
      <c r="F669" s="4"/>
      <c r="G669" s="4"/>
      <c r="H669" s="4"/>
      <c r="I669" s="5" t="s">
        <v>22</v>
      </c>
      <c r="J669" s="5" t="s">
        <v>16</v>
      </c>
      <c r="K669" s="5" t="s">
        <v>32</v>
      </c>
      <c r="L669" s="6" t="s">
        <v>961</v>
      </c>
      <c r="M669" s="5" t="s">
        <v>117</v>
      </c>
      <c r="N669" s="5" t="s">
        <v>27</v>
      </c>
      <c r="O669" s="5">
        <v>31359.0</v>
      </c>
      <c r="P669" s="5">
        <v>66.0</v>
      </c>
      <c r="Q669" s="5">
        <v>18348.0</v>
      </c>
      <c r="R669" s="5">
        <v>25950.0</v>
      </c>
      <c r="S669" s="5">
        <v>24.0</v>
      </c>
      <c r="T669" s="5">
        <v>1623.614838</v>
      </c>
    </row>
    <row r="670">
      <c r="A670" s="4" t="s">
        <v>1955</v>
      </c>
      <c r="B670" s="4" t="str">
        <f>IFERROR(__xludf.DUMMYFUNCTION("SPLIT(A670:A1396, ""&gt;"")"),"US Financial ")</f>
        <v>US Financial </v>
      </c>
      <c r="C670" s="4" t="str">
        <f>IFERROR(__xludf.DUMMYFUNCTION("""COMPUTED_VALUE""")," Method of Payment ")</f>
        <v> Method of Payment </v>
      </c>
      <c r="D670" s="4" t="str">
        <f>IFERROR(__xludf.DUMMYFUNCTION("""COMPUTED_VALUE""")," Other")</f>
        <v> Other</v>
      </c>
      <c r="E670" s="4"/>
      <c r="F670" s="4"/>
      <c r="G670" s="4"/>
      <c r="H670" s="4"/>
      <c r="I670" s="5" t="s">
        <v>22</v>
      </c>
      <c r="J670" s="5" t="s">
        <v>16</v>
      </c>
      <c r="K670" s="5" t="s">
        <v>29</v>
      </c>
      <c r="L670" s="6" t="s">
        <v>961</v>
      </c>
      <c r="M670" s="5" t="s">
        <v>36</v>
      </c>
      <c r="N670" s="5" t="s">
        <v>27</v>
      </c>
      <c r="O670" s="5">
        <v>15311.0</v>
      </c>
      <c r="P670" s="5">
        <v>10.0</v>
      </c>
      <c r="Q670" s="5">
        <v>7757.0</v>
      </c>
      <c r="R670" s="5">
        <v>12630.0</v>
      </c>
      <c r="S670" s="5">
        <v>19.0</v>
      </c>
      <c r="T670" s="5">
        <v>1471.187144</v>
      </c>
    </row>
    <row r="671">
      <c r="A671" s="4" t="s">
        <v>1649</v>
      </c>
      <c r="B671" s="4" t="str">
        <f>IFERROR(__xludf.DUMMYFUNCTION("SPLIT(A671:A1397, ""&gt;"")"),"Online Behavior")</f>
        <v>Online Behavior</v>
      </c>
      <c r="C671" s="4" t="str">
        <f>IFERROR(__xludf.DUMMYFUNCTION("""COMPUTED_VALUE"""),"United States")</f>
        <v>United States</v>
      </c>
      <c r="D671" s="4" t="str">
        <f>IFERROR(__xludf.DUMMYFUNCTION("""COMPUTED_VALUE"""),"Arts and Entertainment")</f>
        <v>Arts and Entertainment</v>
      </c>
      <c r="E671" s="4" t="str">
        <f>IFERROR(__xludf.DUMMYFUNCTION("""COMPUTED_VALUE"""),"Events and Listings ")</f>
        <v>Events and Listings </v>
      </c>
      <c r="F671" s="4" t="str">
        <f>IFERROR(__xludf.DUMMYFUNCTION("""COMPUTED_VALUE""")," Event Ticket Sales")</f>
        <v> Event Ticket Sales</v>
      </c>
      <c r="G671" s="4"/>
      <c r="H671" s="4"/>
      <c r="I671" s="5" t="s">
        <v>61</v>
      </c>
      <c r="J671" s="5" t="s">
        <v>23</v>
      </c>
      <c r="K671" s="5" t="s">
        <v>39</v>
      </c>
      <c r="L671" s="6" t="s">
        <v>969</v>
      </c>
      <c r="M671" s="5" t="s">
        <v>36</v>
      </c>
      <c r="N671" s="5" t="s">
        <v>27</v>
      </c>
      <c r="O671" s="5">
        <v>23488.0</v>
      </c>
      <c r="P671" s="5">
        <v>75.0</v>
      </c>
      <c r="Q671" s="5">
        <v>4620.0</v>
      </c>
      <c r="R671" s="5">
        <v>22254.0</v>
      </c>
      <c r="S671" s="5">
        <v>9.0</v>
      </c>
      <c r="T671" s="5">
        <v>6667.727715</v>
      </c>
    </row>
    <row r="672">
      <c r="A672" s="4" t="s">
        <v>1650</v>
      </c>
      <c r="B672" s="4" t="str">
        <f>IFERROR(__xludf.DUMMYFUNCTION("SPLIT(A672:A1398, ""&gt;"")"),"Online Behavior")</f>
        <v>Online Behavior</v>
      </c>
      <c r="C672" s="4" t="str">
        <f>IFERROR(__xludf.DUMMYFUNCTION("""COMPUTED_VALUE"""),"United States")</f>
        <v>United States</v>
      </c>
      <c r="D672" s="4" t="str">
        <f>IFERROR(__xludf.DUMMYFUNCTION("""COMPUTED_VALUE"""),"Intent ")</f>
        <v>Intent </v>
      </c>
      <c r="E672" s="4" t="str">
        <f>IFERROR(__xludf.DUMMYFUNCTION("""COMPUTED_VALUE""")," Travel")</f>
        <v> Travel</v>
      </c>
      <c r="F672" s="4" t="str">
        <f>IFERROR(__xludf.DUMMYFUNCTION("""COMPUTED_VALUE"""),"Travel")</f>
        <v>Travel</v>
      </c>
      <c r="G672" s="4"/>
      <c r="H672" s="4"/>
      <c r="I672" s="5" t="s">
        <v>61</v>
      </c>
      <c r="J672" s="5" t="s">
        <v>16</v>
      </c>
      <c r="K672" s="5" t="s">
        <v>78</v>
      </c>
      <c r="L672" s="6" t="s">
        <v>969</v>
      </c>
      <c r="M672" s="5" t="s">
        <v>26</v>
      </c>
      <c r="N672" s="5" t="s">
        <v>27</v>
      </c>
      <c r="O672" s="5">
        <v>11789.0</v>
      </c>
      <c r="P672" s="5">
        <v>20.0</v>
      </c>
      <c r="Q672" s="5">
        <v>6187.0</v>
      </c>
      <c r="R672" s="5">
        <v>10028.0</v>
      </c>
      <c r="S672" s="5">
        <v>3.0</v>
      </c>
      <c r="T672" s="5">
        <v>6505.526456</v>
      </c>
    </row>
    <row r="673">
      <c r="A673" s="4" t="s">
        <v>1956</v>
      </c>
      <c r="B673" s="4" t="str">
        <f>IFERROR(__xludf.DUMMYFUNCTION("SPLIT(A673:A1399, ""&gt;"")"),"US ")</f>
        <v>US </v>
      </c>
      <c r="C673" s="4" t="str">
        <f>IFERROR(__xludf.DUMMYFUNCTION("""COMPUTED_VALUE"""),"Quality-First Shopper Audience")</f>
        <v>Quality-First Shopper Audience</v>
      </c>
      <c r="D673" s="4"/>
      <c r="E673" s="4"/>
      <c r="F673" s="4"/>
      <c r="G673" s="4"/>
      <c r="H673" s="4"/>
      <c r="I673" s="5" t="s">
        <v>15</v>
      </c>
      <c r="J673" s="5" t="s">
        <v>42</v>
      </c>
      <c r="K673" s="5" t="s">
        <v>39</v>
      </c>
      <c r="L673" s="6" t="s">
        <v>969</v>
      </c>
      <c r="M673" s="5" t="s">
        <v>19</v>
      </c>
      <c r="N673" s="5" t="s">
        <v>52</v>
      </c>
      <c r="O673" s="5">
        <v>16142.0</v>
      </c>
      <c r="P673" s="5">
        <v>30.0</v>
      </c>
      <c r="Q673" s="5">
        <v>7064.0</v>
      </c>
      <c r="R673" s="5">
        <v>15433.0</v>
      </c>
      <c r="S673" s="5">
        <v>5.0</v>
      </c>
      <c r="T673" s="5">
        <v>2209.650957</v>
      </c>
    </row>
    <row r="674">
      <c r="A674" s="4" t="s">
        <v>1957</v>
      </c>
      <c r="B674" s="4" t="str">
        <f>IFERROR(__xludf.DUMMYFUNCTION("SPLIT(A674:A1400, ""&gt;"")"),"US Demographic ")</f>
        <v>US Demographic </v>
      </c>
      <c r="C674" s="4" t="str">
        <f>IFERROR(__xludf.DUMMYFUNCTION("""COMPUTED_VALUE""")," Preferred Language ")</f>
        <v> Preferred Language </v>
      </c>
      <c r="D674" s="4" t="str">
        <f>IFERROR(__xludf.DUMMYFUNCTION("""COMPUTED_VALUE""")," Non-Hispanic")</f>
        <v> Non-Hispanic</v>
      </c>
      <c r="E674" s="4"/>
      <c r="F674" s="4"/>
      <c r="G674" s="4"/>
      <c r="H674" s="4"/>
      <c r="I674" s="5" t="s">
        <v>15</v>
      </c>
      <c r="J674" s="5" t="s">
        <v>16</v>
      </c>
      <c r="K674" s="5" t="s">
        <v>39</v>
      </c>
      <c r="L674" s="6" t="s">
        <v>969</v>
      </c>
      <c r="M674" s="5" t="s">
        <v>46</v>
      </c>
      <c r="N674" s="5" t="s">
        <v>27</v>
      </c>
      <c r="O674" s="5">
        <v>37355.0</v>
      </c>
      <c r="P674" s="5">
        <v>145.0</v>
      </c>
      <c r="Q674" s="5">
        <v>17138.0</v>
      </c>
      <c r="R674" s="5">
        <v>35689.0</v>
      </c>
      <c r="S674" s="5">
        <v>3.0</v>
      </c>
      <c r="T674" s="5">
        <v>1577.366086</v>
      </c>
    </row>
    <row r="675">
      <c r="A675" s="4" t="s">
        <v>973</v>
      </c>
      <c r="B675" s="4" t="str">
        <f>IFERROR(__xludf.DUMMYFUNCTION("SPLIT(A675:A1401, ""&gt;"")"),"Online Behavior")</f>
        <v>Online Behavior</v>
      </c>
      <c r="C675" s="4" t="str">
        <f>IFERROR(__xludf.DUMMYFUNCTION("""COMPUTED_VALUE"""),"United States")</f>
        <v>United States</v>
      </c>
      <c r="D675" s="4" t="str">
        <f>IFERROR(__xludf.DUMMYFUNCTION("""COMPUTED_VALUE"""),"News")</f>
        <v>News</v>
      </c>
      <c r="E675" s="4" t="str">
        <f>IFERROR(__xludf.DUMMYFUNCTION("""COMPUTED_VALUE"""),"Weather")</f>
        <v>Weather</v>
      </c>
      <c r="F675" s="4"/>
      <c r="G675" s="4"/>
      <c r="H675" s="4"/>
      <c r="I675" s="5" t="s">
        <v>15</v>
      </c>
      <c r="J675" s="5" t="s">
        <v>31</v>
      </c>
      <c r="K675" s="5" t="s">
        <v>78</v>
      </c>
      <c r="L675" s="6" t="s">
        <v>969</v>
      </c>
      <c r="M675" s="5" t="s">
        <v>19</v>
      </c>
      <c r="N675" s="5" t="s">
        <v>27</v>
      </c>
      <c r="O675" s="5">
        <v>9404.0</v>
      </c>
      <c r="P675" s="5">
        <v>30.0</v>
      </c>
      <c r="Q675" s="5">
        <v>4781.0</v>
      </c>
      <c r="R675" s="5">
        <v>7943.0</v>
      </c>
      <c r="S675" s="5">
        <v>4.0</v>
      </c>
      <c r="T675" s="5">
        <v>1345.369</v>
      </c>
    </row>
    <row r="676">
      <c r="A676" s="4" t="s">
        <v>1958</v>
      </c>
      <c r="B676" s="4" t="str">
        <f>IFERROR(__xludf.DUMMYFUNCTION("SPLIT(A676:A1402, ""&gt;"")"),"Mobile - US ")</f>
        <v>Mobile - US </v>
      </c>
      <c r="C676" s="4" t="str">
        <f>IFERROR(__xludf.DUMMYFUNCTION("""COMPUTED_VALUE""")," Sports ")</f>
        <v> Sports </v>
      </c>
      <c r="D676" s="4" t="str">
        <f>IFERROR(__xludf.DUMMYFUNCTION("""COMPUTED_VALUE""")," Basketball ")</f>
        <v> Basketball </v>
      </c>
      <c r="E676" s="4" t="str">
        <f>IFERROR(__xludf.DUMMYFUNCTION("""COMPUTED_VALUE""")," NCAA College Basketball")</f>
        <v> NCAA College Basketball</v>
      </c>
      <c r="F676" s="4"/>
      <c r="G676" s="4"/>
      <c r="H676" s="4"/>
      <c r="I676" s="5" t="s">
        <v>15</v>
      </c>
      <c r="J676" s="5" t="s">
        <v>16</v>
      </c>
      <c r="K676" s="5" t="s">
        <v>78</v>
      </c>
      <c r="L676" s="6" t="s">
        <v>975</v>
      </c>
      <c r="M676" s="5" t="s">
        <v>36</v>
      </c>
      <c r="N676" s="5" t="s">
        <v>27</v>
      </c>
      <c r="O676" s="5">
        <v>13642.0</v>
      </c>
      <c r="P676" s="5">
        <v>40.0</v>
      </c>
      <c r="Q676" s="5">
        <v>9830.0</v>
      </c>
      <c r="R676" s="5">
        <v>11658.0</v>
      </c>
      <c r="S676" s="5">
        <v>3.0</v>
      </c>
      <c r="T676" s="5">
        <v>1731.271848</v>
      </c>
    </row>
    <row r="677">
      <c r="A677" s="4" t="s">
        <v>1654</v>
      </c>
      <c r="B677" s="4" t="str">
        <f>IFERROR(__xludf.DUMMYFUNCTION("SPLIT(A677:A1403, ""&gt;"")"),"Media and Entertainment ")</f>
        <v>Media and Entertainment </v>
      </c>
      <c r="C677" s="4" t="str">
        <f>IFERROR(__xludf.DUMMYFUNCTION("""COMPUTED_VALUE""")," Television (TV) ")</f>
        <v> Television (TV) </v>
      </c>
      <c r="D677" s="4" t="str">
        <f>IFERROR(__xludf.DUMMYFUNCTION("""COMPUTED_VALUE""")," Viewership")</f>
        <v> Viewership</v>
      </c>
      <c r="E677" s="4"/>
      <c r="F677" s="4"/>
      <c r="G677" s="4"/>
      <c r="H677" s="4"/>
      <c r="I677" s="5" t="s">
        <v>15</v>
      </c>
      <c r="J677" s="5" t="s">
        <v>23</v>
      </c>
      <c r="K677" s="5" t="s">
        <v>78</v>
      </c>
      <c r="L677" s="6" t="s">
        <v>977</v>
      </c>
      <c r="M677" s="5" t="s">
        <v>46</v>
      </c>
      <c r="N677" s="5" t="s">
        <v>27</v>
      </c>
      <c r="O677" s="5">
        <v>14693.0</v>
      </c>
      <c r="P677" s="5">
        <v>70.0</v>
      </c>
      <c r="Q677" s="5">
        <v>6597.0</v>
      </c>
      <c r="R677" s="5">
        <v>13508.0</v>
      </c>
      <c r="S677" s="5">
        <v>4.0</v>
      </c>
      <c r="T677" s="5">
        <v>2047.348924</v>
      </c>
    </row>
    <row r="678">
      <c r="A678" s="4" t="s">
        <v>1655</v>
      </c>
      <c r="B678" s="4" t="str">
        <f>IFERROR(__xludf.DUMMYFUNCTION("SPLIT(A678:A1404, ""&gt;"")"),"Online Behavior")</f>
        <v>Online Behavior</v>
      </c>
      <c r="C678" s="4" t="str">
        <f>IFERROR(__xludf.DUMMYFUNCTION("""COMPUTED_VALUE"""),"United States")</f>
        <v>United States</v>
      </c>
      <c r="D678" s="4" t="str">
        <f>IFERROR(__xludf.DUMMYFUNCTION("""COMPUTED_VALUE"""),"Intent ")</f>
        <v>Intent </v>
      </c>
      <c r="E678" s="4" t="str">
        <f>IFERROR(__xludf.DUMMYFUNCTION("""COMPUTED_VALUE""")," Shopping")</f>
        <v> Shopping</v>
      </c>
      <c r="F678" s="4" t="str">
        <f>IFERROR(__xludf.DUMMYFUNCTION("""COMPUTED_VALUE"""),"Home Improvement")</f>
        <v>Home Improvement</v>
      </c>
      <c r="G678" s="4"/>
      <c r="H678" s="4"/>
      <c r="I678" s="5" t="s">
        <v>22</v>
      </c>
      <c r="J678" s="5" t="s">
        <v>16</v>
      </c>
      <c r="K678" s="5" t="s">
        <v>24</v>
      </c>
      <c r="L678" s="6" t="s">
        <v>979</v>
      </c>
      <c r="M678" s="5" t="s">
        <v>19</v>
      </c>
      <c r="N678" s="5" t="s">
        <v>27</v>
      </c>
      <c r="O678" s="5">
        <v>9357.0</v>
      </c>
      <c r="P678" s="5">
        <v>60.0</v>
      </c>
      <c r="Q678" s="5">
        <v>1754.0</v>
      </c>
      <c r="R678" s="5">
        <v>8343.0</v>
      </c>
      <c r="S678" s="5">
        <v>10.0</v>
      </c>
      <c r="T678" s="5">
        <v>6559.477756</v>
      </c>
    </row>
    <row r="679">
      <c r="A679" s="4" t="s">
        <v>1959</v>
      </c>
      <c r="B679" s="4" t="str">
        <f>IFERROR(__xludf.DUMMYFUNCTION("SPLIT(A679:A1405, ""&gt;"")"),"US ")</f>
        <v>US </v>
      </c>
      <c r="C679" s="4" t="str">
        <f>IFERROR(__xludf.DUMMYFUNCTION("""COMPUTED_VALUE""")," Interest Propensities ")</f>
        <v> Interest Propensities </v>
      </c>
      <c r="D679" s="4" t="str">
        <f>IFERROR(__xludf.DUMMYFUNCTION("""COMPUTED_VALUE""")," Activities and Interests ")</f>
        <v> Activities and Interests </v>
      </c>
      <c r="E679" s="4" t="str">
        <f>IFERROR(__xludf.DUMMYFUNCTION("""COMPUTED_VALUE""")," Ecommerce")</f>
        <v> Ecommerce</v>
      </c>
      <c r="F679" s="4"/>
      <c r="G679" s="4"/>
      <c r="H679" s="4"/>
      <c r="I679" s="5" t="s">
        <v>15</v>
      </c>
      <c r="J679" s="5" t="s">
        <v>16</v>
      </c>
      <c r="K679" s="5" t="s">
        <v>78</v>
      </c>
      <c r="L679" s="6" t="s">
        <v>981</v>
      </c>
      <c r="M679" s="5" t="s">
        <v>19</v>
      </c>
      <c r="N679" s="5" t="s">
        <v>52</v>
      </c>
      <c r="O679" s="5">
        <v>20459.0</v>
      </c>
      <c r="P679" s="5">
        <v>40.0</v>
      </c>
      <c r="Q679" s="5">
        <v>12668.0</v>
      </c>
      <c r="R679" s="5">
        <v>18613.0</v>
      </c>
      <c r="S679" s="5">
        <v>4.0</v>
      </c>
      <c r="T679" s="5">
        <v>1842.606513</v>
      </c>
    </row>
    <row r="680">
      <c r="A680" s="4" t="s">
        <v>1657</v>
      </c>
      <c r="B680" s="4" t="str">
        <f>IFERROR(__xludf.DUMMYFUNCTION("SPLIT(A680:A1406, ""&gt;"")"),"Online Behavior")</f>
        <v>Online Behavior</v>
      </c>
      <c r="C680" s="4" t="str">
        <f>IFERROR(__xludf.DUMMYFUNCTION("""COMPUTED_VALUE"""),"United States")</f>
        <v>United States</v>
      </c>
      <c r="D680" s="4" t="str">
        <f>IFERROR(__xludf.DUMMYFUNCTION("""COMPUTED_VALUE"""),"Autos and Vehicles ")</f>
        <v>Autos and Vehicles </v>
      </c>
      <c r="E680" s="4" t="str">
        <f>IFERROR(__xludf.DUMMYFUNCTION("""COMPUTED_VALUE""")," Brands")</f>
        <v> Brands</v>
      </c>
      <c r="F680" s="4" t="str">
        <f>IFERROR(__xludf.DUMMYFUNCTION("""COMPUTED_VALUE"""),"Vauxhall-Opel")</f>
        <v>Vauxhall-Opel</v>
      </c>
      <c r="G680" s="4"/>
      <c r="H680" s="4"/>
      <c r="I680" s="5" t="s">
        <v>61</v>
      </c>
      <c r="J680" s="5" t="s">
        <v>23</v>
      </c>
      <c r="K680" s="5" t="s">
        <v>17</v>
      </c>
      <c r="L680" s="6" t="s">
        <v>983</v>
      </c>
      <c r="M680" s="5" t="s">
        <v>19</v>
      </c>
      <c r="N680" s="5" t="s">
        <v>27</v>
      </c>
      <c r="O680" s="5">
        <v>17382.0</v>
      </c>
      <c r="P680" s="5">
        <v>100.0</v>
      </c>
      <c r="Q680" s="5">
        <v>7411.0</v>
      </c>
      <c r="R680" s="5">
        <v>16576.0</v>
      </c>
      <c r="S680" s="5">
        <v>8.0</v>
      </c>
      <c r="T680" s="5">
        <v>5797.219977</v>
      </c>
    </row>
    <row r="681">
      <c r="A681" s="4" t="s">
        <v>1960</v>
      </c>
      <c r="B681" s="4" t="str">
        <f>IFERROR(__xludf.DUMMYFUNCTION("SPLIT(A681:A1407, ""&gt;"")"),"Media and Entertainment ")</f>
        <v>Media and Entertainment </v>
      </c>
      <c r="C681" s="4" t="str">
        <f>IFERROR(__xludf.DUMMYFUNCTION("""COMPUTED_VALUE""")," Movies ")</f>
        <v> Movies </v>
      </c>
      <c r="D681" s="4" t="str">
        <f>IFERROR(__xludf.DUMMYFUNCTION("""COMPUTED_VALUE""")," Enthusiasts")</f>
        <v> Enthusiasts</v>
      </c>
      <c r="E681" s="4"/>
      <c r="F681" s="4"/>
      <c r="G681" s="4"/>
      <c r="H681" s="4"/>
      <c r="I681" s="5" t="s">
        <v>22</v>
      </c>
      <c r="J681" s="5" t="s">
        <v>16</v>
      </c>
      <c r="K681" s="5" t="s">
        <v>84</v>
      </c>
      <c r="L681" s="6" t="s">
        <v>985</v>
      </c>
      <c r="M681" s="5" t="s">
        <v>46</v>
      </c>
      <c r="N681" s="5" t="s">
        <v>27</v>
      </c>
      <c r="O681" s="5">
        <v>13466.0</v>
      </c>
      <c r="P681" s="5">
        <v>150.0</v>
      </c>
      <c r="Q681" s="5">
        <v>8684.0</v>
      </c>
      <c r="R681" s="5">
        <v>11766.0</v>
      </c>
      <c r="S681" s="5">
        <v>1.0</v>
      </c>
      <c r="T681" s="5">
        <v>1527.176274</v>
      </c>
    </row>
    <row r="682">
      <c r="A682" s="4" t="s">
        <v>1659</v>
      </c>
      <c r="B682" s="4" t="str">
        <f>IFERROR(__xludf.DUMMYFUNCTION("SPLIT(A682:A1408, ""&gt;"")"),"OnAudience ")</f>
        <v>OnAudience </v>
      </c>
      <c r="C682" s="4" t="str">
        <f>IFERROR(__xludf.DUMMYFUNCTION("""COMPUTED_VALUE""")," Interest ")</f>
        <v> Interest </v>
      </c>
      <c r="D682" s="4" t="str">
        <f>IFERROR(__xludf.DUMMYFUNCTION("""COMPUTED_VALUE""")," Technology &amp; Computing")</f>
        <v> Technology &amp; Computing</v>
      </c>
      <c r="E682" s="4"/>
      <c r="F682" s="4"/>
      <c r="G682" s="4"/>
      <c r="H682" s="4"/>
      <c r="I682" s="5" t="s">
        <v>61</v>
      </c>
      <c r="J682" s="5" t="s">
        <v>42</v>
      </c>
      <c r="K682" s="5" t="s">
        <v>131</v>
      </c>
      <c r="L682" s="6" t="s">
        <v>987</v>
      </c>
      <c r="M682" s="5" t="s">
        <v>26</v>
      </c>
      <c r="N682" s="5" t="s">
        <v>27</v>
      </c>
      <c r="O682" s="5">
        <v>23410.0</v>
      </c>
      <c r="P682" s="5">
        <v>66.0</v>
      </c>
      <c r="Q682" s="5">
        <v>13626.0</v>
      </c>
      <c r="R682" s="5">
        <v>22109.0</v>
      </c>
      <c r="S682" s="5">
        <v>6.0</v>
      </c>
      <c r="T682" s="5">
        <v>1930.180523</v>
      </c>
    </row>
    <row r="683">
      <c r="A683" s="4" t="s">
        <v>1660</v>
      </c>
      <c r="B683" s="4" t="str">
        <f>IFERROR(__xludf.DUMMYFUNCTION("SPLIT(A683:A1409, ""&gt;"")"),"Media and Entertainment ")</f>
        <v>Media and Entertainment </v>
      </c>
      <c r="C683" s="4" t="str">
        <f>IFERROR(__xludf.DUMMYFUNCTION("""COMPUTED_VALUE""")," Audio and Video Streaming ")</f>
        <v> Audio and Video Streaming </v>
      </c>
      <c r="D683" s="4" t="str">
        <f>IFERROR(__xludf.DUMMYFUNCTION("""COMPUTED_VALUE""")," Streaming Video")</f>
        <v> Streaming Video</v>
      </c>
      <c r="E683" s="4"/>
      <c r="F683" s="4"/>
      <c r="G683" s="4"/>
      <c r="H683" s="4"/>
      <c r="I683" s="5" t="s">
        <v>22</v>
      </c>
      <c r="J683" s="5" t="s">
        <v>16</v>
      </c>
      <c r="K683" s="5" t="s">
        <v>32</v>
      </c>
      <c r="L683" s="6" t="s">
        <v>987</v>
      </c>
      <c r="M683" s="5" t="s">
        <v>48</v>
      </c>
      <c r="N683" s="5" t="s">
        <v>27</v>
      </c>
      <c r="O683" s="5">
        <v>13713.0</v>
      </c>
      <c r="P683" s="5">
        <v>151.0</v>
      </c>
      <c r="Q683" s="5">
        <v>8339.0</v>
      </c>
      <c r="R683" s="5">
        <v>13051.0</v>
      </c>
      <c r="S683" s="5">
        <v>5.0</v>
      </c>
      <c r="T683" s="5">
        <v>1490.006197</v>
      </c>
    </row>
    <row r="684">
      <c r="A684" s="4" t="s">
        <v>1661</v>
      </c>
      <c r="B684" s="4" t="str">
        <f>IFERROR(__xludf.DUMMYFUNCTION("SPLIT(A684:A1410, ""&gt;"")"),"Online Behavior")</f>
        <v>Online Behavior</v>
      </c>
      <c r="C684" s="4" t="str">
        <f>IFERROR(__xludf.DUMMYFUNCTION("""COMPUTED_VALUE"""),"United States")</f>
        <v>United States</v>
      </c>
      <c r="D684" s="4" t="str">
        <f>IFERROR(__xludf.DUMMYFUNCTION("""COMPUTED_VALUE"""),"Intent ")</f>
        <v>Intent </v>
      </c>
      <c r="E684" s="4" t="str">
        <f>IFERROR(__xludf.DUMMYFUNCTION("""COMPUTED_VALUE""")," Travel")</f>
        <v> Travel</v>
      </c>
      <c r="F684" s="4" t="str">
        <f>IFERROR(__xludf.DUMMYFUNCTION("""COMPUTED_VALUE"""),"Budget Travel")</f>
        <v>Budget Travel</v>
      </c>
      <c r="G684" s="4"/>
      <c r="H684" s="4"/>
      <c r="I684" s="5" t="s">
        <v>61</v>
      </c>
      <c r="J684" s="5" t="s">
        <v>16</v>
      </c>
      <c r="K684" s="5" t="s">
        <v>17</v>
      </c>
      <c r="L684" s="6" t="s">
        <v>990</v>
      </c>
      <c r="M684" s="5" t="s">
        <v>26</v>
      </c>
      <c r="N684" s="5" t="s">
        <v>27</v>
      </c>
      <c r="O684" s="5">
        <v>10565.0</v>
      </c>
      <c r="P684" s="5">
        <v>66.0</v>
      </c>
      <c r="Q684" s="5">
        <v>6248.0</v>
      </c>
      <c r="R684" s="5">
        <v>10141.0</v>
      </c>
      <c r="S684" s="5">
        <v>9.0</v>
      </c>
      <c r="T684" s="5">
        <v>6236.113094</v>
      </c>
    </row>
    <row r="685">
      <c r="A685" s="4" t="s">
        <v>991</v>
      </c>
      <c r="B685" s="4" t="str">
        <f>IFERROR(__xludf.DUMMYFUNCTION("SPLIT(A685:A1411, ""&gt;"")"),"Online Behavior")</f>
        <v>Online Behavior</v>
      </c>
      <c r="C685" s="4" t="str">
        <f>IFERROR(__xludf.DUMMYFUNCTION("""COMPUTED_VALUE"""),"United States")</f>
        <v>United States</v>
      </c>
      <c r="D685" s="4" t="str">
        <f>IFERROR(__xludf.DUMMYFUNCTION("""COMPUTED_VALUE"""),"Beauty and Fitness")</f>
        <v>Beauty and Fitness</v>
      </c>
      <c r="E685" s="4" t="str">
        <f>IFERROR(__xludf.DUMMYFUNCTION("""COMPUTED_VALUE"""),"Spas and Beauty Services")</f>
        <v>Spas and Beauty Services</v>
      </c>
      <c r="F685" s="4"/>
      <c r="G685" s="4"/>
      <c r="H685" s="4"/>
      <c r="I685" s="5" t="s">
        <v>22</v>
      </c>
      <c r="J685" s="5" t="s">
        <v>23</v>
      </c>
      <c r="K685" s="5" t="s">
        <v>35</v>
      </c>
      <c r="L685" s="6" t="s">
        <v>992</v>
      </c>
      <c r="M685" s="5" t="s">
        <v>26</v>
      </c>
      <c r="N685" s="5" t="s">
        <v>27</v>
      </c>
      <c r="O685" s="5">
        <v>888037.0</v>
      </c>
      <c r="P685" s="5">
        <v>2841.0</v>
      </c>
      <c r="Q685" s="5">
        <v>370429.0</v>
      </c>
      <c r="R685" s="5">
        <v>820340.0</v>
      </c>
      <c r="S685" s="5">
        <v>42.0</v>
      </c>
      <c r="T685" s="5">
        <v>8134.350524</v>
      </c>
    </row>
    <row r="686">
      <c r="A686" s="4" t="s">
        <v>1662</v>
      </c>
      <c r="B686" s="4" t="str">
        <f>IFERROR(__xludf.DUMMYFUNCTION("SPLIT(A686:A1412, ""&gt;"")"),"Online Behavior")</f>
        <v>Online Behavior</v>
      </c>
      <c r="C686" s="4" t="str">
        <f>IFERROR(__xludf.DUMMYFUNCTION("""COMPUTED_VALUE"""),"United States")</f>
        <v>United States</v>
      </c>
      <c r="D686" s="4" t="str">
        <f>IFERROR(__xludf.DUMMYFUNCTION("""COMPUTED_VALUE"""),"Finance ")</f>
        <v>Finance </v>
      </c>
      <c r="E686" s="4" t="str">
        <f>IFERROR(__xludf.DUMMYFUNCTION("""COMPUTED_VALUE""")," Accounting and Auditing")</f>
        <v> Accounting and Auditing</v>
      </c>
      <c r="F686" s="4" t="str">
        <f>IFERROR(__xludf.DUMMYFUNCTION("""COMPUTED_VALUE"""),"Accounting and Auditing")</f>
        <v>Accounting and Auditing</v>
      </c>
      <c r="G686" s="4"/>
      <c r="H686" s="4"/>
      <c r="I686" s="5" t="s">
        <v>15</v>
      </c>
      <c r="J686" s="5" t="s">
        <v>16</v>
      </c>
      <c r="K686" s="5" t="s">
        <v>35</v>
      </c>
      <c r="L686" s="6" t="s">
        <v>992</v>
      </c>
      <c r="M686" s="5" t="s">
        <v>50</v>
      </c>
      <c r="N686" s="5" t="s">
        <v>27</v>
      </c>
      <c r="O686" s="5">
        <v>1767940.0</v>
      </c>
      <c r="P686" s="5">
        <v>4852.0</v>
      </c>
      <c r="Q686" s="5">
        <v>881525.0</v>
      </c>
      <c r="R686" s="5">
        <v>1550866.0</v>
      </c>
      <c r="S686" s="5">
        <v>78.0</v>
      </c>
      <c r="T686" s="5">
        <v>7511.656191</v>
      </c>
    </row>
    <row r="687">
      <c r="A687" s="4" t="s">
        <v>994</v>
      </c>
      <c r="B687" s="4" t="str">
        <f>IFERROR(__xludf.DUMMYFUNCTION("SPLIT(A687:A1413, ""&gt;"")"),"Online Behavior")</f>
        <v>Online Behavior</v>
      </c>
      <c r="C687" s="4" t="str">
        <f>IFERROR(__xludf.DUMMYFUNCTION("""COMPUTED_VALUE"""),"United States")</f>
        <v>United States</v>
      </c>
      <c r="D687" s="4" t="str">
        <f>IFERROR(__xludf.DUMMYFUNCTION("""COMPUTED_VALUE"""),"Life Event")</f>
        <v>Life Event</v>
      </c>
      <c r="E687" s="4" t="str">
        <f>IFERROR(__xludf.DUMMYFUNCTION("""COMPUTED_VALUE"""),"University Graduation")</f>
        <v>University Graduation</v>
      </c>
      <c r="F687" s="4"/>
      <c r="G687" s="4"/>
      <c r="H687" s="4"/>
      <c r="I687" s="5" t="s">
        <v>15</v>
      </c>
      <c r="J687" s="5" t="s">
        <v>23</v>
      </c>
      <c r="K687" s="5" t="s">
        <v>78</v>
      </c>
      <c r="L687" s="6" t="s">
        <v>992</v>
      </c>
      <c r="M687" s="5" t="s">
        <v>19</v>
      </c>
      <c r="N687" s="5" t="s">
        <v>27</v>
      </c>
      <c r="O687" s="5">
        <v>1221746.0</v>
      </c>
      <c r="P687" s="5">
        <v>3874.0</v>
      </c>
      <c r="Q687" s="5">
        <v>512107.0</v>
      </c>
      <c r="R687" s="5">
        <v>1088748.0</v>
      </c>
      <c r="S687" s="5">
        <v>19.0</v>
      </c>
      <c r="T687" s="5">
        <v>7483.887187</v>
      </c>
    </row>
    <row r="688">
      <c r="A688" s="4" t="s">
        <v>995</v>
      </c>
      <c r="B688" s="4" t="str">
        <f>IFERROR(__xludf.DUMMYFUNCTION("SPLIT(A688:A1414, ""&gt;"")"),"Online Behavior")</f>
        <v>Online Behavior</v>
      </c>
      <c r="C688" s="4" t="str">
        <f>IFERROR(__xludf.DUMMYFUNCTION("""COMPUTED_VALUE"""),"United States")</f>
        <v>United States</v>
      </c>
      <c r="D688" s="4" t="str">
        <f>IFERROR(__xludf.DUMMYFUNCTION("""COMPUTED_VALUE"""),"Life Event")</f>
        <v>Life Event</v>
      </c>
      <c r="E688" s="4" t="str">
        <f>IFERROR(__xludf.DUMMYFUNCTION("""COMPUTED_VALUE"""),"College Applications")</f>
        <v>College Applications</v>
      </c>
      <c r="F688" s="4"/>
      <c r="G688" s="4"/>
      <c r="H688" s="4"/>
      <c r="I688" s="5" t="s">
        <v>22</v>
      </c>
      <c r="J688" s="5" t="s">
        <v>16</v>
      </c>
      <c r="K688" s="5" t="s">
        <v>35</v>
      </c>
      <c r="L688" s="6" t="s">
        <v>992</v>
      </c>
      <c r="M688" s="5" t="s">
        <v>33</v>
      </c>
      <c r="N688" s="5" t="s">
        <v>27</v>
      </c>
      <c r="O688" s="5">
        <v>446774.0</v>
      </c>
      <c r="P688" s="5">
        <v>1245.0</v>
      </c>
      <c r="Q688" s="5">
        <v>163786.0</v>
      </c>
      <c r="R688" s="5">
        <v>374116.0</v>
      </c>
      <c r="S688" s="5">
        <v>12.0</v>
      </c>
      <c r="T688" s="5">
        <v>7248.231612</v>
      </c>
    </row>
    <row r="689">
      <c r="A689" s="4" t="s">
        <v>996</v>
      </c>
      <c r="B689" s="4" t="str">
        <f>IFERROR(__xludf.DUMMYFUNCTION("SPLIT(A689:A1415, ""&gt;"")"),"Online Behavior")</f>
        <v>Online Behavior</v>
      </c>
      <c r="C689" s="4" t="str">
        <f>IFERROR(__xludf.DUMMYFUNCTION("""COMPUTED_VALUE"""),"United States")</f>
        <v>United States</v>
      </c>
      <c r="D689" s="4" t="str">
        <f>IFERROR(__xludf.DUMMYFUNCTION("""COMPUTED_VALUE"""),"Games")</f>
        <v>Games</v>
      </c>
      <c r="E689" s="4" t="str">
        <f>IFERROR(__xludf.DUMMYFUNCTION("""COMPUTED_VALUE"""),"Arcade and Coin-Op Games")</f>
        <v>Arcade and Coin-Op Games</v>
      </c>
      <c r="F689" s="4"/>
      <c r="G689" s="4"/>
      <c r="H689" s="4"/>
      <c r="I689" s="5" t="s">
        <v>22</v>
      </c>
      <c r="J689" s="5" t="s">
        <v>23</v>
      </c>
      <c r="K689" s="5" t="s">
        <v>45</v>
      </c>
      <c r="L689" s="6" t="s">
        <v>992</v>
      </c>
      <c r="M689" s="5" t="s">
        <v>46</v>
      </c>
      <c r="N689" s="5" t="s">
        <v>27</v>
      </c>
      <c r="O689" s="5">
        <v>120603.0</v>
      </c>
      <c r="P689" s="5">
        <v>298.0</v>
      </c>
      <c r="Q689" s="5">
        <v>47405.0</v>
      </c>
      <c r="R689" s="5">
        <v>100881.0</v>
      </c>
      <c r="S689" s="5">
        <v>10.0</v>
      </c>
      <c r="T689" s="5">
        <v>6633.532635</v>
      </c>
    </row>
    <row r="690">
      <c r="A690" s="4" t="s">
        <v>997</v>
      </c>
      <c r="B690" s="4" t="str">
        <f>IFERROR(__xludf.DUMMYFUNCTION("SPLIT(A690:A1416, ""&gt;"")"),"Online Behavior")</f>
        <v>Online Behavior</v>
      </c>
      <c r="C690" s="4" t="str">
        <f>IFERROR(__xludf.DUMMYFUNCTION("""COMPUTED_VALUE"""),"United States")</f>
        <v>United States</v>
      </c>
      <c r="D690" s="4" t="str">
        <f>IFERROR(__xludf.DUMMYFUNCTION("""COMPUTED_VALUE"""),"Life Event")</f>
        <v>Life Event</v>
      </c>
      <c r="E690" s="4" t="str">
        <f>IFERROR(__xludf.DUMMYFUNCTION("""COMPUTED_VALUE"""),"Movers")</f>
        <v>Movers</v>
      </c>
      <c r="F690" s="4"/>
      <c r="G690" s="4"/>
      <c r="H690" s="4"/>
      <c r="I690" s="5" t="s">
        <v>15</v>
      </c>
      <c r="J690" s="5" t="s">
        <v>16</v>
      </c>
      <c r="K690" s="5" t="s">
        <v>32</v>
      </c>
      <c r="L690" s="6" t="s">
        <v>992</v>
      </c>
      <c r="M690" s="5" t="s">
        <v>19</v>
      </c>
      <c r="N690" s="5" t="s">
        <v>27</v>
      </c>
      <c r="O690" s="5">
        <v>310255.0</v>
      </c>
      <c r="P690" s="5">
        <v>970.0</v>
      </c>
      <c r="Q690" s="5">
        <v>105054.0</v>
      </c>
      <c r="R690" s="5">
        <v>260998.0</v>
      </c>
      <c r="S690" s="5">
        <v>14.0</v>
      </c>
      <c r="T690" s="5">
        <v>6057.856722</v>
      </c>
    </row>
    <row r="691">
      <c r="A691" s="4" t="s">
        <v>1663</v>
      </c>
      <c r="B691" s="4" t="str">
        <f>IFERROR(__xludf.DUMMYFUNCTION("SPLIT(A691:A1417, ""&gt;"")"),"Online Behavior")</f>
        <v>Online Behavior</v>
      </c>
      <c r="C691" s="4" t="str">
        <f>IFERROR(__xludf.DUMMYFUNCTION("""COMPUTED_VALUE"""),"United States")</f>
        <v>United States</v>
      </c>
      <c r="D691" s="4" t="str">
        <f>IFERROR(__xludf.DUMMYFUNCTION("""COMPUTED_VALUE"""),"Intent ")</f>
        <v>Intent </v>
      </c>
      <c r="E691" s="4" t="str">
        <f>IFERROR(__xludf.DUMMYFUNCTION("""COMPUTED_VALUE""")," Services")</f>
        <v> Services</v>
      </c>
      <c r="F691" s="4" t="str">
        <f>IFERROR(__xludf.DUMMYFUNCTION("""COMPUTED_VALUE"""),"Pets")</f>
        <v>Pets</v>
      </c>
      <c r="G691" s="4"/>
      <c r="H691" s="4"/>
      <c r="I691" s="5" t="s">
        <v>15</v>
      </c>
      <c r="J691" s="5" t="s">
        <v>31</v>
      </c>
      <c r="K691" s="5" t="s">
        <v>183</v>
      </c>
      <c r="L691" s="6" t="s">
        <v>992</v>
      </c>
      <c r="M691" s="5" t="s">
        <v>36</v>
      </c>
      <c r="N691" s="5" t="s">
        <v>27</v>
      </c>
      <c r="O691" s="5">
        <v>818919.0</v>
      </c>
      <c r="P691" s="5">
        <v>1987.0</v>
      </c>
      <c r="Q691" s="5">
        <v>395852.0</v>
      </c>
      <c r="R691" s="5">
        <v>699064.0</v>
      </c>
      <c r="S691" s="5">
        <v>22.0</v>
      </c>
      <c r="T691" s="5">
        <v>6012.102465</v>
      </c>
    </row>
    <row r="692">
      <c r="A692" s="4" t="s">
        <v>1664</v>
      </c>
      <c r="B692" s="4" t="str">
        <f>IFERROR(__xludf.DUMMYFUNCTION("SPLIT(A692:A1418, ""&gt;"")"),"Online Behavior")</f>
        <v>Online Behavior</v>
      </c>
      <c r="C692" s="4" t="str">
        <f>IFERROR(__xludf.DUMMYFUNCTION("""COMPUTED_VALUE"""),"United States")</f>
        <v>United States</v>
      </c>
      <c r="D692" s="4" t="str">
        <f>IFERROR(__xludf.DUMMYFUNCTION("""COMPUTED_VALUE"""),"Hobbies and Leisure")</f>
        <v>Hobbies and Leisure</v>
      </c>
      <c r="E692" s="4" t="str">
        <f>IFERROR(__xludf.DUMMYFUNCTION("""COMPUTED_VALUE"""),"Special Occasions ")</f>
        <v>Special Occasions </v>
      </c>
      <c r="F692" s="4" t="str">
        <f>IFERROR(__xludf.DUMMYFUNCTION("""COMPUTED_VALUE""")," Holidays and Seasonal Events")</f>
        <v> Holidays and Seasonal Events</v>
      </c>
      <c r="G692" s="4"/>
      <c r="H692" s="4"/>
      <c r="I692" s="5" t="s">
        <v>22</v>
      </c>
      <c r="J692" s="5" t="s">
        <v>16</v>
      </c>
      <c r="K692" s="5" t="s">
        <v>78</v>
      </c>
      <c r="L692" s="6" t="s">
        <v>992</v>
      </c>
      <c r="M692" s="5" t="s">
        <v>327</v>
      </c>
      <c r="N692" s="5" t="s">
        <v>27</v>
      </c>
      <c r="O692" s="5">
        <v>760502.0</v>
      </c>
      <c r="P692" s="5">
        <v>2140.0</v>
      </c>
      <c r="Q692" s="5">
        <v>326721.0</v>
      </c>
      <c r="R692" s="5">
        <v>700814.0</v>
      </c>
      <c r="S692" s="5">
        <v>17.0</v>
      </c>
      <c r="T692" s="5">
        <v>5179.041532</v>
      </c>
    </row>
    <row r="693">
      <c r="A693" s="4" t="s">
        <v>1000</v>
      </c>
      <c r="B693" s="4" t="str">
        <f>IFERROR(__xludf.DUMMYFUNCTION("SPLIT(A693:A1419, ""&gt;"")"),"Online Behavior")</f>
        <v>Online Behavior</v>
      </c>
      <c r="C693" s="4" t="str">
        <f>IFERROR(__xludf.DUMMYFUNCTION("""COMPUTED_VALUE"""),"United States")</f>
        <v>United States</v>
      </c>
      <c r="D693" s="4" t="str">
        <f>IFERROR(__xludf.DUMMYFUNCTION("""COMPUTED_VALUE"""),"The Changing Consumer")</f>
        <v>The Changing Consumer</v>
      </c>
      <c r="E693" s="4" t="str">
        <f>IFERROR(__xludf.DUMMYFUNCTION("""COMPUTED_VALUE"""),"Virtual Events")</f>
        <v>Virtual Events</v>
      </c>
      <c r="F693" s="4"/>
      <c r="G693" s="4"/>
      <c r="H693" s="4"/>
      <c r="I693" s="5" t="s">
        <v>22</v>
      </c>
      <c r="J693" s="5" t="s">
        <v>42</v>
      </c>
      <c r="K693" s="5" t="s">
        <v>55</v>
      </c>
      <c r="L693" s="6" t="s">
        <v>992</v>
      </c>
      <c r="M693" s="5" t="s">
        <v>19</v>
      </c>
      <c r="N693" s="5" t="s">
        <v>27</v>
      </c>
      <c r="O693" s="5">
        <v>571090.0</v>
      </c>
      <c r="P693" s="5">
        <v>1541.0</v>
      </c>
      <c r="Q693" s="5">
        <v>246243.0</v>
      </c>
      <c r="R693" s="5">
        <v>532325.0</v>
      </c>
      <c r="S693" s="5">
        <v>11.0</v>
      </c>
      <c r="T693" s="5">
        <v>4733.618783</v>
      </c>
    </row>
    <row r="694">
      <c r="A694" s="4" t="s">
        <v>1001</v>
      </c>
      <c r="B694" s="4" t="str">
        <f>IFERROR(__xludf.DUMMYFUNCTION("SPLIT(A694:A1420, ""&gt;"")"),"Online Behavior")</f>
        <v>Online Behavior</v>
      </c>
      <c r="C694" s="4" t="str">
        <f>IFERROR(__xludf.DUMMYFUNCTION("""COMPUTED_VALUE"""),"United States")</f>
        <v>United States</v>
      </c>
      <c r="D694" s="4" t="str">
        <f>IFERROR(__xludf.DUMMYFUNCTION("""COMPUTED_VALUE"""),"Beauty and Fitness")</f>
        <v>Beauty and Fitness</v>
      </c>
      <c r="E694" s="4" t="str">
        <f>IFERROR(__xludf.DUMMYFUNCTION("""COMPUTED_VALUE"""),"Beauty Pageants")</f>
        <v>Beauty Pageants</v>
      </c>
      <c r="F694" s="4"/>
      <c r="G694" s="4"/>
      <c r="H694" s="4"/>
      <c r="I694" s="5" t="s">
        <v>15</v>
      </c>
      <c r="J694" s="5" t="s">
        <v>23</v>
      </c>
      <c r="K694" s="5" t="s">
        <v>35</v>
      </c>
      <c r="L694" s="6" t="s">
        <v>992</v>
      </c>
      <c r="M694" s="5" t="s">
        <v>46</v>
      </c>
      <c r="N694" s="5" t="s">
        <v>20</v>
      </c>
      <c r="O694" s="5">
        <v>7584.0</v>
      </c>
      <c r="P694" s="5">
        <v>40.0</v>
      </c>
      <c r="Q694" s="5">
        <v>3093.0</v>
      </c>
      <c r="R694" s="5">
        <v>6897.0</v>
      </c>
      <c r="S694" s="5">
        <v>2.0</v>
      </c>
      <c r="T694" s="5">
        <v>4467.080758</v>
      </c>
    </row>
    <row r="695">
      <c r="A695" s="4" t="s">
        <v>1665</v>
      </c>
      <c r="B695" s="4" t="str">
        <f>IFERROR(__xludf.DUMMYFUNCTION("SPLIT(A695:A1421, ""&gt;"")"),"Online Behavior")</f>
        <v>Online Behavior</v>
      </c>
      <c r="C695" s="4" t="str">
        <f>IFERROR(__xludf.DUMMYFUNCTION("""COMPUTED_VALUE"""),"United States")</f>
        <v>United States</v>
      </c>
      <c r="D695" s="4" t="str">
        <f>IFERROR(__xludf.DUMMYFUNCTION("""COMPUTED_VALUE"""),"Autos and Vehicles ")</f>
        <v>Autos and Vehicles </v>
      </c>
      <c r="E695" s="4" t="str">
        <f>IFERROR(__xludf.DUMMYFUNCTION("""COMPUTED_VALUE""")," Brands")</f>
        <v> Brands</v>
      </c>
      <c r="F695" s="4" t="str">
        <f>IFERROR(__xludf.DUMMYFUNCTION("""COMPUTED_VALUE"""),"Aston Martin")</f>
        <v>Aston Martin</v>
      </c>
      <c r="G695" s="4"/>
      <c r="H695" s="4"/>
      <c r="I695" s="5" t="s">
        <v>15</v>
      </c>
      <c r="J695" s="5" t="s">
        <v>16</v>
      </c>
      <c r="K695" s="5" t="s">
        <v>24</v>
      </c>
      <c r="L695" s="6" t="s">
        <v>992</v>
      </c>
      <c r="M695" s="5" t="s">
        <v>19</v>
      </c>
      <c r="N695" s="5" t="s">
        <v>52</v>
      </c>
      <c r="O695" s="5">
        <v>84460.0</v>
      </c>
      <c r="P695" s="5">
        <v>209.0</v>
      </c>
      <c r="Q695" s="5">
        <v>13169.0</v>
      </c>
      <c r="R695" s="5">
        <v>26688.0</v>
      </c>
      <c r="S695" s="5">
        <v>1.0</v>
      </c>
      <c r="T695" s="5">
        <v>4279.230955</v>
      </c>
    </row>
    <row r="696">
      <c r="A696" s="4" t="s">
        <v>1961</v>
      </c>
      <c r="B696" s="4" t="str">
        <f>IFERROR(__xludf.DUMMYFUNCTION("SPLIT(A696:A1422, ""&gt;"")"),"US ")</f>
        <v>US </v>
      </c>
      <c r="C696" s="4" t="str">
        <f>IFERROR(__xludf.DUMMYFUNCTION("""COMPUTED_VALUE""")," Reach ")</f>
        <v> Reach </v>
      </c>
      <c r="D696" s="4" t="str">
        <f>IFERROR(__xludf.DUMMYFUNCTION("""COMPUTED_VALUE""")," Propensity Models ")</f>
        <v> Propensity Models </v>
      </c>
      <c r="E696" s="4" t="str">
        <f>IFERROR(__xludf.DUMMYFUNCTION("""COMPUTED_VALUE""")," Hobbies and Interest ")</f>
        <v> Hobbies and Interest </v>
      </c>
      <c r="F696" s="4" t="str">
        <f>IFERROR(__xludf.DUMMYFUNCTION("""COMPUTED_VALUE""")," Books ")</f>
        <v> Books </v>
      </c>
      <c r="G696" s="4" t="str">
        <f>IFERROR(__xludf.DUMMYFUNCTION("""COMPUTED_VALUE""")," E-Book Reader")</f>
        <v> E-Book Reader</v>
      </c>
      <c r="H696" s="4"/>
      <c r="I696" s="5" t="s">
        <v>15</v>
      </c>
      <c r="J696" s="5" t="s">
        <v>42</v>
      </c>
      <c r="K696" s="5" t="s">
        <v>214</v>
      </c>
      <c r="L696" s="6" t="s">
        <v>992</v>
      </c>
      <c r="M696" s="5" t="s">
        <v>36</v>
      </c>
      <c r="N696" s="5" t="s">
        <v>27</v>
      </c>
      <c r="O696" s="5">
        <v>90123.0</v>
      </c>
      <c r="P696" s="5">
        <v>60.0</v>
      </c>
      <c r="Q696" s="5">
        <v>33421.0</v>
      </c>
      <c r="R696" s="5">
        <v>66729.0</v>
      </c>
      <c r="S696" s="5">
        <v>9.0</v>
      </c>
      <c r="T696" s="5">
        <v>3433.914287</v>
      </c>
    </row>
    <row r="697">
      <c r="A697" s="4" t="s">
        <v>1962</v>
      </c>
      <c r="B697" s="4" t="str">
        <f>IFERROR(__xludf.DUMMYFUNCTION("SPLIT(A697:A1423, ""&gt;"")"),"US ")</f>
        <v>US </v>
      </c>
      <c r="C697" s="4" t="str">
        <f>IFERROR(__xludf.DUMMYFUNCTION("""COMPUTED_VALUE""")," AUTO ")</f>
        <v> AUTO </v>
      </c>
      <c r="D697" s="4" t="str">
        <f>IFERROR(__xludf.DUMMYFUNCTION("""COMPUTED_VALUE""")," Decision Maker for Auto Purchase ")</f>
        <v> Decision Maker for Auto Purchase </v>
      </c>
      <c r="E697" s="4" t="str">
        <f>IFERROR(__xludf.DUMMYFUNCTION("""COMPUTED_VALUE""")," I was the sole decision-maker")</f>
        <v> I was the sole decision-maker</v>
      </c>
      <c r="F697" s="4"/>
      <c r="G697" s="4"/>
      <c r="H697" s="4"/>
      <c r="I697" s="5" t="s">
        <v>15</v>
      </c>
      <c r="J697" s="5" t="s">
        <v>16</v>
      </c>
      <c r="K697" s="5" t="s">
        <v>78</v>
      </c>
      <c r="L697" s="6" t="s">
        <v>992</v>
      </c>
      <c r="M697" s="5" t="s">
        <v>19</v>
      </c>
      <c r="N697" s="5" t="s">
        <v>27</v>
      </c>
      <c r="O697" s="5">
        <v>1116343.0</v>
      </c>
      <c r="P697" s="5">
        <v>3104.0</v>
      </c>
      <c r="Q697" s="5">
        <v>550519.0</v>
      </c>
      <c r="R697" s="5">
        <v>977978.0</v>
      </c>
      <c r="S697" s="5">
        <v>9.0</v>
      </c>
      <c r="T697" s="5">
        <v>2494.217596</v>
      </c>
    </row>
    <row r="698">
      <c r="A698" s="4" t="s">
        <v>1963</v>
      </c>
      <c r="B698" s="4" t="str">
        <f>IFERROR(__xludf.DUMMYFUNCTION("SPLIT(A698:A1424, ""&gt;"")"),"US ")</f>
        <v>US </v>
      </c>
      <c r="C698" s="4" t="str">
        <f>IFERROR(__xludf.DUMMYFUNCTION("""COMPUTED_VALUE""")," B2B ")</f>
        <v> B2B </v>
      </c>
      <c r="D698" s="4" t="str">
        <f>IFERROR(__xludf.DUMMYFUNCTION("""COMPUTED_VALUE""")," B2B Decision Maker Responsibilities ")</f>
        <v> B2B Decision Maker Responsibilities </v>
      </c>
      <c r="E698" s="4" t="str">
        <f>IFERROR(__xludf.DUMMYFUNCTION("""COMPUTED_VALUE""")," Purchasing Vehicles or Automobile Services")</f>
        <v> Purchasing Vehicles or Automobile Services</v>
      </c>
      <c r="F698" s="4"/>
      <c r="G698" s="4"/>
      <c r="H698" s="4"/>
      <c r="I698" s="5" t="s">
        <v>15</v>
      </c>
      <c r="J698" s="5" t="s">
        <v>16</v>
      </c>
      <c r="K698" s="5" t="s">
        <v>273</v>
      </c>
      <c r="L698" s="6" t="s">
        <v>992</v>
      </c>
      <c r="M698" s="5" t="s">
        <v>26</v>
      </c>
      <c r="N698" s="5" t="s">
        <v>27</v>
      </c>
      <c r="O698" s="5">
        <v>276716.0</v>
      </c>
      <c r="P698" s="5">
        <v>799.0</v>
      </c>
      <c r="Q698" s="5">
        <v>114927.0</v>
      </c>
      <c r="R698" s="5">
        <v>255481.0</v>
      </c>
      <c r="S698" s="5">
        <v>49.0</v>
      </c>
      <c r="T698" s="5">
        <v>2276.277471</v>
      </c>
    </row>
    <row r="699">
      <c r="A699" s="4" t="s">
        <v>1669</v>
      </c>
      <c r="B699" s="4" t="str">
        <f>IFERROR(__xludf.DUMMYFUNCTION("SPLIT(A699:A1425, ""&gt;"")"),"Media and Entertainment ")</f>
        <v>Media and Entertainment </v>
      </c>
      <c r="C699" s="4" t="str">
        <f>IFERROR(__xludf.DUMMYFUNCTION("""COMPUTED_VALUE""")," Audio and Video Streaming ")</f>
        <v> Audio and Video Streaming </v>
      </c>
      <c r="D699" s="4" t="str">
        <f>IFERROR(__xludf.DUMMYFUNCTION("""COMPUTED_VALUE""")," Streaming Video ")</f>
        <v> Streaming Video </v>
      </c>
      <c r="E699" s="4" t="str">
        <f>IFERROR(__xludf.DUMMYFUNCTION("""COMPUTED_VALUE""")," Interest (Affinity) ")</f>
        <v> Interest (Affinity) </v>
      </c>
      <c r="F699" s="4" t="str">
        <f>IFERROR(__xludf.DUMMYFUNCTION("""COMPUTED_VALUE""")," Streaming Services")</f>
        <v> Streaming Services</v>
      </c>
      <c r="G699" s="4"/>
      <c r="H699" s="4"/>
      <c r="I699" s="5" t="s">
        <v>15</v>
      </c>
      <c r="J699" s="5" t="s">
        <v>23</v>
      </c>
      <c r="K699" s="5" t="s">
        <v>24</v>
      </c>
      <c r="L699" s="6" t="s">
        <v>992</v>
      </c>
      <c r="M699" s="5" t="s">
        <v>19</v>
      </c>
      <c r="N699" s="5" t="s">
        <v>20</v>
      </c>
      <c r="O699" s="5">
        <v>17049.0</v>
      </c>
      <c r="P699" s="5">
        <v>84.0</v>
      </c>
      <c r="Q699" s="5">
        <v>191.0</v>
      </c>
      <c r="R699" s="5">
        <v>15564.0</v>
      </c>
      <c r="S699" s="5">
        <v>15.0</v>
      </c>
      <c r="T699" s="5">
        <v>2144.489587</v>
      </c>
    </row>
    <row r="700">
      <c r="A700" s="4" t="s">
        <v>1964</v>
      </c>
      <c r="B700" s="4" t="str">
        <f>IFERROR(__xludf.DUMMYFUNCTION("SPLIT(A700:A1426, ""&gt;"")"),"Mobile - US ")</f>
        <v>Mobile - US </v>
      </c>
      <c r="C700" s="4" t="str">
        <f>IFERROR(__xludf.DUMMYFUNCTION("""COMPUTED_VALUE""")," Demographics ")</f>
        <v> Demographics </v>
      </c>
      <c r="D700" s="4" t="str">
        <f>IFERROR(__xludf.DUMMYFUNCTION("""COMPUTED_VALUE""")," Education ")</f>
        <v> Education </v>
      </c>
      <c r="E700" s="4" t="str">
        <f>IFERROR(__xludf.DUMMYFUNCTION("""COMPUTED_VALUE""")," High Education Achievement")</f>
        <v> High Education Achievement</v>
      </c>
      <c r="F700" s="4"/>
      <c r="G700" s="4"/>
      <c r="H700" s="4"/>
      <c r="I700" s="5" t="s">
        <v>15</v>
      </c>
      <c r="J700" s="5" t="s">
        <v>23</v>
      </c>
      <c r="K700" s="5" t="s">
        <v>17</v>
      </c>
      <c r="L700" s="6" t="s">
        <v>992</v>
      </c>
      <c r="M700" s="5" t="s">
        <v>19</v>
      </c>
      <c r="N700" s="5" t="s">
        <v>52</v>
      </c>
      <c r="O700" s="5">
        <v>74164.0</v>
      </c>
      <c r="P700" s="5">
        <v>241.0</v>
      </c>
      <c r="Q700" s="5">
        <v>25104.0</v>
      </c>
      <c r="R700" s="5">
        <v>61242.0</v>
      </c>
      <c r="S700" s="5">
        <v>19.0</v>
      </c>
      <c r="T700" s="5">
        <v>1902.301443</v>
      </c>
    </row>
    <row r="701">
      <c r="A701" s="4" t="s">
        <v>1671</v>
      </c>
      <c r="B701" s="4" t="str">
        <f>IFERROR(__xludf.DUMMYFUNCTION("SPLIT(A701:A1427, ""&gt;"")"),"Media and Entertainment ")</f>
        <v>Media and Entertainment </v>
      </c>
      <c r="C701" s="4" t="str">
        <f>IFERROR(__xludf.DUMMYFUNCTION("""COMPUTED_VALUE""")," Sports and Recreational Activities ")</f>
        <v> Sports and Recreational Activities </v>
      </c>
      <c r="D701" s="4" t="str">
        <f>IFERROR(__xludf.DUMMYFUNCTION("""COMPUTED_VALUE""")," Interest (Affinity) ")</f>
        <v> Interest (Affinity) </v>
      </c>
      <c r="E701" s="4" t="str">
        <f>IFERROR(__xludf.DUMMYFUNCTION("""COMPUTED_VALUE""")," Individual Sports")</f>
        <v> Individual Sports</v>
      </c>
      <c r="F701" s="4"/>
      <c r="G701" s="4"/>
      <c r="H701" s="4"/>
      <c r="I701" s="5" t="s">
        <v>22</v>
      </c>
      <c r="J701" s="5" t="s">
        <v>16</v>
      </c>
      <c r="K701" s="5" t="s">
        <v>35</v>
      </c>
      <c r="L701" s="6" t="s">
        <v>992</v>
      </c>
      <c r="M701" s="5" t="s">
        <v>161</v>
      </c>
      <c r="N701" s="5" t="s">
        <v>27</v>
      </c>
      <c r="O701" s="5">
        <v>37227.0</v>
      </c>
      <c r="P701" s="5">
        <v>130.0</v>
      </c>
      <c r="Q701" s="5">
        <v>13542.0</v>
      </c>
      <c r="R701" s="5">
        <v>32456.0</v>
      </c>
      <c r="S701" s="5">
        <v>4.0</v>
      </c>
      <c r="T701" s="5">
        <v>1901.094691</v>
      </c>
    </row>
    <row r="702">
      <c r="A702" s="4" t="s">
        <v>1965</v>
      </c>
      <c r="B702" s="4" t="str">
        <f>IFERROR(__xludf.DUMMYFUNCTION("SPLIT(A702:A1428, ""&gt;"")"),"US ")</f>
        <v>US </v>
      </c>
      <c r="C702" s="4" t="str">
        <f>IFERROR(__xludf.DUMMYFUNCTION("""COMPUTED_VALUE""")," Interest Propensities ")</f>
        <v> Interest Propensities </v>
      </c>
      <c r="D702" s="4" t="str">
        <f>IFERROR(__xludf.DUMMYFUNCTION("""COMPUTED_VALUE""")," TV and Movies ")</f>
        <v> TV and Movies </v>
      </c>
      <c r="E702" s="4" t="str">
        <f>IFERROR(__xludf.DUMMYFUNCTION("""COMPUTED_VALUE""")," Drama")</f>
        <v> Drama</v>
      </c>
      <c r="F702" s="4"/>
      <c r="G702" s="4"/>
      <c r="H702" s="4"/>
      <c r="I702" s="5" t="s">
        <v>15</v>
      </c>
      <c r="J702" s="5" t="s">
        <v>42</v>
      </c>
      <c r="K702" s="5" t="s">
        <v>17</v>
      </c>
      <c r="L702" s="6" t="s">
        <v>992</v>
      </c>
      <c r="M702" s="5" t="s">
        <v>26</v>
      </c>
      <c r="N702" s="5" t="s">
        <v>27</v>
      </c>
      <c r="O702" s="5">
        <v>556152.0</v>
      </c>
      <c r="P702" s="5">
        <v>1867.0</v>
      </c>
      <c r="Q702" s="5">
        <v>221833.0</v>
      </c>
      <c r="R702" s="5">
        <v>480882.0</v>
      </c>
      <c r="S702" s="5">
        <v>7.0</v>
      </c>
      <c r="T702" s="5">
        <v>1818.100044</v>
      </c>
    </row>
    <row r="703">
      <c r="A703" s="4" t="s">
        <v>1966</v>
      </c>
      <c r="B703" s="4" t="str">
        <f>IFERROR(__xludf.DUMMYFUNCTION("SPLIT(A703:A1429, ""&gt;"")"),"US ")</f>
        <v>US </v>
      </c>
      <c r="C703" s="4" t="str">
        <f>IFERROR(__xludf.DUMMYFUNCTION("""COMPUTED_VALUE""")," Interest Propensities ")</f>
        <v> Interest Propensities </v>
      </c>
      <c r="D703" s="4" t="str">
        <f>IFERROR(__xludf.DUMMYFUNCTION("""COMPUTED_VALUE""")," Insurance ")</f>
        <v> Insurance </v>
      </c>
      <c r="E703" s="4" t="str">
        <f>IFERROR(__xludf.DUMMYFUNCTION("""COMPUTED_VALUE""")," Transamerica")</f>
        <v> Transamerica</v>
      </c>
      <c r="F703" s="4"/>
      <c r="G703" s="4"/>
      <c r="H703" s="4"/>
      <c r="I703" s="5" t="s">
        <v>15</v>
      </c>
      <c r="J703" s="5" t="s">
        <v>31</v>
      </c>
      <c r="K703" s="5" t="s">
        <v>35</v>
      </c>
      <c r="L703" s="6" t="s">
        <v>992</v>
      </c>
      <c r="M703" s="5" t="s">
        <v>19</v>
      </c>
      <c r="N703" s="5" t="s">
        <v>20</v>
      </c>
      <c r="O703" s="5">
        <v>598460.0</v>
      </c>
      <c r="P703" s="5">
        <v>1654.0</v>
      </c>
      <c r="Q703" s="5">
        <v>201153.0</v>
      </c>
      <c r="R703" s="5">
        <v>557263.0</v>
      </c>
      <c r="S703" s="5">
        <v>13.0</v>
      </c>
      <c r="T703" s="5">
        <v>1689.744507</v>
      </c>
    </row>
    <row r="704">
      <c r="A704" s="4" t="s">
        <v>1011</v>
      </c>
      <c r="B704" s="4" t="str">
        <f>IFERROR(__xludf.DUMMYFUNCTION("SPLIT(A704:A1430, ""&gt;"")"),"Media &amp; Entertainment")</f>
        <v>Media &amp; Entertainment</v>
      </c>
      <c r="C704" s="4"/>
      <c r="D704" s="4"/>
      <c r="E704" s="4"/>
      <c r="F704" s="4"/>
      <c r="G704" s="4"/>
      <c r="H704" s="4"/>
      <c r="I704" s="5" t="s">
        <v>15</v>
      </c>
      <c r="J704" s="5" t="s">
        <v>16</v>
      </c>
      <c r="K704" s="5" t="s">
        <v>35</v>
      </c>
      <c r="L704" s="6" t="s">
        <v>992</v>
      </c>
      <c r="M704" s="5" t="s">
        <v>19</v>
      </c>
      <c r="N704" s="5" t="s">
        <v>27</v>
      </c>
      <c r="O704" s="5">
        <v>421110.0</v>
      </c>
      <c r="P704" s="5">
        <v>984.0</v>
      </c>
      <c r="Q704" s="5">
        <v>212140.0</v>
      </c>
      <c r="R704" s="5">
        <v>389474.0</v>
      </c>
      <c r="S704" s="5">
        <v>4.0</v>
      </c>
      <c r="T704" s="5">
        <v>1635.920216</v>
      </c>
    </row>
    <row r="705">
      <c r="A705" s="4" t="s">
        <v>1967</v>
      </c>
      <c r="B705" s="4" t="str">
        <f>IFERROR(__xludf.DUMMYFUNCTION("SPLIT(A705:A1431, ""&gt;"")"),"US ")</f>
        <v>US </v>
      </c>
      <c r="C705" s="4" t="str">
        <f>IFERROR(__xludf.DUMMYFUNCTION("""COMPUTED_VALUE""")," Brand Propensities ")</f>
        <v> Brand Propensities </v>
      </c>
      <c r="D705" s="4" t="str">
        <f>IFERROR(__xludf.DUMMYFUNCTION("""COMPUTED_VALUE""")," Apparel ")</f>
        <v> Apparel </v>
      </c>
      <c r="E705" s="4" t="str">
        <f>IFERROR(__xludf.DUMMYFUNCTION("""COMPUTED_VALUE""")," The Men's Wearhouse Buyer Propensity")</f>
        <v> The Men's Wearhouse Buyer Propensity</v>
      </c>
      <c r="F705" s="4"/>
      <c r="G705" s="4"/>
      <c r="H705" s="4"/>
      <c r="I705" s="5" t="s">
        <v>15</v>
      </c>
      <c r="J705" s="5" t="s">
        <v>31</v>
      </c>
      <c r="K705" s="5" t="s">
        <v>45</v>
      </c>
      <c r="L705" s="6" t="s">
        <v>992</v>
      </c>
      <c r="M705" s="5" t="s">
        <v>46</v>
      </c>
      <c r="N705" s="5" t="s">
        <v>52</v>
      </c>
      <c r="O705" s="5">
        <v>59296.0</v>
      </c>
      <c r="P705" s="5">
        <v>170.0</v>
      </c>
      <c r="Q705" s="5">
        <v>25482.0</v>
      </c>
      <c r="R705" s="5">
        <v>54149.0</v>
      </c>
      <c r="S705" s="5">
        <v>4.0</v>
      </c>
      <c r="T705" s="5">
        <v>1568.715259</v>
      </c>
    </row>
    <row r="706">
      <c r="A706" s="4" t="s">
        <v>1675</v>
      </c>
      <c r="B706" s="4" t="str">
        <f>IFERROR(__xludf.DUMMYFUNCTION("SPLIT(A706:A1432, ""&gt;"")"),"Travel and Tourism ")</f>
        <v>Travel and Tourism </v>
      </c>
      <c r="C706" s="4" t="str">
        <f>IFERROR(__xludf.DUMMYFUNCTION("""COMPUTED_VALUE""")," Interest (Affinity) ")</f>
        <v> Interest (Affinity) </v>
      </c>
      <c r="D706" s="4" t="str">
        <f>IFERROR(__xludf.DUMMYFUNCTION("""COMPUTED_VALUE""")," Products ")</f>
        <v> Products </v>
      </c>
      <c r="E706" s="4" t="str">
        <f>IFERROR(__xludf.DUMMYFUNCTION("""COMPUTED_VALUE""")," Air Travel")</f>
        <v> Air Travel</v>
      </c>
      <c r="F706" s="4"/>
      <c r="G706" s="4"/>
      <c r="H706" s="4"/>
      <c r="I706" s="5" t="s">
        <v>15</v>
      </c>
      <c r="J706" s="5" t="s">
        <v>42</v>
      </c>
      <c r="K706" s="5" t="s">
        <v>398</v>
      </c>
      <c r="L706" s="6" t="s">
        <v>992</v>
      </c>
      <c r="M706" s="5" t="s">
        <v>46</v>
      </c>
      <c r="N706" s="5" t="s">
        <v>52</v>
      </c>
      <c r="O706" s="5">
        <v>307888.0</v>
      </c>
      <c r="P706" s="5">
        <v>863.0</v>
      </c>
      <c r="Q706" s="5">
        <v>134959.0</v>
      </c>
      <c r="R706" s="5">
        <v>274790.0</v>
      </c>
      <c r="S706" s="5">
        <v>11.0</v>
      </c>
      <c r="T706" s="5">
        <v>1559.643865</v>
      </c>
    </row>
    <row r="707">
      <c r="A707" s="4" t="s">
        <v>1676</v>
      </c>
      <c r="B707" s="4" t="str">
        <f>IFERROR(__xludf.DUMMYFUNCTION("SPLIT(A707:A1433, ""&gt;"")"),"OnAudience ")</f>
        <v>OnAudience </v>
      </c>
      <c r="C707" s="4" t="str">
        <f>IFERROR(__xludf.DUMMYFUNCTION("""COMPUTED_VALUE""")," Interest ")</f>
        <v> Interest </v>
      </c>
      <c r="D707" s="4" t="str">
        <f>IFERROR(__xludf.DUMMYFUNCTION("""COMPUTED_VALUE""")," Technology &amp; Computing ")</f>
        <v> Technology &amp; Computing </v>
      </c>
      <c r="E707" s="4" t="str">
        <f>IFERROR(__xludf.DUMMYFUNCTION("""COMPUTED_VALUE""")," Entertainment")</f>
        <v> Entertainment</v>
      </c>
      <c r="F707" s="4"/>
      <c r="G707" s="4"/>
      <c r="H707" s="4"/>
      <c r="I707" s="5" t="s">
        <v>15</v>
      </c>
      <c r="J707" s="5" t="s">
        <v>23</v>
      </c>
      <c r="K707" s="5" t="s">
        <v>24</v>
      </c>
      <c r="L707" s="6" t="s">
        <v>992</v>
      </c>
      <c r="M707" s="5" t="s">
        <v>46</v>
      </c>
      <c r="N707" s="5" t="s">
        <v>27</v>
      </c>
      <c r="O707" s="5">
        <v>85965.0</v>
      </c>
      <c r="P707" s="5">
        <v>233.0</v>
      </c>
      <c r="Q707" s="5">
        <v>33865.0</v>
      </c>
      <c r="R707" s="5">
        <v>78662.0</v>
      </c>
      <c r="S707" s="5">
        <v>3.0</v>
      </c>
      <c r="T707" s="5">
        <v>1555.534812</v>
      </c>
    </row>
    <row r="708">
      <c r="A708" s="4" t="s">
        <v>1968</v>
      </c>
      <c r="B708" s="4" t="str">
        <f>IFERROR(__xludf.DUMMYFUNCTION("SPLIT(A708:A1434, ""&gt;"")"),"US ")</f>
        <v>US </v>
      </c>
      <c r="C708" s="4" t="str">
        <f>IFERROR(__xludf.DUMMYFUNCTION("""COMPUTED_VALUE""")," Brand Propensities ")</f>
        <v> Brand Propensities </v>
      </c>
      <c r="D708" s="4" t="str">
        <f>IFERROR(__xludf.DUMMYFUNCTION("""COMPUTED_VALUE""")," Restaurants and Dining ")</f>
        <v> Restaurants and Dining </v>
      </c>
      <c r="E708" s="4" t="str">
        <f>IFERROR(__xludf.DUMMYFUNCTION("""COMPUTED_VALUE""")," Seamless Buyer Propensity")</f>
        <v> Seamless Buyer Propensity</v>
      </c>
      <c r="F708" s="4"/>
      <c r="G708" s="4"/>
      <c r="H708" s="4"/>
      <c r="I708" s="5" t="s">
        <v>15</v>
      </c>
      <c r="J708" s="5" t="s">
        <v>31</v>
      </c>
      <c r="K708" s="5" t="s">
        <v>55</v>
      </c>
      <c r="L708" s="6" t="s">
        <v>992</v>
      </c>
      <c r="M708" s="5" t="s">
        <v>46</v>
      </c>
      <c r="N708" s="5" t="s">
        <v>27</v>
      </c>
      <c r="O708" s="5">
        <v>335664.0</v>
      </c>
      <c r="P708" s="5">
        <v>852.0</v>
      </c>
      <c r="Q708" s="5">
        <v>148742.0</v>
      </c>
      <c r="R708" s="5">
        <v>313071.0</v>
      </c>
      <c r="S708" s="5">
        <v>25.0</v>
      </c>
      <c r="T708" s="5">
        <v>1542.500216</v>
      </c>
    </row>
    <row r="709">
      <c r="A709" s="4" t="s">
        <v>1969</v>
      </c>
      <c r="B709" s="4" t="str">
        <f>IFERROR(__xludf.DUMMYFUNCTION("SPLIT(A709:A1435, ""&gt;"")"),"Mobile - US ")</f>
        <v>Mobile - US </v>
      </c>
      <c r="C709" s="4" t="str">
        <f>IFERROR(__xludf.DUMMYFUNCTION("""COMPUTED_VALUE""")," Sports ")</f>
        <v> Sports </v>
      </c>
      <c r="D709" s="4" t="str">
        <f>IFERROR(__xludf.DUMMYFUNCTION("""COMPUTED_VALUE""")," Motor Sports ")</f>
        <v> Motor Sports </v>
      </c>
      <c r="E709" s="4" t="str">
        <f>IFERROR(__xludf.DUMMYFUNCTION("""COMPUTED_VALUE""")," NASCAR")</f>
        <v> NASCAR</v>
      </c>
      <c r="F709" s="4"/>
      <c r="G709" s="4"/>
      <c r="H709" s="4"/>
      <c r="I709" s="5" t="s">
        <v>22</v>
      </c>
      <c r="J709" s="5" t="s">
        <v>31</v>
      </c>
      <c r="K709" s="5" t="s">
        <v>273</v>
      </c>
      <c r="L709" s="6" t="s">
        <v>992</v>
      </c>
      <c r="M709" s="5" t="s">
        <v>19</v>
      </c>
      <c r="N709" s="5" t="s">
        <v>27</v>
      </c>
      <c r="O709" s="5">
        <v>74516.0</v>
      </c>
      <c r="P709" s="5">
        <v>200.0</v>
      </c>
      <c r="Q709" s="5">
        <v>23985.0</v>
      </c>
      <c r="R709" s="5">
        <v>63853.0</v>
      </c>
      <c r="S709" s="5">
        <v>24.0</v>
      </c>
      <c r="T709" s="5">
        <v>1523.783909</v>
      </c>
    </row>
    <row r="710">
      <c r="A710" s="4" t="s">
        <v>1970</v>
      </c>
      <c r="B710" s="4" t="str">
        <f>IFERROR(__xludf.DUMMYFUNCTION("SPLIT(A710:A1436, ""&gt;"")"),"US ")</f>
        <v>US </v>
      </c>
      <c r="C710" s="4" t="str">
        <f>IFERROR(__xludf.DUMMYFUNCTION("""COMPUTED_VALUE""")," Reach ")</f>
        <v> Reach </v>
      </c>
      <c r="D710" s="4" t="str">
        <f>IFERROR(__xludf.DUMMYFUNCTION("""COMPUTED_VALUE""")," Propensity Models ")</f>
        <v> Propensity Models </v>
      </c>
      <c r="E710" s="4" t="str">
        <f>IFERROR(__xludf.DUMMYFUNCTION("""COMPUTED_VALUE""")," Hobbies and Interest ")</f>
        <v> Hobbies and Interest </v>
      </c>
      <c r="F710" s="4" t="str">
        <f>IFERROR(__xludf.DUMMYFUNCTION("""COMPUTED_VALUE""")," Food and Drinks ")</f>
        <v> Food and Drinks </v>
      </c>
      <c r="G710" s="4" t="str">
        <f>IFERROR(__xludf.DUMMYFUNCTION("""COMPUTED_VALUE""")," Coffee Connoisseurs")</f>
        <v> Coffee Connoisseurs</v>
      </c>
      <c r="H710" s="4"/>
      <c r="I710" s="5" t="s">
        <v>22</v>
      </c>
      <c r="J710" s="5" t="s">
        <v>42</v>
      </c>
      <c r="K710" s="5" t="s">
        <v>55</v>
      </c>
      <c r="L710" s="6" t="s">
        <v>992</v>
      </c>
      <c r="M710" s="5" t="s">
        <v>19</v>
      </c>
      <c r="N710" s="5" t="s">
        <v>27</v>
      </c>
      <c r="O710" s="5">
        <v>263752.0</v>
      </c>
      <c r="P710" s="5">
        <v>702.0</v>
      </c>
      <c r="Q710" s="5">
        <v>127042.0</v>
      </c>
      <c r="R710" s="5">
        <v>225121.0</v>
      </c>
      <c r="S710" s="5">
        <v>4.0</v>
      </c>
      <c r="T710" s="5">
        <v>1465.51471</v>
      </c>
    </row>
    <row r="711">
      <c r="A711" s="4" t="s">
        <v>1971</v>
      </c>
      <c r="B711" s="4" t="str">
        <f>IFERROR(__xludf.DUMMYFUNCTION("SPLIT(A711:A1437, ""&gt;"")"),"US ")</f>
        <v>US </v>
      </c>
      <c r="C711" s="4" t="str">
        <f>IFERROR(__xludf.DUMMYFUNCTION("""COMPUTED_VALUE""")," Demographic ")</f>
        <v> Demographic </v>
      </c>
      <c r="D711" s="4" t="str">
        <f>IFERROR(__xludf.DUMMYFUNCTION("""COMPUTED_VALUE""")," Family ")</f>
        <v> Family </v>
      </c>
      <c r="E711" s="4" t="str">
        <f>IFERROR(__xludf.DUMMYFUNCTION("""COMPUTED_VALUE""")," Households with 2 Adults")</f>
        <v> Households with 2 Adults</v>
      </c>
      <c r="F711" s="4"/>
      <c r="G711" s="4"/>
      <c r="H711" s="4"/>
      <c r="I711" s="5" t="s">
        <v>22</v>
      </c>
      <c r="J711" s="5" t="s">
        <v>42</v>
      </c>
      <c r="K711" s="5" t="s">
        <v>398</v>
      </c>
      <c r="L711" s="6" t="s">
        <v>992</v>
      </c>
      <c r="M711" s="5" t="s">
        <v>46</v>
      </c>
      <c r="N711" s="5" t="s">
        <v>27</v>
      </c>
      <c r="O711" s="5">
        <v>507889.0</v>
      </c>
      <c r="P711" s="5">
        <v>823.0</v>
      </c>
      <c r="Q711" s="5">
        <v>176329.0</v>
      </c>
      <c r="R711" s="5">
        <v>450103.0</v>
      </c>
      <c r="S711" s="5">
        <v>78.0</v>
      </c>
      <c r="T711" s="5">
        <v>1440.745362</v>
      </c>
    </row>
    <row r="712">
      <c r="A712" s="4" t="s">
        <v>1972</v>
      </c>
      <c r="B712" s="4" t="str">
        <f>IFERROR(__xludf.DUMMYFUNCTION("SPLIT(A712:A1438, ""&gt;"")"),"US ")</f>
        <v>US </v>
      </c>
      <c r="C712" s="4" t="str">
        <f>IFERROR(__xludf.DUMMYFUNCTION("""COMPUTED_VALUE""")," Interest Propensities ")</f>
        <v> Interest Propensities </v>
      </c>
      <c r="D712" s="4" t="str">
        <f>IFERROR(__xludf.DUMMYFUNCTION("""COMPUTED_VALUE""")," Brands ")</f>
        <v> Brands </v>
      </c>
      <c r="E712" s="4" t="str">
        <f>IFERROR(__xludf.DUMMYFUNCTION("""COMPUTED_VALUE""")," Big Box Retail")</f>
        <v> Big Box Retail</v>
      </c>
      <c r="F712" s="4"/>
      <c r="G712" s="4"/>
      <c r="H712" s="4"/>
      <c r="I712" s="5" t="s">
        <v>22</v>
      </c>
      <c r="J712" s="5" t="s">
        <v>23</v>
      </c>
      <c r="K712" s="5" t="s">
        <v>84</v>
      </c>
      <c r="L712" s="6" t="s">
        <v>1020</v>
      </c>
      <c r="M712" s="5" t="s">
        <v>19</v>
      </c>
      <c r="N712" s="5" t="s">
        <v>27</v>
      </c>
      <c r="O712" s="5">
        <v>61474.0</v>
      </c>
      <c r="P712" s="5">
        <v>250.0</v>
      </c>
      <c r="Q712" s="5">
        <v>31245.0</v>
      </c>
      <c r="R712" s="5">
        <v>49089.0</v>
      </c>
      <c r="S712" s="5">
        <v>15.0</v>
      </c>
      <c r="T712" s="5">
        <v>2189.341349</v>
      </c>
    </row>
    <row r="713">
      <c r="A713" s="4" t="s">
        <v>1682</v>
      </c>
      <c r="B713" s="4" t="str">
        <f>IFERROR(__xludf.DUMMYFUNCTION("SPLIT(A713:A1439, ""&gt;"")"),"Travel and Tourism ")</f>
        <v>Travel and Tourism </v>
      </c>
      <c r="C713" s="4" t="str">
        <f>IFERROR(__xludf.DUMMYFUNCTION("""COMPUTED_VALUE""")," Interest (Affinity)")</f>
        <v> Interest (Affinity)</v>
      </c>
      <c r="D713" s="4"/>
      <c r="E713" s="4"/>
      <c r="F713" s="4"/>
      <c r="G713" s="4"/>
      <c r="H713" s="4"/>
      <c r="I713" s="5" t="s">
        <v>22</v>
      </c>
      <c r="J713" s="5" t="s">
        <v>16</v>
      </c>
      <c r="K713" s="5" t="s">
        <v>29</v>
      </c>
      <c r="L713" s="6" t="s">
        <v>1020</v>
      </c>
      <c r="M713" s="5" t="s">
        <v>19</v>
      </c>
      <c r="N713" s="5" t="s">
        <v>27</v>
      </c>
      <c r="O713" s="5">
        <v>14890.0</v>
      </c>
      <c r="P713" s="5">
        <v>60.0</v>
      </c>
      <c r="Q713" s="5">
        <v>6248.0</v>
      </c>
      <c r="R713" s="5">
        <v>11493.0</v>
      </c>
      <c r="S713" s="5">
        <v>6.0</v>
      </c>
      <c r="T713" s="5">
        <v>1982.416484</v>
      </c>
    </row>
    <row r="714">
      <c r="A714" s="4" t="s">
        <v>1973</v>
      </c>
      <c r="B714" s="4" t="str">
        <f>IFERROR(__xludf.DUMMYFUNCTION("SPLIT(A714:A1440, ""&gt;"")"),"US ")</f>
        <v>US </v>
      </c>
      <c r="C714" s="4" t="str">
        <f>IFERROR(__xludf.DUMMYFUNCTION("""COMPUTED_VALUE""")," Brand Propensities ")</f>
        <v> Brand Propensities </v>
      </c>
      <c r="D714" s="4" t="str">
        <f>IFERROR(__xludf.DUMMYFUNCTION("""COMPUTED_VALUE""")," Media and Entertainment ")</f>
        <v> Media and Entertainment </v>
      </c>
      <c r="E714" s="4" t="str">
        <f>IFERROR(__xludf.DUMMYFUNCTION("""COMPUTED_VALUE""")," pokerstars.net Buyer Propensity")</f>
        <v> pokerstars.net Buyer Propensity</v>
      </c>
      <c r="F714" s="4"/>
      <c r="G714" s="4"/>
      <c r="H714" s="4"/>
      <c r="I714" s="5" t="s">
        <v>15</v>
      </c>
      <c r="J714" s="5" t="s">
        <v>42</v>
      </c>
      <c r="K714" s="5" t="s">
        <v>35</v>
      </c>
      <c r="L714" s="6" t="s">
        <v>1020</v>
      </c>
      <c r="M714" s="5" t="s">
        <v>117</v>
      </c>
      <c r="N714" s="5" t="s">
        <v>27</v>
      </c>
      <c r="O714" s="5">
        <v>61227.0</v>
      </c>
      <c r="P714" s="5">
        <v>174.0</v>
      </c>
      <c r="Q714" s="5">
        <v>10434.0</v>
      </c>
      <c r="R714" s="5">
        <v>53104.0</v>
      </c>
      <c r="S714" s="5">
        <v>8.0</v>
      </c>
      <c r="T714" s="5">
        <v>1919.553678</v>
      </c>
    </row>
    <row r="715">
      <c r="A715" s="4" t="s">
        <v>1684</v>
      </c>
      <c r="B715" s="4" t="str">
        <f>IFERROR(__xludf.DUMMYFUNCTION("SPLIT(A715:A1441, ""&gt;"")"),"Online Behavior")</f>
        <v>Online Behavior</v>
      </c>
      <c r="C715" s="4" t="str">
        <f>IFERROR(__xludf.DUMMYFUNCTION("""COMPUTED_VALUE"""),"United States")</f>
        <v>United States</v>
      </c>
      <c r="D715" s="4" t="str">
        <f>IFERROR(__xludf.DUMMYFUNCTION("""COMPUTED_VALUE"""),"Intent ")</f>
        <v>Intent </v>
      </c>
      <c r="E715" s="4" t="str">
        <f>IFERROR(__xludf.DUMMYFUNCTION("""COMPUTED_VALUE""")," Shopping")</f>
        <v> Shopping</v>
      </c>
      <c r="F715" s="4" t="str">
        <f>IFERROR(__xludf.DUMMYFUNCTION("""COMPUTED_VALUE"""),"Pet Food ")</f>
        <v>Pet Food </v>
      </c>
      <c r="G715" s="4" t="str">
        <f>IFERROR(__xludf.DUMMYFUNCTION("""COMPUTED_VALUE""")," Dog")</f>
        <v> Dog</v>
      </c>
      <c r="H715" s="4"/>
      <c r="I715" s="5" t="s">
        <v>22</v>
      </c>
      <c r="J715" s="5" t="s">
        <v>16</v>
      </c>
      <c r="K715" s="5" t="s">
        <v>35</v>
      </c>
      <c r="L715" s="6" t="s">
        <v>1024</v>
      </c>
      <c r="M715" s="5" t="s">
        <v>19</v>
      </c>
      <c r="N715" s="5" t="s">
        <v>27</v>
      </c>
      <c r="O715" s="5">
        <v>18516.0</v>
      </c>
      <c r="P715" s="5">
        <v>68.0</v>
      </c>
      <c r="Q715" s="5">
        <v>8191.0</v>
      </c>
      <c r="R715" s="5">
        <v>13641.0</v>
      </c>
      <c r="S715" s="5">
        <v>13.0</v>
      </c>
      <c r="T715" s="5">
        <v>5087.561715</v>
      </c>
    </row>
    <row r="716">
      <c r="A716" s="4" t="s">
        <v>1685</v>
      </c>
      <c r="B716" s="4" t="str">
        <f>IFERROR(__xludf.DUMMYFUNCTION("SPLIT(A716:A1442, ""&gt;"")"),"Online Behavior")</f>
        <v>Online Behavior</v>
      </c>
      <c r="C716" s="4" t="str">
        <f>IFERROR(__xludf.DUMMYFUNCTION("""COMPUTED_VALUE"""),"United States")</f>
        <v>United States</v>
      </c>
      <c r="D716" s="4" t="str">
        <f>IFERROR(__xludf.DUMMYFUNCTION("""COMPUTED_VALUE"""),"B2B ")</f>
        <v>B2B </v>
      </c>
      <c r="E716" s="4" t="str">
        <f>IFERROR(__xludf.DUMMYFUNCTION("""COMPUTED_VALUE""")," Occupation")</f>
        <v> Occupation</v>
      </c>
      <c r="F716" s="4" t="str">
        <f>IFERROR(__xludf.DUMMYFUNCTION("""COMPUTED_VALUE"""),"Architect")</f>
        <v>Architect</v>
      </c>
      <c r="G716" s="4"/>
      <c r="H716" s="4"/>
      <c r="I716" s="5" t="s">
        <v>15</v>
      </c>
      <c r="J716" s="5" t="s">
        <v>16</v>
      </c>
      <c r="K716" s="5" t="s">
        <v>55</v>
      </c>
      <c r="L716" s="6" t="s">
        <v>1024</v>
      </c>
      <c r="M716" s="5" t="s">
        <v>19</v>
      </c>
      <c r="N716" s="5" t="s">
        <v>27</v>
      </c>
      <c r="O716" s="5">
        <v>11420.0</v>
      </c>
      <c r="P716" s="5">
        <v>67.0</v>
      </c>
      <c r="Q716" s="5">
        <v>4647.0</v>
      </c>
      <c r="R716" s="5">
        <v>9909.0</v>
      </c>
      <c r="S716" s="5">
        <v>9.0</v>
      </c>
      <c r="T716" s="5">
        <v>3804.64417</v>
      </c>
    </row>
    <row r="717">
      <c r="A717" s="4" t="s">
        <v>1686</v>
      </c>
      <c r="B717" s="4" t="str">
        <f>IFERROR(__xludf.DUMMYFUNCTION("SPLIT(A717:A1443, ""&gt;"")"),"Online Behavior")</f>
        <v>Online Behavior</v>
      </c>
      <c r="C717" s="4" t="str">
        <f>IFERROR(__xludf.DUMMYFUNCTION("""COMPUTED_VALUE"""),"United States")</f>
        <v>United States</v>
      </c>
      <c r="D717" s="4" t="str">
        <f>IFERROR(__xludf.DUMMYFUNCTION("""COMPUTED_VALUE"""),"Validated Demographic ")</f>
        <v>Validated Demographic </v>
      </c>
      <c r="E717" s="4" t="str">
        <f>IFERROR(__xludf.DUMMYFUNCTION("""COMPUTED_VALUE""")," Gender")</f>
        <v> Gender</v>
      </c>
      <c r="F717" s="4" t="str">
        <f>IFERROR(__xludf.DUMMYFUNCTION("""COMPUTED_VALUE"""),"Female")</f>
        <v>Female</v>
      </c>
      <c r="G717" s="4"/>
      <c r="H717" s="4"/>
      <c r="I717" s="5" t="s">
        <v>61</v>
      </c>
      <c r="J717" s="5" t="s">
        <v>16</v>
      </c>
      <c r="K717" s="5" t="s">
        <v>55</v>
      </c>
      <c r="L717" s="6" t="s">
        <v>1027</v>
      </c>
      <c r="M717" s="5" t="s">
        <v>19</v>
      </c>
      <c r="N717" s="5" t="s">
        <v>27</v>
      </c>
      <c r="O717" s="5">
        <v>10906.0</v>
      </c>
      <c r="P717" s="5">
        <v>46.0</v>
      </c>
      <c r="Q717" s="5">
        <v>4735.0</v>
      </c>
      <c r="R717" s="5">
        <v>6390.0</v>
      </c>
      <c r="S717" s="5">
        <v>3.0</v>
      </c>
      <c r="T717" s="5">
        <v>5694.27094</v>
      </c>
    </row>
    <row r="718">
      <c r="A718" s="4" t="s">
        <v>1687</v>
      </c>
      <c r="B718" s="4" t="str">
        <f>IFERROR(__xludf.DUMMYFUNCTION("SPLIT(A718:A1444, ""&gt;"")"),"Online Behavior")</f>
        <v>Online Behavior</v>
      </c>
      <c r="C718" s="4" t="str">
        <f>IFERROR(__xludf.DUMMYFUNCTION("""COMPUTED_VALUE"""),"United States")</f>
        <v>United States</v>
      </c>
      <c r="D718" s="4" t="str">
        <f>IFERROR(__xludf.DUMMYFUNCTION("""COMPUTED_VALUE"""),"Beauty and Fitness")</f>
        <v>Beauty and Fitness</v>
      </c>
      <c r="E718" s="4" t="str">
        <f>IFERROR(__xludf.DUMMYFUNCTION("""COMPUTED_VALUE"""),"Face and Body Care ")</f>
        <v>Face and Body Care </v>
      </c>
      <c r="F718" s="4" t="str">
        <f>IFERROR(__xludf.DUMMYFUNCTION("""COMPUTED_VALUE""")," Make-Up and Cosmetics")</f>
        <v> Make-Up and Cosmetics</v>
      </c>
      <c r="G718" s="4"/>
      <c r="H718" s="4"/>
      <c r="I718" s="5" t="s">
        <v>15</v>
      </c>
      <c r="J718" s="5" t="s">
        <v>42</v>
      </c>
      <c r="K718" s="5" t="s">
        <v>29</v>
      </c>
      <c r="L718" s="6" t="s">
        <v>1029</v>
      </c>
      <c r="M718" s="5" t="s">
        <v>46</v>
      </c>
      <c r="N718" s="5" t="s">
        <v>20</v>
      </c>
      <c r="O718" s="5">
        <v>7585.0</v>
      </c>
      <c r="P718" s="5">
        <v>13.0</v>
      </c>
      <c r="Q718" s="5">
        <v>5396.0</v>
      </c>
      <c r="R718" s="5">
        <v>7417.0</v>
      </c>
      <c r="S718" s="5">
        <v>24.0</v>
      </c>
      <c r="T718" s="5">
        <v>7082.653802</v>
      </c>
    </row>
    <row r="719">
      <c r="A719" s="4" t="s">
        <v>1974</v>
      </c>
      <c r="B719" s="4" t="str">
        <f>IFERROR(__xludf.DUMMYFUNCTION("SPLIT(A719:A1445, ""&gt;"")"),"US ")</f>
        <v>US </v>
      </c>
      <c r="C719" s="4" t="str">
        <f>IFERROR(__xludf.DUMMYFUNCTION("""COMPUTED_VALUE""")," Multibuyer Behaviors ")</f>
        <v> Multibuyer Behaviors </v>
      </c>
      <c r="D719" s="4" t="str">
        <f>IFERROR(__xludf.DUMMYFUNCTION("""COMPUTED_VALUE""")," Club ")</f>
        <v> Club </v>
      </c>
      <c r="E719" s="4" t="str">
        <f>IFERROR(__xludf.DUMMYFUNCTION("""COMPUTED_VALUE""")," Continuity Buyers")</f>
        <v> Continuity Buyers</v>
      </c>
      <c r="F719" s="4"/>
      <c r="G719" s="4"/>
      <c r="H719" s="4"/>
      <c r="I719" s="5" t="s">
        <v>22</v>
      </c>
      <c r="J719" s="5" t="s">
        <v>16</v>
      </c>
      <c r="K719" s="5" t="s">
        <v>55</v>
      </c>
      <c r="L719" s="6" t="s">
        <v>1029</v>
      </c>
      <c r="M719" s="5" t="s">
        <v>117</v>
      </c>
      <c r="N719" s="5" t="s">
        <v>27</v>
      </c>
      <c r="O719" s="5">
        <v>12692.0</v>
      </c>
      <c r="P719" s="5">
        <v>105.0</v>
      </c>
      <c r="Q719" s="5">
        <v>9048.0</v>
      </c>
      <c r="R719" s="5">
        <v>12326.0</v>
      </c>
      <c r="S719" s="5">
        <v>14.0</v>
      </c>
      <c r="T719" s="5">
        <v>1541.719598</v>
      </c>
    </row>
    <row r="720">
      <c r="A720" s="4" t="s">
        <v>1689</v>
      </c>
      <c r="B720" s="4" t="str">
        <f>IFERROR(__xludf.DUMMYFUNCTION("SPLIT(A720:A1446, ""&gt;"")"),"Online Behavior")</f>
        <v>Online Behavior</v>
      </c>
      <c r="C720" s="4" t="str">
        <f>IFERROR(__xludf.DUMMYFUNCTION("""COMPUTED_VALUE"""),"United States")</f>
        <v>United States</v>
      </c>
      <c r="D720" s="4" t="str">
        <f>IFERROR(__xludf.DUMMYFUNCTION("""COMPUTED_VALUE"""),"Travel")</f>
        <v>Travel</v>
      </c>
      <c r="E720" s="4" t="str">
        <f>IFERROR(__xludf.DUMMYFUNCTION("""COMPUTED_VALUE"""),"Tourist Destinations ")</f>
        <v>Tourist Destinations </v>
      </c>
      <c r="F720" s="4" t="str">
        <f>IFERROR(__xludf.DUMMYFUNCTION("""COMPUTED_VALUE""")," Theme Parks")</f>
        <v> Theme Parks</v>
      </c>
      <c r="G720" s="4"/>
      <c r="H720" s="4"/>
      <c r="I720" s="5" t="s">
        <v>22</v>
      </c>
      <c r="J720" s="5" t="s">
        <v>31</v>
      </c>
      <c r="K720" s="5" t="s">
        <v>17</v>
      </c>
      <c r="L720" s="6" t="s">
        <v>1032</v>
      </c>
      <c r="M720" s="5" t="s">
        <v>19</v>
      </c>
      <c r="N720" s="5" t="s">
        <v>27</v>
      </c>
      <c r="O720" s="5">
        <v>318269.0</v>
      </c>
      <c r="P720" s="5">
        <v>914.0</v>
      </c>
      <c r="Q720" s="5">
        <v>33355.0</v>
      </c>
      <c r="R720" s="5">
        <v>295405.0</v>
      </c>
      <c r="S720" s="5">
        <v>44.0</v>
      </c>
      <c r="T720" s="5">
        <v>7854.731991</v>
      </c>
    </row>
    <row r="721">
      <c r="A721" s="4" t="s">
        <v>1690</v>
      </c>
      <c r="B721" s="4" t="str">
        <f>IFERROR(__xludf.DUMMYFUNCTION("SPLIT(A721:A1447, ""&gt;"")"),"Online Behavior")</f>
        <v>Online Behavior</v>
      </c>
      <c r="C721" s="4" t="str">
        <f>IFERROR(__xludf.DUMMYFUNCTION("""COMPUTED_VALUE"""),"United States")</f>
        <v>United States</v>
      </c>
      <c r="D721" s="4" t="str">
        <f>IFERROR(__xludf.DUMMYFUNCTION("""COMPUTED_VALUE"""),"Food and Drink")</f>
        <v>Food and Drink</v>
      </c>
      <c r="E721" s="4" t="str">
        <f>IFERROR(__xludf.DUMMYFUNCTION("""COMPUTED_VALUE"""),"Beverages ")</f>
        <v>Beverages </v>
      </c>
      <c r="F721" s="4" t="str">
        <f>IFERROR(__xludf.DUMMYFUNCTION("""COMPUTED_VALUE""")," Beer")</f>
        <v> Beer</v>
      </c>
      <c r="G721" s="4"/>
      <c r="H721" s="4"/>
      <c r="I721" s="5" t="s">
        <v>15</v>
      </c>
      <c r="J721" s="5" t="s">
        <v>42</v>
      </c>
      <c r="K721" s="5" t="s">
        <v>35</v>
      </c>
      <c r="L721" s="6" t="s">
        <v>1032</v>
      </c>
      <c r="M721" s="5" t="s">
        <v>117</v>
      </c>
      <c r="N721" s="5" t="s">
        <v>20</v>
      </c>
      <c r="O721" s="5">
        <v>26212.0</v>
      </c>
      <c r="P721" s="5">
        <v>77.0</v>
      </c>
      <c r="Q721" s="5">
        <v>12726.0</v>
      </c>
      <c r="R721" s="5">
        <v>24442.0</v>
      </c>
      <c r="S721" s="5">
        <v>15.0</v>
      </c>
      <c r="T721" s="5">
        <v>6452.93501</v>
      </c>
    </row>
    <row r="722">
      <c r="A722" s="4" t="s">
        <v>1691</v>
      </c>
      <c r="B722" s="4" t="str">
        <f>IFERROR(__xludf.DUMMYFUNCTION("SPLIT(A722:A1448, ""&gt;"")"),"Online Behavior")</f>
        <v>Online Behavior</v>
      </c>
      <c r="C722" s="4" t="str">
        <f>IFERROR(__xludf.DUMMYFUNCTION("""COMPUTED_VALUE"""),"United States")</f>
        <v>United States</v>
      </c>
      <c r="D722" s="4" t="str">
        <f>IFERROR(__xludf.DUMMYFUNCTION("""COMPUTED_VALUE"""),"Arts and Entertainment")</f>
        <v>Arts and Entertainment</v>
      </c>
      <c r="E722" s="4" t="str">
        <f>IFERROR(__xludf.DUMMYFUNCTION("""COMPUTED_VALUE"""),"Events and Listings ")</f>
        <v>Events and Listings </v>
      </c>
      <c r="F722" s="4" t="str">
        <f>IFERROR(__xludf.DUMMYFUNCTION("""COMPUTED_VALUE""")," Expos and Conventions")</f>
        <v> Expos and Conventions</v>
      </c>
      <c r="G722" s="4"/>
      <c r="H722" s="4"/>
      <c r="I722" s="5" t="s">
        <v>15</v>
      </c>
      <c r="J722" s="5" t="s">
        <v>16</v>
      </c>
      <c r="K722" s="5" t="s">
        <v>17</v>
      </c>
      <c r="L722" s="6" t="s">
        <v>1032</v>
      </c>
      <c r="M722" s="5" t="s">
        <v>19</v>
      </c>
      <c r="N722" s="5" t="s">
        <v>20</v>
      </c>
      <c r="O722" s="5">
        <v>20833.0</v>
      </c>
      <c r="P722" s="5">
        <v>87.0</v>
      </c>
      <c r="Q722" s="5">
        <v>1777.0</v>
      </c>
      <c r="R722" s="5">
        <v>17211.0</v>
      </c>
      <c r="S722" s="5">
        <v>9.0</v>
      </c>
      <c r="T722" s="5">
        <v>5542.512181</v>
      </c>
    </row>
    <row r="723">
      <c r="A723" s="4" t="s">
        <v>1975</v>
      </c>
      <c r="B723" s="4" t="str">
        <f>IFERROR(__xludf.DUMMYFUNCTION("SPLIT(A723:A1449, ""&gt;"")"),"US ")</f>
        <v>US </v>
      </c>
      <c r="C723" s="4" t="str">
        <f>IFERROR(__xludf.DUMMYFUNCTION("""COMPUTED_VALUE""")," Reach ")</f>
        <v> Reach </v>
      </c>
      <c r="D723" s="4" t="str">
        <f>IFERROR(__xludf.DUMMYFUNCTION("""COMPUTED_VALUE""")," Sociodemographic ")</f>
        <v> Sociodemographic </v>
      </c>
      <c r="E723" s="4" t="str">
        <f>IFERROR(__xludf.DUMMYFUNCTION("""COMPUTED_VALUE""")," Household Income ")</f>
        <v> Household Income </v>
      </c>
      <c r="F723" s="4" t="str">
        <f>IFERROR(__xludf.DUMMYFUNCTION("""COMPUTED_VALUE""")," $50,000-$74,999")</f>
        <v> $50,000-$74,999</v>
      </c>
      <c r="G723" s="4"/>
      <c r="H723" s="4"/>
      <c r="I723" s="5" t="s">
        <v>22</v>
      </c>
      <c r="J723" s="5" t="s">
        <v>31</v>
      </c>
      <c r="K723" s="5" t="s">
        <v>150</v>
      </c>
      <c r="L723" s="6" t="s">
        <v>1032</v>
      </c>
      <c r="M723" s="5" t="s">
        <v>26</v>
      </c>
      <c r="N723" s="5" t="s">
        <v>27</v>
      </c>
      <c r="O723" s="5">
        <v>14181.0</v>
      </c>
      <c r="P723" s="5">
        <v>65.0</v>
      </c>
      <c r="Q723" s="5">
        <v>7106.0</v>
      </c>
      <c r="R723" s="5">
        <v>13189.0</v>
      </c>
      <c r="S723" s="5">
        <v>17.0</v>
      </c>
      <c r="T723" s="5">
        <v>2912.467156</v>
      </c>
    </row>
    <row r="724">
      <c r="A724" s="4" t="s">
        <v>1976</v>
      </c>
      <c r="B724" s="4" t="str">
        <f>IFERROR(__xludf.DUMMYFUNCTION("SPLIT(A724:A1450, ""&gt;"")"),"US ")</f>
        <v>US </v>
      </c>
      <c r="C724" s="4" t="str">
        <f>IFERROR(__xludf.DUMMYFUNCTION("""COMPUTED_VALUE""")," Brand Propensities ")</f>
        <v> Brand Propensities </v>
      </c>
      <c r="D724" s="4" t="str">
        <f>IFERROR(__xludf.DUMMYFUNCTION("""COMPUTED_VALUE""")," Automotive ")</f>
        <v> Automotive </v>
      </c>
      <c r="E724" s="4" t="str">
        <f>IFERROR(__xludf.DUMMYFUNCTION("""COMPUTED_VALUE""")," Ford Credit Buyer Propensity")</f>
        <v> Ford Credit Buyer Propensity</v>
      </c>
      <c r="F724" s="4"/>
      <c r="G724" s="4"/>
      <c r="H724" s="4"/>
      <c r="I724" s="5" t="s">
        <v>22</v>
      </c>
      <c r="J724" s="5" t="s">
        <v>16</v>
      </c>
      <c r="K724" s="5" t="s">
        <v>84</v>
      </c>
      <c r="L724" s="6" t="s">
        <v>1032</v>
      </c>
      <c r="M724" s="5" t="s">
        <v>19</v>
      </c>
      <c r="N724" s="5" t="s">
        <v>27</v>
      </c>
      <c r="O724" s="5">
        <v>304377.0</v>
      </c>
      <c r="P724" s="5">
        <v>801.0</v>
      </c>
      <c r="Q724" s="5">
        <v>27519.0</v>
      </c>
      <c r="R724" s="5">
        <v>270098.0</v>
      </c>
      <c r="S724" s="5">
        <v>63.0</v>
      </c>
      <c r="T724" s="5">
        <v>1595.48714</v>
      </c>
    </row>
    <row r="725">
      <c r="A725" s="4" t="s">
        <v>1977</v>
      </c>
      <c r="B725" s="4" t="str">
        <f>IFERROR(__xludf.DUMMYFUNCTION("SPLIT(A725:A1451, ""&gt;"")"),"US Technology ")</f>
        <v>US Technology </v>
      </c>
      <c r="C725" s="4" t="str">
        <f>IFERROR(__xludf.DUMMYFUNCTION("""COMPUTED_VALUE""")," Social Media ")</f>
        <v> Social Media </v>
      </c>
      <c r="D725" s="4" t="str">
        <f>IFERROR(__xludf.DUMMYFUNCTION("""COMPUTED_VALUE""")," Likely Behavior ")</f>
        <v> Likely Behavior </v>
      </c>
      <c r="E725" s="4" t="str">
        <f>IFERROR(__xludf.DUMMYFUNCTION("""COMPUTED_VALUE""")," Heavy Facebook User")</f>
        <v> Heavy Facebook User</v>
      </c>
      <c r="F725" s="4"/>
      <c r="G725" s="4"/>
      <c r="H725" s="4"/>
      <c r="I725" s="5" t="s">
        <v>15</v>
      </c>
      <c r="J725" s="5" t="s">
        <v>42</v>
      </c>
      <c r="K725" s="5" t="s">
        <v>78</v>
      </c>
      <c r="L725" s="6" t="s">
        <v>1032</v>
      </c>
      <c r="M725" s="5" t="s">
        <v>19</v>
      </c>
      <c r="N725" s="5" t="s">
        <v>27</v>
      </c>
      <c r="O725" s="5">
        <v>312206.0</v>
      </c>
      <c r="P725" s="5">
        <v>841.0</v>
      </c>
      <c r="Q725" s="5">
        <v>35661.0</v>
      </c>
      <c r="R725" s="5">
        <v>292992.0</v>
      </c>
      <c r="S725" s="5">
        <v>5.0</v>
      </c>
      <c r="T725" s="5">
        <v>1550.938318</v>
      </c>
    </row>
    <row r="726">
      <c r="A726" s="4" t="s">
        <v>1978</v>
      </c>
      <c r="B726" s="4" t="str">
        <f>IFERROR(__xludf.DUMMYFUNCTION("SPLIT(A726:A1452, ""&gt;"")"),"US ")</f>
        <v>US </v>
      </c>
      <c r="C726" s="4" t="str">
        <f>IFERROR(__xludf.DUMMYFUNCTION("""COMPUTED_VALUE""")," B2B ")</f>
        <v> B2B </v>
      </c>
      <c r="D726" s="4" t="str">
        <f>IFERROR(__xludf.DUMMYFUNCTION("""COMPUTED_VALUE""")," B2B Decision Maker Responsibilities ")</f>
        <v> B2B Decision Maker Responsibilities </v>
      </c>
      <c r="E726" s="4" t="str">
        <f>IFERROR(__xludf.DUMMYFUNCTION("""COMPUTED_VALUE""")," Real Estate Services")</f>
        <v> Real Estate Services</v>
      </c>
      <c r="F726" s="4"/>
      <c r="G726" s="4"/>
      <c r="H726" s="4"/>
      <c r="I726" s="5" t="s">
        <v>15</v>
      </c>
      <c r="J726" s="5" t="s">
        <v>42</v>
      </c>
      <c r="K726" s="5" t="s">
        <v>84</v>
      </c>
      <c r="L726" s="6" t="s">
        <v>1032</v>
      </c>
      <c r="M726" s="5" t="s">
        <v>46</v>
      </c>
      <c r="N726" s="5" t="s">
        <v>27</v>
      </c>
      <c r="O726" s="5">
        <v>9790.0</v>
      </c>
      <c r="P726" s="5">
        <v>24.0</v>
      </c>
      <c r="Q726" s="5">
        <v>1295.0</v>
      </c>
      <c r="R726" s="5">
        <v>9196.0</v>
      </c>
      <c r="S726" s="5">
        <v>2.0</v>
      </c>
      <c r="T726" s="5">
        <v>1532.148881</v>
      </c>
    </row>
    <row r="727">
      <c r="A727" s="4" t="s">
        <v>1696</v>
      </c>
      <c r="B727" s="4" t="str">
        <f>IFERROR(__xludf.DUMMYFUNCTION("SPLIT(A727:A1453, ""&gt;"")"),"Transactional ")</f>
        <v>Transactional </v>
      </c>
      <c r="C727" s="4" t="str">
        <f>IFERROR(__xludf.DUMMYFUNCTION("""COMPUTED_VALUE""")," Q3 Fashion Shoppers")</f>
        <v> Q3 Fashion Shoppers</v>
      </c>
      <c r="D727" s="4"/>
      <c r="E727" s="4"/>
      <c r="F727" s="4"/>
      <c r="G727" s="4"/>
      <c r="H727" s="4"/>
      <c r="I727" s="5" t="s">
        <v>61</v>
      </c>
      <c r="J727" s="5" t="s">
        <v>23</v>
      </c>
      <c r="K727" s="5" t="s">
        <v>131</v>
      </c>
      <c r="L727" s="6" t="s">
        <v>1032</v>
      </c>
      <c r="M727" s="5" t="s">
        <v>80</v>
      </c>
      <c r="N727" s="5" t="s">
        <v>27</v>
      </c>
      <c r="O727" s="5">
        <v>130602.0</v>
      </c>
      <c r="P727" s="5">
        <v>269.0</v>
      </c>
      <c r="Q727" s="5">
        <v>11736.0</v>
      </c>
      <c r="R727" s="5">
        <v>113735.0</v>
      </c>
      <c r="S727" s="5">
        <v>4.0</v>
      </c>
      <c r="T727" s="5">
        <v>1507.84712</v>
      </c>
    </row>
    <row r="728">
      <c r="A728" s="4" t="s">
        <v>1697</v>
      </c>
      <c r="B728" s="4" t="str">
        <f>IFERROR(__xludf.DUMMYFUNCTION("SPLIT(A728:A1454, ""&gt;"")"),"Lotame ")</f>
        <v>Lotame </v>
      </c>
      <c r="C728" s="4" t="str">
        <f>IFERROR(__xludf.DUMMYFUNCTION("""COMPUTED_VALUE""")," Style, Fashion &amp; Clothing ")</f>
        <v> Style, Fashion &amp; Clothing </v>
      </c>
      <c r="D728" s="4" t="str">
        <f>IFERROR(__xludf.DUMMYFUNCTION("""COMPUTED_VALUE""")," Men's Clothing Shoppers")</f>
        <v> Men's Clothing Shoppers</v>
      </c>
      <c r="E728" s="4"/>
      <c r="F728" s="4"/>
      <c r="G728" s="4"/>
      <c r="H728" s="4"/>
      <c r="I728" s="5" t="s">
        <v>22</v>
      </c>
      <c r="J728" s="5" t="s">
        <v>23</v>
      </c>
      <c r="K728" s="5" t="s">
        <v>35</v>
      </c>
      <c r="L728" s="6" t="s">
        <v>1041</v>
      </c>
      <c r="M728" s="5" t="s">
        <v>26</v>
      </c>
      <c r="N728" s="5" t="s">
        <v>27</v>
      </c>
      <c r="O728" s="5">
        <v>10903.0</v>
      </c>
      <c r="P728" s="5">
        <v>35.0</v>
      </c>
      <c r="Q728" s="5">
        <v>3776.0</v>
      </c>
      <c r="R728" s="5">
        <v>9581.0</v>
      </c>
      <c r="S728" s="5">
        <v>2.0</v>
      </c>
      <c r="T728" s="5">
        <v>1460.009754</v>
      </c>
    </row>
    <row r="729">
      <c r="A729" s="8"/>
      <c r="B729" s="8"/>
      <c r="C729" s="8"/>
      <c r="D729" s="8"/>
      <c r="E729" s="8"/>
      <c r="F729" s="8"/>
      <c r="G729" s="8"/>
      <c r="H729" s="8"/>
    </row>
    <row r="730">
      <c r="A730" s="8"/>
      <c r="B730" s="8"/>
      <c r="C730" s="8"/>
      <c r="D730" s="8"/>
      <c r="E730" s="8"/>
      <c r="F730" s="8"/>
      <c r="G730" s="8"/>
      <c r="H730" s="8"/>
    </row>
    <row r="731">
      <c r="A731" s="8"/>
      <c r="B731" s="8"/>
      <c r="C731" s="8"/>
      <c r="D731" s="8"/>
      <c r="E731" s="8"/>
      <c r="F731" s="8"/>
      <c r="G731" s="8"/>
      <c r="H731" s="8"/>
    </row>
    <row r="732">
      <c r="A732" s="8"/>
      <c r="B732" s="8"/>
      <c r="C732" s="8"/>
      <c r="D732" s="8"/>
      <c r="E732" s="8"/>
      <c r="F732" s="8"/>
      <c r="G732" s="8"/>
      <c r="H732" s="8"/>
    </row>
    <row r="733">
      <c r="A733" s="8"/>
      <c r="B733" s="8"/>
      <c r="C733" s="8"/>
      <c r="D733" s="8"/>
      <c r="E733" s="8"/>
      <c r="F733" s="8"/>
      <c r="G733" s="8"/>
      <c r="H733" s="8"/>
    </row>
    <row r="734">
      <c r="A734" s="8"/>
      <c r="B734" s="8"/>
      <c r="C734" s="8"/>
      <c r="D734" s="8"/>
      <c r="E734" s="8"/>
      <c r="F734" s="8"/>
      <c r="G734" s="8"/>
      <c r="H734" s="8"/>
    </row>
    <row r="735">
      <c r="A735" s="8"/>
      <c r="B735" s="8"/>
      <c r="C735" s="8"/>
      <c r="D735" s="8"/>
      <c r="E735" s="8"/>
      <c r="F735" s="8"/>
      <c r="G735" s="8"/>
      <c r="H735" s="8"/>
    </row>
    <row r="736">
      <c r="A736" s="8"/>
      <c r="B736" s="8"/>
      <c r="C736" s="8"/>
      <c r="D736" s="8"/>
      <c r="E736" s="8"/>
      <c r="F736" s="8"/>
      <c r="G736" s="8"/>
      <c r="H736" s="8"/>
    </row>
    <row r="737">
      <c r="A737" s="8"/>
      <c r="B737" s="8"/>
      <c r="C737" s="8"/>
      <c r="D737" s="8"/>
      <c r="E737" s="8"/>
      <c r="F737" s="8"/>
      <c r="G737" s="8"/>
      <c r="H737" s="8"/>
    </row>
    <row r="738">
      <c r="A738" s="8"/>
      <c r="B738" s="8"/>
      <c r="C738" s="8"/>
      <c r="D738" s="8"/>
      <c r="E738" s="8"/>
      <c r="F738" s="8"/>
      <c r="G738" s="8"/>
      <c r="H738" s="8"/>
    </row>
    <row r="739">
      <c r="A739" s="8"/>
      <c r="B739" s="8"/>
      <c r="C739" s="8"/>
      <c r="D739" s="8"/>
      <c r="E739" s="8"/>
      <c r="F739" s="8"/>
      <c r="G739" s="8"/>
      <c r="H739" s="8"/>
    </row>
    <row r="740">
      <c r="A740" s="8"/>
      <c r="B740" s="8"/>
      <c r="C740" s="8"/>
      <c r="D740" s="8"/>
      <c r="E740" s="8"/>
      <c r="F740" s="8"/>
      <c r="G740" s="8"/>
      <c r="H740" s="8"/>
    </row>
    <row r="741">
      <c r="A741" s="8"/>
      <c r="B741" s="8"/>
      <c r="C741" s="8"/>
      <c r="D741" s="8"/>
      <c r="E741" s="8"/>
      <c r="F741" s="8"/>
      <c r="G741" s="8"/>
      <c r="H741" s="8"/>
    </row>
    <row r="742">
      <c r="A742" s="8"/>
      <c r="B742" s="8"/>
      <c r="C742" s="8"/>
      <c r="D742" s="8"/>
      <c r="E742" s="8"/>
      <c r="F742" s="8"/>
      <c r="G742" s="8"/>
      <c r="H742" s="8"/>
    </row>
    <row r="743">
      <c r="A743" s="8"/>
      <c r="B743" s="8"/>
      <c r="C743" s="8"/>
      <c r="D743" s="8"/>
      <c r="E743" s="8"/>
      <c r="F743" s="8"/>
      <c r="G743" s="8"/>
      <c r="H743" s="8"/>
    </row>
    <row r="744">
      <c r="A744" s="8"/>
      <c r="B744" s="8"/>
      <c r="C744" s="8"/>
      <c r="D744" s="8"/>
      <c r="E744" s="8"/>
      <c r="F744" s="8"/>
      <c r="G744" s="8"/>
      <c r="H744" s="8"/>
    </row>
    <row r="745">
      <c r="A745" s="8"/>
      <c r="B745" s="8"/>
      <c r="C745" s="8"/>
      <c r="D745" s="8"/>
      <c r="E745" s="8"/>
      <c r="F745" s="8"/>
      <c r="G745" s="8"/>
      <c r="H745" s="8"/>
    </row>
    <row r="746">
      <c r="A746" s="8"/>
      <c r="B746" s="8"/>
      <c r="C746" s="8"/>
      <c r="D746" s="8"/>
      <c r="E746" s="8"/>
      <c r="F746" s="8"/>
      <c r="G746" s="8"/>
      <c r="H746" s="8"/>
    </row>
    <row r="747">
      <c r="A747" s="8"/>
      <c r="B747" s="8"/>
      <c r="C747" s="8"/>
      <c r="D747" s="8"/>
      <c r="E747" s="8"/>
      <c r="F747" s="8"/>
      <c r="G747" s="8"/>
      <c r="H747" s="8"/>
    </row>
    <row r="748">
      <c r="A748" s="8"/>
      <c r="B748" s="8"/>
      <c r="C748" s="8"/>
      <c r="D748" s="8"/>
      <c r="E748" s="8"/>
      <c r="F748" s="8"/>
      <c r="G748" s="8"/>
      <c r="H748" s="8"/>
    </row>
    <row r="749">
      <c r="A749" s="8"/>
      <c r="B749" s="8"/>
      <c r="C749" s="8"/>
      <c r="D749" s="8"/>
      <c r="E749" s="8"/>
      <c r="F749" s="8"/>
      <c r="G749" s="8"/>
      <c r="H749" s="8"/>
    </row>
    <row r="750">
      <c r="A750" s="8"/>
      <c r="B750" s="8"/>
      <c r="C750" s="8"/>
      <c r="D750" s="8"/>
      <c r="E750" s="8"/>
      <c r="F750" s="8"/>
      <c r="G750" s="8"/>
      <c r="H750" s="8"/>
    </row>
    <row r="751">
      <c r="A751" s="8"/>
      <c r="B751" s="8"/>
      <c r="C751" s="8"/>
      <c r="D751" s="8"/>
      <c r="E751" s="8"/>
      <c r="F751" s="8"/>
      <c r="G751" s="8"/>
      <c r="H751" s="8"/>
    </row>
    <row r="752">
      <c r="A752" s="8"/>
      <c r="B752" s="8"/>
      <c r="C752" s="8"/>
      <c r="D752" s="8"/>
      <c r="E752" s="8"/>
      <c r="F752" s="8"/>
      <c r="G752" s="8"/>
      <c r="H752" s="8"/>
    </row>
    <row r="753">
      <c r="A753" s="8"/>
      <c r="B753" s="8"/>
      <c r="C753" s="8"/>
      <c r="D753" s="8"/>
      <c r="E753" s="8"/>
      <c r="F753" s="8"/>
      <c r="G753" s="8"/>
      <c r="H753" s="8"/>
    </row>
    <row r="754">
      <c r="A754" s="8"/>
      <c r="B754" s="8"/>
      <c r="C754" s="8"/>
      <c r="D754" s="8"/>
      <c r="E754" s="8"/>
      <c r="F754" s="8"/>
      <c r="G754" s="8"/>
      <c r="H754" s="8"/>
    </row>
    <row r="755">
      <c r="A755" s="8"/>
      <c r="B755" s="8"/>
      <c r="C755" s="8"/>
      <c r="D755" s="8"/>
      <c r="E755" s="8"/>
      <c r="F755" s="8"/>
      <c r="G755" s="8"/>
      <c r="H755" s="8"/>
    </row>
    <row r="756">
      <c r="A756" s="8"/>
      <c r="B756" s="8"/>
      <c r="C756" s="8"/>
      <c r="D756" s="8"/>
      <c r="E756" s="8"/>
      <c r="F756" s="8"/>
      <c r="G756" s="8"/>
      <c r="H756" s="8"/>
    </row>
    <row r="757">
      <c r="A757" s="8"/>
      <c r="B757" s="8"/>
      <c r="C757" s="8"/>
      <c r="D757" s="8"/>
      <c r="E757" s="8"/>
      <c r="F757" s="8"/>
      <c r="G757" s="8"/>
      <c r="H757" s="8"/>
    </row>
    <row r="758">
      <c r="A758" s="8"/>
      <c r="B758" s="8"/>
      <c r="C758" s="8"/>
      <c r="D758" s="8"/>
      <c r="E758" s="8"/>
      <c r="F758" s="8"/>
      <c r="G758" s="8"/>
      <c r="H758" s="8"/>
    </row>
    <row r="759">
      <c r="A759" s="8"/>
      <c r="B759" s="8"/>
      <c r="C759" s="8"/>
      <c r="D759" s="8"/>
      <c r="E759" s="8"/>
      <c r="F759" s="8"/>
      <c r="G759" s="8"/>
      <c r="H759" s="8"/>
    </row>
    <row r="760">
      <c r="A760" s="8"/>
      <c r="B760" s="8"/>
      <c r="C760" s="8"/>
      <c r="D760" s="8"/>
      <c r="E760" s="8"/>
      <c r="F760" s="8"/>
      <c r="G760" s="8"/>
      <c r="H760" s="8"/>
    </row>
    <row r="761">
      <c r="A761" s="8"/>
      <c r="B761" s="8"/>
      <c r="C761" s="8"/>
      <c r="D761" s="8"/>
      <c r="E761" s="8"/>
      <c r="F761" s="8"/>
      <c r="G761" s="8"/>
      <c r="H761" s="8"/>
    </row>
    <row r="762">
      <c r="A762" s="8"/>
      <c r="B762" s="8"/>
      <c r="C762" s="8"/>
      <c r="D762" s="8"/>
      <c r="E762" s="8"/>
      <c r="F762" s="8"/>
      <c r="G762" s="8"/>
      <c r="H762" s="8"/>
    </row>
    <row r="763">
      <c r="A763" s="8"/>
      <c r="B763" s="8"/>
      <c r="C763" s="8"/>
      <c r="D763" s="8"/>
      <c r="E763" s="8"/>
      <c r="F763" s="8"/>
      <c r="G763" s="8"/>
      <c r="H763" s="8"/>
    </row>
    <row r="764">
      <c r="A764" s="8"/>
      <c r="B764" s="8"/>
      <c r="C764" s="8"/>
      <c r="D764" s="8"/>
      <c r="E764" s="8"/>
      <c r="F764" s="8"/>
      <c r="G764" s="8"/>
      <c r="H764" s="8"/>
    </row>
    <row r="765">
      <c r="A765" s="8"/>
      <c r="B765" s="8"/>
      <c r="C765" s="8"/>
      <c r="D765" s="8"/>
      <c r="E765" s="8"/>
      <c r="F765" s="8"/>
      <c r="G765" s="8"/>
      <c r="H765" s="8"/>
    </row>
    <row r="766">
      <c r="A766" s="8"/>
      <c r="B766" s="8"/>
      <c r="C766" s="8"/>
      <c r="D766" s="8"/>
      <c r="E766" s="8"/>
      <c r="F766" s="8"/>
      <c r="G766" s="8"/>
      <c r="H766" s="8"/>
    </row>
    <row r="767">
      <c r="A767" s="8"/>
      <c r="B767" s="8"/>
      <c r="C767" s="8"/>
      <c r="D767" s="8"/>
      <c r="E767" s="8"/>
      <c r="F767" s="8"/>
      <c r="G767" s="8"/>
      <c r="H767" s="8"/>
    </row>
    <row r="768">
      <c r="A768" s="8"/>
      <c r="B768" s="8"/>
      <c r="C768" s="8"/>
      <c r="D768" s="8"/>
      <c r="E768" s="8"/>
      <c r="F768" s="8"/>
      <c r="G768" s="8"/>
      <c r="H768" s="8"/>
    </row>
    <row r="769">
      <c r="A769" s="8"/>
      <c r="B769" s="8"/>
      <c r="C769" s="8"/>
      <c r="D769" s="8"/>
      <c r="E769" s="8"/>
      <c r="F769" s="8"/>
      <c r="G769" s="8"/>
      <c r="H769" s="8"/>
    </row>
    <row r="770">
      <c r="A770" s="8"/>
      <c r="B770" s="8"/>
      <c r="C770" s="8"/>
      <c r="D770" s="8"/>
      <c r="E770" s="8"/>
      <c r="F770" s="8"/>
      <c r="G770" s="8"/>
      <c r="H770" s="8"/>
    </row>
    <row r="771">
      <c r="A771" s="8"/>
      <c r="B771" s="8"/>
      <c r="C771" s="8"/>
      <c r="D771" s="8"/>
      <c r="E771" s="8"/>
      <c r="F771" s="8"/>
      <c r="G771" s="8"/>
      <c r="H771" s="8"/>
    </row>
    <row r="772">
      <c r="A772" s="8"/>
      <c r="B772" s="8"/>
      <c r="C772" s="8"/>
      <c r="D772" s="8"/>
      <c r="E772" s="8"/>
      <c r="F772" s="8"/>
      <c r="G772" s="8"/>
      <c r="H772" s="8"/>
    </row>
    <row r="773">
      <c r="A773" s="8"/>
      <c r="B773" s="8"/>
      <c r="C773" s="8"/>
      <c r="D773" s="8"/>
      <c r="E773" s="8"/>
      <c r="F773" s="8"/>
      <c r="G773" s="8"/>
      <c r="H773" s="8"/>
    </row>
    <row r="774">
      <c r="A774" s="8"/>
      <c r="B774" s="8"/>
      <c r="C774" s="8"/>
      <c r="D774" s="8"/>
      <c r="E774" s="8"/>
      <c r="F774" s="8"/>
      <c r="G774" s="8"/>
      <c r="H774" s="8"/>
    </row>
    <row r="775">
      <c r="A775" s="8"/>
      <c r="B775" s="8"/>
      <c r="C775" s="8"/>
      <c r="D775" s="8"/>
      <c r="E775" s="8"/>
      <c r="F775" s="8"/>
      <c r="G775" s="8"/>
      <c r="H775" s="8"/>
    </row>
    <row r="776">
      <c r="A776" s="8"/>
      <c r="B776" s="8"/>
      <c r="C776" s="8"/>
      <c r="D776" s="8"/>
      <c r="E776" s="8"/>
      <c r="F776" s="8"/>
      <c r="G776" s="8"/>
      <c r="H776" s="8"/>
    </row>
    <row r="777">
      <c r="A777" s="8"/>
      <c r="B777" s="8"/>
      <c r="C777" s="8"/>
      <c r="D777" s="8"/>
      <c r="E777" s="8"/>
      <c r="F777" s="8"/>
      <c r="G777" s="8"/>
      <c r="H777" s="8"/>
    </row>
    <row r="778">
      <c r="A778" s="8"/>
      <c r="B778" s="8"/>
      <c r="C778" s="8"/>
      <c r="D778" s="8"/>
      <c r="E778" s="8"/>
      <c r="F778" s="8"/>
      <c r="G778" s="8"/>
      <c r="H778" s="8"/>
    </row>
    <row r="779">
      <c r="A779" s="8"/>
      <c r="B779" s="8"/>
      <c r="C779" s="8"/>
      <c r="D779" s="8"/>
      <c r="E779" s="8"/>
      <c r="F779" s="8"/>
      <c r="G779" s="8"/>
      <c r="H779" s="8"/>
    </row>
    <row r="780">
      <c r="A780" s="8"/>
      <c r="B780" s="8"/>
      <c r="C780" s="8"/>
      <c r="D780" s="8"/>
      <c r="E780" s="8"/>
      <c r="F780" s="8"/>
      <c r="G780" s="8"/>
      <c r="H780" s="8"/>
    </row>
    <row r="781">
      <c r="A781" s="8"/>
      <c r="B781" s="8"/>
      <c r="C781" s="8"/>
      <c r="D781" s="8"/>
      <c r="E781" s="8"/>
      <c r="F781" s="8"/>
      <c r="G781" s="8"/>
      <c r="H781" s="8"/>
    </row>
    <row r="782">
      <c r="A782" s="8"/>
      <c r="B782" s="8"/>
      <c r="C782" s="8"/>
      <c r="D782" s="8"/>
      <c r="E782" s="8"/>
      <c r="F782" s="8"/>
      <c r="G782" s="8"/>
      <c r="H782" s="8"/>
    </row>
    <row r="783">
      <c r="A783" s="8"/>
      <c r="B783" s="8"/>
      <c r="C783" s="8"/>
      <c r="D783" s="8"/>
      <c r="E783" s="8"/>
      <c r="F783" s="8"/>
      <c r="G783" s="8"/>
      <c r="H783" s="8"/>
    </row>
    <row r="784">
      <c r="A784" s="8"/>
      <c r="B784" s="8"/>
      <c r="C784" s="8"/>
      <c r="D784" s="8"/>
      <c r="E784" s="8"/>
      <c r="F784" s="8"/>
      <c r="G784" s="8"/>
      <c r="H784" s="8"/>
    </row>
    <row r="785">
      <c r="A785" s="8"/>
      <c r="B785" s="8"/>
      <c r="C785" s="8"/>
      <c r="D785" s="8"/>
      <c r="E785" s="8"/>
      <c r="F785" s="8"/>
      <c r="G785" s="8"/>
      <c r="H785" s="8"/>
    </row>
    <row r="786">
      <c r="A786" s="8"/>
      <c r="B786" s="8"/>
      <c r="C786" s="8"/>
      <c r="D786" s="8"/>
      <c r="E786" s="8"/>
      <c r="F786" s="8"/>
      <c r="G786" s="8"/>
      <c r="H786" s="8"/>
    </row>
    <row r="787">
      <c r="A787" s="8"/>
      <c r="B787" s="8"/>
      <c r="C787" s="8"/>
      <c r="D787" s="8"/>
      <c r="E787" s="8"/>
      <c r="F787" s="8"/>
      <c r="G787" s="8"/>
      <c r="H787" s="8"/>
    </row>
    <row r="788">
      <c r="A788" s="8"/>
      <c r="B788" s="8"/>
      <c r="C788" s="8"/>
      <c r="D788" s="8"/>
      <c r="E788" s="8"/>
      <c r="F788" s="8"/>
      <c r="G788" s="8"/>
      <c r="H788" s="8"/>
    </row>
    <row r="789">
      <c r="A789" s="8"/>
      <c r="B789" s="8"/>
      <c r="C789" s="8"/>
      <c r="D789" s="8"/>
      <c r="E789" s="8"/>
      <c r="F789" s="8"/>
      <c r="G789" s="8"/>
      <c r="H789" s="8"/>
    </row>
    <row r="790">
      <c r="A790" s="8"/>
      <c r="B790" s="8"/>
      <c r="C790" s="8"/>
      <c r="D790" s="8"/>
      <c r="E790" s="8"/>
      <c r="F790" s="8"/>
      <c r="G790" s="8"/>
      <c r="H790" s="8"/>
    </row>
    <row r="791">
      <c r="A791" s="8"/>
      <c r="B791" s="8"/>
      <c r="C791" s="8"/>
      <c r="D791" s="8"/>
      <c r="E791" s="8"/>
      <c r="F791" s="8"/>
      <c r="G791" s="8"/>
      <c r="H791" s="8"/>
    </row>
    <row r="792">
      <c r="A792" s="8"/>
      <c r="B792" s="8"/>
      <c r="C792" s="8"/>
      <c r="D792" s="8"/>
      <c r="E792" s="8"/>
      <c r="F792" s="8"/>
      <c r="G792" s="8"/>
      <c r="H792" s="8"/>
    </row>
    <row r="793">
      <c r="A793" s="8"/>
      <c r="B793" s="8"/>
      <c r="C793" s="8"/>
      <c r="D793" s="8"/>
      <c r="E793" s="8"/>
      <c r="F793" s="8"/>
      <c r="G793" s="8"/>
      <c r="H793" s="8"/>
    </row>
    <row r="794">
      <c r="A794" s="8"/>
      <c r="B794" s="8"/>
      <c r="C794" s="8"/>
      <c r="D794" s="8"/>
      <c r="E794" s="8"/>
      <c r="F794" s="8"/>
      <c r="G794" s="8"/>
      <c r="H794" s="8"/>
    </row>
    <row r="795">
      <c r="A795" s="8"/>
      <c r="B795" s="8"/>
      <c r="C795" s="8"/>
      <c r="D795" s="8"/>
      <c r="E795" s="8"/>
      <c r="F795" s="8"/>
      <c r="G795" s="8"/>
      <c r="H795" s="8"/>
    </row>
    <row r="796">
      <c r="A796" s="8"/>
      <c r="B796" s="8"/>
      <c r="C796" s="8"/>
      <c r="D796" s="8"/>
      <c r="E796" s="8"/>
      <c r="F796" s="8"/>
      <c r="G796" s="8"/>
      <c r="H796" s="8"/>
    </row>
    <row r="797">
      <c r="A797" s="8"/>
      <c r="B797" s="8"/>
      <c r="C797" s="8"/>
      <c r="D797" s="8"/>
      <c r="E797" s="8"/>
      <c r="F797" s="8"/>
      <c r="G797" s="8"/>
      <c r="H797" s="8"/>
    </row>
    <row r="798">
      <c r="A798" s="8"/>
      <c r="B798" s="8"/>
      <c r="C798" s="8"/>
      <c r="D798" s="8"/>
      <c r="E798" s="8"/>
      <c r="F798" s="8"/>
      <c r="G798" s="8"/>
      <c r="H798" s="8"/>
    </row>
    <row r="799">
      <c r="A799" s="8"/>
      <c r="B799" s="8"/>
      <c r="C799" s="8"/>
      <c r="D799" s="8"/>
      <c r="E799" s="8"/>
      <c r="F799" s="8"/>
      <c r="G799" s="8"/>
      <c r="H799" s="8"/>
    </row>
    <row r="800">
      <c r="A800" s="8"/>
      <c r="B800" s="8"/>
      <c r="C800" s="8"/>
      <c r="D800" s="8"/>
      <c r="E800" s="8"/>
      <c r="F800" s="8"/>
      <c r="G800" s="8"/>
      <c r="H800" s="8"/>
    </row>
    <row r="801">
      <c r="A801" s="8"/>
      <c r="B801" s="8"/>
      <c r="C801" s="8"/>
      <c r="D801" s="8"/>
      <c r="E801" s="8"/>
      <c r="F801" s="8"/>
      <c r="G801" s="8"/>
      <c r="H801" s="8"/>
    </row>
    <row r="802">
      <c r="A802" s="8"/>
      <c r="B802" s="8"/>
      <c r="C802" s="8"/>
      <c r="D802" s="8"/>
      <c r="E802" s="8"/>
      <c r="F802" s="8"/>
      <c r="G802" s="8"/>
      <c r="H802" s="8"/>
    </row>
    <row r="803">
      <c r="A803" s="8"/>
      <c r="B803" s="8"/>
      <c r="C803" s="8"/>
      <c r="D803" s="8"/>
      <c r="E803" s="8"/>
      <c r="F803" s="8"/>
      <c r="G803" s="8"/>
      <c r="H803" s="8"/>
    </row>
    <row r="804">
      <c r="A804" s="8"/>
      <c r="B804" s="8"/>
      <c r="C804" s="8"/>
      <c r="D804" s="8"/>
      <c r="E804" s="8"/>
      <c r="F804" s="8"/>
      <c r="G804" s="8"/>
      <c r="H804" s="8"/>
    </row>
    <row r="805">
      <c r="A805" s="8"/>
      <c r="B805" s="8"/>
      <c r="C805" s="8"/>
      <c r="D805" s="8"/>
      <c r="E805" s="8"/>
      <c r="F805" s="8"/>
      <c r="G805" s="8"/>
      <c r="H805" s="8"/>
    </row>
    <row r="806">
      <c r="A806" s="8"/>
      <c r="B806" s="8"/>
      <c r="C806" s="8"/>
      <c r="D806" s="8"/>
      <c r="E806" s="8"/>
      <c r="F806" s="8"/>
      <c r="G806" s="8"/>
      <c r="H806" s="8"/>
    </row>
    <row r="807">
      <c r="A807" s="8"/>
      <c r="B807" s="8"/>
      <c r="C807" s="8"/>
      <c r="D807" s="8"/>
      <c r="E807" s="8"/>
      <c r="F807" s="8"/>
      <c r="G807" s="8"/>
      <c r="H807" s="8"/>
    </row>
    <row r="808">
      <c r="A808" s="8"/>
      <c r="B808" s="8"/>
      <c r="C808" s="8"/>
      <c r="D808" s="8"/>
      <c r="E808" s="8"/>
      <c r="F808" s="8"/>
      <c r="G808" s="8"/>
      <c r="H808" s="8"/>
    </row>
    <row r="809">
      <c r="A809" s="8"/>
      <c r="B809" s="8"/>
      <c r="C809" s="8"/>
      <c r="D809" s="8"/>
      <c r="E809" s="8"/>
      <c r="F809" s="8"/>
      <c r="G809" s="8"/>
      <c r="H809" s="8"/>
    </row>
    <row r="810">
      <c r="A810" s="8"/>
      <c r="B810" s="8"/>
      <c r="C810" s="8"/>
      <c r="D810" s="8"/>
      <c r="E810" s="8"/>
      <c r="F810" s="8"/>
      <c r="G810" s="8"/>
      <c r="H810" s="8"/>
    </row>
    <row r="811">
      <c r="A811" s="8"/>
      <c r="B811" s="8"/>
      <c r="C811" s="8"/>
      <c r="D811" s="8"/>
      <c r="E811" s="8"/>
      <c r="F811" s="8"/>
      <c r="G811" s="8"/>
      <c r="H811" s="8"/>
    </row>
    <row r="812">
      <c r="A812" s="8"/>
      <c r="B812" s="8"/>
      <c r="C812" s="8"/>
      <c r="D812" s="8"/>
      <c r="E812" s="8"/>
      <c r="F812" s="8"/>
      <c r="G812" s="8"/>
      <c r="H812" s="8"/>
    </row>
    <row r="813">
      <c r="A813" s="8"/>
      <c r="B813" s="8"/>
      <c r="C813" s="8"/>
      <c r="D813" s="8"/>
      <c r="E813" s="8"/>
      <c r="F813" s="8"/>
      <c r="G813" s="8"/>
      <c r="H813" s="8"/>
    </row>
    <row r="814">
      <c r="A814" s="8"/>
      <c r="B814" s="8"/>
      <c r="C814" s="8"/>
      <c r="D814" s="8"/>
      <c r="E814" s="8"/>
      <c r="F814" s="8"/>
      <c r="G814" s="8"/>
      <c r="H814" s="8"/>
    </row>
    <row r="815">
      <c r="A815" s="8"/>
      <c r="B815" s="8"/>
      <c r="C815" s="8"/>
      <c r="D815" s="8"/>
      <c r="E815" s="8"/>
      <c r="F815" s="8"/>
      <c r="G815" s="8"/>
      <c r="H815" s="8"/>
    </row>
    <row r="816">
      <c r="A816" s="8"/>
      <c r="B816" s="8"/>
      <c r="C816" s="8"/>
      <c r="D816" s="8"/>
      <c r="E816" s="8"/>
      <c r="F816" s="8"/>
      <c r="G816" s="8"/>
      <c r="H816" s="8"/>
    </row>
    <row r="817">
      <c r="A817" s="8"/>
      <c r="B817" s="8"/>
      <c r="C817" s="8"/>
      <c r="D817" s="8"/>
      <c r="E817" s="8"/>
      <c r="F817" s="8"/>
      <c r="G817" s="8"/>
      <c r="H817" s="8"/>
    </row>
    <row r="818">
      <c r="A818" s="8"/>
      <c r="B818" s="8"/>
      <c r="C818" s="8"/>
      <c r="D818" s="8"/>
      <c r="E818" s="8"/>
      <c r="F818" s="8"/>
      <c r="G818" s="8"/>
      <c r="H818" s="8"/>
    </row>
    <row r="819">
      <c r="A819" s="8"/>
      <c r="B819" s="8"/>
      <c r="C819" s="8"/>
      <c r="D819" s="8"/>
      <c r="E819" s="8"/>
      <c r="F819" s="8"/>
      <c r="G819" s="8"/>
      <c r="H819" s="8"/>
    </row>
    <row r="820">
      <c r="A820" s="8"/>
      <c r="B820" s="8"/>
      <c r="C820" s="8"/>
      <c r="D820" s="8"/>
      <c r="E820" s="8"/>
      <c r="F820" s="8"/>
      <c r="G820" s="8"/>
      <c r="H820" s="8"/>
    </row>
    <row r="821">
      <c r="A821" s="8"/>
      <c r="B821" s="8"/>
      <c r="C821" s="8"/>
      <c r="D821" s="8"/>
      <c r="E821" s="8"/>
      <c r="F821" s="8"/>
      <c r="G821" s="8"/>
      <c r="H821" s="8"/>
    </row>
    <row r="822">
      <c r="A822" s="8"/>
      <c r="B822" s="8"/>
      <c r="C822" s="8"/>
      <c r="D822" s="8"/>
      <c r="E822" s="8"/>
      <c r="F822" s="8"/>
      <c r="G822" s="8"/>
      <c r="H822" s="8"/>
    </row>
    <row r="823">
      <c r="A823" s="8"/>
      <c r="B823" s="8"/>
      <c r="C823" s="8"/>
      <c r="D823" s="8"/>
      <c r="E823" s="8"/>
      <c r="F823" s="8"/>
      <c r="G823" s="8"/>
      <c r="H823" s="8"/>
    </row>
    <row r="824">
      <c r="A824" s="8"/>
      <c r="B824" s="8"/>
      <c r="C824" s="8"/>
      <c r="D824" s="8"/>
      <c r="E824" s="8"/>
      <c r="F824" s="8"/>
      <c r="G824" s="8"/>
      <c r="H824" s="8"/>
    </row>
    <row r="825">
      <c r="A825" s="8"/>
      <c r="B825" s="8"/>
      <c r="C825" s="8"/>
      <c r="D825" s="8"/>
      <c r="E825" s="8"/>
      <c r="F825" s="8"/>
      <c r="G825" s="8"/>
      <c r="H825" s="8"/>
    </row>
    <row r="826">
      <c r="A826" s="8"/>
      <c r="B826" s="8"/>
      <c r="C826" s="8"/>
      <c r="D826" s="8"/>
      <c r="E826" s="8"/>
      <c r="F826" s="8"/>
      <c r="G826" s="8"/>
      <c r="H826" s="8"/>
    </row>
    <row r="827">
      <c r="A827" s="8"/>
      <c r="B827" s="8"/>
      <c r="C827" s="8"/>
      <c r="D827" s="8"/>
      <c r="E827" s="8"/>
      <c r="F827" s="8"/>
      <c r="G827" s="8"/>
      <c r="H827" s="8"/>
    </row>
    <row r="828">
      <c r="A828" s="8"/>
      <c r="B828" s="8"/>
      <c r="C828" s="8"/>
      <c r="D828" s="8"/>
      <c r="E828" s="8"/>
      <c r="F828" s="8"/>
      <c r="G828" s="8"/>
      <c r="H828" s="8"/>
    </row>
    <row r="829">
      <c r="A829" s="8"/>
      <c r="B829" s="8"/>
      <c r="C829" s="8"/>
      <c r="D829" s="8"/>
      <c r="E829" s="8"/>
      <c r="F829" s="8"/>
      <c r="G829" s="8"/>
      <c r="H829" s="8"/>
    </row>
    <row r="830">
      <c r="A830" s="8"/>
      <c r="B830" s="8"/>
      <c r="C830" s="8"/>
      <c r="D830" s="8"/>
      <c r="E830" s="8"/>
      <c r="F830" s="8"/>
      <c r="G830" s="8"/>
      <c r="H830" s="8"/>
    </row>
    <row r="831">
      <c r="A831" s="8"/>
      <c r="B831" s="8"/>
      <c r="C831" s="8"/>
      <c r="D831" s="8"/>
      <c r="E831" s="8"/>
      <c r="F831" s="8"/>
      <c r="G831" s="8"/>
      <c r="H831" s="8"/>
    </row>
    <row r="832">
      <c r="A832" s="8"/>
      <c r="B832" s="8"/>
      <c r="C832" s="8"/>
      <c r="D832" s="8"/>
      <c r="E832" s="8"/>
      <c r="F832" s="8"/>
      <c r="G832" s="8"/>
      <c r="H832" s="8"/>
    </row>
    <row r="833">
      <c r="A833" s="8"/>
      <c r="B833" s="8"/>
      <c r="C833" s="8"/>
      <c r="D833" s="8"/>
      <c r="E833" s="8"/>
      <c r="F833" s="8"/>
      <c r="G833" s="8"/>
      <c r="H833" s="8"/>
    </row>
    <row r="834">
      <c r="A834" s="8"/>
      <c r="B834" s="8"/>
      <c r="C834" s="8"/>
      <c r="D834" s="8"/>
      <c r="E834" s="8"/>
      <c r="F834" s="8"/>
      <c r="G834" s="8"/>
      <c r="H834" s="8"/>
    </row>
    <row r="835">
      <c r="A835" s="8"/>
      <c r="B835" s="8"/>
      <c r="C835" s="8"/>
      <c r="D835" s="8"/>
      <c r="E835" s="8"/>
      <c r="F835" s="8"/>
      <c r="G835" s="8"/>
      <c r="H835" s="8"/>
    </row>
    <row r="836">
      <c r="A836" s="8"/>
      <c r="B836" s="8"/>
      <c r="C836" s="8"/>
      <c r="D836" s="8"/>
      <c r="E836" s="8"/>
      <c r="F836" s="8"/>
      <c r="G836" s="8"/>
      <c r="H836" s="8"/>
    </row>
    <row r="837">
      <c r="A837" s="8"/>
      <c r="B837" s="8"/>
      <c r="C837" s="8"/>
      <c r="D837" s="8"/>
      <c r="E837" s="8"/>
      <c r="F837" s="8"/>
      <c r="G837" s="8"/>
      <c r="H837" s="8"/>
    </row>
    <row r="838">
      <c r="A838" s="8"/>
      <c r="B838" s="8"/>
      <c r="C838" s="8"/>
      <c r="D838" s="8"/>
      <c r="E838" s="8"/>
      <c r="F838" s="8"/>
      <c r="G838" s="8"/>
      <c r="H838" s="8"/>
    </row>
    <row r="839">
      <c r="A839" s="8"/>
      <c r="B839" s="8"/>
      <c r="C839" s="8"/>
      <c r="D839" s="8"/>
      <c r="E839" s="8"/>
      <c r="F839" s="8"/>
      <c r="G839" s="8"/>
      <c r="H839" s="8"/>
    </row>
    <row r="840">
      <c r="A840" s="8"/>
      <c r="B840" s="8"/>
      <c r="C840" s="8"/>
      <c r="D840" s="8"/>
      <c r="E840" s="8"/>
      <c r="F840" s="8"/>
      <c r="G840" s="8"/>
      <c r="H840" s="8"/>
    </row>
    <row r="841">
      <c r="A841" s="8"/>
      <c r="B841" s="8"/>
      <c r="C841" s="8"/>
      <c r="D841" s="8"/>
      <c r="E841" s="8"/>
      <c r="F841" s="8"/>
      <c r="G841" s="8"/>
      <c r="H841" s="8"/>
    </row>
    <row r="842">
      <c r="A842" s="8"/>
      <c r="B842" s="8"/>
      <c r="C842" s="8"/>
      <c r="D842" s="8"/>
      <c r="E842" s="8"/>
      <c r="F842" s="8"/>
      <c r="G842" s="8"/>
      <c r="H842" s="8"/>
    </row>
    <row r="843">
      <c r="A843" s="8"/>
      <c r="B843" s="8"/>
      <c r="C843" s="8"/>
      <c r="D843" s="8"/>
      <c r="E843" s="8"/>
      <c r="F843" s="8"/>
      <c r="G843" s="8"/>
      <c r="H843" s="8"/>
    </row>
    <row r="844">
      <c r="A844" s="8"/>
      <c r="B844" s="8"/>
      <c r="C844" s="8"/>
      <c r="D844" s="8"/>
      <c r="E844" s="8"/>
      <c r="F844" s="8"/>
      <c r="G844" s="8"/>
      <c r="H844" s="8"/>
    </row>
    <row r="845">
      <c r="A845" s="8"/>
      <c r="B845" s="8"/>
      <c r="C845" s="8"/>
      <c r="D845" s="8"/>
      <c r="E845" s="8"/>
      <c r="F845" s="8"/>
      <c r="G845" s="8"/>
      <c r="H845" s="8"/>
    </row>
    <row r="846">
      <c r="A846" s="8"/>
      <c r="B846" s="8"/>
      <c r="C846" s="8"/>
      <c r="D846" s="8"/>
      <c r="E846" s="8"/>
      <c r="F846" s="8"/>
      <c r="G846" s="8"/>
      <c r="H846" s="8"/>
    </row>
    <row r="847">
      <c r="A847" s="8"/>
      <c r="B847" s="8"/>
      <c r="C847" s="8"/>
      <c r="D847" s="8"/>
      <c r="E847" s="8"/>
      <c r="F847" s="8"/>
      <c r="G847" s="8"/>
      <c r="H847" s="8"/>
    </row>
    <row r="848">
      <c r="A848" s="8"/>
      <c r="B848" s="8"/>
      <c r="C848" s="8"/>
      <c r="D848" s="8"/>
      <c r="E848" s="8"/>
      <c r="F848" s="8"/>
      <c r="G848" s="8"/>
      <c r="H848" s="8"/>
    </row>
    <row r="849">
      <c r="A849" s="8"/>
      <c r="B849" s="8"/>
      <c r="C849" s="8"/>
      <c r="D849" s="8"/>
      <c r="E849" s="8"/>
      <c r="F849" s="8"/>
      <c r="G849" s="8"/>
      <c r="H849" s="8"/>
    </row>
    <row r="850">
      <c r="A850" s="8"/>
      <c r="B850" s="8"/>
      <c r="C850" s="8"/>
      <c r="D850" s="8"/>
      <c r="E850" s="8"/>
      <c r="F850" s="8"/>
      <c r="G850" s="8"/>
      <c r="H850" s="8"/>
    </row>
    <row r="851">
      <c r="A851" s="8"/>
      <c r="B851" s="8"/>
      <c r="C851" s="8"/>
      <c r="D851" s="8"/>
      <c r="E851" s="8"/>
      <c r="F851" s="8"/>
      <c r="G851" s="8"/>
      <c r="H851" s="8"/>
    </row>
    <row r="852">
      <c r="A852" s="8"/>
      <c r="B852" s="8"/>
      <c r="C852" s="8"/>
      <c r="D852" s="8"/>
      <c r="E852" s="8"/>
      <c r="F852" s="8"/>
      <c r="G852" s="8"/>
      <c r="H852" s="8"/>
    </row>
    <row r="853">
      <c r="A853" s="8"/>
      <c r="B853" s="8"/>
      <c r="C853" s="8"/>
      <c r="D853" s="8"/>
      <c r="E853" s="8"/>
      <c r="F853" s="8"/>
      <c r="G853" s="8"/>
      <c r="H853" s="8"/>
    </row>
    <row r="854">
      <c r="A854" s="8"/>
      <c r="B854" s="8"/>
      <c r="C854" s="8"/>
      <c r="D854" s="8"/>
      <c r="E854" s="8"/>
      <c r="F854" s="8"/>
      <c r="G854" s="8"/>
      <c r="H854" s="8"/>
    </row>
    <row r="855">
      <c r="A855" s="8"/>
      <c r="B855" s="8"/>
      <c r="C855" s="8"/>
      <c r="D855" s="8"/>
      <c r="E855" s="8"/>
      <c r="F855" s="8"/>
      <c r="G855" s="8"/>
      <c r="H855" s="8"/>
    </row>
    <row r="856">
      <c r="A856" s="8"/>
      <c r="B856" s="8"/>
      <c r="C856" s="8"/>
      <c r="D856" s="8"/>
      <c r="E856" s="8"/>
      <c r="F856" s="8"/>
      <c r="G856" s="8"/>
      <c r="H856" s="8"/>
    </row>
    <row r="857">
      <c r="A857" s="8"/>
      <c r="B857" s="8"/>
      <c r="C857" s="8"/>
      <c r="D857" s="8"/>
      <c r="E857" s="8"/>
      <c r="F857" s="8"/>
      <c r="G857" s="8"/>
      <c r="H857" s="8"/>
    </row>
    <row r="858">
      <c r="A858" s="8"/>
      <c r="B858" s="8"/>
      <c r="C858" s="8"/>
      <c r="D858" s="8"/>
      <c r="E858" s="8"/>
      <c r="F858" s="8"/>
      <c r="G858" s="8"/>
      <c r="H858" s="8"/>
    </row>
    <row r="859">
      <c r="A859" s="8"/>
      <c r="B859" s="8"/>
      <c r="C859" s="8"/>
      <c r="D859" s="8"/>
      <c r="E859" s="8"/>
      <c r="F859" s="8"/>
      <c r="G859" s="8"/>
      <c r="H859" s="8"/>
    </row>
    <row r="860">
      <c r="A860" s="8"/>
      <c r="B860" s="8"/>
      <c r="C860" s="8"/>
      <c r="D860" s="8"/>
      <c r="E860" s="8"/>
      <c r="F860" s="8"/>
      <c r="G860" s="8"/>
      <c r="H860" s="8"/>
    </row>
    <row r="861">
      <c r="A861" s="8"/>
      <c r="B861" s="8"/>
      <c r="C861" s="8"/>
      <c r="D861" s="8"/>
      <c r="E861" s="8"/>
      <c r="F861" s="8"/>
      <c r="G861" s="8"/>
      <c r="H861" s="8"/>
    </row>
    <row r="862">
      <c r="A862" s="8"/>
      <c r="B862" s="8"/>
      <c r="C862" s="8"/>
      <c r="D862" s="8"/>
      <c r="E862" s="8"/>
      <c r="F862" s="8"/>
      <c r="G862" s="8"/>
      <c r="H862" s="8"/>
    </row>
    <row r="863">
      <c r="A863" s="8"/>
      <c r="B863" s="8"/>
      <c r="C863" s="8"/>
      <c r="D863" s="8"/>
      <c r="E863" s="8"/>
      <c r="F863" s="8"/>
      <c r="G863" s="8"/>
      <c r="H863" s="8"/>
    </row>
    <row r="864">
      <c r="A864" s="8"/>
      <c r="B864" s="8"/>
      <c r="C864" s="8"/>
      <c r="D864" s="8"/>
      <c r="E864" s="8"/>
      <c r="F864" s="8"/>
      <c r="G864" s="8"/>
      <c r="H864" s="8"/>
    </row>
    <row r="865">
      <c r="A865" s="8"/>
      <c r="B865" s="8"/>
      <c r="C865" s="8"/>
      <c r="D865" s="8"/>
      <c r="E865" s="8"/>
      <c r="F865" s="8"/>
      <c r="G865" s="8"/>
      <c r="H865" s="8"/>
    </row>
    <row r="866">
      <c r="A866" s="8"/>
      <c r="B866" s="8"/>
      <c r="C866" s="8"/>
      <c r="D866" s="8"/>
      <c r="E866" s="8"/>
      <c r="F866" s="8"/>
      <c r="G866" s="8"/>
      <c r="H866" s="8"/>
    </row>
    <row r="867">
      <c r="A867" s="8"/>
      <c r="B867" s="8"/>
      <c r="C867" s="8"/>
      <c r="D867" s="8"/>
      <c r="E867" s="8"/>
      <c r="F867" s="8"/>
      <c r="G867" s="8"/>
      <c r="H867" s="8"/>
    </row>
    <row r="868">
      <c r="A868" s="8"/>
      <c r="B868" s="8"/>
      <c r="C868" s="8"/>
      <c r="D868" s="8"/>
      <c r="E868" s="8"/>
      <c r="F868" s="8"/>
      <c r="G868" s="8"/>
      <c r="H868" s="8"/>
    </row>
    <row r="869">
      <c r="A869" s="8"/>
      <c r="B869" s="8"/>
      <c r="C869" s="8"/>
      <c r="D869" s="8"/>
      <c r="E869" s="8"/>
      <c r="F869" s="8"/>
      <c r="G869" s="8"/>
      <c r="H869" s="8"/>
    </row>
    <row r="870">
      <c r="A870" s="8"/>
      <c r="B870" s="8"/>
      <c r="C870" s="8"/>
      <c r="D870" s="8"/>
      <c r="E870" s="8"/>
      <c r="F870" s="8"/>
      <c r="G870" s="8"/>
      <c r="H870" s="8"/>
    </row>
    <row r="871">
      <c r="A871" s="8"/>
      <c r="B871" s="8"/>
      <c r="C871" s="8"/>
      <c r="D871" s="8"/>
      <c r="E871" s="8"/>
      <c r="F871" s="8"/>
      <c r="G871" s="8"/>
      <c r="H871" s="8"/>
    </row>
    <row r="872">
      <c r="A872" s="8"/>
      <c r="B872" s="8"/>
      <c r="C872" s="8"/>
      <c r="D872" s="8"/>
      <c r="E872" s="8"/>
      <c r="F872" s="8"/>
      <c r="G872" s="8"/>
      <c r="H872" s="8"/>
    </row>
    <row r="873">
      <c r="A873" s="8"/>
      <c r="B873" s="8"/>
      <c r="C873" s="8"/>
      <c r="D873" s="8"/>
      <c r="E873" s="8"/>
      <c r="F873" s="8"/>
      <c r="G873" s="8"/>
      <c r="H873" s="8"/>
    </row>
    <row r="874">
      <c r="A874" s="8"/>
      <c r="B874" s="8"/>
      <c r="C874" s="8"/>
      <c r="D874" s="8"/>
      <c r="E874" s="8"/>
      <c r="F874" s="8"/>
      <c r="G874" s="8"/>
      <c r="H874" s="8"/>
    </row>
    <row r="875">
      <c r="A875" s="8"/>
      <c r="B875" s="8"/>
      <c r="C875" s="8"/>
      <c r="D875" s="8"/>
      <c r="E875" s="8"/>
      <c r="F875" s="8"/>
      <c r="G875" s="8"/>
      <c r="H875" s="8"/>
    </row>
    <row r="876">
      <c r="A876" s="8"/>
      <c r="B876" s="8"/>
      <c r="C876" s="8"/>
      <c r="D876" s="8"/>
      <c r="E876" s="8"/>
      <c r="F876" s="8"/>
      <c r="G876" s="8"/>
      <c r="H876" s="8"/>
    </row>
    <row r="877">
      <c r="A877" s="8"/>
      <c r="B877" s="8"/>
      <c r="C877" s="8"/>
      <c r="D877" s="8"/>
      <c r="E877" s="8"/>
      <c r="F877" s="8"/>
      <c r="G877" s="8"/>
      <c r="H877" s="8"/>
    </row>
    <row r="878">
      <c r="A878" s="8"/>
      <c r="B878" s="8"/>
      <c r="C878" s="8"/>
      <c r="D878" s="8"/>
      <c r="E878" s="8"/>
      <c r="F878" s="8"/>
      <c r="G878" s="8"/>
      <c r="H878" s="8"/>
    </row>
    <row r="879">
      <c r="A879" s="8"/>
      <c r="B879" s="8"/>
      <c r="C879" s="8"/>
      <c r="D879" s="8"/>
      <c r="E879" s="8"/>
      <c r="F879" s="8"/>
      <c r="G879" s="8"/>
      <c r="H879" s="8"/>
    </row>
    <row r="880">
      <c r="A880" s="8"/>
      <c r="B880" s="8"/>
      <c r="C880" s="8"/>
      <c r="D880" s="8"/>
      <c r="E880" s="8"/>
      <c r="F880" s="8"/>
      <c r="G880" s="8"/>
      <c r="H880" s="8"/>
    </row>
    <row r="881">
      <c r="A881" s="8"/>
      <c r="B881" s="8"/>
      <c r="C881" s="8"/>
      <c r="D881" s="8"/>
      <c r="E881" s="8"/>
      <c r="F881" s="8"/>
      <c r="G881" s="8"/>
      <c r="H881" s="8"/>
    </row>
    <row r="882">
      <c r="A882" s="8"/>
      <c r="B882" s="8"/>
      <c r="C882" s="8"/>
      <c r="D882" s="8"/>
      <c r="E882" s="8"/>
      <c r="F882" s="8"/>
      <c r="G882" s="8"/>
      <c r="H882" s="8"/>
    </row>
    <row r="883">
      <c r="A883" s="8"/>
      <c r="B883" s="8"/>
      <c r="C883" s="8"/>
      <c r="D883" s="8"/>
      <c r="E883" s="8"/>
      <c r="F883" s="8"/>
      <c r="G883" s="8"/>
      <c r="H883" s="8"/>
    </row>
    <row r="884">
      <c r="A884" s="8"/>
      <c r="B884" s="8"/>
      <c r="C884" s="8"/>
      <c r="D884" s="8"/>
      <c r="E884" s="8"/>
      <c r="F884" s="8"/>
      <c r="G884" s="8"/>
      <c r="H884" s="8"/>
    </row>
    <row r="885">
      <c r="A885" s="8"/>
      <c r="B885" s="8"/>
      <c r="C885" s="8"/>
      <c r="D885" s="8"/>
      <c r="E885" s="8"/>
      <c r="F885" s="8"/>
      <c r="G885" s="8"/>
      <c r="H885" s="8"/>
    </row>
    <row r="886">
      <c r="A886" s="8"/>
      <c r="B886" s="8"/>
      <c r="C886" s="8"/>
      <c r="D886" s="8"/>
      <c r="E886" s="8"/>
      <c r="F886" s="8"/>
      <c r="G886" s="8"/>
      <c r="H886" s="8"/>
    </row>
    <row r="887">
      <c r="A887" s="8"/>
      <c r="B887" s="8"/>
      <c r="C887" s="8"/>
      <c r="D887" s="8"/>
      <c r="E887" s="8"/>
      <c r="F887" s="8"/>
      <c r="G887" s="8"/>
      <c r="H887" s="8"/>
    </row>
    <row r="888">
      <c r="A888" s="8"/>
      <c r="B888" s="8"/>
      <c r="C888" s="8"/>
      <c r="D888" s="8"/>
      <c r="E888" s="8"/>
      <c r="F888" s="8"/>
      <c r="G888" s="8"/>
      <c r="H888" s="8"/>
    </row>
    <row r="889">
      <c r="A889" s="8"/>
      <c r="B889" s="8"/>
      <c r="C889" s="8"/>
      <c r="D889" s="8"/>
      <c r="E889" s="8"/>
      <c r="F889" s="8"/>
      <c r="G889" s="8"/>
      <c r="H889" s="8"/>
    </row>
    <row r="890">
      <c r="A890" s="8"/>
      <c r="B890" s="8"/>
      <c r="C890" s="8"/>
      <c r="D890" s="8"/>
      <c r="E890" s="8"/>
      <c r="F890" s="8"/>
      <c r="G890" s="8"/>
      <c r="H890" s="8"/>
    </row>
    <row r="891">
      <c r="A891" s="8"/>
      <c r="B891" s="8"/>
      <c r="C891" s="8"/>
      <c r="D891" s="8"/>
      <c r="E891" s="8"/>
      <c r="F891" s="8"/>
      <c r="G891" s="8"/>
      <c r="H891" s="8"/>
    </row>
    <row r="892">
      <c r="A892" s="8"/>
      <c r="B892" s="8"/>
      <c r="C892" s="8"/>
      <c r="D892" s="8"/>
      <c r="E892" s="8"/>
      <c r="F892" s="8"/>
      <c r="G892" s="8"/>
      <c r="H892" s="8"/>
    </row>
    <row r="893">
      <c r="A893" s="8"/>
      <c r="B893" s="8"/>
      <c r="C893" s="8"/>
      <c r="D893" s="8"/>
      <c r="E893" s="8"/>
      <c r="F893" s="8"/>
      <c r="G893" s="8"/>
      <c r="H893" s="8"/>
    </row>
    <row r="894">
      <c r="A894" s="8"/>
      <c r="B894" s="8"/>
      <c r="C894" s="8"/>
      <c r="D894" s="8"/>
      <c r="E894" s="8"/>
      <c r="F894" s="8"/>
      <c r="G894" s="8"/>
      <c r="H894" s="8"/>
    </row>
    <row r="895">
      <c r="A895" s="8"/>
      <c r="B895" s="8"/>
      <c r="C895" s="8"/>
      <c r="D895" s="8"/>
      <c r="E895" s="8"/>
      <c r="F895" s="8"/>
      <c r="G895" s="8"/>
      <c r="H895" s="8"/>
    </row>
    <row r="896">
      <c r="A896" s="8"/>
      <c r="B896" s="8"/>
      <c r="C896" s="8"/>
      <c r="D896" s="8"/>
      <c r="E896" s="8"/>
      <c r="F896" s="8"/>
      <c r="G896" s="8"/>
      <c r="H896" s="8"/>
    </row>
    <row r="897">
      <c r="A897" s="8"/>
      <c r="B897" s="8"/>
      <c r="C897" s="8"/>
      <c r="D897" s="8"/>
      <c r="E897" s="8"/>
      <c r="F897" s="8"/>
      <c r="G897" s="8"/>
      <c r="H897" s="8"/>
    </row>
    <row r="898">
      <c r="A898" s="8"/>
      <c r="B898" s="8"/>
      <c r="C898" s="8"/>
      <c r="D898" s="8"/>
      <c r="E898" s="8"/>
      <c r="F898" s="8"/>
      <c r="G898" s="8"/>
      <c r="H898" s="8"/>
    </row>
    <row r="899">
      <c r="A899" s="8"/>
      <c r="B899" s="8"/>
      <c r="C899" s="8"/>
      <c r="D899" s="8"/>
      <c r="E899" s="8"/>
      <c r="F899" s="8"/>
      <c r="G899" s="8"/>
      <c r="H899" s="8"/>
    </row>
    <row r="900">
      <c r="A900" s="8"/>
      <c r="B900" s="8"/>
      <c r="C900" s="8"/>
      <c r="D900" s="8"/>
      <c r="E900" s="8"/>
      <c r="F900" s="8"/>
      <c r="G900" s="8"/>
      <c r="H900" s="8"/>
    </row>
    <row r="901">
      <c r="A901" s="8"/>
      <c r="B901" s="8"/>
      <c r="C901" s="8"/>
      <c r="D901" s="8"/>
      <c r="E901" s="8"/>
      <c r="F901" s="8"/>
      <c r="G901" s="8"/>
      <c r="H901" s="8"/>
    </row>
    <row r="902">
      <c r="A902" s="8"/>
      <c r="B902" s="8"/>
      <c r="C902" s="8"/>
      <c r="D902" s="8"/>
      <c r="E902" s="8"/>
      <c r="F902" s="8"/>
      <c r="G902" s="8"/>
      <c r="H902" s="8"/>
    </row>
    <row r="903">
      <c r="A903" s="8"/>
      <c r="B903" s="8"/>
      <c r="C903" s="8"/>
      <c r="D903" s="8"/>
      <c r="E903" s="8"/>
      <c r="F903" s="8"/>
      <c r="G903" s="8"/>
      <c r="H903" s="8"/>
    </row>
    <row r="904">
      <c r="A904" s="8"/>
      <c r="B904" s="8"/>
      <c r="C904" s="8"/>
      <c r="D904" s="8"/>
      <c r="E904" s="8"/>
      <c r="F904" s="8"/>
      <c r="G904" s="8"/>
      <c r="H904" s="8"/>
    </row>
    <row r="905">
      <c r="A905" s="8"/>
      <c r="B905" s="8"/>
      <c r="C905" s="8"/>
      <c r="D905" s="8"/>
      <c r="E905" s="8"/>
      <c r="F905" s="8"/>
      <c r="G905" s="8"/>
      <c r="H905" s="8"/>
    </row>
    <row r="906">
      <c r="A906" s="8"/>
      <c r="B906" s="8"/>
      <c r="C906" s="8"/>
      <c r="D906" s="8"/>
      <c r="E906" s="8"/>
      <c r="F906" s="8"/>
      <c r="G906" s="8"/>
      <c r="H906" s="8"/>
    </row>
    <row r="907">
      <c r="A907" s="8"/>
      <c r="B907" s="8"/>
      <c r="C907" s="8"/>
      <c r="D907" s="8"/>
      <c r="E907" s="8"/>
      <c r="F907" s="8"/>
      <c r="G907" s="8"/>
      <c r="H907" s="8"/>
    </row>
    <row r="908">
      <c r="A908" s="8"/>
      <c r="B908" s="8"/>
      <c r="C908" s="8"/>
      <c r="D908" s="8"/>
      <c r="E908" s="8"/>
      <c r="F908" s="8"/>
      <c r="G908" s="8"/>
      <c r="H908" s="8"/>
    </row>
    <row r="909">
      <c r="A909" s="8"/>
      <c r="B909" s="8"/>
      <c r="C909" s="8"/>
      <c r="D909" s="8"/>
      <c r="E909" s="8"/>
      <c r="F909" s="8"/>
      <c r="G909" s="8"/>
      <c r="H909" s="8"/>
    </row>
    <row r="910">
      <c r="A910" s="8"/>
      <c r="B910" s="8"/>
      <c r="C910" s="8"/>
      <c r="D910" s="8"/>
      <c r="E910" s="8"/>
      <c r="F910" s="8"/>
      <c r="G910" s="8"/>
      <c r="H910" s="8"/>
    </row>
    <row r="911">
      <c r="A911" s="8"/>
      <c r="B911" s="8"/>
      <c r="C911" s="8"/>
      <c r="D911" s="8"/>
      <c r="E911" s="8"/>
      <c r="F911" s="8"/>
      <c r="G911" s="8"/>
      <c r="H911" s="8"/>
    </row>
    <row r="912">
      <c r="A912" s="8"/>
      <c r="B912" s="8"/>
      <c r="C912" s="8"/>
      <c r="D912" s="8"/>
      <c r="E912" s="8"/>
      <c r="F912" s="8"/>
      <c r="G912" s="8"/>
      <c r="H912" s="8"/>
    </row>
    <row r="913">
      <c r="A913" s="8"/>
      <c r="B913" s="8"/>
      <c r="C913" s="8"/>
      <c r="D913" s="8"/>
      <c r="E913" s="8"/>
      <c r="F913" s="8"/>
      <c r="G913" s="8"/>
      <c r="H913" s="8"/>
    </row>
    <row r="914">
      <c r="A914" s="8"/>
      <c r="B914" s="8"/>
      <c r="C914" s="8"/>
      <c r="D914" s="8"/>
      <c r="E914" s="8"/>
      <c r="F914" s="8"/>
      <c r="G914" s="8"/>
      <c r="H914" s="8"/>
    </row>
    <row r="915">
      <c r="A915" s="8"/>
      <c r="B915" s="8"/>
      <c r="C915" s="8"/>
      <c r="D915" s="8"/>
      <c r="E915" s="8"/>
      <c r="F915" s="8"/>
      <c r="G915" s="8"/>
      <c r="H915" s="8"/>
    </row>
    <row r="916">
      <c r="A916" s="8"/>
      <c r="B916" s="8"/>
      <c r="C916" s="8"/>
      <c r="D916" s="8"/>
      <c r="E916" s="8"/>
      <c r="F916" s="8"/>
      <c r="G916" s="8"/>
      <c r="H916" s="8"/>
    </row>
    <row r="917">
      <c r="A917" s="8"/>
      <c r="B917" s="8"/>
      <c r="C917" s="8"/>
      <c r="D917" s="8"/>
      <c r="E917" s="8"/>
      <c r="F917" s="8"/>
      <c r="G917" s="8"/>
      <c r="H917" s="8"/>
    </row>
    <row r="918">
      <c r="A918" s="8"/>
      <c r="B918" s="8"/>
      <c r="C918" s="8"/>
      <c r="D918" s="8"/>
      <c r="E918" s="8"/>
      <c r="F918" s="8"/>
      <c r="G918" s="8"/>
      <c r="H918" s="8"/>
    </row>
    <row r="919">
      <c r="A919" s="8"/>
      <c r="B919" s="8"/>
      <c r="C919" s="8"/>
      <c r="D919" s="8"/>
      <c r="E919" s="8"/>
      <c r="F919" s="8"/>
      <c r="G919" s="8"/>
      <c r="H919" s="8"/>
    </row>
    <row r="920">
      <c r="A920" s="8"/>
      <c r="B920" s="8"/>
      <c r="C920" s="8"/>
      <c r="D920" s="8"/>
      <c r="E920" s="8"/>
      <c r="F920" s="8"/>
      <c r="G920" s="8"/>
      <c r="H920" s="8"/>
    </row>
    <row r="921">
      <c r="A921" s="8"/>
      <c r="B921" s="8"/>
      <c r="C921" s="8"/>
      <c r="D921" s="8"/>
      <c r="E921" s="8"/>
      <c r="F921" s="8"/>
      <c r="G921" s="8"/>
      <c r="H921" s="8"/>
    </row>
    <row r="922">
      <c r="A922" s="8"/>
      <c r="B922" s="8"/>
      <c r="C922" s="8"/>
      <c r="D922" s="8"/>
      <c r="E922" s="8"/>
      <c r="F922" s="8"/>
      <c r="G922" s="8"/>
      <c r="H922" s="8"/>
    </row>
    <row r="923">
      <c r="A923" s="8"/>
      <c r="B923" s="8"/>
      <c r="C923" s="8"/>
      <c r="D923" s="8"/>
      <c r="E923" s="8"/>
      <c r="F923" s="8"/>
      <c r="G923" s="8"/>
      <c r="H923" s="8"/>
    </row>
    <row r="924">
      <c r="A924" s="8"/>
      <c r="B924" s="8"/>
      <c r="C924" s="8"/>
      <c r="D924" s="8"/>
      <c r="E924" s="8"/>
      <c r="F924" s="8"/>
      <c r="G924" s="8"/>
      <c r="H924" s="8"/>
    </row>
    <row r="925">
      <c r="A925" s="8"/>
      <c r="B925" s="8"/>
      <c r="C925" s="8"/>
      <c r="D925" s="8"/>
      <c r="E925" s="8"/>
      <c r="F925" s="8"/>
      <c r="G925" s="8"/>
      <c r="H925" s="8"/>
    </row>
    <row r="926">
      <c r="A926" s="8"/>
      <c r="B926" s="8"/>
      <c r="C926" s="8"/>
      <c r="D926" s="8"/>
      <c r="E926" s="8"/>
      <c r="F926" s="8"/>
      <c r="G926" s="8"/>
      <c r="H926" s="8"/>
    </row>
    <row r="927">
      <c r="A927" s="8"/>
      <c r="B927" s="8"/>
      <c r="C927" s="8"/>
      <c r="D927" s="8"/>
      <c r="E927" s="8"/>
      <c r="F927" s="8"/>
      <c r="G927" s="8"/>
      <c r="H927" s="8"/>
    </row>
    <row r="928">
      <c r="A928" s="8"/>
      <c r="B928" s="8"/>
      <c r="C928" s="8"/>
      <c r="D928" s="8"/>
      <c r="E928" s="8"/>
      <c r="F928" s="8"/>
      <c r="G928" s="8"/>
      <c r="H928" s="8"/>
    </row>
    <row r="929">
      <c r="A929" s="8"/>
      <c r="B929" s="8"/>
      <c r="C929" s="8"/>
      <c r="D929" s="8"/>
      <c r="E929" s="8"/>
      <c r="F929" s="8"/>
      <c r="G929" s="8"/>
      <c r="H929" s="8"/>
    </row>
    <row r="930">
      <c r="A930" s="8"/>
      <c r="B930" s="8"/>
      <c r="C930" s="8"/>
      <c r="D930" s="8"/>
      <c r="E930" s="8"/>
      <c r="F930" s="8"/>
      <c r="G930" s="8"/>
      <c r="H930" s="8"/>
    </row>
    <row r="931">
      <c r="A931" s="8"/>
      <c r="B931" s="8"/>
      <c r="C931" s="8"/>
      <c r="D931" s="8"/>
      <c r="E931" s="8"/>
      <c r="F931" s="8"/>
      <c r="G931" s="8"/>
      <c r="H931" s="8"/>
    </row>
    <row r="932">
      <c r="A932" s="8"/>
      <c r="B932" s="8"/>
      <c r="C932" s="8"/>
      <c r="D932" s="8"/>
      <c r="E932" s="8"/>
      <c r="F932" s="8"/>
      <c r="G932" s="8"/>
      <c r="H932" s="8"/>
    </row>
    <row r="933">
      <c r="A933" s="8"/>
      <c r="B933" s="8"/>
      <c r="C933" s="8"/>
      <c r="D933" s="8"/>
      <c r="E933" s="8"/>
      <c r="F933" s="8"/>
      <c r="G933" s="8"/>
      <c r="H933" s="8"/>
    </row>
    <row r="934">
      <c r="A934" s="8"/>
      <c r="B934" s="8"/>
      <c r="C934" s="8"/>
      <c r="D934" s="8"/>
      <c r="E934" s="8"/>
      <c r="F934" s="8"/>
      <c r="G934" s="8"/>
      <c r="H934" s="8"/>
    </row>
    <row r="935">
      <c r="A935" s="8"/>
      <c r="B935" s="8"/>
      <c r="C935" s="8"/>
      <c r="D935" s="8"/>
      <c r="E935" s="8"/>
      <c r="F935" s="8"/>
      <c r="G935" s="8"/>
      <c r="H935" s="8"/>
    </row>
    <row r="936">
      <c r="A936" s="8"/>
      <c r="B936" s="8"/>
      <c r="C936" s="8"/>
      <c r="D936" s="8"/>
      <c r="E936" s="8"/>
      <c r="F936" s="8"/>
      <c r="G936" s="8"/>
      <c r="H936" s="8"/>
    </row>
    <row r="937">
      <c r="A937" s="8"/>
      <c r="B937" s="8"/>
      <c r="C937" s="8"/>
      <c r="D937" s="8"/>
      <c r="E937" s="8"/>
      <c r="F937" s="8"/>
      <c r="G937" s="8"/>
      <c r="H937" s="8"/>
    </row>
    <row r="938">
      <c r="A938" s="8"/>
      <c r="B938" s="8"/>
      <c r="C938" s="8"/>
      <c r="D938" s="8"/>
      <c r="E938" s="8"/>
      <c r="F938" s="8"/>
      <c r="G938" s="8"/>
      <c r="H938" s="8"/>
    </row>
    <row r="939">
      <c r="A939" s="8"/>
      <c r="B939" s="8"/>
      <c r="C939" s="8"/>
      <c r="D939" s="8"/>
      <c r="E939" s="8"/>
      <c r="F939" s="8"/>
      <c r="G939" s="8"/>
      <c r="H939" s="8"/>
    </row>
    <row r="940">
      <c r="A940" s="8"/>
      <c r="B940" s="8"/>
      <c r="C940" s="8"/>
      <c r="D940" s="8"/>
      <c r="E940" s="8"/>
      <c r="F940" s="8"/>
      <c r="G940" s="8"/>
      <c r="H940" s="8"/>
    </row>
    <row r="941">
      <c r="A941" s="8"/>
      <c r="B941" s="8"/>
      <c r="C941" s="8"/>
      <c r="D941" s="8"/>
      <c r="E941" s="8"/>
      <c r="F941" s="8"/>
      <c r="G941" s="8"/>
      <c r="H941" s="8"/>
    </row>
    <row r="942">
      <c r="A942" s="8"/>
      <c r="B942" s="8"/>
      <c r="C942" s="8"/>
      <c r="D942" s="8"/>
      <c r="E942" s="8"/>
      <c r="F942" s="8"/>
      <c r="G942" s="8"/>
      <c r="H942" s="8"/>
    </row>
    <row r="943">
      <c r="A943" s="8"/>
      <c r="B943" s="8"/>
      <c r="C943" s="8"/>
      <c r="D943" s="8"/>
      <c r="E943" s="8"/>
      <c r="F943" s="8"/>
      <c r="G943" s="8"/>
      <c r="H943" s="8"/>
    </row>
    <row r="944">
      <c r="A944" s="8"/>
      <c r="B944" s="8"/>
      <c r="C944" s="8"/>
      <c r="D944" s="8"/>
      <c r="E944" s="8"/>
      <c r="F944" s="8"/>
      <c r="G944" s="8"/>
      <c r="H944" s="8"/>
    </row>
    <row r="945">
      <c r="A945" s="8"/>
      <c r="B945" s="8"/>
      <c r="C945" s="8"/>
      <c r="D945" s="8"/>
      <c r="E945" s="8"/>
      <c r="F945" s="8"/>
      <c r="G945" s="8"/>
      <c r="H945" s="8"/>
    </row>
    <row r="946">
      <c r="A946" s="8"/>
      <c r="B946" s="8"/>
      <c r="C946" s="8"/>
      <c r="D946" s="8"/>
      <c r="E946" s="8"/>
      <c r="F946" s="8"/>
      <c r="G946" s="8"/>
      <c r="H946" s="8"/>
    </row>
    <row r="947">
      <c r="A947" s="8"/>
      <c r="B947" s="8"/>
      <c r="C947" s="8"/>
      <c r="D947" s="8"/>
      <c r="E947" s="8"/>
      <c r="F947" s="8"/>
      <c r="G947" s="8"/>
      <c r="H947" s="8"/>
    </row>
    <row r="948">
      <c r="A948" s="8"/>
      <c r="B948" s="8"/>
      <c r="C948" s="8"/>
      <c r="D948" s="8"/>
      <c r="E948" s="8"/>
      <c r="F948" s="8"/>
      <c r="G948" s="8"/>
      <c r="H948" s="8"/>
    </row>
    <row r="949">
      <c r="A949" s="8"/>
      <c r="B949" s="8"/>
      <c r="C949" s="8"/>
      <c r="D949" s="8"/>
      <c r="E949" s="8"/>
      <c r="F949" s="8"/>
      <c r="G949" s="8"/>
      <c r="H949" s="8"/>
    </row>
    <row r="950">
      <c r="A950" s="8"/>
      <c r="B950" s="8"/>
      <c r="C950" s="8"/>
      <c r="D950" s="8"/>
      <c r="E950" s="8"/>
      <c r="F950" s="8"/>
      <c r="G950" s="8"/>
      <c r="H950" s="8"/>
    </row>
    <row r="951">
      <c r="A951" s="8"/>
      <c r="B951" s="8"/>
      <c r="C951" s="8"/>
      <c r="D951" s="8"/>
      <c r="E951" s="8"/>
      <c r="F951" s="8"/>
      <c r="G951" s="8"/>
      <c r="H951" s="8"/>
    </row>
    <row r="952">
      <c r="A952" s="8"/>
      <c r="B952" s="8"/>
      <c r="C952" s="8"/>
      <c r="D952" s="8"/>
      <c r="E952" s="8"/>
      <c r="F952" s="8"/>
      <c r="G952" s="8"/>
      <c r="H952" s="8"/>
    </row>
    <row r="953">
      <c r="A953" s="8"/>
      <c r="B953" s="8"/>
      <c r="C953" s="8"/>
      <c r="D953" s="8"/>
      <c r="E953" s="8"/>
      <c r="F953" s="8"/>
      <c r="G953" s="8"/>
      <c r="H953" s="8"/>
    </row>
    <row r="954">
      <c r="A954" s="8"/>
      <c r="B954" s="8"/>
      <c r="C954" s="8"/>
      <c r="D954" s="8"/>
      <c r="E954" s="8"/>
      <c r="F954" s="8"/>
      <c r="G954" s="8"/>
      <c r="H954" s="8"/>
    </row>
    <row r="955">
      <c r="A955" s="8"/>
      <c r="B955" s="8"/>
      <c r="C955" s="8"/>
      <c r="D955" s="8"/>
      <c r="E955" s="8"/>
      <c r="F955" s="8"/>
      <c r="G955" s="8"/>
      <c r="H955" s="8"/>
    </row>
    <row r="956">
      <c r="A956" s="8"/>
      <c r="B956" s="8"/>
      <c r="C956" s="8"/>
      <c r="D956" s="8"/>
      <c r="E956" s="8"/>
      <c r="F956" s="8"/>
      <c r="G956" s="8"/>
      <c r="H956" s="8"/>
    </row>
    <row r="957">
      <c r="A957" s="8"/>
      <c r="B957" s="8"/>
      <c r="C957" s="8"/>
      <c r="D957" s="8"/>
      <c r="E957" s="8"/>
      <c r="F957" s="8"/>
      <c r="G957" s="8"/>
      <c r="H957" s="8"/>
    </row>
    <row r="958">
      <c r="A958" s="8"/>
      <c r="B958" s="8"/>
      <c r="C958" s="8"/>
      <c r="D958" s="8"/>
      <c r="E958" s="8"/>
      <c r="F958" s="8"/>
      <c r="G958" s="8"/>
      <c r="H958" s="8"/>
    </row>
    <row r="959">
      <c r="A959" s="8"/>
      <c r="B959" s="8"/>
      <c r="C959" s="8"/>
      <c r="D959" s="8"/>
      <c r="E959" s="8"/>
      <c r="F959" s="8"/>
      <c r="G959" s="8"/>
      <c r="H959" s="8"/>
    </row>
    <row r="960">
      <c r="A960" s="8"/>
      <c r="B960" s="8"/>
      <c r="C960" s="8"/>
      <c r="D960" s="8"/>
      <c r="E960" s="8"/>
      <c r="F960" s="8"/>
      <c r="G960" s="8"/>
      <c r="H960" s="8"/>
    </row>
    <row r="961">
      <c r="A961" s="8"/>
      <c r="B961" s="8"/>
      <c r="C961" s="8"/>
      <c r="D961" s="8"/>
      <c r="E961" s="8"/>
      <c r="F961" s="8"/>
      <c r="G961" s="8"/>
      <c r="H961" s="8"/>
    </row>
    <row r="962">
      <c r="A962" s="8"/>
      <c r="B962" s="8"/>
      <c r="C962" s="8"/>
      <c r="D962" s="8"/>
      <c r="E962" s="8"/>
      <c r="F962" s="8"/>
      <c r="G962" s="8"/>
      <c r="H962" s="8"/>
    </row>
    <row r="963">
      <c r="A963" s="8"/>
      <c r="B963" s="8"/>
      <c r="C963" s="8"/>
      <c r="D963" s="8"/>
      <c r="E963" s="8"/>
      <c r="F963" s="8"/>
      <c r="G963" s="8"/>
      <c r="H963" s="8"/>
    </row>
    <row r="964">
      <c r="A964" s="8"/>
      <c r="B964" s="8"/>
      <c r="C964" s="8"/>
      <c r="D964" s="8"/>
      <c r="E964" s="8"/>
      <c r="F964" s="8"/>
      <c r="G964" s="8"/>
      <c r="H964" s="8"/>
    </row>
    <row r="965">
      <c r="A965" s="8"/>
      <c r="B965" s="8"/>
      <c r="C965" s="8"/>
      <c r="D965" s="8"/>
      <c r="E965" s="8"/>
      <c r="F965" s="8"/>
      <c r="G965" s="8"/>
      <c r="H965" s="8"/>
    </row>
    <row r="966">
      <c r="A966" s="8"/>
      <c r="B966" s="8"/>
      <c r="C966" s="8"/>
      <c r="D966" s="8"/>
      <c r="E966" s="8"/>
      <c r="F966" s="8"/>
      <c r="G966" s="8"/>
      <c r="H966" s="8"/>
    </row>
    <row r="967">
      <c r="A967" s="8"/>
      <c r="B967" s="8"/>
      <c r="C967" s="8"/>
      <c r="D967" s="8"/>
      <c r="E967" s="8"/>
      <c r="F967" s="8"/>
      <c r="G967" s="8"/>
      <c r="H967" s="8"/>
    </row>
    <row r="968">
      <c r="A968" s="8"/>
      <c r="B968" s="8"/>
      <c r="C968" s="8"/>
      <c r="D968" s="8"/>
      <c r="E968" s="8"/>
      <c r="F968" s="8"/>
      <c r="G968" s="8"/>
      <c r="H968" s="8"/>
    </row>
    <row r="969">
      <c r="A969" s="8"/>
      <c r="B969" s="8"/>
      <c r="C969" s="8"/>
      <c r="D969" s="8"/>
      <c r="E969" s="8"/>
      <c r="F969" s="8"/>
      <c r="G969" s="8"/>
      <c r="H969" s="8"/>
    </row>
    <row r="970">
      <c r="A970" s="8"/>
      <c r="B970" s="8"/>
      <c r="C970" s="8"/>
      <c r="D970" s="8"/>
      <c r="E970" s="8"/>
      <c r="F970" s="8"/>
      <c r="G970" s="8"/>
      <c r="H970" s="8"/>
    </row>
    <row r="971">
      <c r="A971" s="8"/>
      <c r="B971" s="8"/>
      <c r="C971" s="8"/>
      <c r="D971" s="8"/>
      <c r="E971" s="8"/>
      <c r="F971" s="8"/>
      <c r="G971" s="8"/>
      <c r="H971" s="8"/>
    </row>
    <row r="972">
      <c r="A972" s="8"/>
      <c r="B972" s="8"/>
      <c r="C972" s="8"/>
      <c r="D972" s="8"/>
      <c r="E972" s="8"/>
      <c r="F972" s="8"/>
      <c r="G972" s="8"/>
      <c r="H972" s="8"/>
    </row>
    <row r="973">
      <c r="A973" s="8"/>
      <c r="B973" s="8"/>
      <c r="C973" s="8"/>
      <c r="D973" s="8"/>
      <c r="E973" s="8"/>
      <c r="F973" s="8"/>
      <c r="G973" s="8"/>
      <c r="H973" s="8"/>
    </row>
    <row r="974">
      <c r="A974" s="8"/>
      <c r="B974" s="8"/>
      <c r="C974" s="8"/>
      <c r="D974" s="8"/>
      <c r="E974" s="8"/>
      <c r="F974" s="8"/>
      <c r="G974" s="8"/>
      <c r="H974" s="8"/>
    </row>
    <row r="975">
      <c r="A975" s="8"/>
      <c r="B975" s="8"/>
      <c r="C975" s="8"/>
      <c r="D975" s="8"/>
      <c r="E975" s="8"/>
      <c r="F975" s="8"/>
      <c r="G975" s="8"/>
      <c r="H975" s="8"/>
    </row>
    <row r="976">
      <c r="A976" s="8"/>
      <c r="B976" s="8"/>
      <c r="C976" s="8"/>
      <c r="D976" s="8"/>
      <c r="E976" s="8"/>
      <c r="F976" s="8"/>
      <c r="G976" s="8"/>
      <c r="H976" s="8"/>
    </row>
    <row r="977">
      <c r="A977" s="8"/>
      <c r="B977" s="8"/>
      <c r="C977" s="8"/>
      <c r="D977" s="8"/>
      <c r="E977" s="8"/>
      <c r="F977" s="8"/>
      <c r="G977" s="8"/>
      <c r="H977" s="8"/>
    </row>
    <row r="978">
      <c r="A978" s="8"/>
      <c r="B978" s="8"/>
      <c r="C978" s="8"/>
      <c r="D978" s="8"/>
      <c r="E978" s="8"/>
      <c r="F978" s="8"/>
      <c r="G978" s="8"/>
      <c r="H978" s="8"/>
    </row>
    <row r="979">
      <c r="A979" s="8"/>
      <c r="B979" s="8"/>
      <c r="C979" s="8"/>
      <c r="D979" s="8"/>
      <c r="E979" s="8"/>
      <c r="F979" s="8"/>
      <c r="G979" s="8"/>
      <c r="H979" s="8"/>
    </row>
    <row r="980">
      <c r="A980" s="8"/>
      <c r="B980" s="8"/>
      <c r="C980" s="8"/>
      <c r="D980" s="8"/>
      <c r="E980" s="8"/>
      <c r="F980" s="8"/>
      <c r="G980" s="8"/>
      <c r="H980" s="8"/>
    </row>
    <row r="981">
      <c r="A981" s="8"/>
      <c r="B981" s="8"/>
      <c r="C981" s="8"/>
      <c r="D981" s="8"/>
      <c r="E981" s="8"/>
      <c r="F981" s="8"/>
      <c r="G981" s="8"/>
      <c r="H981" s="8"/>
    </row>
    <row r="982">
      <c r="A982" s="8"/>
      <c r="B982" s="8"/>
      <c r="C982" s="8"/>
      <c r="D982" s="8"/>
      <c r="E982" s="8"/>
      <c r="F982" s="8"/>
      <c r="G982" s="8"/>
      <c r="H982" s="8"/>
    </row>
    <row r="983">
      <c r="A983" s="8"/>
      <c r="B983" s="8"/>
      <c r="C983" s="8"/>
      <c r="D983" s="8"/>
      <c r="E983" s="8"/>
      <c r="F983" s="8"/>
      <c r="G983" s="8"/>
      <c r="H983" s="8"/>
    </row>
    <row r="984">
      <c r="A984" s="8"/>
      <c r="B984" s="8"/>
      <c r="C984" s="8"/>
      <c r="D984" s="8"/>
      <c r="E984" s="8"/>
      <c r="F984" s="8"/>
      <c r="G984" s="8"/>
      <c r="H984" s="8"/>
    </row>
    <row r="985">
      <c r="A985" s="8"/>
      <c r="B985" s="8"/>
      <c r="C985" s="8"/>
      <c r="D985" s="8"/>
      <c r="E985" s="8"/>
      <c r="F985" s="8"/>
      <c r="G985" s="8"/>
      <c r="H985" s="8"/>
    </row>
    <row r="986">
      <c r="A986" s="8"/>
      <c r="B986" s="8"/>
      <c r="C986" s="8"/>
      <c r="D986" s="8"/>
      <c r="E986" s="8"/>
      <c r="F986" s="8"/>
      <c r="G986" s="8"/>
      <c r="H986" s="8"/>
    </row>
    <row r="987">
      <c r="A987" s="8"/>
      <c r="B987" s="8"/>
      <c r="C987" s="8"/>
      <c r="D987" s="8"/>
      <c r="E987" s="8"/>
      <c r="F987" s="8"/>
      <c r="G987" s="8"/>
      <c r="H987" s="8"/>
    </row>
    <row r="988">
      <c r="A988" s="8"/>
      <c r="B988" s="8"/>
      <c r="C988" s="8"/>
      <c r="D988" s="8"/>
      <c r="E988" s="8"/>
      <c r="F988" s="8"/>
      <c r="G988" s="8"/>
      <c r="H988" s="8"/>
    </row>
    <row r="989">
      <c r="A989" s="8"/>
      <c r="B989" s="8"/>
      <c r="C989" s="8"/>
      <c r="D989" s="8"/>
      <c r="E989" s="8"/>
      <c r="F989" s="8"/>
      <c r="G989" s="8"/>
      <c r="H989" s="8"/>
    </row>
    <row r="990">
      <c r="A990" s="8"/>
      <c r="B990" s="8"/>
      <c r="C990" s="8"/>
      <c r="D990" s="8"/>
      <c r="E990" s="8"/>
      <c r="F990" s="8"/>
      <c r="G990" s="8"/>
      <c r="H990" s="8"/>
    </row>
    <row r="991">
      <c r="A991" s="8"/>
      <c r="B991" s="8"/>
      <c r="C991" s="8"/>
      <c r="D991" s="8"/>
      <c r="E991" s="8"/>
      <c r="F991" s="8"/>
      <c r="G991" s="8"/>
      <c r="H991" s="8"/>
    </row>
    <row r="992">
      <c r="A992" s="8"/>
      <c r="B992" s="8"/>
      <c r="C992" s="8"/>
      <c r="D992" s="8"/>
      <c r="E992" s="8"/>
      <c r="F992" s="8"/>
      <c r="G992" s="8"/>
      <c r="H992" s="8"/>
    </row>
    <row r="993">
      <c r="A993" s="8"/>
      <c r="B993" s="8"/>
      <c r="C993" s="8"/>
      <c r="D993" s="8"/>
      <c r="E993" s="8"/>
      <c r="F993" s="8"/>
      <c r="G993" s="8"/>
      <c r="H993" s="8"/>
    </row>
    <row r="994">
      <c r="A994" s="8"/>
      <c r="B994" s="8"/>
      <c r="C994" s="8"/>
      <c r="D994" s="8"/>
      <c r="E994" s="8"/>
      <c r="F994" s="8"/>
      <c r="G994" s="8"/>
      <c r="H994" s="8"/>
    </row>
    <row r="995">
      <c r="A995" s="8"/>
      <c r="B995" s="8"/>
      <c r="C995" s="8"/>
      <c r="D995" s="8"/>
      <c r="E995" s="8"/>
      <c r="F995" s="8"/>
      <c r="G995" s="8"/>
      <c r="H995" s="8"/>
    </row>
    <row r="996">
      <c r="A996" s="8"/>
      <c r="B996" s="8"/>
      <c r="C996" s="8"/>
      <c r="D996" s="8"/>
      <c r="E996" s="8"/>
      <c r="F996" s="8"/>
      <c r="G996" s="8"/>
      <c r="H996" s="8"/>
    </row>
    <row r="997">
      <c r="A997" s="8"/>
      <c r="B997" s="8"/>
      <c r="C997" s="8"/>
      <c r="D997" s="8"/>
      <c r="E997" s="8"/>
      <c r="F997" s="8"/>
      <c r="G997" s="8"/>
      <c r="H997" s="8"/>
    </row>
    <row r="998">
      <c r="A998" s="8"/>
      <c r="B998" s="8"/>
      <c r="C998" s="8"/>
      <c r="D998" s="8"/>
      <c r="E998" s="8"/>
      <c r="F998" s="8"/>
      <c r="G998" s="8"/>
      <c r="H998" s="8"/>
    </row>
    <row r="999">
      <c r="A999" s="8"/>
      <c r="B999" s="8"/>
      <c r="C999" s="8"/>
      <c r="D999" s="8"/>
      <c r="E999" s="8"/>
      <c r="F999" s="8"/>
      <c r="G999" s="8"/>
      <c r="H999" s="8"/>
    </row>
    <row r="1000">
      <c r="A1000" s="8"/>
      <c r="B1000" s="8"/>
      <c r="C1000" s="8"/>
      <c r="D1000" s="8"/>
      <c r="E1000" s="8"/>
      <c r="F1000" s="8"/>
      <c r="G1000" s="8"/>
      <c r="H1000" s="8"/>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 r:id="rId164" ref="L165"/>
    <hyperlink r:id="rId165" ref="L166"/>
    <hyperlink r:id="rId166" ref="L167"/>
    <hyperlink r:id="rId167" ref="L168"/>
    <hyperlink r:id="rId168" ref="L169"/>
    <hyperlink r:id="rId169" ref="L170"/>
    <hyperlink r:id="rId170" ref="L171"/>
    <hyperlink r:id="rId171" ref="L172"/>
    <hyperlink r:id="rId172" ref="L173"/>
    <hyperlink r:id="rId173" ref="L174"/>
    <hyperlink r:id="rId174" ref="L175"/>
    <hyperlink r:id="rId175" ref="L176"/>
    <hyperlink r:id="rId176" ref="L177"/>
    <hyperlink r:id="rId177" ref="L178"/>
    <hyperlink r:id="rId178" ref="L179"/>
    <hyperlink r:id="rId179" ref="L180"/>
    <hyperlink r:id="rId180" ref="L181"/>
    <hyperlink r:id="rId181" ref="L182"/>
    <hyperlink r:id="rId182" ref="L183"/>
    <hyperlink r:id="rId183" ref="L184"/>
    <hyperlink r:id="rId184" ref="L185"/>
    <hyperlink r:id="rId185" ref="L186"/>
    <hyperlink r:id="rId186" ref="L187"/>
    <hyperlink r:id="rId187" ref="L188"/>
    <hyperlink r:id="rId188" ref="L189"/>
    <hyperlink r:id="rId189" ref="L190"/>
    <hyperlink r:id="rId190" ref="L191"/>
    <hyperlink r:id="rId191" ref="L192"/>
    <hyperlink r:id="rId192" ref="L193"/>
    <hyperlink r:id="rId193" ref="L194"/>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L297"/>
    <hyperlink r:id="rId297" ref="L298"/>
    <hyperlink r:id="rId298" ref="L299"/>
    <hyperlink r:id="rId299" ref="L300"/>
    <hyperlink r:id="rId300" ref="L301"/>
    <hyperlink r:id="rId301" ref="L302"/>
    <hyperlink r:id="rId302" ref="L303"/>
    <hyperlink r:id="rId303" ref="L304"/>
    <hyperlink r:id="rId304" ref="L305"/>
    <hyperlink r:id="rId305" ref="L306"/>
    <hyperlink r:id="rId306" ref="L307"/>
    <hyperlink r:id="rId307" ref="L308"/>
    <hyperlink r:id="rId308" ref="L309"/>
    <hyperlink r:id="rId309" ref="L310"/>
    <hyperlink r:id="rId310" ref="L311"/>
    <hyperlink r:id="rId311" ref="L312"/>
    <hyperlink r:id="rId312" ref="L313"/>
    <hyperlink r:id="rId313" ref="L314"/>
    <hyperlink r:id="rId314" ref="L315"/>
    <hyperlink r:id="rId315" ref="L316"/>
    <hyperlink r:id="rId316" ref="L317"/>
    <hyperlink r:id="rId317" ref="L318"/>
    <hyperlink r:id="rId318" ref="L319"/>
    <hyperlink r:id="rId319" ref="L320"/>
    <hyperlink r:id="rId320" ref="L321"/>
    <hyperlink r:id="rId321" ref="L322"/>
    <hyperlink r:id="rId322" ref="L323"/>
    <hyperlink r:id="rId323" ref="L324"/>
    <hyperlink r:id="rId324" ref="L325"/>
    <hyperlink r:id="rId325" ref="L326"/>
    <hyperlink r:id="rId326" ref="L327"/>
    <hyperlink r:id="rId327" ref="L328"/>
    <hyperlink r:id="rId328" ref="L329"/>
    <hyperlink r:id="rId329" ref="L330"/>
    <hyperlink r:id="rId330" ref="L331"/>
    <hyperlink r:id="rId331" ref="L332"/>
    <hyperlink r:id="rId332" ref="L333"/>
    <hyperlink r:id="rId333" ref="L334"/>
    <hyperlink r:id="rId334" ref="L335"/>
    <hyperlink r:id="rId335" ref="L336"/>
    <hyperlink r:id="rId336" ref="L337"/>
    <hyperlink r:id="rId337" ref="L338"/>
    <hyperlink r:id="rId338" ref="L339"/>
    <hyperlink r:id="rId339" ref="L340"/>
    <hyperlink r:id="rId340" ref="L341"/>
    <hyperlink r:id="rId341" ref="L342"/>
    <hyperlink r:id="rId342" ref="L343"/>
    <hyperlink r:id="rId343" ref="L344"/>
    <hyperlink r:id="rId344" ref="L345"/>
    <hyperlink r:id="rId345" ref="L346"/>
    <hyperlink r:id="rId346" ref="L347"/>
    <hyperlink r:id="rId347" ref="L348"/>
    <hyperlink r:id="rId348" ref="L349"/>
    <hyperlink r:id="rId349" ref="L350"/>
    <hyperlink r:id="rId350" ref="L351"/>
    <hyperlink r:id="rId351" ref="L352"/>
    <hyperlink r:id="rId352" ref="L353"/>
    <hyperlink r:id="rId353" ref="L354"/>
    <hyperlink r:id="rId354" ref="L355"/>
    <hyperlink r:id="rId355" ref="L356"/>
    <hyperlink r:id="rId356" ref="L357"/>
    <hyperlink r:id="rId357" ref="L358"/>
    <hyperlink r:id="rId358" ref="L359"/>
    <hyperlink r:id="rId359" ref="L360"/>
    <hyperlink r:id="rId360" ref="L361"/>
    <hyperlink r:id="rId361" ref="L362"/>
    <hyperlink r:id="rId362" ref="L363"/>
    <hyperlink r:id="rId363" ref="L364"/>
    <hyperlink r:id="rId364" ref="L365"/>
    <hyperlink r:id="rId365" ref="L366"/>
    <hyperlink r:id="rId366" ref="L367"/>
    <hyperlink r:id="rId367" ref="L368"/>
    <hyperlink r:id="rId368" ref="L369"/>
    <hyperlink r:id="rId369" ref="L370"/>
    <hyperlink r:id="rId370" ref="L371"/>
    <hyperlink r:id="rId371" ref="L372"/>
    <hyperlink r:id="rId372" ref="L373"/>
    <hyperlink r:id="rId373" ref="L374"/>
    <hyperlink r:id="rId374" ref="L375"/>
    <hyperlink r:id="rId375" ref="L376"/>
    <hyperlink r:id="rId376" ref="L377"/>
    <hyperlink r:id="rId377" ref="L378"/>
    <hyperlink r:id="rId378" ref="L379"/>
    <hyperlink r:id="rId379" ref="L380"/>
    <hyperlink r:id="rId380" ref="L381"/>
    <hyperlink r:id="rId381" ref="L382"/>
    <hyperlink r:id="rId382" ref="L383"/>
    <hyperlink r:id="rId383" ref="L384"/>
    <hyperlink r:id="rId384" ref="L385"/>
    <hyperlink r:id="rId385" ref="L386"/>
    <hyperlink r:id="rId386" ref="L387"/>
    <hyperlink r:id="rId387" ref="L388"/>
    <hyperlink r:id="rId388" ref="L389"/>
    <hyperlink r:id="rId389" ref="L390"/>
    <hyperlink r:id="rId390" ref="L391"/>
    <hyperlink r:id="rId391" ref="L392"/>
    <hyperlink r:id="rId392" ref="L393"/>
    <hyperlink r:id="rId393" ref="L394"/>
    <hyperlink r:id="rId394" ref="L395"/>
    <hyperlink r:id="rId395" ref="L396"/>
    <hyperlink r:id="rId396" ref="L397"/>
    <hyperlink r:id="rId397" ref="L398"/>
    <hyperlink r:id="rId398" ref="L399"/>
    <hyperlink r:id="rId399" ref="L400"/>
    <hyperlink r:id="rId400" ref="L401"/>
    <hyperlink r:id="rId401" ref="L402"/>
    <hyperlink r:id="rId402" ref="L403"/>
    <hyperlink r:id="rId403" ref="L404"/>
    <hyperlink r:id="rId404" ref="L405"/>
    <hyperlink r:id="rId405" ref="L406"/>
    <hyperlink r:id="rId406" ref="L407"/>
    <hyperlink r:id="rId407" ref="L408"/>
    <hyperlink r:id="rId408" ref="L409"/>
    <hyperlink r:id="rId409" ref="L410"/>
    <hyperlink r:id="rId410" ref="L411"/>
    <hyperlink r:id="rId411" ref="L412"/>
    <hyperlink r:id="rId412" ref="L413"/>
    <hyperlink r:id="rId413" ref="L414"/>
    <hyperlink r:id="rId414" ref="L415"/>
    <hyperlink r:id="rId415" ref="L416"/>
    <hyperlink r:id="rId416" ref="L417"/>
    <hyperlink r:id="rId417" ref="L418"/>
    <hyperlink r:id="rId418" ref="L419"/>
    <hyperlink r:id="rId419" ref="L420"/>
    <hyperlink r:id="rId420" ref="L421"/>
    <hyperlink r:id="rId421" ref="L422"/>
    <hyperlink r:id="rId422" ref="L423"/>
    <hyperlink r:id="rId423" ref="L424"/>
    <hyperlink r:id="rId424" ref="L425"/>
    <hyperlink r:id="rId425" ref="L426"/>
    <hyperlink r:id="rId426" ref="L427"/>
    <hyperlink r:id="rId427" ref="L428"/>
    <hyperlink r:id="rId428" ref="L429"/>
    <hyperlink r:id="rId429" ref="L430"/>
    <hyperlink r:id="rId430" ref="L431"/>
    <hyperlink r:id="rId431" ref="L432"/>
    <hyperlink r:id="rId432" ref="L433"/>
    <hyperlink r:id="rId433" ref="L434"/>
    <hyperlink r:id="rId434" ref="L435"/>
    <hyperlink r:id="rId435" ref="L436"/>
    <hyperlink r:id="rId436" ref="L437"/>
    <hyperlink r:id="rId437" ref="L438"/>
    <hyperlink r:id="rId438" ref="L439"/>
    <hyperlink r:id="rId439" ref="L440"/>
    <hyperlink r:id="rId440" ref="L441"/>
    <hyperlink r:id="rId441" ref="L442"/>
    <hyperlink r:id="rId442" ref="L443"/>
    <hyperlink r:id="rId443" ref="L444"/>
    <hyperlink r:id="rId444" ref="L445"/>
    <hyperlink r:id="rId445" ref="L446"/>
    <hyperlink r:id="rId446" ref="L447"/>
    <hyperlink r:id="rId447" ref="L448"/>
    <hyperlink r:id="rId448" ref="L449"/>
    <hyperlink r:id="rId449" ref="L450"/>
    <hyperlink r:id="rId450" ref="L451"/>
    <hyperlink r:id="rId451" ref="L452"/>
    <hyperlink r:id="rId452" ref="L453"/>
    <hyperlink r:id="rId453" ref="L454"/>
    <hyperlink r:id="rId454" ref="L455"/>
    <hyperlink r:id="rId455" ref="L456"/>
    <hyperlink r:id="rId456" ref="L457"/>
    <hyperlink r:id="rId457" ref="L458"/>
    <hyperlink r:id="rId458" ref="L459"/>
    <hyperlink r:id="rId459" ref="L460"/>
    <hyperlink r:id="rId460" ref="L461"/>
    <hyperlink r:id="rId461" ref="L462"/>
    <hyperlink r:id="rId462" ref="L463"/>
    <hyperlink r:id="rId463" ref="L464"/>
    <hyperlink r:id="rId464" ref="L465"/>
    <hyperlink r:id="rId465" ref="L466"/>
    <hyperlink r:id="rId466" ref="L467"/>
    <hyperlink r:id="rId467" ref="L468"/>
    <hyperlink r:id="rId468" ref="L469"/>
    <hyperlink r:id="rId469" ref="L470"/>
    <hyperlink r:id="rId470" ref="L471"/>
    <hyperlink r:id="rId471" ref="L472"/>
    <hyperlink r:id="rId472" ref="L473"/>
    <hyperlink r:id="rId473" ref="L474"/>
    <hyperlink r:id="rId474" ref="L475"/>
    <hyperlink r:id="rId475" ref="L476"/>
    <hyperlink r:id="rId476" ref="L477"/>
    <hyperlink r:id="rId477" ref="L478"/>
    <hyperlink r:id="rId478" ref="L479"/>
    <hyperlink r:id="rId479" ref="L480"/>
    <hyperlink r:id="rId480" ref="L481"/>
    <hyperlink r:id="rId481" ref="L482"/>
    <hyperlink r:id="rId482" ref="L483"/>
    <hyperlink r:id="rId483" ref="L484"/>
    <hyperlink r:id="rId484" ref="L485"/>
    <hyperlink r:id="rId485" ref="L486"/>
    <hyperlink r:id="rId486" ref="L487"/>
    <hyperlink r:id="rId487" ref="L488"/>
    <hyperlink r:id="rId488" ref="L489"/>
    <hyperlink r:id="rId489" ref="L490"/>
    <hyperlink r:id="rId490" ref="L491"/>
    <hyperlink r:id="rId491" ref="L492"/>
    <hyperlink r:id="rId492" ref="L493"/>
    <hyperlink r:id="rId493" ref="L494"/>
    <hyperlink r:id="rId494" ref="L495"/>
    <hyperlink r:id="rId495" ref="L496"/>
    <hyperlink r:id="rId496" ref="L497"/>
    <hyperlink r:id="rId497" ref="L498"/>
    <hyperlink r:id="rId498" ref="L499"/>
    <hyperlink r:id="rId499" ref="L500"/>
    <hyperlink r:id="rId500" ref="L501"/>
    <hyperlink r:id="rId501" ref="L502"/>
    <hyperlink r:id="rId502" ref="L503"/>
    <hyperlink r:id="rId503" ref="L504"/>
    <hyperlink r:id="rId504" ref="L505"/>
    <hyperlink r:id="rId505" ref="L506"/>
    <hyperlink r:id="rId506" ref="L507"/>
    <hyperlink r:id="rId507" ref="L508"/>
    <hyperlink r:id="rId508" ref="L509"/>
    <hyperlink r:id="rId509" ref="L510"/>
    <hyperlink r:id="rId510" ref="L511"/>
    <hyperlink r:id="rId511" ref="L512"/>
    <hyperlink r:id="rId512" ref="L513"/>
    <hyperlink r:id="rId513" ref="L514"/>
    <hyperlink r:id="rId514" ref="L515"/>
    <hyperlink r:id="rId515" ref="L516"/>
    <hyperlink r:id="rId516" ref="L517"/>
    <hyperlink r:id="rId517" ref="L518"/>
    <hyperlink r:id="rId518" ref="L519"/>
    <hyperlink r:id="rId519" ref="L520"/>
    <hyperlink r:id="rId520" ref="L521"/>
    <hyperlink r:id="rId521" ref="L522"/>
    <hyperlink r:id="rId522" ref="L523"/>
    <hyperlink r:id="rId523" ref="L524"/>
    <hyperlink r:id="rId524" ref="L525"/>
    <hyperlink r:id="rId525" ref="L526"/>
    <hyperlink r:id="rId526" ref="L527"/>
    <hyperlink r:id="rId527" ref="L528"/>
    <hyperlink r:id="rId528" ref="L529"/>
    <hyperlink r:id="rId529" ref="L530"/>
    <hyperlink r:id="rId530" ref="L531"/>
    <hyperlink r:id="rId531" ref="L532"/>
    <hyperlink r:id="rId532" ref="L533"/>
    <hyperlink r:id="rId533" ref="L534"/>
    <hyperlink r:id="rId534" ref="L535"/>
    <hyperlink r:id="rId535" ref="L536"/>
    <hyperlink r:id="rId536" ref="L537"/>
    <hyperlink r:id="rId537" ref="L538"/>
    <hyperlink r:id="rId538" ref="L539"/>
    <hyperlink r:id="rId539" ref="L540"/>
    <hyperlink r:id="rId540" ref="L541"/>
    <hyperlink r:id="rId541" ref="L542"/>
    <hyperlink r:id="rId542" ref="L543"/>
    <hyperlink r:id="rId543" ref="L544"/>
    <hyperlink r:id="rId544" ref="L545"/>
    <hyperlink r:id="rId545" ref="L546"/>
    <hyperlink r:id="rId546" ref="L547"/>
    <hyperlink r:id="rId547" ref="L548"/>
    <hyperlink r:id="rId548" ref="L549"/>
    <hyperlink r:id="rId549" ref="L550"/>
    <hyperlink r:id="rId550" ref="L551"/>
    <hyperlink r:id="rId551" ref="L552"/>
    <hyperlink r:id="rId552" ref="L553"/>
    <hyperlink r:id="rId553" ref="L554"/>
    <hyperlink r:id="rId554" ref="L555"/>
    <hyperlink r:id="rId555" ref="L556"/>
    <hyperlink r:id="rId556" ref="L557"/>
    <hyperlink r:id="rId557" ref="L558"/>
    <hyperlink r:id="rId558" ref="L559"/>
    <hyperlink r:id="rId559" ref="L560"/>
    <hyperlink r:id="rId560" ref="L561"/>
    <hyperlink r:id="rId561" ref="L562"/>
    <hyperlink r:id="rId562" ref="L563"/>
    <hyperlink r:id="rId563" ref="L564"/>
    <hyperlink r:id="rId564" ref="L565"/>
    <hyperlink r:id="rId565" ref="L566"/>
    <hyperlink r:id="rId566" ref="L567"/>
    <hyperlink r:id="rId567" ref="L568"/>
    <hyperlink r:id="rId568" ref="L569"/>
    <hyperlink r:id="rId569" ref="L570"/>
    <hyperlink r:id="rId570" ref="L571"/>
    <hyperlink r:id="rId571" ref="L572"/>
    <hyperlink r:id="rId572" ref="L573"/>
    <hyperlink r:id="rId573" ref="L574"/>
    <hyperlink r:id="rId574" ref="L575"/>
    <hyperlink r:id="rId575" ref="L576"/>
    <hyperlink r:id="rId576" ref="L577"/>
    <hyperlink r:id="rId577" ref="L578"/>
    <hyperlink r:id="rId578" ref="L579"/>
    <hyperlink r:id="rId579" ref="L580"/>
    <hyperlink r:id="rId580" ref="L581"/>
    <hyperlink r:id="rId581" ref="L582"/>
    <hyperlink r:id="rId582" ref="L583"/>
    <hyperlink r:id="rId583" ref="L584"/>
    <hyperlink r:id="rId584" ref="L585"/>
    <hyperlink r:id="rId585" ref="L586"/>
    <hyperlink r:id="rId586" ref="L587"/>
    <hyperlink r:id="rId587" ref="L588"/>
    <hyperlink r:id="rId588" ref="L589"/>
    <hyperlink r:id="rId589" ref="L590"/>
    <hyperlink r:id="rId590" ref="L591"/>
    <hyperlink r:id="rId591" ref="L592"/>
    <hyperlink r:id="rId592" ref="L593"/>
    <hyperlink r:id="rId593" ref="L594"/>
    <hyperlink r:id="rId594" ref="L595"/>
    <hyperlink r:id="rId595" ref="L596"/>
    <hyperlink r:id="rId596" ref="L597"/>
    <hyperlink r:id="rId597" ref="L598"/>
    <hyperlink r:id="rId598" ref="L599"/>
    <hyperlink r:id="rId599" ref="L600"/>
    <hyperlink r:id="rId600" ref="L601"/>
    <hyperlink r:id="rId601" ref="L602"/>
    <hyperlink r:id="rId602" ref="L603"/>
    <hyperlink r:id="rId603" ref="L604"/>
    <hyperlink r:id="rId604" ref="L605"/>
    <hyperlink r:id="rId605" ref="L606"/>
    <hyperlink r:id="rId606" ref="L607"/>
    <hyperlink r:id="rId607" ref="L608"/>
    <hyperlink r:id="rId608" ref="L609"/>
    <hyperlink r:id="rId609" ref="L610"/>
    <hyperlink r:id="rId610" ref="L611"/>
    <hyperlink r:id="rId611" ref="L612"/>
    <hyperlink r:id="rId612" ref="L613"/>
    <hyperlink r:id="rId613" ref="L614"/>
    <hyperlink r:id="rId614" ref="L615"/>
    <hyperlink r:id="rId615" ref="L616"/>
    <hyperlink r:id="rId616" ref="L617"/>
    <hyperlink r:id="rId617" ref="L618"/>
    <hyperlink r:id="rId618" ref="L619"/>
    <hyperlink r:id="rId619" ref="L620"/>
    <hyperlink r:id="rId620" ref="L621"/>
    <hyperlink r:id="rId621" ref="L622"/>
    <hyperlink r:id="rId622" ref="L623"/>
    <hyperlink r:id="rId623" ref="L624"/>
    <hyperlink r:id="rId624" ref="L625"/>
    <hyperlink r:id="rId625" ref="L626"/>
    <hyperlink r:id="rId626" ref="L627"/>
    <hyperlink r:id="rId627" ref="L628"/>
    <hyperlink r:id="rId628" ref="L629"/>
    <hyperlink r:id="rId629" ref="L630"/>
    <hyperlink r:id="rId630" ref="L631"/>
    <hyperlink r:id="rId631" ref="L632"/>
    <hyperlink r:id="rId632" ref="L633"/>
    <hyperlink r:id="rId633" ref="L634"/>
    <hyperlink r:id="rId634" ref="L635"/>
    <hyperlink r:id="rId635" ref="L636"/>
    <hyperlink r:id="rId636" ref="L637"/>
    <hyperlink r:id="rId637" ref="L638"/>
    <hyperlink r:id="rId638" ref="L639"/>
    <hyperlink r:id="rId639" ref="L640"/>
    <hyperlink r:id="rId640" ref="L641"/>
    <hyperlink r:id="rId641" ref="L642"/>
    <hyperlink r:id="rId642" ref="L643"/>
    <hyperlink r:id="rId643" ref="L644"/>
    <hyperlink r:id="rId644" ref="L645"/>
    <hyperlink r:id="rId645" ref="L646"/>
    <hyperlink r:id="rId646" ref="L647"/>
    <hyperlink r:id="rId647" ref="L648"/>
    <hyperlink r:id="rId648" ref="L649"/>
    <hyperlink r:id="rId649" ref="L650"/>
    <hyperlink r:id="rId650" ref="L651"/>
    <hyperlink r:id="rId651" ref="L652"/>
    <hyperlink r:id="rId652" ref="L653"/>
    <hyperlink r:id="rId653" ref="L654"/>
    <hyperlink r:id="rId654" ref="L655"/>
    <hyperlink r:id="rId655" ref="L656"/>
    <hyperlink r:id="rId656" ref="L657"/>
    <hyperlink r:id="rId657" ref="L658"/>
    <hyperlink r:id="rId658" ref="L659"/>
    <hyperlink r:id="rId659" ref="L660"/>
    <hyperlink r:id="rId660" ref="L661"/>
    <hyperlink r:id="rId661" ref="L662"/>
    <hyperlink r:id="rId662" ref="L663"/>
    <hyperlink r:id="rId663" ref="L664"/>
    <hyperlink r:id="rId664" ref="L665"/>
    <hyperlink r:id="rId665" ref="L666"/>
    <hyperlink r:id="rId666" ref="L667"/>
    <hyperlink r:id="rId667" ref="L668"/>
    <hyperlink r:id="rId668" ref="L669"/>
    <hyperlink r:id="rId669" ref="L670"/>
    <hyperlink r:id="rId670" ref="L671"/>
    <hyperlink r:id="rId671" ref="L672"/>
    <hyperlink r:id="rId672" ref="L673"/>
    <hyperlink r:id="rId673" ref="L674"/>
    <hyperlink r:id="rId674" ref="L675"/>
    <hyperlink r:id="rId675" ref="L676"/>
    <hyperlink r:id="rId676" ref="L677"/>
    <hyperlink r:id="rId677" ref="L678"/>
    <hyperlink r:id="rId678" ref="L679"/>
    <hyperlink r:id="rId679" ref="L680"/>
    <hyperlink r:id="rId680" ref="L681"/>
    <hyperlink r:id="rId681" ref="L682"/>
    <hyperlink r:id="rId682" ref="L683"/>
    <hyperlink r:id="rId683" ref="L684"/>
    <hyperlink r:id="rId684" ref="L685"/>
    <hyperlink r:id="rId685" ref="L686"/>
    <hyperlink r:id="rId686" ref="L687"/>
    <hyperlink r:id="rId687" ref="L688"/>
    <hyperlink r:id="rId688" ref="L689"/>
    <hyperlink r:id="rId689" ref="L690"/>
    <hyperlink r:id="rId690" ref="L691"/>
    <hyperlink r:id="rId691" ref="L692"/>
    <hyperlink r:id="rId692" ref="L693"/>
    <hyperlink r:id="rId693" ref="L694"/>
    <hyperlink r:id="rId694" ref="L695"/>
    <hyperlink r:id="rId695" ref="L696"/>
    <hyperlink r:id="rId696" ref="L697"/>
    <hyperlink r:id="rId697" ref="L698"/>
    <hyperlink r:id="rId698" ref="L699"/>
    <hyperlink r:id="rId699" ref="L700"/>
    <hyperlink r:id="rId700" ref="L701"/>
    <hyperlink r:id="rId701" ref="L702"/>
    <hyperlink r:id="rId702" ref="L703"/>
    <hyperlink r:id="rId703" ref="L704"/>
    <hyperlink r:id="rId704" ref="L705"/>
    <hyperlink r:id="rId705" ref="L706"/>
    <hyperlink r:id="rId706" ref="L707"/>
    <hyperlink r:id="rId707" ref="L708"/>
    <hyperlink r:id="rId708" ref="L709"/>
    <hyperlink r:id="rId709" ref="L710"/>
    <hyperlink r:id="rId710" ref="L711"/>
    <hyperlink r:id="rId711" ref="L712"/>
    <hyperlink r:id="rId712" ref="L713"/>
    <hyperlink r:id="rId713" ref="L714"/>
    <hyperlink r:id="rId714" ref="L715"/>
    <hyperlink r:id="rId715" ref="L716"/>
    <hyperlink r:id="rId716" ref="L717"/>
    <hyperlink r:id="rId717" ref="L718"/>
    <hyperlink r:id="rId718" ref="L719"/>
    <hyperlink r:id="rId719" ref="L720"/>
    <hyperlink r:id="rId720" ref="L721"/>
    <hyperlink r:id="rId721" ref="L722"/>
    <hyperlink r:id="rId722" ref="L723"/>
    <hyperlink r:id="rId723" ref="L724"/>
    <hyperlink r:id="rId724" ref="L725"/>
    <hyperlink r:id="rId725" ref="L726"/>
    <hyperlink r:id="rId726" ref="L727"/>
    <hyperlink r:id="rId727" ref="L728"/>
  </hyperlinks>
  <drawing r:id="rId72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55.25"/>
    <col customWidth="1" min="9" max="9" width="13.25"/>
    <col customWidth="1" min="10" max="10" width="34.25"/>
    <col customWidth="1" min="11" max="12" width="49.25"/>
    <col customWidth="1" min="13" max="13" width="35.5"/>
    <col customWidth="1" min="14" max="14" width="19.63"/>
    <col customWidth="1" min="15" max="15" width="23.0"/>
    <col customWidth="1" min="16" max="16" width="15.63"/>
    <col customWidth="1" min="17" max="17" width="18.38"/>
    <col customWidth="1" min="18" max="18" width="29.13"/>
    <col customWidth="1" min="19" max="19" width="28.5"/>
    <col customWidth="1" min="20" max="20" width="22.0"/>
    <col customWidth="1" min="21" max="29" width="49.25"/>
  </cols>
  <sheetData>
    <row r="1" ht="54.0" customHeight="1">
      <c r="A1" s="1" t="s">
        <v>0</v>
      </c>
      <c r="B1" s="1" t="s">
        <v>13</v>
      </c>
      <c r="C1" s="1" t="s">
        <v>13</v>
      </c>
      <c r="D1" s="1" t="s">
        <v>13</v>
      </c>
      <c r="E1" s="1" t="s">
        <v>13</v>
      </c>
      <c r="F1" s="1" t="s">
        <v>13</v>
      </c>
      <c r="G1" s="1" t="s">
        <v>13</v>
      </c>
      <c r="H1" s="1" t="s">
        <v>13</v>
      </c>
      <c r="I1" s="2" t="s">
        <v>1</v>
      </c>
      <c r="J1" s="2" t="s">
        <v>2</v>
      </c>
      <c r="K1" s="2" t="s">
        <v>3</v>
      </c>
      <c r="L1" s="2" t="s">
        <v>4</v>
      </c>
      <c r="M1" s="2" t="s">
        <v>5</v>
      </c>
      <c r="N1" s="2" t="s">
        <v>6</v>
      </c>
      <c r="O1" s="2" t="s">
        <v>7</v>
      </c>
      <c r="P1" s="2" t="s">
        <v>8</v>
      </c>
      <c r="Q1" s="2" t="s">
        <v>9</v>
      </c>
      <c r="R1" s="2" t="s">
        <v>10</v>
      </c>
      <c r="S1" s="2" t="s">
        <v>11</v>
      </c>
      <c r="T1" s="2" t="s">
        <v>12</v>
      </c>
      <c r="U1" s="3" t="s">
        <v>13</v>
      </c>
      <c r="V1" s="20" t="s">
        <v>1979</v>
      </c>
      <c r="W1" s="20" t="s">
        <v>1980</v>
      </c>
      <c r="X1" s="20" t="s">
        <v>1981</v>
      </c>
      <c r="Y1" s="20" t="s">
        <v>1698</v>
      </c>
      <c r="Z1" s="20" t="s">
        <v>1982</v>
      </c>
      <c r="AA1" s="20" t="s">
        <v>1699</v>
      </c>
      <c r="AB1" s="3"/>
      <c r="AC1" s="3"/>
    </row>
    <row r="2">
      <c r="A2" s="4" t="s">
        <v>1704</v>
      </c>
      <c r="B2" s="4" t="str">
        <f>IFERROR(__xludf.DUMMYFUNCTION("SPLIT(A2:A722, ""&gt;"")"),"Online Behavior")</f>
        <v>Online Behavior</v>
      </c>
      <c r="C2" s="4" t="str">
        <f>IFERROR(__xludf.DUMMYFUNCTION("""COMPUTED_VALUE"""),"United States")</f>
        <v>United States</v>
      </c>
      <c r="D2" s="4" t="str">
        <f>IFERROR(__xludf.DUMMYFUNCTION("""COMPUTED_VALUE"""),"Validated Demographic ")</f>
        <v>Validated Demographic </v>
      </c>
      <c r="E2" s="4" t="str">
        <f>IFERROR(__xludf.DUMMYFUNCTION("""COMPUTED_VALUE""")," Gender and Age Combined")</f>
        <v> Gender and Age Combined</v>
      </c>
      <c r="F2" s="4" t="str">
        <f>IFERROR(__xludf.DUMMYFUNCTION("""COMPUTED_VALUE"""),"Females 25 or older")</f>
        <v>Females 25 or older</v>
      </c>
      <c r="G2" s="4"/>
      <c r="H2" s="4"/>
      <c r="I2" s="5" t="s">
        <v>15</v>
      </c>
      <c r="J2" s="5" t="s">
        <v>16</v>
      </c>
      <c r="K2" s="5" t="s">
        <v>17</v>
      </c>
      <c r="L2" s="6" t="s">
        <v>18</v>
      </c>
      <c r="M2" s="5" t="s">
        <v>19</v>
      </c>
      <c r="N2" s="5" t="s">
        <v>20</v>
      </c>
      <c r="O2" s="5">
        <v>10524.0</v>
      </c>
      <c r="P2" s="5">
        <v>55.0</v>
      </c>
      <c r="Q2" s="5">
        <v>7601.0</v>
      </c>
      <c r="R2" s="5">
        <v>10242.0</v>
      </c>
      <c r="S2" s="5">
        <v>11.0</v>
      </c>
      <c r="T2" s="5">
        <v>6136.133902</v>
      </c>
      <c r="V2" s="21">
        <f t="shared" ref="V2:V722" si="1">(T2/O2)*1000</f>
        <v>583.0609941</v>
      </c>
      <c r="W2" s="21">
        <f t="shared" ref="W2:W722" si="2">(1000*T2)/Q2</f>
        <v>807.2798187</v>
      </c>
      <c r="X2" s="21">
        <f t="shared" ref="X2:X722" si="3">(S2/P2)*100</f>
        <v>20</v>
      </c>
      <c r="Y2" s="21">
        <f t="shared" ref="Y2:Y722" si="4">T2/S2</f>
        <v>557.8303547</v>
      </c>
      <c r="Z2" s="21">
        <f t="shared" ref="Z2:Z722" si="5">T2/P2</f>
        <v>111.5660709</v>
      </c>
      <c r="AA2" s="21">
        <f t="shared" ref="AA2:AA722" si="6">(P2/O2)*100</f>
        <v>0.5226149753</v>
      </c>
    </row>
    <row r="3">
      <c r="A3" s="4" t="s">
        <v>1705</v>
      </c>
      <c r="B3" s="4" t="str">
        <f>IFERROR(__xludf.DUMMYFUNCTION("SPLIT(A3:A723, ""&gt;"")"),"Online Behavior")</f>
        <v>Online Behavior</v>
      </c>
      <c r="C3" s="4" t="str">
        <f>IFERROR(__xludf.DUMMYFUNCTION("""COMPUTED_VALUE"""),"United States")</f>
        <v>United States</v>
      </c>
      <c r="D3" s="4" t="str">
        <f>IFERROR(__xludf.DUMMYFUNCTION("""COMPUTED_VALUE"""),"Finance ")</f>
        <v>Finance </v>
      </c>
      <c r="E3" s="4" t="str">
        <f>IFERROR(__xludf.DUMMYFUNCTION("""COMPUTED_VALUE""")," Financial Planning and Management")</f>
        <v> Financial Planning and Management</v>
      </c>
      <c r="F3" s="4" t="str">
        <f>IFERROR(__xludf.DUMMYFUNCTION("""COMPUTED_VALUE"""),"Retirement and Pension")</f>
        <v>Retirement and Pension</v>
      </c>
      <c r="G3" s="4"/>
      <c r="H3" s="4"/>
      <c r="I3" s="5" t="s">
        <v>22</v>
      </c>
      <c r="J3" s="5" t="s">
        <v>23</v>
      </c>
      <c r="K3" s="5" t="s">
        <v>24</v>
      </c>
      <c r="L3" s="6" t="s">
        <v>25</v>
      </c>
      <c r="M3" s="5" t="s">
        <v>26</v>
      </c>
      <c r="N3" s="5" t="s">
        <v>27</v>
      </c>
      <c r="O3" s="5">
        <v>18324.0</v>
      </c>
      <c r="P3" s="5">
        <v>60.0</v>
      </c>
      <c r="Q3" s="5">
        <v>3145.0</v>
      </c>
      <c r="R3" s="5">
        <v>13703.0</v>
      </c>
      <c r="S3" s="5">
        <v>8.0</v>
      </c>
      <c r="T3" s="5">
        <v>6996.231838</v>
      </c>
      <c r="V3" s="21">
        <f t="shared" si="1"/>
        <v>381.8070202</v>
      </c>
      <c r="W3" s="21">
        <f t="shared" si="2"/>
        <v>2224.557023</v>
      </c>
      <c r="X3" s="21">
        <f t="shared" si="3"/>
        <v>13.33333333</v>
      </c>
      <c r="Y3" s="21">
        <f t="shared" si="4"/>
        <v>874.5289798</v>
      </c>
      <c r="Z3" s="21">
        <f t="shared" si="5"/>
        <v>116.603864</v>
      </c>
      <c r="AA3" s="21">
        <f t="shared" si="6"/>
        <v>0.3274394237</v>
      </c>
    </row>
    <row r="4">
      <c r="A4" s="4" t="s">
        <v>1706</v>
      </c>
      <c r="B4" s="4" t="str">
        <f>IFERROR(__xludf.DUMMYFUNCTION("SPLIT(A4:A724, ""&gt;"")"),"Online Behavior")</f>
        <v>Online Behavior</v>
      </c>
      <c r="C4" s="4" t="str">
        <f>IFERROR(__xludf.DUMMYFUNCTION("""COMPUTED_VALUE"""),"United States")</f>
        <v>United States</v>
      </c>
      <c r="D4" s="4" t="str">
        <f>IFERROR(__xludf.DUMMYFUNCTION("""COMPUTED_VALUE"""),"Hobbies and Leisure")</f>
        <v>Hobbies and Leisure</v>
      </c>
      <c r="E4" s="4" t="str">
        <f>IFERROR(__xludf.DUMMYFUNCTION("""COMPUTED_VALUE"""),"Outdoors ")</f>
        <v>Outdoors </v>
      </c>
      <c r="F4" s="4" t="str">
        <f>IFERROR(__xludf.DUMMYFUNCTION("""COMPUTED_VALUE""")," Equestrian")</f>
        <v> Equestrian</v>
      </c>
      <c r="G4" s="4"/>
      <c r="H4" s="4"/>
      <c r="I4" s="5" t="s">
        <v>15</v>
      </c>
      <c r="J4" s="5" t="s">
        <v>16</v>
      </c>
      <c r="K4" s="5" t="s">
        <v>29</v>
      </c>
      <c r="L4" s="6" t="s">
        <v>25</v>
      </c>
      <c r="M4" s="5" t="s">
        <v>19</v>
      </c>
      <c r="N4" s="5" t="s">
        <v>27</v>
      </c>
      <c r="O4" s="5">
        <v>7862.0</v>
      </c>
      <c r="P4" s="5">
        <v>20.0</v>
      </c>
      <c r="Q4" s="5">
        <v>2152.0</v>
      </c>
      <c r="R4" s="5">
        <v>6039.0</v>
      </c>
      <c r="S4" s="5">
        <v>2.0</v>
      </c>
      <c r="T4" s="5">
        <v>6506.433687</v>
      </c>
      <c r="V4" s="21">
        <f t="shared" si="1"/>
        <v>827.5799653</v>
      </c>
      <c r="W4" s="21">
        <f t="shared" si="2"/>
        <v>3023.435728</v>
      </c>
      <c r="X4" s="21">
        <f t="shared" si="3"/>
        <v>10</v>
      </c>
      <c r="Y4" s="21">
        <f t="shared" si="4"/>
        <v>3253.216844</v>
      </c>
      <c r="Z4" s="21">
        <f t="shared" si="5"/>
        <v>325.3216844</v>
      </c>
      <c r="AA4" s="21">
        <f t="shared" si="6"/>
        <v>0.2543881964</v>
      </c>
    </row>
    <row r="5">
      <c r="A5" s="4" t="s">
        <v>1707</v>
      </c>
      <c r="B5" s="4" t="str">
        <f>IFERROR(__xludf.DUMMYFUNCTION("SPLIT(A5:A725, ""&gt;"")"),"Online Behavior")</f>
        <v>Online Behavior</v>
      </c>
      <c r="C5" s="4" t="str">
        <f>IFERROR(__xludf.DUMMYFUNCTION("""COMPUTED_VALUE"""),"United States")</f>
        <v>United States</v>
      </c>
      <c r="D5" s="4" t="str">
        <f>IFERROR(__xludf.DUMMYFUNCTION("""COMPUTED_VALUE"""),"Intent ")</f>
        <v>Intent </v>
      </c>
      <c r="E5" s="4" t="str">
        <f>IFERROR(__xludf.DUMMYFUNCTION("""COMPUTED_VALUE""")," Auto Buyers ")</f>
        <v> Auto Buyers </v>
      </c>
      <c r="F5" s="4" t="str">
        <f>IFERROR(__xludf.DUMMYFUNCTION("""COMPUTED_VALUE""")," Car Make")</f>
        <v> Car Make</v>
      </c>
      <c r="G5" s="4" t="str">
        <f>IFERROR(__xludf.DUMMYFUNCTION("""COMPUTED_VALUE"""),"Audi Q")</f>
        <v>Audi Q</v>
      </c>
      <c r="H5" s="4"/>
      <c r="I5" s="5" t="s">
        <v>15</v>
      </c>
      <c r="J5" s="5" t="s">
        <v>31</v>
      </c>
      <c r="K5" s="5" t="s">
        <v>32</v>
      </c>
      <c r="L5" s="6" t="s">
        <v>25</v>
      </c>
      <c r="M5" s="5" t="s">
        <v>33</v>
      </c>
      <c r="N5" s="5" t="s">
        <v>27</v>
      </c>
      <c r="O5" s="5">
        <v>10501.0</v>
      </c>
      <c r="P5" s="5">
        <v>90.0</v>
      </c>
      <c r="Q5" s="5">
        <v>4126.0</v>
      </c>
      <c r="R5" s="5">
        <v>7654.0</v>
      </c>
      <c r="S5" s="5">
        <v>8.0</v>
      </c>
      <c r="T5" s="5">
        <v>6244.517921</v>
      </c>
      <c r="V5" s="21">
        <f t="shared" si="1"/>
        <v>594.6593583</v>
      </c>
      <c r="W5" s="21">
        <f t="shared" si="2"/>
        <v>1513.455628</v>
      </c>
      <c r="X5" s="21">
        <f t="shared" si="3"/>
        <v>8.888888889</v>
      </c>
      <c r="Y5" s="21">
        <f t="shared" si="4"/>
        <v>780.5647401</v>
      </c>
      <c r="Z5" s="21">
        <f t="shared" si="5"/>
        <v>69.38353246</v>
      </c>
      <c r="AA5" s="21">
        <f t="shared" si="6"/>
        <v>0.8570612323</v>
      </c>
    </row>
    <row r="6">
      <c r="A6" s="4" t="s">
        <v>1708</v>
      </c>
      <c r="B6" s="4" t="str">
        <f>IFERROR(__xludf.DUMMYFUNCTION("SPLIT(A6:A726, ""&gt;"")"),"Online Behavior")</f>
        <v>Online Behavior</v>
      </c>
      <c r="C6" s="4" t="str">
        <f>IFERROR(__xludf.DUMMYFUNCTION("""COMPUTED_VALUE"""),"United States")</f>
        <v>United States</v>
      </c>
      <c r="D6" s="4" t="str">
        <f>IFERROR(__xludf.DUMMYFUNCTION("""COMPUTED_VALUE"""),"Beauty and Fitness")</f>
        <v>Beauty and Fitness</v>
      </c>
      <c r="E6" s="4" t="str">
        <f>IFERROR(__xludf.DUMMYFUNCTION("""COMPUTED_VALUE"""),"Fitness ")</f>
        <v>Fitness </v>
      </c>
      <c r="F6" s="4" t="str">
        <f>IFERROR(__xludf.DUMMYFUNCTION("""COMPUTED_VALUE""")," Fitness Instruction and Personal Training")</f>
        <v> Fitness Instruction and Personal Training</v>
      </c>
      <c r="G6" s="4"/>
      <c r="H6" s="4"/>
      <c r="I6" s="5" t="s">
        <v>15</v>
      </c>
      <c r="J6" s="5" t="s">
        <v>31</v>
      </c>
      <c r="K6" s="5" t="s">
        <v>35</v>
      </c>
      <c r="L6" s="6" t="s">
        <v>25</v>
      </c>
      <c r="M6" s="5" t="s">
        <v>36</v>
      </c>
      <c r="N6" s="5" t="s">
        <v>20</v>
      </c>
      <c r="O6" s="5">
        <v>23156.0</v>
      </c>
      <c r="P6" s="5">
        <v>73.0</v>
      </c>
      <c r="Q6" s="5">
        <v>4468.0</v>
      </c>
      <c r="R6" s="5">
        <v>18821.0</v>
      </c>
      <c r="S6" s="5">
        <v>15.0</v>
      </c>
      <c r="T6" s="5">
        <v>6173.41289</v>
      </c>
      <c r="V6" s="21">
        <f t="shared" si="1"/>
        <v>266.6010058</v>
      </c>
      <c r="W6" s="21">
        <f t="shared" si="2"/>
        <v>1381.694917</v>
      </c>
      <c r="X6" s="21">
        <f t="shared" si="3"/>
        <v>20.54794521</v>
      </c>
      <c r="Y6" s="21">
        <f t="shared" si="4"/>
        <v>411.5608593</v>
      </c>
      <c r="Z6" s="21">
        <f t="shared" si="5"/>
        <v>84.56729986</v>
      </c>
      <c r="AA6" s="21">
        <f t="shared" si="6"/>
        <v>0.3152530662</v>
      </c>
    </row>
    <row r="7">
      <c r="A7" s="4" t="s">
        <v>1709</v>
      </c>
      <c r="B7" s="4" t="str">
        <f>IFERROR(__xludf.DUMMYFUNCTION("SPLIT(A7:A727, ""&gt;"")"),"Online Behavior")</f>
        <v>Online Behavior</v>
      </c>
      <c r="C7" s="4" t="str">
        <f>IFERROR(__xludf.DUMMYFUNCTION("""COMPUTED_VALUE"""),"United States")</f>
        <v>United States</v>
      </c>
      <c r="D7" s="4" t="str">
        <f>IFERROR(__xludf.DUMMYFUNCTION("""COMPUTED_VALUE"""),"Autos and Vehicles ")</f>
        <v>Autos and Vehicles </v>
      </c>
      <c r="E7" s="4" t="str">
        <f>IFERROR(__xludf.DUMMYFUNCTION("""COMPUTED_VALUE""")," Brands")</f>
        <v> Brands</v>
      </c>
      <c r="F7" s="4" t="str">
        <f>IFERROR(__xludf.DUMMYFUNCTION("""COMPUTED_VALUE"""),"Jeep")</f>
        <v>Jeep</v>
      </c>
      <c r="G7" s="4"/>
      <c r="H7" s="4"/>
      <c r="I7" s="5" t="s">
        <v>22</v>
      </c>
      <c r="J7" s="5" t="s">
        <v>31</v>
      </c>
      <c r="K7" s="5" t="s">
        <v>17</v>
      </c>
      <c r="L7" s="6" t="s">
        <v>25</v>
      </c>
      <c r="M7" s="5" t="s">
        <v>19</v>
      </c>
      <c r="N7" s="5" t="s">
        <v>27</v>
      </c>
      <c r="O7" s="5">
        <v>23711.0</v>
      </c>
      <c r="P7" s="5">
        <v>69.0</v>
      </c>
      <c r="Q7" s="5">
        <v>4337.0</v>
      </c>
      <c r="R7" s="5">
        <v>17211.0</v>
      </c>
      <c r="S7" s="5">
        <v>8.0</v>
      </c>
      <c r="T7" s="5">
        <v>5740.952219</v>
      </c>
      <c r="V7" s="21">
        <f t="shared" si="1"/>
        <v>242.1218936</v>
      </c>
      <c r="W7" s="21">
        <f t="shared" si="2"/>
        <v>1323.715061</v>
      </c>
      <c r="X7" s="21">
        <f t="shared" si="3"/>
        <v>11.5942029</v>
      </c>
      <c r="Y7" s="21">
        <f t="shared" si="4"/>
        <v>717.6190274</v>
      </c>
      <c r="Z7" s="21">
        <f t="shared" si="5"/>
        <v>83.20220607</v>
      </c>
      <c r="AA7" s="21">
        <f t="shared" si="6"/>
        <v>0.2910041753</v>
      </c>
    </row>
    <row r="8">
      <c r="A8" s="4" t="s">
        <v>1710</v>
      </c>
      <c r="B8" s="4" t="str">
        <f>IFERROR(__xludf.DUMMYFUNCTION("SPLIT(A8:A728, ""&gt;"")"),"Online Behavior")</f>
        <v>Online Behavior</v>
      </c>
      <c r="C8" s="4" t="str">
        <f>IFERROR(__xludf.DUMMYFUNCTION("""COMPUTED_VALUE"""),"United States")</f>
        <v>United States</v>
      </c>
      <c r="D8" s="4" t="str">
        <f>IFERROR(__xludf.DUMMYFUNCTION("""COMPUTED_VALUE"""),"Autos and Vehicles ")</f>
        <v>Autos and Vehicles </v>
      </c>
      <c r="E8" s="4" t="str">
        <f>IFERROR(__xludf.DUMMYFUNCTION("""COMPUTED_VALUE""")," Brands")</f>
        <v> Brands</v>
      </c>
      <c r="F8" s="4" t="str">
        <f>IFERROR(__xludf.DUMMYFUNCTION("""COMPUTED_VALUE"""),"Mercedes-Benz")</f>
        <v>Mercedes-Benz</v>
      </c>
      <c r="G8" s="4"/>
      <c r="H8" s="4"/>
      <c r="I8" s="5" t="s">
        <v>22</v>
      </c>
      <c r="J8" s="5" t="s">
        <v>16</v>
      </c>
      <c r="K8" s="5" t="s">
        <v>39</v>
      </c>
      <c r="L8" s="6" t="s">
        <v>25</v>
      </c>
      <c r="M8" s="5" t="s">
        <v>26</v>
      </c>
      <c r="N8" s="5" t="s">
        <v>27</v>
      </c>
      <c r="O8" s="5">
        <v>23965.0</v>
      </c>
      <c r="P8" s="5">
        <v>270.0</v>
      </c>
      <c r="Q8" s="5">
        <v>13608.0</v>
      </c>
      <c r="R8" s="5">
        <v>21704.0</v>
      </c>
      <c r="S8" s="5">
        <v>12.0</v>
      </c>
      <c r="T8" s="5">
        <v>5706.864417</v>
      </c>
      <c r="V8" s="21">
        <f t="shared" si="1"/>
        <v>238.1332951</v>
      </c>
      <c r="W8" s="21">
        <f t="shared" si="2"/>
        <v>419.375692</v>
      </c>
      <c r="X8" s="21">
        <f t="shared" si="3"/>
        <v>4.444444444</v>
      </c>
      <c r="Y8" s="21">
        <f t="shared" si="4"/>
        <v>475.5720348</v>
      </c>
      <c r="Z8" s="21">
        <f t="shared" si="5"/>
        <v>21.13653488</v>
      </c>
      <c r="AA8" s="21">
        <f t="shared" si="6"/>
        <v>1.126643021</v>
      </c>
    </row>
    <row r="9">
      <c r="A9" s="4" t="s">
        <v>1711</v>
      </c>
      <c r="B9" s="4" t="str">
        <f>IFERROR(__xludf.DUMMYFUNCTION("SPLIT(A9:A729, ""&gt;"")"),"Online Behavior")</f>
        <v>Online Behavior</v>
      </c>
      <c r="C9" s="4" t="str">
        <f>IFERROR(__xludf.DUMMYFUNCTION("""COMPUTED_VALUE"""),"United States")</f>
        <v>United States</v>
      </c>
      <c r="D9" s="4" t="str">
        <f>IFERROR(__xludf.DUMMYFUNCTION("""COMPUTED_VALUE"""),"Validated Demographic ")</f>
        <v>Validated Demographic </v>
      </c>
      <c r="E9" s="4" t="str">
        <f>IFERROR(__xludf.DUMMYFUNCTION("""COMPUTED_VALUE""")," Gender and Age Combined")</f>
        <v> Gender and Age Combined</v>
      </c>
      <c r="F9" s="4" t="str">
        <f>IFERROR(__xludf.DUMMYFUNCTION("""COMPUTED_VALUE"""),"Males 18-54")</f>
        <v>Males 18-54</v>
      </c>
      <c r="G9" s="4"/>
      <c r="H9" s="4"/>
      <c r="I9" s="5" t="s">
        <v>15</v>
      </c>
      <c r="J9" s="5" t="s">
        <v>31</v>
      </c>
      <c r="K9" s="5" t="s">
        <v>39</v>
      </c>
      <c r="L9" s="6" t="s">
        <v>25</v>
      </c>
      <c r="M9" s="5" t="s">
        <v>19</v>
      </c>
      <c r="N9" s="5" t="s">
        <v>27</v>
      </c>
      <c r="O9" s="5">
        <v>14730.0</v>
      </c>
      <c r="P9" s="5">
        <v>88.0</v>
      </c>
      <c r="Q9" s="5">
        <v>1272.0</v>
      </c>
      <c r="R9" s="5">
        <v>12427.0</v>
      </c>
      <c r="S9" s="5">
        <v>3.0</v>
      </c>
      <c r="T9" s="5">
        <v>5190.535998</v>
      </c>
      <c r="V9" s="21">
        <f t="shared" si="1"/>
        <v>352.378547</v>
      </c>
      <c r="W9" s="21">
        <f t="shared" si="2"/>
        <v>4080.610061</v>
      </c>
      <c r="X9" s="21">
        <f t="shared" si="3"/>
        <v>3.409090909</v>
      </c>
      <c r="Y9" s="21">
        <f t="shared" si="4"/>
        <v>1730.178666</v>
      </c>
      <c r="Z9" s="21">
        <f t="shared" si="5"/>
        <v>58.98336361</v>
      </c>
      <c r="AA9" s="21">
        <f t="shared" si="6"/>
        <v>0.5974202308</v>
      </c>
    </row>
    <row r="10">
      <c r="A10" s="4" t="s">
        <v>1712</v>
      </c>
      <c r="B10" s="4" t="str">
        <f>IFERROR(__xludf.DUMMYFUNCTION("SPLIT(A10:A730, ""&gt;"")"),"Online Behavior")</f>
        <v>Online Behavior</v>
      </c>
      <c r="C10" s="4" t="str">
        <f>IFERROR(__xludf.DUMMYFUNCTION("""COMPUTED_VALUE"""),"United States")</f>
        <v>United States</v>
      </c>
      <c r="D10" s="4" t="str">
        <f>IFERROR(__xludf.DUMMYFUNCTION("""COMPUTED_VALUE"""),"Validated Demographic ")</f>
        <v>Validated Demographic </v>
      </c>
      <c r="E10" s="4" t="str">
        <f>IFERROR(__xludf.DUMMYFUNCTION("""COMPUTED_VALUE""")," Age")</f>
        <v> Age</v>
      </c>
      <c r="F10" s="4" t="str">
        <f>IFERROR(__xludf.DUMMYFUNCTION("""COMPUTED_VALUE"""),"55-64")</f>
        <v>55-64</v>
      </c>
      <c r="G10" s="4"/>
      <c r="H10" s="4"/>
      <c r="I10" s="5" t="s">
        <v>15</v>
      </c>
      <c r="J10" s="5" t="s">
        <v>42</v>
      </c>
      <c r="K10" s="5" t="s">
        <v>43</v>
      </c>
      <c r="L10" s="6" t="s">
        <v>25</v>
      </c>
      <c r="M10" s="5" t="s">
        <v>36</v>
      </c>
      <c r="N10" s="5" t="s">
        <v>27</v>
      </c>
      <c r="O10" s="5">
        <v>36863.0</v>
      </c>
      <c r="P10" s="5">
        <v>116.0</v>
      </c>
      <c r="Q10" s="5">
        <v>3570.0</v>
      </c>
      <c r="R10" s="5">
        <v>29458.0</v>
      </c>
      <c r="S10" s="5">
        <v>15.0</v>
      </c>
      <c r="T10" s="5">
        <v>4752.816685</v>
      </c>
      <c r="V10" s="21">
        <f t="shared" si="1"/>
        <v>128.9319015</v>
      </c>
      <c r="W10" s="21">
        <f t="shared" si="2"/>
        <v>1331.3212</v>
      </c>
      <c r="X10" s="21">
        <f t="shared" si="3"/>
        <v>12.93103448</v>
      </c>
      <c r="Y10" s="21">
        <f t="shared" si="4"/>
        <v>316.8544457</v>
      </c>
      <c r="Z10" s="21">
        <f t="shared" si="5"/>
        <v>40.97255763</v>
      </c>
      <c r="AA10" s="21">
        <f t="shared" si="6"/>
        <v>0.3146786751</v>
      </c>
    </row>
    <row r="11">
      <c r="A11" s="4" t="s">
        <v>1713</v>
      </c>
      <c r="B11" s="4" t="str">
        <f>IFERROR(__xludf.DUMMYFUNCTION("SPLIT(A11:A731, ""&gt;"")"),"US ")</f>
        <v>US </v>
      </c>
      <c r="C11" s="4" t="str">
        <f>IFERROR(__xludf.DUMMYFUNCTION("""COMPUTED_VALUE""")," Interest Propensities ")</f>
        <v> Interest Propensities </v>
      </c>
      <c r="D11" s="4" t="str">
        <f>IFERROR(__xludf.DUMMYFUNCTION("""COMPUTED_VALUE""")," Brands ")</f>
        <v> Brands </v>
      </c>
      <c r="E11" s="4" t="str">
        <f>IFERROR(__xludf.DUMMYFUNCTION("""COMPUTED_VALUE""")," Quick Service Restaurants")</f>
        <v> Quick Service Restaurants</v>
      </c>
      <c r="F11" s="4"/>
      <c r="G11" s="4"/>
      <c r="H11" s="4"/>
      <c r="I11" s="5" t="s">
        <v>22</v>
      </c>
      <c r="J11" s="5" t="s">
        <v>31</v>
      </c>
      <c r="K11" s="5" t="s">
        <v>45</v>
      </c>
      <c r="L11" s="6" t="s">
        <v>25</v>
      </c>
      <c r="M11" s="5" t="s">
        <v>46</v>
      </c>
      <c r="N11" s="5" t="s">
        <v>27</v>
      </c>
      <c r="O11" s="5">
        <v>213699.0</v>
      </c>
      <c r="P11" s="5">
        <v>270.0</v>
      </c>
      <c r="Q11" s="5">
        <v>18395.0</v>
      </c>
      <c r="R11" s="5">
        <v>164487.0</v>
      </c>
      <c r="S11" s="5">
        <v>4.0</v>
      </c>
      <c r="T11" s="5">
        <v>2194.987125</v>
      </c>
      <c r="V11" s="21">
        <f t="shared" si="1"/>
        <v>10.27139633</v>
      </c>
      <c r="W11" s="21">
        <f t="shared" si="2"/>
        <v>119.3252039</v>
      </c>
      <c r="X11" s="21">
        <f t="shared" si="3"/>
        <v>1.481481481</v>
      </c>
      <c r="Y11" s="21">
        <f t="shared" si="4"/>
        <v>548.7467813</v>
      </c>
      <c r="Z11" s="21">
        <f t="shared" si="5"/>
        <v>8.129581944</v>
      </c>
      <c r="AA11" s="21">
        <f t="shared" si="6"/>
        <v>0.1263459352</v>
      </c>
    </row>
    <row r="12">
      <c r="A12" s="4" t="s">
        <v>1714</v>
      </c>
      <c r="B12" s="4" t="str">
        <f>IFERROR(__xludf.DUMMYFUNCTION("SPLIT(A12:A732, ""&gt;"")"),"US ")</f>
        <v>US </v>
      </c>
      <c r="C12" s="4" t="str">
        <f>IFERROR(__xludf.DUMMYFUNCTION("""COMPUTED_VALUE""")," B2B ")</f>
        <v> B2B </v>
      </c>
      <c r="D12" s="4" t="str">
        <f>IFERROR(__xludf.DUMMYFUNCTION("""COMPUTED_VALUE""")," B2B Decision Maker Responsibilities ")</f>
        <v> B2B Decision Maker Responsibilities </v>
      </c>
      <c r="E12" s="4" t="str">
        <f>IFERROR(__xludf.DUMMYFUNCTION("""COMPUTED_VALUE""")," Purchasing Utilities")</f>
        <v> Purchasing Utilities</v>
      </c>
      <c r="F12" s="4"/>
      <c r="G12" s="4"/>
      <c r="H12" s="4"/>
      <c r="I12" s="5" t="s">
        <v>22</v>
      </c>
      <c r="J12" s="5" t="s">
        <v>23</v>
      </c>
      <c r="K12" s="5" t="s">
        <v>32</v>
      </c>
      <c r="L12" s="6" t="s">
        <v>25</v>
      </c>
      <c r="M12" s="5" t="s">
        <v>48</v>
      </c>
      <c r="N12" s="5" t="s">
        <v>27</v>
      </c>
      <c r="O12" s="5">
        <v>49936.0</v>
      </c>
      <c r="P12" s="5">
        <v>126.0</v>
      </c>
      <c r="Q12" s="5">
        <v>25461.0</v>
      </c>
      <c r="R12" s="5">
        <v>44751.0</v>
      </c>
      <c r="S12" s="5">
        <v>13.0</v>
      </c>
      <c r="T12" s="5">
        <v>2025.784019</v>
      </c>
      <c r="V12" s="21">
        <f t="shared" si="1"/>
        <v>40.56760692</v>
      </c>
      <c r="W12" s="21">
        <f t="shared" si="2"/>
        <v>79.56419697</v>
      </c>
      <c r="X12" s="21">
        <f t="shared" si="3"/>
        <v>10.31746032</v>
      </c>
      <c r="Y12" s="21">
        <f t="shared" si="4"/>
        <v>155.8295399</v>
      </c>
      <c r="Z12" s="21">
        <f t="shared" si="5"/>
        <v>16.07765094</v>
      </c>
      <c r="AA12" s="21">
        <f t="shared" si="6"/>
        <v>0.2523229734</v>
      </c>
    </row>
    <row r="13">
      <c r="A13" s="4" t="s">
        <v>1715</v>
      </c>
      <c r="B13" s="4" t="str">
        <f>IFERROR(__xludf.DUMMYFUNCTION("SPLIT(A13:A733, ""&gt;"")"),"US ")</f>
        <v>US </v>
      </c>
      <c r="C13" s="4" t="str">
        <f>IFERROR(__xludf.DUMMYFUNCTION("""COMPUTED_VALUE""")," Interest Propensities ")</f>
        <v> Interest Propensities </v>
      </c>
      <c r="D13" s="4" t="str">
        <f>IFERROR(__xludf.DUMMYFUNCTION("""COMPUTED_VALUE""")," TV and Movies ")</f>
        <v> TV and Movies </v>
      </c>
      <c r="E13" s="4" t="str">
        <f>IFERROR(__xludf.DUMMYFUNCTION("""COMPUTED_VALUE""")," Sports TV")</f>
        <v> Sports TV</v>
      </c>
      <c r="F13" s="4"/>
      <c r="G13" s="4"/>
      <c r="H13" s="4"/>
      <c r="I13" s="5" t="s">
        <v>15</v>
      </c>
      <c r="J13" s="5" t="s">
        <v>23</v>
      </c>
      <c r="K13" s="5" t="s">
        <v>17</v>
      </c>
      <c r="L13" s="6" t="s">
        <v>25</v>
      </c>
      <c r="M13" s="5" t="s">
        <v>50</v>
      </c>
      <c r="N13" s="5" t="s">
        <v>27</v>
      </c>
      <c r="O13" s="5">
        <v>15200.0</v>
      </c>
      <c r="P13" s="5">
        <v>60.0</v>
      </c>
      <c r="Q13" s="5">
        <v>5375.0</v>
      </c>
      <c r="R13" s="5">
        <v>12040.0</v>
      </c>
      <c r="S13" s="5">
        <v>4.0</v>
      </c>
      <c r="T13" s="5">
        <v>1970.357345</v>
      </c>
      <c r="V13" s="21">
        <f t="shared" si="1"/>
        <v>129.6287727</v>
      </c>
      <c r="W13" s="21">
        <f t="shared" si="2"/>
        <v>366.5781107</v>
      </c>
      <c r="X13" s="21">
        <f t="shared" si="3"/>
        <v>6.666666667</v>
      </c>
      <c r="Y13" s="21">
        <f t="shared" si="4"/>
        <v>492.5893363</v>
      </c>
      <c r="Z13" s="21">
        <f t="shared" si="5"/>
        <v>32.83928908</v>
      </c>
      <c r="AA13" s="21">
        <f t="shared" si="6"/>
        <v>0.3947368421</v>
      </c>
    </row>
    <row r="14">
      <c r="A14" s="4" t="s">
        <v>1716</v>
      </c>
      <c r="B14" s="4" t="str">
        <f>IFERROR(__xludf.DUMMYFUNCTION("SPLIT(A14:A734, ""&gt;"")"),"Real Estate ")</f>
        <v>Real Estate </v>
      </c>
      <c r="C14" s="4" t="str">
        <f>IFERROR(__xludf.DUMMYFUNCTION("""COMPUTED_VALUE""")," Occupancy ")</f>
        <v> Occupancy </v>
      </c>
      <c r="D14" s="4" t="str">
        <f>IFERROR(__xludf.DUMMYFUNCTION("""COMPUTED_VALUE""")," Owner Occupied")</f>
        <v> Owner Occupied</v>
      </c>
      <c r="E14" s="4"/>
      <c r="F14" s="4"/>
      <c r="G14" s="4"/>
      <c r="H14" s="4"/>
      <c r="I14" s="5" t="s">
        <v>15</v>
      </c>
      <c r="J14" s="5" t="s">
        <v>31</v>
      </c>
      <c r="K14" s="5" t="s">
        <v>35</v>
      </c>
      <c r="L14" s="6" t="s">
        <v>25</v>
      </c>
      <c r="M14" s="5" t="s">
        <v>19</v>
      </c>
      <c r="N14" s="5" t="s">
        <v>52</v>
      </c>
      <c r="O14" s="5">
        <v>49250.0</v>
      </c>
      <c r="P14" s="5">
        <v>220.0</v>
      </c>
      <c r="Q14" s="5">
        <v>9205.0</v>
      </c>
      <c r="R14" s="5">
        <v>43535.0</v>
      </c>
      <c r="S14" s="5">
        <v>15.0</v>
      </c>
      <c r="T14" s="5">
        <v>1694.470977</v>
      </c>
      <c r="V14" s="21">
        <f t="shared" si="1"/>
        <v>34.40550207</v>
      </c>
      <c r="W14" s="21">
        <f t="shared" si="2"/>
        <v>184.0815836</v>
      </c>
      <c r="X14" s="21">
        <f t="shared" si="3"/>
        <v>6.818181818</v>
      </c>
      <c r="Y14" s="21">
        <f t="shared" si="4"/>
        <v>112.9647318</v>
      </c>
      <c r="Z14" s="21">
        <f t="shared" si="5"/>
        <v>7.702140805</v>
      </c>
      <c r="AA14" s="21">
        <f t="shared" si="6"/>
        <v>0.4467005076</v>
      </c>
    </row>
    <row r="15">
      <c r="A15" s="4" t="s">
        <v>1717</v>
      </c>
      <c r="B15" s="4" t="str">
        <f>IFERROR(__xludf.DUMMYFUNCTION("SPLIT(A15:A735, ""&gt;"")"),"US Financial ")</f>
        <v>US Financial </v>
      </c>
      <c r="C15" s="4" t="str">
        <f>IFERROR(__xludf.DUMMYFUNCTION("""COMPUTED_VALUE""")," Likely Credit Card ")</f>
        <v> Likely Credit Card </v>
      </c>
      <c r="D15" s="4" t="str">
        <f>IFERROR(__xludf.DUMMYFUNCTION("""COMPUTED_VALUE""")," Card in Own Name ")</f>
        <v> Card in Own Name </v>
      </c>
      <c r="E15" s="4" t="str">
        <f>IFERROR(__xludf.DUMMYFUNCTION("""COMPUTED_VALUE""")," Any major Credit/Debit Card (Financial)")</f>
        <v> Any major Credit/Debit Card (Financial)</v>
      </c>
      <c r="F15" s="4"/>
      <c r="G15" s="4"/>
      <c r="H15" s="4"/>
      <c r="I15" s="5" t="s">
        <v>15</v>
      </c>
      <c r="J15" s="5" t="s">
        <v>16</v>
      </c>
      <c r="K15" s="5" t="s">
        <v>29</v>
      </c>
      <c r="L15" s="6" t="s">
        <v>25</v>
      </c>
      <c r="M15" s="5" t="s">
        <v>46</v>
      </c>
      <c r="N15" s="5" t="s">
        <v>27</v>
      </c>
      <c r="O15" s="5">
        <v>10811.0</v>
      </c>
      <c r="P15" s="5">
        <v>25.0</v>
      </c>
      <c r="Q15" s="5">
        <v>988.0</v>
      </c>
      <c r="R15" s="5">
        <v>2975.0</v>
      </c>
      <c r="S15" s="5">
        <v>3.0</v>
      </c>
      <c r="T15" s="5">
        <v>1679.833815</v>
      </c>
      <c r="V15" s="21">
        <f t="shared" si="1"/>
        <v>155.3819087</v>
      </c>
      <c r="W15" s="21">
        <f t="shared" si="2"/>
        <v>1700.236655</v>
      </c>
      <c r="X15" s="21">
        <f t="shared" si="3"/>
        <v>12</v>
      </c>
      <c r="Y15" s="21">
        <f t="shared" si="4"/>
        <v>559.944605</v>
      </c>
      <c r="Z15" s="21">
        <f t="shared" si="5"/>
        <v>67.1933526</v>
      </c>
      <c r="AA15" s="21">
        <f t="shared" si="6"/>
        <v>0.2312459532</v>
      </c>
    </row>
    <row r="16">
      <c r="A16" s="4" t="s">
        <v>54</v>
      </c>
      <c r="B16" s="4" t="str">
        <f>IFERROR(__xludf.DUMMYFUNCTION("SPLIT(A16:A736, ""&gt;"")"),"Online Behavior")</f>
        <v>Online Behavior</v>
      </c>
      <c r="C16" s="4" t="str">
        <f>IFERROR(__xludf.DUMMYFUNCTION("""COMPUTED_VALUE"""),"United States")</f>
        <v>United States</v>
      </c>
      <c r="D16" s="4" t="str">
        <f>IFERROR(__xludf.DUMMYFUNCTION("""COMPUTED_VALUE"""),"People and Society")</f>
        <v>People and Society</v>
      </c>
      <c r="E16" s="4" t="str">
        <f>IFERROR(__xludf.DUMMYFUNCTION("""COMPUTED_VALUE"""),"Millennials")</f>
        <v>Millennials</v>
      </c>
      <c r="F16" s="4"/>
      <c r="G16" s="4"/>
      <c r="H16" s="4"/>
      <c r="I16" s="5" t="s">
        <v>15</v>
      </c>
      <c r="J16" s="5" t="s">
        <v>23</v>
      </c>
      <c r="K16" s="5" t="s">
        <v>55</v>
      </c>
      <c r="L16" s="6" t="s">
        <v>25</v>
      </c>
      <c r="M16" s="5" t="s">
        <v>46</v>
      </c>
      <c r="N16" s="5" t="s">
        <v>27</v>
      </c>
      <c r="O16" s="5">
        <v>23829.0</v>
      </c>
      <c r="P16" s="5">
        <v>75.0</v>
      </c>
      <c r="Q16" s="5">
        <v>8326.0</v>
      </c>
      <c r="R16" s="5">
        <v>18812.0</v>
      </c>
      <c r="S16" s="5">
        <v>5.0</v>
      </c>
      <c r="T16" s="5">
        <v>1534.698</v>
      </c>
      <c r="V16" s="21">
        <f t="shared" si="1"/>
        <v>64.40463301</v>
      </c>
      <c r="W16" s="21">
        <f t="shared" si="2"/>
        <v>184.3259669</v>
      </c>
      <c r="X16" s="21">
        <f t="shared" si="3"/>
        <v>6.666666667</v>
      </c>
      <c r="Y16" s="21">
        <f t="shared" si="4"/>
        <v>306.9396</v>
      </c>
      <c r="Z16" s="21">
        <f t="shared" si="5"/>
        <v>20.46264</v>
      </c>
      <c r="AA16" s="21">
        <f t="shared" si="6"/>
        <v>0.3147425406</v>
      </c>
    </row>
    <row r="17">
      <c r="A17" s="4" t="s">
        <v>1718</v>
      </c>
      <c r="B17" s="4" t="str">
        <f>IFERROR(__xludf.DUMMYFUNCTION("SPLIT(A17:A737, ""&gt;"")"),"OnAudience ")</f>
        <v>OnAudience </v>
      </c>
      <c r="C17" s="4" t="str">
        <f>IFERROR(__xludf.DUMMYFUNCTION("""COMPUTED_VALUE""")," Intent ")</f>
        <v> Intent </v>
      </c>
      <c r="D17" s="4" t="str">
        <f>IFERROR(__xludf.DUMMYFUNCTION("""COMPUTED_VALUE""")," Electronics ")</f>
        <v> Electronics </v>
      </c>
      <c r="E17" s="4" t="str">
        <f>IFERROR(__xludf.DUMMYFUNCTION("""COMPUTED_VALUE""")," Video ")</f>
        <v> Video </v>
      </c>
      <c r="F17" s="4" t="str">
        <f>IFERROR(__xludf.DUMMYFUNCTION("""COMPUTED_VALUE""")," Televisions")</f>
        <v> Televisions</v>
      </c>
      <c r="G17" s="4"/>
      <c r="H17" s="4"/>
      <c r="I17" s="5" t="s">
        <v>22</v>
      </c>
      <c r="J17" s="5" t="s">
        <v>42</v>
      </c>
      <c r="K17" s="5" t="s">
        <v>17</v>
      </c>
      <c r="L17" s="6" t="s">
        <v>25</v>
      </c>
      <c r="M17" s="5" t="s">
        <v>48</v>
      </c>
      <c r="N17" s="5" t="s">
        <v>27</v>
      </c>
      <c r="O17" s="5">
        <v>19826.0</v>
      </c>
      <c r="P17" s="5">
        <v>39.0</v>
      </c>
      <c r="Q17" s="5">
        <v>6511.0</v>
      </c>
      <c r="R17" s="5">
        <v>15752.0</v>
      </c>
      <c r="S17" s="5">
        <v>10.0</v>
      </c>
      <c r="T17" s="5">
        <v>1447.873298</v>
      </c>
      <c r="V17" s="21">
        <f t="shared" si="1"/>
        <v>73.02901735</v>
      </c>
      <c r="W17" s="21">
        <f t="shared" si="2"/>
        <v>222.3734139</v>
      </c>
      <c r="X17" s="21">
        <f t="shared" si="3"/>
        <v>25.64102564</v>
      </c>
      <c r="Y17" s="21">
        <f t="shared" si="4"/>
        <v>144.7873298</v>
      </c>
      <c r="Z17" s="21">
        <f t="shared" si="5"/>
        <v>37.12495636</v>
      </c>
      <c r="AA17" s="21">
        <f t="shared" si="6"/>
        <v>0.1967113891</v>
      </c>
    </row>
    <row r="18">
      <c r="A18" s="4" t="s">
        <v>1719</v>
      </c>
      <c r="B18" s="4" t="str">
        <f>IFERROR(__xludf.DUMMYFUNCTION("SPLIT(A18:A738, ""&gt;"")"),"Online Behavior")</f>
        <v>Online Behavior</v>
      </c>
      <c r="C18" s="4" t="str">
        <f>IFERROR(__xludf.DUMMYFUNCTION("""COMPUTED_VALUE"""),"United States")</f>
        <v>United States</v>
      </c>
      <c r="D18" s="4" t="str">
        <f>IFERROR(__xludf.DUMMYFUNCTION("""COMPUTED_VALUE"""),"Arts and Entertainment")</f>
        <v>Arts and Entertainment</v>
      </c>
      <c r="E18" s="4" t="str">
        <f>IFERROR(__xludf.DUMMYFUNCTION("""COMPUTED_VALUE"""),"Events and Listings ")</f>
        <v>Events and Listings </v>
      </c>
      <c r="F18" s="4" t="str">
        <f>IFERROR(__xludf.DUMMYFUNCTION("""COMPUTED_VALUE""")," Bars, Clubs and Nightlife")</f>
        <v> Bars, Clubs and Nightlife</v>
      </c>
      <c r="G18" s="4"/>
      <c r="H18" s="4"/>
      <c r="I18" s="5" t="s">
        <v>15</v>
      </c>
      <c r="J18" s="5" t="s">
        <v>42</v>
      </c>
      <c r="K18" s="5" t="s">
        <v>35</v>
      </c>
      <c r="L18" s="6" t="s">
        <v>58</v>
      </c>
      <c r="M18" s="5" t="s">
        <v>36</v>
      </c>
      <c r="N18" s="5" t="s">
        <v>52</v>
      </c>
      <c r="O18" s="5">
        <v>81905.0</v>
      </c>
      <c r="P18" s="5">
        <v>220.0</v>
      </c>
      <c r="Q18" s="5">
        <v>61995.0</v>
      </c>
      <c r="R18" s="5">
        <v>71110.0</v>
      </c>
      <c r="S18" s="5">
        <v>24.0</v>
      </c>
      <c r="T18" s="5">
        <v>7065.66928</v>
      </c>
      <c r="V18" s="21">
        <f t="shared" si="1"/>
        <v>86.2666416</v>
      </c>
      <c r="W18" s="21">
        <f t="shared" si="2"/>
        <v>113.971599</v>
      </c>
      <c r="X18" s="21">
        <f t="shared" si="3"/>
        <v>10.90909091</v>
      </c>
      <c r="Y18" s="21">
        <f t="shared" si="4"/>
        <v>294.4028867</v>
      </c>
      <c r="Z18" s="21">
        <f t="shared" si="5"/>
        <v>32.11667855</v>
      </c>
      <c r="AA18" s="21">
        <f t="shared" si="6"/>
        <v>0.2686038703</v>
      </c>
    </row>
    <row r="19">
      <c r="A19" s="4" t="s">
        <v>1720</v>
      </c>
      <c r="B19" s="4" t="str">
        <f>IFERROR(__xludf.DUMMYFUNCTION("SPLIT(A19:A739, ""&gt;"")"),"US ")</f>
        <v>US </v>
      </c>
      <c r="C19" s="4" t="str">
        <f>IFERROR(__xludf.DUMMYFUNCTION("""COMPUTED_VALUE""")," Interest Propensities ")</f>
        <v> Interest Propensities </v>
      </c>
      <c r="D19" s="4" t="str">
        <f>IFERROR(__xludf.DUMMYFUNCTION("""COMPUTED_VALUE""")," Activities and Interests ")</f>
        <v> Activities and Interests </v>
      </c>
      <c r="E19" s="4" t="str">
        <f>IFERROR(__xludf.DUMMYFUNCTION("""COMPUTED_VALUE""")," Local News")</f>
        <v> Local News</v>
      </c>
      <c r="F19" s="4"/>
      <c r="G19" s="4"/>
      <c r="H19" s="4"/>
      <c r="I19" s="5" t="s">
        <v>22</v>
      </c>
      <c r="J19" s="5" t="s">
        <v>23</v>
      </c>
      <c r="K19" s="5" t="s">
        <v>32</v>
      </c>
      <c r="L19" s="6" t="s">
        <v>58</v>
      </c>
      <c r="M19" s="5" t="s">
        <v>36</v>
      </c>
      <c r="N19" s="5" t="s">
        <v>27</v>
      </c>
      <c r="O19" s="5">
        <v>16151.0</v>
      </c>
      <c r="P19" s="5">
        <v>54.0</v>
      </c>
      <c r="Q19" s="5">
        <v>4360.0</v>
      </c>
      <c r="R19" s="5">
        <v>11358.0</v>
      </c>
      <c r="S19" s="5">
        <v>3.0</v>
      </c>
      <c r="T19" s="5">
        <v>1706.224318</v>
      </c>
      <c r="V19" s="21">
        <f t="shared" si="1"/>
        <v>105.6420233</v>
      </c>
      <c r="W19" s="21">
        <f t="shared" si="2"/>
        <v>391.3358528</v>
      </c>
      <c r="X19" s="21">
        <f t="shared" si="3"/>
        <v>5.555555556</v>
      </c>
      <c r="Y19" s="21">
        <f t="shared" si="4"/>
        <v>568.7414393</v>
      </c>
      <c r="Z19" s="21">
        <f t="shared" si="5"/>
        <v>31.59674663</v>
      </c>
      <c r="AA19" s="21">
        <f t="shared" si="6"/>
        <v>0.3343446226</v>
      </c>
    </row>
    <row r="20">
      <c r="A20" s="4" t="s">
        <v>1721</v>
      </c>
      <c r="B20" s="4" t="str">
        <f>IFERROR(__xludf.DUMMYFUNCTION("SPLIT(A20:A740, ""&gt;"")"),"US ")</f>
        <v>US </v>
      </c>
      <c r="C20" s="4" t="str">
        <f>IFERROR(__xludf.DUMMYFUNCTION("""COMPUTED_VALUE""")," Reach ")</f>
        <v> Reach </v>
      </c>
      <c r="D20" s="4" t="str">
        <f>IFERROR(__xludf.DUMMYFUNCTION("""COMPUTED_VALUE""")," Sociodemographic ")</f>
        <v> Sociodemographic </v>
      </c>
      <c r="E20" s="4" t="str">
        <f>IFERROR(__xludf.DUMMYFUNCTION("""COMPUTED_VALUE""")," Dwelling Type ")</f>
        <v> Dwelling Type </v>
      </c>
      <c r="F20" s="4" t="str">
        <f>IFERROR(__xludf.DUMMYFUNCTION("""COMPUTED_VALUE""")," Multi-family Dwelling Unit")</f>
        <v> Multi-family Dwelling Unit</v>
      </c>
      <c r="G20" s="4"/>
      <c r="H20" s="4"/>
      <c r="I20" s="5" t="s">
        <v>61</v>
      </c>
      <c r="J20" s="5" t="s">
        <v>31</v>
      </c>
      <c r="K20" s="5" t="s">
        <v>29</v>
      </c>
      <c r="L20" s="6" t="s">
        <v>58</v>
      </c>
      <c r="M20" s="5" t="s">
        <v>46</v>
      </c>
      <c r="N20" s="5" t="s">
        <v>27</v>
      </c>
      <c r="O20" s="5">
        <v>68704.0</v>
      </c>
      <c r="P20" s="5">
        <v>185.0</v>
      </c>
      <c r="Q20" s="5">
        <v>31283.0</v>
      </c>
      <c r="R20" s="5">
        <v>59462.0</v>
      </c>
      <c r="S20" s="5">
        <v>16.0</v>
      </c>
      <c r="T20" s="5">
        <v>1605.566031</v>
      </c>
      <c r="V20" s="21">
        <f t="shared" si="1"/>
        <v>23.36932393</v>
      </c>
      <c r="W20" s="21">
        <f t="shared" si="2"/>
        <v>51.32391494</v>
      </c>
      <c r="X20" s="21">
        <f t="shared" si="3"/>
        <v>8.648648649</v>
      </c>
      <c r="Y20" s="21">
        <f t="shared" si="4"/>
        <v>100.3478769</v>
      </c>
      <c r="Z20" s="21">
        <f t="shared" si="5"/>
        <v>8.678735303</v>
      </c>
      <c r="AA20" s="21">
        <f t="shared" si="6"/>
        <v>0.2692710759</v>
      </c>
    </row>
    <row r="21">
      <c r="A21" s="4" t="s">
        <v>1722</v>
      </c>
      <c r="B21" s="4" t="str">
        <f>IFERROR(__xludf.DUMMYFUNCTION("SPLIT(A21:A741, ""&gt;"")"),"OnAudience ")</f>
        <v>OnAudience </v>
      </c>
      <c r="C21" s="4" t="str">
        <f>IFERROR(__xludf.DUMMYFUNCTION("""COMPUTED_VALUE""")," Intent ")</f>
        <v> Intent </v>
      </c>
      <c r="D21" s="4" t="str">
        <f>IFERROR(__xludf.DUMMYFUNCTION("""COMPUTED_VALUE""")," Software ")</f>
        <v> Software </v>
      </c>
      <c r="E21" s="4" t="str">
        <f>IFERROR(__xludf.DUMMYFUNCTION("""COMPUTED_VALUE""")," Video Game Software")</f>
        <v> Video Game Software</v>
      </c>
      <c r="F21" s="4"/>
      <c r="G21" s="4"/>
      <c r="H21" s="4"/>
      <c r="I21" s="5" t="s">
        <v>15</v>
      </c>
      <c r="J21" s="5" t="s">
        <v>23</v>
      </c>
      <c r="K21" s="5" t="s">
        <v>29</v>
      </c>
      <c r="L21" s="6" t="s">
        <v>58</v>
      </c>
      <c r="M21" s="5" t="s">
        <v>19</v>
      </c>
      <c r="N21" s="5" t="s">
        <v>52</v>
      </c>
      <c r="O21" s="5">
        <v>76439.0</v>
      </c>
      <c r="P21" s="5">
        <v>100.0</v>
      </c>
      <c r="Q21" s="5">
        <v>58269.0</v>
      </c>
      <c r="R21" s="5">
        <v>66924.0</v>
      </c>
      <c r="S21" s="5">
        <v>8.0</v>
      </c>
      <c r="T21" s="5">
        <v>1524.810224</v>
      </c>
      <c r="V21" s="21">
        <f t="shared" si="1"/>
        <v>19.94806609</v>
      </c>
      <c r="W21" s="21">
        <f t="shared" si="2"/>
        <v>26.16846392</v>
      </c>
      <c r="X21" s="21">
        <f t="shared" si="3"/>
        <v>8</v>
      </c>
      <c r="Y21" s="21">
        <f t="shared" si="4"/>
        <v>190.601278</v>
      </c>
      <c r="Z21" s="21">
        <f t="shared" si="5"/>
        <v>15.24810224</v>
      </c>
      <c r="AA21" s="21">
        <f t="shared" si="6"/>
        <v>0.1308232708</v>
      </c>
    </row>
    <row r="22">
      <c r="A22" s="4" t="s">
        <v>1723</v>
      </c>
      <c r="B22" s="4" t="str">
        <f>IFERROR(__xludf.DUMMYFUNCTION("SPLIT(A22:A742, ""&gt;"")"),"Online Behavior")</f>
        <v>Online Behavior</v>
      </c>
      <c r="C22" s="4" t="str">
        <f>IFERROR(__xludf.DUMMYFUNCTION("""COMPUTED_VALUE"""),"United States")</f>
        <v>United States</v>
      </c>
      <c r="D22" s="4" t="str">
        <f>IFERROR(__xludf.DUMMYFUNCTION("""COMPUTED_VALUE"""),"B2B ")</f>
        <v>B2B </v>
      </c>
      <c r="E22" s="4" t="str">
        <f>IFERROR(__xludf.DUMMYFUNCTION("""COMPUTED_VALUE""")," Occupation")</f>
        <v> Occupation</v>
      </c>
      <c r="F22" s="4" t="str">
        <f>IFERROR(__xludf.DUMMYFUNCTION("""COMPUTED_VALUE"""),"Musician")</f>
        <v>Musician</v>
      </c>
      <c r="G22" s="4"/>
      <c r="H22" s="4"/>
      <c r="I22" s="5" t="s">
        <v>15</v>
      </c>
      <c r="J22" s="5" t="s">
        <v>16</v>
      </c>
      <c r="K22" s="5" t="s">
        <v>35</v>
      </c>
      <c r="L22" s="6" t="s">
        <v>64</v>
      </c>
      <c r="M22" s="5" t="s">
        <v>33</v>
      </c>
      <c r="N22" s="5" t="s">
        <v>52</v>
      </c>
      <c r="O22" s="5">
        <v>17833.0</v>
      </c>
      <c r="P22" s="5">
        <v>61.0</v>
      </c>
      <c r="Q22" s="5">
        <v>8670.0</v>
      </c>
      <c r="R22" s="5">
        <v>16871.0</v>
      </c>
      <c r="S22" s="5">
        <v>10.0</v>
      </c>
      <c r="T22" s="5">
        <v>4899.155955</v>
      </c>
      <c r="V22" s="21">
        <f t="shared" si="1"/>
        <v>274.7241605</v>
      </c>
      <c r="W22" s="21">
        <f t="shared" si="2"/>
        <v>565.069891</v>
      </c>
      <c r="X22" s="21">
        <f t="shared" si="3"/>
        <v>16.39344262</v>
      </c>
      <c r="Y22" s="21">
        <f t="shared" si="4"/>
        <v>489.9155955</v>
      </c>
      <c r="Z22" s="21">
        <f t="shared" si="5"/>
        <v>80.31403205</v>
      </c>
      <c r="AA22" s="21">
        <f t="shared" si="6"/>
        <v>0.3420624685</v>
      </c>
    </row>
    <row r="23">
      <c r="A23" s="4" t="s">
        <v>1724</v>
      </c>
      <c r="B23" s="4" t="str">
        <f>IFERROR(__xludf.DUMMYFUNCTION("SPLIT(A23:A743, ""&gt;"")"),"Lotame ")</f>
        <v>Lotame </v>
      </c>
      <c r="C23" s="4" t="str">
        <f>IFERROR(__xludf.DUMMYFUNCTION("""COMPUTED_VALUE""")," Travel ")</f>
        <v> Travel </v>
      </c>
      <c r="D23" s="4" t="str">
        <f>IFERROR(__xludf.DUMMYFUNCTION("""COMPUTED_VALUE""")," Summer Travel")</f>
        <v> Summer Travel</v>
      </c>
      <c r="E23" s="4"/>
      <c r="F23" s="4"/>
      <c r="G23" s="4"/>
      <c r="H23" s="4"/>
      <c r="I23" s="5" t="s">
        <v>15</v>
      </c>
      <c r="J23" s="5" t="s">
        <v>31</v>
      </c>
      <c r="K23" s="5" t="s">
        <v>66</v>
      </c>
      <c r="L23" s="6" t="s">
        <v>64</v>
      </c>
      <c r="M23" s="5" t="s">
        <v>19</v>
      </c>
      <c r="N23" s="5" t="s">
        <v>20</v>
      </c>
      <c r="O23" s="5">
        <v>16719.0</v>
      </c>
      <c r="P23" s="5">
        <v>35.0</v>
      </c>
      <c r="Q23" s="5">
        <v>9944.0</v>
      </c>
      <c r="R23" s="5">
        <v>15714.0</v>
      </c>
      <c r="S23" s="5">
        <v>13.0</v>
      </c>
      <c r="T23" s="5">
        <v>1588.6475</v>
      </c>
      <c r="V23" s="21">
        <f t="shared" si="1"/>
        <v>95.02048567</v>
      </c>
      <c r="W23" s="21">
        <f t="shared" si="2"/>
        <v>159.7594027</v>
      </c>
      <c r="X23" s="21">
        <f t="shared" si="3"/>
        <v>37.14285714</v>
      </c>
      <c r="Y23" s="21">
        <f t="shared" si="4"/>
        <v>122.2036538</v>
      </c>
      <c r="Z23" s="21">
        <f t="shared" si="5"/>
        <v>45.38992857</v>
      </c>
      <c r="AA23" s="21">
        <f t="shared" si="6"/>
        <v>0.209342664</v>
      </c>
    </row>
    <row r="24">
      <c r="A24" s="4" t="s">
        <v>1725</v>
      </c>
      <c r="B24" s="4" t="str">
        <f>IFERROR(__xludf.DUMMYFUNCTION("SPLIT(A24:A744, ""&gt;"")"),"US ")</f>
        <v>US </v>
      </c>
      <c r="C24" s="4" t="str">
        <f>IFERROR(__xludf.DUMMYFUNCTION("""COMPUTED_VALUE""")," Home and Garden Interests ")</f>
        <v> Home and Garden Interests </v>
      </c>
      <c r="D24" s="4" t="str">
        <f>IFERROR(__xludf.DUMMYFUNCTION("""COMPUTED_VALUE""")," Cooking ")</f>
        <v> Cooking </v>
      </c>
      <c r="E24" s="4" t="str">
        <f>IFERROR(__xludf.DUMMYFUNCTION("""COMPUTED_VALUE""")," Food Enthusiasts")</f>
        <v> Food Enthusiasts</v>
      </c>
      <c r="F24" s="4"/>
      <c r="G24" s="4"/>
      <c r="H24" s="4"/>
      <c r="I24" s="5" t="s">
        <v>22</v>
      </c>
      <c r="J24" s="5" t="s">
        <v>16</v>
      </c>
      <c r="K24" s="5" t="s">
        <v>45</v>
      </c>
      <c r="L24" s="6" t="s">
        <v>64</v>
      </c>
      <c r="M24" s="5" t="s">
        <v>26</v>
      </c>
      <c r="N24" s="5" t="s">
        <v>27</v>
      </c>
      <c r="O24" s="5">
        <v>12592.0</v>
      </c>
      <c r="P24" s="5">
        <v>63.0</v>
      </c>
      <c r="Q24" s="5">
        <v>7472.0</v>
      </c>
      <c r="R24" s="5">
        <v>11687.0</v>
      </c>
      <c r="S24" s="5">
        <v>4.0</v>
      </c>
      <c r="T24" s="5">
        <v>1521.185189</v>
      </c>
      <c r="V24" s="21">
        <f t="shared" si="1"/>
        <v>120.8056853</v>
      </c>
      <c r="W24" s="21">
        <f t="shared" si="2"/>
        <v>203.5847416</v>
      </c>
      <c r="X24" s="21">
        <f t="shared" si="3"/>
        <v>6.349206349</v>
      </c>
      <c r="Y24" s="21">
        <f t="shared" si="4"/>
        <v>380.2962973</v>
      </c>
      <c r="Z24" s="21">
        <f t="shared" si="5"/>
        <v>24.14579665</v>
      </c>
      <c r="AA24" s="21">
        <f t="shared" si="6"/>
        <v>0.500317662</v>
      </c>
    </row>
    <row r="25">
      <c r="A25" s="4" t="s">
        <v>1726</v>
      </c>
      <c r="B25" s="4" t="str">
        <f>IFERROR(__xludf.DUMMYFUNCTION("SPLIT(A25:A745, ""&gt;"")"),"US ")</f>
        <v>US </v>
      </c>
      <c r="C25" s="4" t="str">
        <f>IFERROR(__xludf.DUMMYFUNCTION("""COMPUTED_VALUE""")," Demo ")</f>
        <v> Demo </v>
      </c>
      <c r="D25" s="4" t="str">
        <f>IFERROR(__xludf.DUMMYFUNCTION("""COMPUTED_VALUE""")," Age ")</f>
        <v> Age </v>
      </c>
      <c r="E25" s="4" t="str">
        <f>IFERROR(__xludf.DUMMYFUNCTION("""COMPUTED_VALUE""")," 55-64")</f>
        <v> 55-64</v>
      </c>
      <c r="F25" s="4"/>
      <c r="G25" s="4"/>
      <c r="H25" s="4"/>
      <c r="I25" s="5" t="s">
        <v>15</v>
      </c>
      <c r="J25" s="5" t="s">
        <v>23</v>
      </c>
      <c r="K25" s="5" t="s">
        <v>32</v>
      </c>
      <c r="L25" s="6" t="s">
        <v>64</v>
      </c>
      <c r="M25" s="5" t="s">
        <v>36</v>
      </c>
      <c r="N25" s="5" t="s">
        <v>27</v>
      </c>
      <c r="O25" s="5">
        <v>14136.0</v>
      </c>
      <c r="P25" s="5">
        <v>88.0</v>
      </c>
      <c r="Q25" s="5">
        <v>4683.0</v>
      </c>
      <c r="R25" s="5">
        <v>13273.0</v>
      </c>
      <c r="S25" s="5">
        <v>3.0</v>
      </c>
      <c r="T25" s="5">
        <v>1476.536841</v>
      </c>
      <c r="V25" s="21">
        <f t="shared" si="1"/>
        <v>104.4522383</v>
      </c>
      <c r="W25" s="21">
        <f t="shared" si="2"/>
        <v>315.2972114</v>
      </c>
      <c r="X25" s="21">
        <f t="shared" si="3"/>
        <v>3.409090909</v>
      </c>
      <c r="Y25" s="21">
        <f t="shared" si="4"/>
        <v>492.178947</v>
      </c>
      <c r="Z25" s="21">
        <f t="shared" si="5"/>
        <v>16.77882774</v>
      </c>
      <c r="AA25" s="21">
        <f t="shared" si="6"/>
        <v>0.6225240521</v>
      </c>
    </row>
    <row r="26">
      <c r="A26" s="4" t="s">
        <v>1727</v>
      </c>
      <c r="B26" s="4" t="str">
        <f>IFERROR(__xludf.DUMMYFUNCTION("SPLIT(A26:A746, ""&gt;"")"),"Online Behavior")</f>
        <v>Online Behavior</v>
      </c>
      <c r="C26" s="4" t="str">
        <f>IFERROR(__xludf.DUMMYFUNCTION("""COMPUTED_VALUE"""),"United States")</f>
        <v>United States</v>
      </c>
      <c r="D26" s="4" t="str">
        <f>IFERROR(__xludf.DUMMYFUNCTION("""COMPUTED_VALUE"""),"Intent ")</f>
        <v>Intent </v>
      </c>
      <c r="E26" s="4" t="str">
        <f>IFERROR(__xludf.DUMMYFUNCTION("""COMPUTED_VALUE""")," Auto Buyers ")</f>
        <v> Auto Buyers </v>
      </c>
      <c r="F26" s="4" t="str">
        <f>IFERROR(__xludf.DUMMYFUNCTION("""COMPUTED_VALUE""")," Type")</f>
        <v> Type</v>
      </c>
      <c r="G26" s="4" t="str">
        <f>IFERROR(__xludf.DUMMYFUNCTION("""COMPUTED_VALUE"""),"Luxury")</f>
        <v>Luxury</v>
      </c>
      <c r="H26" s="4"/>
      <c r="I26" s="5" t="s">
        <v>22</v>
      </c>
      <c r="J26" s="5" t="s">
        <v>31</v>
      </c>
      <c r="K26" s="5" t="s">
        <v>17</v>
      </c>
      <c r="L26" s="6" t="s">
        <v>70</v>
      </c>
      <c r="M26" s="5" t="s">
        <v>26</v>
      </c>
      <c r="N26" s="5" t="s">
        <v>27</v>
      </c>
      <c r="O26" s="5">
        <v>14489.0</v>
      </c>
      <c r="P26" s="5">
        <v>37.0</v>
      </c>
      <c r="Q26" s="5">
        <v>12453.0</v>
      </c>
      <c r="R26" s="5">
        <v>13873.0</v>
      </c>
      <c r="S26" s="5">
        <v>10.0</v>
      </c>
      <c r="T26" s="5">
        <v>6195.840734</v>
      </c>
      <c r="V26" s="21">
        <f t="shared" si="1"/>
        <v>427.6237652</v>
      </c>
      <c r="W26" s="21">
        <f t="shared" si="2"/>
        <v>497.5380016</v>
      </c>
      <c r="X26" s="21">
        <f t="shared" si="3"/>
        <v>27.02702703</v>
      </c>
      <c r="Y26" s="21">
        <f t="shared" si="4"/>
        <v>619.5840734</v>
      </c>
      <c r="Z26" s="21">
        <f t="shared" si="5"/>
        <v>167.455155</v>
      </c>
      <c r="AA26" s="21">
        <f t="shared" si="6"/>
        <v>0.2553661398</v>
      </c>
    </row>
    <row r="27">
      <c r="A27" s="4" t="s">
        <v>1728</v>
      </c>
      <c r="B27" s="4" t="str">
        <f>IFERROR(__xludf.DUMMYFUNCTION("SPLIT(A27:A747, ""&gt;"")"),"US ")</f>
        <v>US </v>
      </c>
      <c r="C27" s="4" t="str">
        <f>IFERROR(__xludf.DUMMYFUNCTION("""COMPUTED_VALUE""")," Brand Propensities ")</f>
        <v> Brand Propensities </v>
      </c>
      <c r="D27" s="4" t="str">
        <f>IFERROR(__xludf.DUMMYFUNCTION("""COMPUTED_VALUE""")," Media and Entertainment ")</f>
        <v> Media and Entertainment </v>
      </c>
      <c r="E27" s="4" t="str">
        <f>IFERROR(__xludf.DUMMYFUNCTION("""COMPUTED_VALUE""")," wwe.com Buyer Propensity")</f>
        <v> wwe.com Buyer Propensity</v>
      </c>
      <c r="F27" s="4"/>
      <c r="G27" s="4"/>
      <c r="H27" s="4"/>
      <c r="I27" s="5" t="s">
        <v>15</v>
      </c>
      <c r="J27" s="5" t="s">
        <v>31</v>
      </c>
      <c r="K27" s="5" t="s">
        <v>45</v>
      </c>
      <c r="L27" s="6" t="s">
        <v>72</v>
      </c>
      <c r="M27" s="5" t="s">
        <v>19</v>
      </c>
      <c r="N27" s="5" t="s">
        <v>52</v>
      </c>
      <c r="O27" s="5">
        <v>20348.0</v>
      </c>
      <c r="P27" s="5">
        <v>101.0</v>
      </c>
      <c r="Q27" s="5">
        <v>14945.0</v>
      </c>
      <c r="R27" s="5">
        <v>19548.0</v>
      </c>
      <c r="S27" s="5">
        <v>6.0</v>
      </c>
      <c r="T27" s="5">
        <v>1596.552373</v>
      </c>
      <c r="V27" s="21">
        <f t="shared" si="1"/>
        <v>78.46237335</v>
      </c>
      <c r="W27" s="21">
        <f t="shared" si="2"/>
        <v>106.8285295</v>
      </c>
      <c r="X27" s="21">
        <f t="shared" si="3"/>
        <v>5.940594059</v>
      </c>
      <c r="Y27" s="21">
        <f t="shared" si="4"/>
        <v>266.0920622</v>
      </c>
      <c r="Z27" s="21">
        <f t="shared" si="5"/>
        <v>15.80744924</v>
      </c>
      <c r="AA27" s="21">
        <f t="shared" si="6"/>
        <v>0.4963632789</v>
      </c>
    </row>
    <row r="28">
      <c r="A28" s="4" t="s">
        <v>1729</v>
      </c>
      <c r="B28" s="4" t="str">
        <f>IFERROR(__xludf.DUMMYFUNCTION("SPLIT(A28:A748, ""&gt;"")"),"Online Behavior")</f>
        <v>Online Behavior</v>
      </c>
      <c r="C28" s="4" t="str">
        <f>IFERROR(__xludf.DUMMYFUNCTION("""COMPUTED_VALUE"""),"United States")</f>
        <v>United States</v>
      </c>
      <c r="D28" s="4" t="str">
        <f>IFERROR(__xludf.DUMMYFUNCTION("""COMPUTED_VALUE"""),"Sports")</f>
        <v>Sports</v>
      </c>
      <c r="E28" s="4" t="str">
        <f>IFERROR(__xludf.DUMMYFUNCTION("""COMPUTED_VALUE"""),"Sports League ")</f>
        <v>Sports League </v>
      </c>
      <c r="F28" s="4" t="str">
        <f>IFERROR(__xludf.DUMMYFUNCTION("""COMPUTED_VALUE""")," NFL")</f>
        <v> NFL</v>
      </c>
      <c r="G28" s="4"/>
      <c r="H28" s="4"/>
      <c r="I28" s="5" t="s">
        <v>22</v>
      </c>
      <c r="J28" s="5" t="s">
        <v>31</v>
      </c>
      <c r="K28" s="5" t="s">
        <v>17</v>
      </c>
      <c r="L28" s="6" t="s">
        <v>74</v>
      </c>
      <c r="M28" s="5" t="s">
        <v>48</v>
      </c>
      <c r="N28" s="5" t="s">
        <v>27</v>
      </c>
      <c r="O28" s="5">
        <v>40447.0</v>
      </c>
      <c r="P28" s="5">
        <v>177.0</v>
      </c>
      <c r="Q28" s="5">
        <v>16663.0</v>
      </c>
      <c r="R28" s="5">
        <v>29774.0</v>
      </c>
      <c r="S28" s="5">
        <v>12.0</v>
      </c>
      <c r="T28" s="5">
        <v>5083.886273</v>
      </c>
      <c r="V28" s="21">
        <f t="shared" si="1"/>
        <v>125.6925427</v>
      </c>
      <c r="W28" s="21">
        <f t="shared" si="2"/>
        <v>305.1002984</v>
      </c>
      <c r="X28" s="21">
        <f t="shared" si="3"/>
        <v>6.779661017</v>
      </c>
      <c r="Y28" s="21">
        <f t="shared" si="4"/>
        <v>423.6571894</v>
      </c>
      <c r="Z28" s="21">
        <f t="shared" si="5"/>
        <v>28.72252132</v>
      </c>
      <c r="AA28" s="21">
        <f t="shared" si="6"/>
        <v>0.4376097115</v>
      </c>
    </row>
    <row r="29">
      <c r="A29" s="4" t="s">
        <v>1069</v>
      </c>
      <c r="B29" s="4" t="str">
        <f>IFERROR(__xludf.DUMMYFUNCTION("SPLIT(A29:A749, ""&gt;"")"),"Online Behavior")</f>
        <v>Online Behavior</v>
      </c>
      <c r="C29" s="4" t="str">
        <f>IFERROR(__xludf.DUMMYFUNCTION("""COMPUTED_VALUE"""),"United States")</f>
        <v>United States</v>
      </c>
      <c r="D29" s="4" t="str">
        <f>IFERROR(__xludf.DUMMYFUNCTION("""COMPUTED_VALUE"""),"Intent ")</f>
        <v>Intent </v>
      </c>
      <c r="E29" s="4" t="str">
        <f>IFERROR(__xludf.DUMMYFUNCTION("""COMPUTED_VALUE""")," Auto Buyers ")</f>
        <v> Auto Buyers </v>
      </c>
      <c r="F29" s="4" t="str">
        <f>IFERROR(__xludf.DUMMYFUNCTION("""COMPUTED_VALUE""")," Car Make")</f>
        <v> Car Make</v>
      </c>
      <c r="G29" s="4" t="str">
        <f>IFERROR(__xludf.DUMMYFUNCTION("""COMPUTED_VALUE"""),"Volkswagen")</f>
        <v>Volkswagen</v>
      </c>
      <c r="H29" s="4"/>
      <c r="I29" s="5" t="s">
        <v>15</v>
      </c>
      <c r="J29" s="5" t="s">
        <v>23</v>
      </c>
      <c r="K29" s="5" t="s">
        <v>35</v>
      </c>
      <c r="L29" s="6" t="s">
        <v>76</v>
      </c>
      <c r="M29" s="5" t="s">
        <v>26</v>
      </c>
      <c r="N29" s="5" t="s">
        <v>27</v>
      </c>
      <c r="O29" s="5">
        <v>14451.0</v>
      </c>
      <c r="P29" s="5">
        <v>50.0</v>
      </c>
      <c r="Q29" s="5">
        <v>5606.0</v>
      </c>
      <c r="R29" s="5">
        <v>13461.0</v>
      </c>
      <c r="S29" s="5">
        <v>8.0</v>
      </c>
      <c r="T29" s="5">
        <v>6397.602518</v>
      </c>
      <c r="V29" s="21">
        <f t="shared" si="1"/>
        <v>442.7100213</v>
      </c>
      <c r="W29" s="21">
        <f t="shared" si="2"/>
        <v>1141.2063</v>
      </c>
      <c r="X29" s="21">
        <f t="shared" si="3"/>
        <v>16</v>
      </c>
      <c r="Y29" s="21">
        <f t="shared" si="4"/>
        <v>799.7003148</v>
      </c>
      <c r="Z29" s="21">
        <f t="shared" si="5"/>
        <v>127.9520504</v>
      </c>
      <c r="AA29" s="21">
        <f t="shared" si="6"/>
        <v>0.3459968168</v>
      </c>
    </row>
    <row r="30">
      <c r="A30" s="4" t="s">
        <v>1730</v>
      </c>
      <c r="B30" s="4" t="str">
        <f>IFERROR(__xludf.DUMMYFUNCTION("SPLIT(A30:A750, ""&gt;"")"),"US ")</f>
        <v>US </v>
      </c>
      <c r="C30" s="4" t="str">
        <f>IFERROR(__xludf.DUMMYFUNCTION("""COMPUTED_VALUE""")," B2B ")</f>
        <v> B2B </v>
      </c>
      <c r="D30" s="4" t="str">
        <f>IFERROR(__xludf.DUMMYFUNCTION("""COMPUTED_VALUE""")," B2B Decision Maker Responsibilities ")</f>
        <v> B2B Decision Maker Responsibilities </v>
      </c>
      <c r="E30" s="4" t="str">
        <f>IFERROR(__xludf.DUMMYFUNCTION("""COMPUTED_VALUE""")," Financial Services")</f>
        <v> Financial Services</v>
      </c>
      <c r="F30" s="4"/>
      <c r="G30" s="4"/>
      <c r="H30" s="4"/>
      <c r="I30" s="5" t="s">
        <v>15</v>
      </c>
      <c r="J30" s="5" t="s">
        <v>31</v>
      </c>
      <c r="K30" s="5" t="s">
        <v>78</v>
      </c>
      <c r="L30" s="6" t="s">
        <v>79</v>
      </c>
      <c r="M30" s="5" t="s">
        <v>80</v>
      </c>
      <c r="N30" s="5" t="s">
        <v>20</v>
      </c>
      <c r="O30" s="5">
        <v>11668.0</v>
      </c>
      <c r="P30" s="5">
        <v>110.0</v>
      </c>
      <c r="Q30" s="5">
        <v>7860.0</v>
      </c>
      <c r="R30" s="5">
        <v>11009.0</v>
      </c>
      <c r="S30" s="5">
        <v>5.0</v>
      </c>
      <c r="T30" s="5">
        <v>2653.981579</v>
      </c>
      <c r="V30" s="21">
        <f t="shared" si="1"/>
        <v>227.4581401</v>
      </c>
      <c r="W30" s="21">
        <f t="shared" si="2"/>
        <v>337.6566894</v>
      </c>
      <c r="X30" s="21">
        <f t="shared" si="3"/>
        <v>4.545454545</v>
      </c>
      <c r="Y30" s="21">
        <f t="shared" si="4"/>
        <v>530.7963158</v>
      </c>
      <c r="Z30" s="21">
        <f t="shared" si="5"/>
        <v>24.12710526</v>
      </c>
      <c r="AA30" s="21">
        <f t="shared" si="6"/>
        <v>0.9427494001</v>
      </c>
    </row>
    <row r="31">
      <c r="A31" s="4" t="s">
        <v>1071</v>
      </c>
      <c r="B31" s="4" t="str">
        <f>IFERROR(__xludf.DUMMYFUNCTION("SPLIT(A31:A751, ""&gt;"")"),"Online Behavior")</f>
        <v>Online Behavior</v>
      </c>
      <c r="C31" s="4" t="str">
        <f>IFERROR(__xludf.DUMMYFUNCTION("""COMPUTED_VALUE"""),"United States")</f>
        <v>United States</v>
      </c>
      <c r="D31" s="4" t="str">
        <f>IFERROR(__xludf.DUMMYFUNCTION("""COMPUTED_VALUE"""),"Sports")</f>
        <v>Sports</v>
      </c>
      <c r="E31" s="4" t="str">
        <f>IFERROR(__xludf.DUMMYFUNCTION("""COMPUTED_VALUE"""),"Team Sports ")</f>
        <v>Team Sports </v>
      </c>
      <c r="F31" s="4" t="str">
        <f>IFERROR(__xludf.DUMMYFUNCTION("""COMPUTED_VALUE""")," Basketball")</f>
        <v> Basketball</v>
      </c>
      <c r="G31" s="4"/>
      <c r="H31" s="4"/>
      <c r="I31" s="5" t="s">
        <v>15</v>
      </c>
      <c r="J31" s="5" t="s">
        <v>23</v>
      </c>
      <c r="K31" s="5" t="s">
        <v>78</v>
      </c>
      <c r="L31" s="6" t="s">
        <v>82</v>
      </c>
      <c r="M31" s="5" t="s">
        <v>26</v>
      </c>
      <c r="N31" s="5" t="s">
        <v>52</v>
      </c>
      <c r="O31" s="5">
        <v>19379.0</v>
      </c>
      <c r="P31" s="5">
        <v>49.0</v>
      </c>
      <c r="Q31" s="5">
        <v>12168.0</v>
      </c>
      <c r="R31" s="5">
        <v>16616.0</v>
      </c>
      <c r="S31" s="5">
        <v>97.0</v>
      </c>
      <c r="T31" s="5">
        <v>7294.100001</v>
      </c>
      <c r="V31" s="21">
        <f t="shared" si="1"/>
        <v>376.3919707</v>
      </c>
      <c r="W31" s="21">
        <f t="shared" si="2"/>
        <v>599.4493755</v>
      </c>
      <c r="X31" s="21">
        <f t="shared" si="3"/>
        <v>197.9591837</v>
      </c>
      <c r="Y31" s="21">
        <f t="shared" si="4"/>
        <v>75.19690723</v>
      </c>
      <c r="Z31" s="21">
        <f t="shared" si="5"/>
        <v>148.8591837</v>
      </c>
      <c r="AA31" s="21">
        <f t="shared" si="6"/>
        <v>0.2528510243</v>
      </c>
    </row>
    <row r="32">
      <c r="A32" s="4" t="s">
        <v>1731</v>
      </c>
      <c r="B32" s="4" t="str">
        <f>IFERROR(__xludf.DUMMYFUNCTION("SPLIT(A32:A752, ""&gt;"")"),"US ")</f>
        <v>US </v>
      </c>
      <c r="C32" s="4" t="str">
        <f>IFERROR(__xludf.DUMMYFUNCTION("""COMPUTED_VALUE""")," Interest Propensities ")</f>
        <v> Interest Propensities </v>
      </c>
      <c r="D32" s="4" t="str">
        <f>IFERROR(__xludf.DUMMYFUNCTION("""COMPUTED_VALUE""")," Music ")</f>
        <v> Music </v>
      </c>
      <c r="E32" s="4" t="str">
        <f>IFERROR(__xludf.DUMMYFUNCTION("""COMPUTED_VALUE""")," Country")</f>
        <v> Country</v>
      </c>
      <c r="F32" s="4"/>
      <c r="G32" s="4"/>
      <c r="H32" s="4"/>
      <c r="I32" s="5" t="s">
        <v>15</v>
      </c>
      <c r="J32" s="5" t="s">
        <v>42</v>
      </c>
      <c r="K32" s="5" t="s">
        <v>84</v>
      </c>
      <c r="L32" s="6" t="s">
        <v>82</v>
      </c>
      <c r="M32" s="5" t="s">
        <v>19</v>
      </c>
      <c r="N32" s="5" t="s">
        <v>27</v>
      </c>
      <c r="O32" s="5">
        <v>8716.0</v>
      </c>
      <c r="P32" s="5">
        <v>40.0</v>
      </c>
      <c r="Q32" s="5">
        <v>6490.0</v>
      </c>
      <c r="R32" s="5">
        <v>7862.0</v>
      </c>
      <c r="S32" s="5">
        <v>2.0</v>
      </c>
      <c r="T32" s="5">
        <v>2100.820137</v>
      </c>
      <c r="V32" s="21">
        <f t="shared" si="1"/>
        <v>241.0303048</v>
      </c>
      <c r="W32" s="21">
        <f t="shared" si="2"/>
        <v>323.7010997</v>
      </c>
      <c r="X32" s="21">
        <f t="shared" si="3"/>
        <v>5</v>
      </c>
      <c r="Y32" s="21">
        <f t="shared" si="4"/>
        <v>1050.410069</v>
      </c>
      <c r="Z32" s="21">
        <f t="shared" si="5"/>
        <v>52.52050343</v>
      </c>
      <c r="AA32" s="21">
        <f t="shared" si="6"/>
        <v>0.4589261129</v>
      </c>
    </row>
    <row r="33">
      <c r="A33" s="4" t="s">
        <v>1073</v>
      </c>
      <c r="B33" s="4" t="str">
        <f>IFERROR(__xludf.DUMMYFUNCTION("SPLIT(A33:A753, ""&gt;"")"),"Media and Entertainment ")</f>
        <v>Media and Entertainment </v>
      </c>
      <c r="C33" s="4" t="str">
        <f>IFERROR(__xludf.DUMMYFUNCTION("""COMPUTED_VALUE""")," Sports and Recreational Activities ")</f>
        <v> Sports and Recreational Activities </v>
      </c>
      <c r="D33" s="4" t="str">
        <f>IFERROR(__xludf.DUMMYFUNCTION("""COMPUTED_VALUE""")," Interest (Affinity) ")</f>
        <v> Interest (Affinity) </v>
      </c>
      <c r="E33" s="4" t="str">
        <f>IFERROR(__xludf.DUMMYFUNCTION("""COMPUTED_VALUE""")," Team Sports ")</f>
        <v> Team Sports </v>
      </c>
      <c r="F33" s="4" t="str">
        <f>IFERROR(__xludf.DUMMYFUNCTION("""COMPUTED_VALUE""")," Baseball ")</f>
        <v> Baseball </v>
      </c>
      <c r="G33" s="4" t="str">
        <f>IFERROR(__xludf.DUMMYFUNCTION("""COMPUTED_VALUE""")," Major League Baseball (MLB)")</f>
        <v> Major League Baseball (MLB)</v>
      </c>
      <c r="H33" s="4"/>
      <c r="I33" s="5" t="s">
        <v>15</v>
      </c>
      <c r="J33" s="5" t="s">
        <v>16</v>
      </c>
      <c r="K33" s="5" t="s">
        <v>43</v>
      </c>
      <c r="L33" s="6" t="s">
        <v>82</v>
      </c>
      <c r="M33" s="5" t="s">
        <v>48</v>
      </c>
      <c r="N33" s="5" t="s">
        <v>27</v>
      </c>
      <c r="O33" s="5">
        <v>11062.0</v>
      </c>
      <c r="P33" s="5">
        <v>78.0</v>
      </c>
      <c r="Q33" s="5">
        <v>6539.0</v>
      </c>
      <c r="R33" s="5">
        <v>9391.0</v>
      </c>
      <c r="S33" s="5">
        <v>2.0</v>
      </c>
      <c r="T33" s="5">
        <v>1500.09932</v>
      </c>
      <c r="V33" s="21">
        <f t="shared" si="1"/>
        <v>135.6083276</v>
      </c>
      <c r="W33" s="21">
        <f t="shared" si="2"/>
        <v>229.4080624</v>
      </c>
      <c r="X33" s="21">
        <f t="shared" si="3"/>
        <v>2.564102564</v>
      </c>
      <c r="Y33" s="21">
        <f t="shared" si="4"/>
        <v>750.04966</v>
      </c>
      <c r="Z33" s="21">
        <f t="shared" si="5"/>
        <v>19.23204256</v>
      </c>
      <c r="AA33" s="21">
        <f t="shared" si="6"/>
        <v>0.7051166154</v>
      </c>
    </row>
    <row r="34">
      <c r="A34" s="4" t="s">
        <v>1074</v>
      </c>
      <c r="B34" s="4" t="str">
        <f>IFERROR(__xludf.DUMMYFUNCTION("SPLIT(A34:A754, ""&gt;"")"),"Online Behavior")</f>
        <v>Online Behavior</v>
      </c>
      <c r="C34" s="4" t="str">
        <f>IFERROR(__xludf.DUMMYFUNCTION("""COMPUTED_VALUE"""),"United States")</f>
        <v>United States</v>
      </c>
      <c r="D34" s="4" t="str">
        <f>IFERROR(__xludf.DUMMYFUNCTION("""COMPUTED_VALUE"""),"Beauty and Fitness")</f>
        <v>Beauty and Fitness</v>
      </c>
      <c r="E34" s="4" t="str">
        <f>IFERROR(__xludf.DUMMYFUNCTION("""COMPUTED_VALUE"""),"Face and Body Care ")</f>
        <v>Face and Body Care </v>
      </c>
      <c r="F34" s="4" t="str">
        <f>IFERROR(__xludf.DUMMYFUNCTION("""COMPUTED_VALUE""")," Skin and Nail Care")</f>
        <v> Skin and Nail Care</v>
      </c>
      <c r="G34" s="4"/>
      <c r="H34" s="4"/>
      <c r="I34" s="5" t="s">
        <v>61</v>
      </c>
      <c r="J34" s="5" t="s">
        <v>42</v>
      </c>
      <c r="K34" s="5" t="s">
        <v>17</v>
      </c>
      <c r="L34" s="6" t="s">
        <v>87</v>
      </c>
      <c r="M34" s="5" t="s">
        <v>46</v>
      </c>
      <c r="N34" s="5" t="s">
        <v>27</v>
      </c>
      <c r="O34" s="5">
        <v>100800.0</v>
      </c>
      <c r="P34" s="5">
        <v>185.0</v>
      </c>
      <c r="Q34" s="5">
        <v>14473.0</v>
      </c>
      <c r="R34" s="5">
        <v>85424.0</v>
      </c>
      <c r="S34" s="5">
        <v>10.0</v>
      </c>
      <c r="T34" s="5">
        <v>7004.730483</v>
      </c>
      <c r="V34" s="21">
        <f t="shared" si="1"/>
        <v>69.49137384</v>
      </c>
      <c r="W34" s="21">
        <f t="shared" si="2"/>
        <v>483.9860763</v>
      </c>
      <c r="X34" s="21">
        <f t="shared" si="3"/>
        <v>5.405405405</v>
      </c>
      <c r="Y34" s="21">
        <f t="shared" si="4"/>
        <v>700.4730483</v>
      </c>
      <c r="Z34" s="21">
        <f t="shared" si="5"/>
        <v>37.86340802</v>
      </c>
      <c r="AA34" s="21">
        <f t="shared" si="6"/>
        <v>0.183531746</v>
      </c>
    </row>
    <row r="35">
      <c r="A35" s="4" t="s">
        <v>1732</v>
      </c>
      <c r="B35" s="4" t="str">
        <f>IFERROR(__xludf.DUMMYFUNCTION("SPLIT(A35:A755, ""&gt;"")"),"US ")</f>
        <v>US </v>
      </c>
      <c r="C35" s="4" t="str">
        <f>IFERROR(__xludf.DUMMYFUNCTION("""COMPUTED_VALUE""")," Interest Propensities ")</f>
        <v> Interest Propensities </v>
      </c>
      <c r="D35" s="4" t="str">
        <f>IFERROR(__xludf.DUMMYFUNCTION("""COMPUTED_VALUE""")," Activities and Interests ")</f>
        <v> Activities and Interests </v>
      </c>
      <c r="E35" s="4" t="str">
        <f>IFERROR(__xludf.DUMMYFUNCTION("""COMPUTED_VALUE""")," Financial Aid")</f>
        <v> Financial Aid</v>
      </c>
      <c r="F35" s="4"/>
      <c r="G35" s="4"/>
      <c r="H35" s="4"/>
      <c r="I35" s="5" t="s">
        <v>15</v>
      </c>
      <c r="J35" s="5" t="s">
        <v>42</v>
      </c>
      <c r="K35" s="5" t="s">
        <v>17</v>
      </c>
      <c r="L35" s="6" t="s">
        <v>87</v>
      </c>
      <c r="M35" s="5" t="s">
        <v>19</v>
      </c>
      <c r="N35" s="5" t="s">
        <v>27</v>
      </c>
      <c r="O35" s="5">
        <v>12864.0</v>
      </c>
      <c r="P35" s="5">
        <v>84.0</v>
      </c>
      <c r="Q35" s="5">
        <v>5549.0</v>
      </c>
      <c r="R35" s="5">
        <v>11852.0</v>
      </c>
      <c r="S35" s="5">
        <v>5.0</v>
      </c>
      <c r="T35" s="5">
        <v>1905.889693</v>
      </c>
      <c r="V35" s="21">
        <f t="shared" si="1"/>
        <v>148.156848</v>
      </c>
      <c r="W35" s="21">
        <f t="shared" si="2"/>
        <v>343.465434</v>
      </c>
      <c r="X35" s="21">
        <f t="shared" si="3"/>
        <v>5.952380952</v>
      </c>
      <c r="Y35" s="21">
        <f t="shared" si="4"/>
        <v>381.1779386</v>
      </c>
      <c r="Z35" s="21">
        <f t="shared" si="5"/>
        <v>22.68916301</v>
      </c>
      <c r="AA35" s="21">
        <f t="shared" si="6"/>
        <v>0.6529850746</v>
      </c>
    </row>
    <row r="36">
      <c r="A36" s="4" t="s">
        <v>1076</v>
      </c>
      <c r="B36" s="4" t="str">
        <f>IFERROR(__xludf.DUMMYFUNCTION("SPLIT(A36:A756, ""&gt;"")"),"Media and Entertainment ")</f>
        <v>Media and Entertainment </v>
      </c>
      <c r="C36" s="4" t="str">
        <f>IFERROR(__xludf.DUMMYFUNCTION("""COMPUTED_VALUE""")," Sports and Recreational Activities ")</f>
        <v> Sports and Recreational Activities </v>
      </c>
      <c r="D36" s="4" t="str">
        <f>IFERROR(__xludf.DUMMYFUNCTION("""COMPUTED_VALUE""")," Interest (Affinity) ")</f>
        <v> Interest (Affinity) </v>
      </c>
      <c r="E36" s="4" t="str">
        <f>IFERROR(__xludf.DUMMYFUNCTION("""COMPUTED_VALUE""")," Olympics ")</f>
        <v> Olympics </v>
      </c>
      <c r="F36" s="4" t="str">
        <f>IFERROR(__xludf.DUMMYFUNCTION("""COMPUTED_VALUE""")," Summer Olympics")</f>
        <v> Summer Olympics</v>
      </c>
      <c r="G36" s="4"/>
      <c r="H36" s="4"/>
      <c r="I36" s="5" t="s">
        <v>22</v>
      </c>
      <c r="J36" s="5" t="s">
        <v>23</v>
      </c>
      <c r="K36" s="5" t="s">
        <v>66</v>
      </c>
      <c r="L36" s="6" t="s">
        <v>90</v>
      </c>
      <c r="M36" s="5" t="s">
        <v>46</v>
      </c>
      <c r="N36" s="5" t="s">
        <v>27</v>
      </c>
      <c r="O36" s="5">
        <v>10992.0</v>
      </c>
      <c r="P36" s="5">
        <v>97.0</v>
      </c>
      <c r="Q36" s="5">
        <v>6677.0</v>
      </c>
      <c r="R36" s="5">
        <v>10132.0</v>
      </c>
      <c r="S36" s="5">
        <v>3.0</v>
      </c>
      <c r="T36" s="5">
        <v>1675.987427</v>
      </c>
      <c r="V36" s="21">
        <f t="shared" si="1"/>
        <v>152.4733831</v>
      </c>
      <c r="W36" s="21">
        <f t="shared" si="2"/>
        <v>251.00905</v>
      </c>
      <c r="X36" s="21">
        <f t="shared" si="3"/>
        <v>3.092783505</v>
      </c>
      <c r="Y36" s="21">
        <f t="shared" si="4"/>
        <v>558.6624757</v>
      </c>
      <c r="Z36" s="21">
        <f t="shared" si="5"/>
        <v>17.2782209</v>
      </c>
      <c r="AA36" s="21">
        <f t="shared" si="6"/>
        <v>0.8824599709</v>
      </c>
    </row>
    <row r="37">
      <c r="A37" s="4" t="s">
        <v>1733</v>
      </c>
      <c r="B37" s="4" t="str">
        <f>IFERROR(__xludf.DUMMYFUNCTION("SPLIT(A37:A757, ""&gt;"")"),"US ")</f>
        <v>US </v>
      </c>
      <c r="C37" s="4" t="str">
        <f>IFERROR(__xludf.DUMMYFUNCTION("""COMPUTED_VALUE""")," Demographic ")</f>
        <v> Demographic </v>
      </c>
      <c r="D37" s="4" t="str">
        <f>IFERROR(__xludf.DUMMYFUNCTION("""COMPUTED_VALUE""")," Family ")</f>
        <v> Family </v>
      </c>
      <c r="E37" s="4" t="str">
        <f>IFERROR(__xludf.DUMMYFUNCTION("""COMPUTED_VALUE""")," Female Head of Household")</f>
        <v> Female Head of Household</v>
      </c>
      <c r="F37" s="4"/>
      <c r="G37" s="4"/>
      <c r="H37" s="4"/>
      <c r="I37" s="5" t="s">
        <v>15</v>
      </c>
      <c r="J37" s="5" t="s">
        <v>16</v>
      </c>
      <c r="K37" s="5" t="s">
        <v>39</v>
      </c>
      <c r="L37" s="6" t="s">
        <v>90</v>
      </c>
      <c r="M37" s="5" t="s">
        <v>19</v>
      </c>
      <c r="N37" s="5" t="s">
        <v>27</v>
      </c>
      <c r="O37" s="5">
        <v>14984.0</v>
      </c>
      <c r="P37" s="5">
        <v>63.0</v>
      </c>
      <c r="Q37" s="5">
        <v>9614.0</v>
      </c>
      <c r="R37" s="5">
        <v>14086.0</v>
      </c>
      <c r="S37" s="5">
        <v>3.0</v>
      </c>
      <c r="T37" s="5">
        <v>1505.009635</v>
      </c>
      <c r="V37" s="21">
        <f t="shared" si="1"/>
        <v>100.4411129</v>
      </c>
      <c r="W37" s="21">
        <f t="shared" si="2"/>
        <v>156.5435443</v>
      </c>
      <c r="X37" s="21">
        <f t="shared" si="3"/>
        <v>4.761904762</v>
      </c>
      <c r="Y37" s="21">
        <f t="shared" si="4"/>
        <v>501.6698783</v>
      </c>
      <c r="Z37" s="21">
        <f t="shared" si="5"/>
        <v>23.88904183</v>
      </c>
      <c r="AA37" s="21">
        <f t="shared" si="6"/>
        <v>0.4204484784</v>
      </c>
    </row>
    <row r="38">
      <c r="A38" s="4" t="s">
        <v>1078</v>
      </c>
      <c r="B38" s="4" t="str">
        <f>IFERROR(__xludf.DUMMYFUNCTION("SPLIT(A38:A758, ""&gt;"")"),"Online Behavior")</f>
        <v>Online Behavior</v>
      </c>
      <c r="C38" s="4" t="str">
        <f>IFERROR(__xludf.DUMMYFUNCTION("""COMPUTED_VALUE"""),"United States")</f>
        <v>United States</v>
      </c>
      <c r="D38" s="4" t="str">
        <f>IFERROR(__xludf.DUMMYFUNCTION("""COMPUTED_VALUE"""),"Sports")</f>
        <v>Sports</v>
      </c>
      <c r="E38" s="4" t="str">
        <f>IFERROR(__xludf.DUMMYFUNCTION("""COMPUTED_VALUE"""),"Sports League ")</f>
        <v>Sports League </v>
      </c>
      <c r="F38" s="4" t="str">
        <f>IFERROR(__xludf.DUMMYFUNCTION("""COMPUTED_VALUE""")," MLB")</f>
        <v> MLB</v>
      </c>
      <c r="G38" s="4"/>
      <c r="H38" s="4"/>
      <c r="I38" s="5" t="s">
        <v>22</v>
      </c>
      <c r="J38" s="5" t="s">
        <v>42</v>
      </c>
      <c r="K38" s="5" t="s">
        <v>78</v>
      </c>
      <c r="L38" s="6" t="s">
        <v>93</v>
      </c>
      <c r="M38" s="5" t="s">
        <v>19</v>
      </c>
      <c r="N38" s="5" t="s">
        <v>27</v>
      </c>
      <c r="O38" s="5">
        <v>19093.0</v>
      </c>
      <c r="P38" s="5">
        <v>50.0</v>
      </c>
      <c r="Q38" s="5">
        <v>9626.0</v>
      </c>
      <c r="R38" s="5">
        <v>17815.0</v>
      </c>
      <c r="S38" s="5">
        <v>10.0</v>
      </c>
      <c r="T38" s="5">
        <v>6612.14569</v>
      </c>
      <c r="V38" s="21">
        <f t="shared" si="1"/>
        <v>346.3125591</v>
      </c>
      <c r="W38" s="21">
        <f t="shared" si="2"/>
        <v>686.9048089</v>
      </c>
      <c r="X38" s="21">
        <f t="shared" si="3"/>
        <v>20</v>
      </c>
      <c r="Y38" s="21">
        <f t="shared" si="4"/>
        <v>661.214569</v>
      </c>
      <c r="Z38" s="21">
        <f t="shared" si="5"/>
        <v>132.2429138</v>
      </c>
      <c r="AA38" s="21">
        <f t="shared" si="6"/>
        <v>0.2618760802</v>
      </c>
    </row>
    <row r="39">
      <c r="A39" s="4" t="s">
        <v>1079</v>
      </c>
      <c r="B39" s="4" t="str">
        <f>IFERROR(__xludf.DUMMYFUNCTION("SPLIT(A39:A759, ""&gt;"")"),"Online Behavior")</f>
        <v>Online Behavior</v>
      </c>
      <c r="C39" s="4" t="str">
        <f>IFERROR(__xludf.DUMMYFUNCTION("""COMPUTED_VALUE"""),"United States")</f>
        <v>United States</v>
      </c>
      <c r="D39" s="4" t="str">
        <f>IFERROR(__xludf.DUMMYFUNCTION("""COMPUTED_VALUE"""),"Autos and Vehicles ")</f>
        <v>Autos and Vehicles </v>
      </c>
      <c r="E39" s="4" t="str">
        <f>IFERROR(__xludf.DUMMYFUNCTION("""COMPUTED_VALUE""")," Brands")</f>
        <v> Brands</v>
      </c>
      <c r="F39" s="4" t="str">
        <f>IFERROR(__xludf.DUMMYFUNCTION("""COMPUTED_VALUE"""),"Dodge")</f>
        <v>Dodge</v>
      </c>
      <c r="G39" s="4"/>
      <c r="H39" s="4"/>
      <c r="I39" s="5" t="s">
        <v>15</v>
      </c>
      <c r="J39" s="5" t="s">
        <v>42</v>
      </c>
      <c r="K39" s="5" t="s">
        <v>95</v>
      </c>
      <c r="L39" s="6" t="s">
        <v>93</v>
      </c>
      <c r="M39" s="5" t="s">
        <v>46</v>
      </c>
      <c r="N39" s="5" t="s">
        <v>27</v>
      </c>
      <c r="O39" s="5">
        <v>43057.0</v>
      </c>
      <c r="P39" s="5">
        <v>122.0</v>
      </c>
      <c r="Q39" s="5">
        <v>23767.0</v>
      </c>
      <c r="R39" s="5">
        <v>41484.0</v>
      </c>
      <c r="S39" s="5">
        <v>7.0</v>
      </c>
      <c r="T39" s="5">
        <v>5884.931394</v>
      </c>
      <c r="V39" s="21">
        <f t="shared" si="1"/>
        <v>136.6776922</v>
      </c>
      <c r="W39" s="21">
        <f t="shared" si="2"/>
        <v>247.6093488</v>
      </c>
      <c r="X39" s="21">
        <f t="shared" si="3"/>
        <v>5.737704918</v>
      </c>
      <c r="Y39" s="21">
        <f t="shared" si="4"/>
        <v>840.7044849</v>
      </c>
      <c r="Z39" s="21">
        <f t="shared" si="5"/>
        <v>48.23714257</v>
      </c>
      <c r="AA39" s="21">
        <f t="shared" si="6"/>
        <v>0.2833453329</v>
      </c>
    </row>
    <row r="40">
      <c r="A40" s="4" t="s">
        <v>1734</v>
      </c>
      <c r="B40" s="4" t="str">
        <f>IFERROR(__xludf.DUMMYFUNCTION("SPLIT(A40:A760, ""&gt;"")"),"US ")</f>
        <v>US </v>
      </c>
      <c r="C40" s="4" t="str">
        <f>IFERROR(__xludf.DUMMYFUNCTION("""COMPUTED_VALUE""")," Brand Propensities ")</f>
        <v> Brand Propensities </v>
      </c>
      <c r="D40" s="4" t="str">
        <f>IFERROR(__xludf.DUMMYFUNCTION("""COMPUTED_VALUE""")," Travel ")</f>
        <v> Travel </v>
      </c>
      <c r="E40" s="4" t="str">
        <f>IFERROR(__xludf.DUMMYFUNCTION("""COMPUTED_VALUE""")," Sandals Resorts Buyer Propensity")</f>
        <v> Sandals Resorts Buyer Propensity</v>
      </c>
      <c r="F40" s="4"/>
      <c r="G40" s="4"/>
      <c r="H40" s="4"/>
      <c r="I40" s="5" t="s">
        <v>61</v>
      </c>
      <c r="J40" s="5" t="s">
        <v>23</v>
      </c>
      <c r="K40" s="5" t="s">
        <v>55</v>
      </c>
      <c r="L40" s="6" t="s">
        <v>93</v>
      </c>
      <c r="M40" s="5" t="s">
        <v>19</v>
      </c>
      <c r="N40" s="5" t="s">
        <v>27</v>
      </c>
      <c r="O40" s="5">
        <v>53561.0</v>
      </c>
      <c r="P40" s="5">
        <v>147.0</v>
      </c>
      <c r="Q40" s="5">
        <v>37063.0</v>
      </c>
      <c r="R40" s="5">
        <v>51480.0</v>
      </c>
      <c r="S40" s="5">
        <v>14.0</v>
      </c>
      <c r="T40" s="5">
        <v>2039.35506</v>
      </c>
      <c r="V40" s="21">
        <f t="shared" si="1"/>
        <v>38.07537313</v>
      </c>
      <c r="W40" s="21">
        <f t="shared" si="2"/>
        <v>55.02401479</v>
      </c>
      <c r="X40" s="21">
        <f t="shared" si="3"/>
        <v>9.523809524</v>
      </c>
      <c r="Y40" s="21">
        <f t="shared" si="4"/>
        <v>145.6682186</v>
      </c>
      <c r="Z40" s="21">
        <f t="shared" si="5"/>
        <v>13.87316367</v>
      </c>
      <c r="AA40" s="21">
        <f t="shared" si="6"/>
        <v>0.2744534269</v>
      </c>
    </row>
    <row r="41">
      <c r="A41" s="4" t="s">
        <v>1735</v>
      </c>
      <c r="B41" s="4" t="str">
        <f>IFERROR(__xludf.DUMMYFUNCTION("SPLIT(A41:A761, ""&gt;"")"),"Mobile - US ")</f>
        <v>Mobile - US </v>
      </c>
      <c r="C41" s="4" t="str">
        <f>IFERROR(__xludf.DUMMYFUNCTION("""COMPUTED_VALUE""")," Shopping ")</f>
        <v> Shopping </v>
      </c>
      <c r="D41" s="4" t="str">
        <f>IFERROR(__xludf.DUMMYFUNCTION("""COMPUTED_VALUE""")," Brand ")</f>
        <v> Brand </v>
      </c>
      <c r="E41" s="4" t="str">
        <f>IFERROR(__xludf.DUMMYFUNCTION("""COMPUTED_VALUE""")," Old Navy")</f>
        <v> Old Navy</v>
      </c>
      <c r="F41" s="4"/>
      <c r="G41" s="4"/>
      <c r="H41" s="4"/>
      <c r="I41" s="5" t="s">
        <v>15</v>
      </c>
      <c r="J41" s="5" t="s">
        <v>31</v>
      </c>
      <c r="K41" s="5" t="s">
        <v>17</v>
      </c>
      <c r="L41" s="6" t="s">
        <v>93</v>
      </c>
      <c r="M41" s="5" t="s">
        <v>26</v>
      </c>
      <c r="N41" s="5" t="s">
        <v>27</v>
      </c>
      <c r="O41" s="5">
        <v>67752.0</v>
      </c>
      <c r="P41" s="5">
        <v>174.0</v>
      </c>
      <c r="Q41" s="5">
        <v>47126.0</v>
      </c>
      <c r="R41" s="5">
        <v>65080.0</v>
      </c>
      <c r="S41" s="5">
        <v>3.0</v>
      </c>
      <c r="T41" s="5">
        <v>1557.01573</v>
      </c>
      <c r="V41" s="21">
        <f t="shared" si="1"/>
        <v>22.98110358</v>
      </c>
      <c r="W41" s="21">
        <f t="shared" si="2"/>
        <v>33.03942049</v>
      </c>
      <c r="X41" s="21">
        <f t="shared" si="3"/>
        <v>1.724137931</v>
      </c>
      <c r="Y41" s="21">
        <f t="shared" si="4"/>
        <v>519.0052433</v>
      </c>
      <c r="Z41" s="21">
        <f t="shared" si="5"/>
        <v>8.948366264</v>
      </c>
      <c r="AA41" s="21">
        <f t="shared" si="6"/>
        <v>0.2568189869</v>
      </c>
    </row>
    <row r="42">
      <c r="A42" s="4" t="s">
        <v>1082</v>
      </c>
      <c r="B42" s="4" t="str">
        <f>IFERROR(__xludf.DUMMYFUNCTION("SPLIT(A42:A762, ""&gt;"")"),"OnAudience ")</f>
        <v>OnAudience </v>
      </c>
      <c r="C42" s="4" t="str">
        <f>IFERROR(__xludf.DUMMYFUNCTION("""COMPUTED_VALUE""")," Intent ")</f>
        <v> Intent </v>
      </c>
      <c r="D42" s="4" t="str">
        <f>IFERROR(__xludf.DUMMYFUNCTION("""COMPUTED_VALUE""")," Animals &amp; Pet")</f>
        <v> Animals &amp; Pet</v>
      </c>
      <c r="E42" s="4"/>
      <c r="F42" s="4"/>
      <c r="G42" s="4"/>
      <c r="H42" s="4"/>
      <c r="I42" s="5" t="s">
        <v>15</v>
      </c>
      <c r="J42" s="5" t="s">
        <v>16</v>
      </c>
      <c r="K42" s="5" t="s">
        <v>78</v>
      </c>
      <c r="L42" s="6" t="s">
        <v>99</v>
      </c>
      <c r="M42" s="5" t="s">
        <v>48</v>
      </c>
      <c r="N42" s="5" t="s">
        <v>27</v>
      </c>
      <c r="O42" s="5">
        <v>75161.0</v>
      </c>
      <c r="P42" s="5">
        <v>280.0</v>
      </c>
      <c r="Q42" s="5">
        <v>40385.0</v>
      </c>
      <c r="R42" s="5">
        <v>70325.0</v>
      </c>
      <c r="S42" s="5">
        <v>3.0</v>
      </c>
      <c r="T42" s="5">
        <v>1506.461108</v>
      </c>
      <c r="V42" s="21">
        <f t="shared" si="1"/>
        <v>20.0431222</v>
      </c>
      <c r="W42" s="21">
        <f t="shared" si="2"/>
        <v>37.30249122</v>
      </c>
      <c r="X42" s="21">
        <f t="shared" si="3"/>
        <v>1.071428571</v>
      </c>
      <c r="Y42" s="21">
        <f t="shared" si="4"/>
        <v>502.1537027</v>
      </c>
      <c r="Z42" s="21">
        <f t="shared" si="5"/>
        <v>5.380218243</v>
      </c>
      <c r="AA42" s="21">
        <f t="shared" si="6"/>
        <v>0.3725336278</v>
      </c>
    </row>
    <row r="43">
      <c r="A43" s="4" t="s">
        <v>1736</v>
      </c>
      <c r="B43" s="4" t="str">
        <f>IFERROR(__xludf.DUMMYFUNCTION("SPLIT(A43:A763, ""&gt;"")"),"US ")</f>
        <v>US </v>
      </c>
      <c r="C43" s="4" t="str">
        <f>IFERROR(__xludf.DUMMYFUNCTION("""COMPUTED_VALUE""")," Multibuyer Behaviors ")</f>
        <v> Multibuyer Behaviors </v>
      </c>
      <c r="D43" s="4" t="str">
        <f>IFERROR(__xludf.DUMMYFUNCTION("""COMPUTED_VALUE""")," Paid with Credit Card")</f>
        <v> Paid with Credit Card</v>
      </c>
      <c r="E43" s="4"/>
      <c r="F43" s="4"/>
      <c r="G43" s="4"/>
      <c r="H43" s="4"/>
      <c r="I43" s="5" t="s">
        <v>15</v>
      </c>
      <c r="J43" s="5" t="s">
        <v>16</v>
      </c>
      <c r="K43" s="5" t="s">
        <v>78</v>
      </c>
      <c r="L43" s="6" t="s">
        <v>101</v>
      </c>
      <c r="M43" s="5" t="s">
        <v>46</v>
      </c>
      <c r="N43" s="5" t="s">
        <v>20</v>
      </c>
      <c r="O43" s="5">
        <v>12770.0</v>
      </c>
      <c r="P43" s="5">
        <v>84.0</v>
      </c>
      <c r="Q43" s="5">
        <v>6224.0</v>
      </c>
      <c r="R43" s="5">
        <v>11110.0</v>
      </c>
      <c r="S43" s="5">
        <v>21.0</v>
      </c>
      <c r="T43" s="5">
        <v>2087.509827</v>
      </c>
      <c r="V43" s="21">
        <f t="shared" si="1"/>
        <v>163.4698377</v>
      </c>
      <c r="W43" s="21">
        <f t="shared" si="2"/>
        <v>335.3968231</v>
      </c>
      <c r="X43" s="21">
        <f t="shared" si="3"/>
        <v>25</v>
      </c>
      <c r="Y43" s="21">
        <f t="shared" si="4"/>
        <v>99.40522986</v>
      </c>
      <c r="Z43" s="21">
        <f t="shared" si="5"/>
        <v>24.85130746</v>
      </c>
      <c r="AA43" s="21">
        <f t="shared" si="6"/>
        <v>0.6577916993</v>
      </c>
    </row>
    <row r="44">
      <c r="A44" s="4" t="s">
        <v>1737</v>
      </c>
      <c r="B44" s="4" t="str">
        <f>IFERROR(__xludf.DUMMYFUNCTION("SPLIT(A44:A764, ""&gt;"")"),"US ")</f>
        <v>US </v>
      </c>
      <c r="C44" s="4" t="str">
        <f>IFERROR(__xludf.DUMMYFUNCTION("""COMPUTED_VALUE""")," Response Performance ")</f>
        <v> Response Performance </v>
      </c>
      <c r="D44" s="4" t="str">
        <f>IFERROR(__xludf.DUMMYFUNCTION("""COMPUTED_VALUE""")," Direct Marketing Responders")</f>
        <v> Direct Marketing Responders</v>
      </c>
      <c r="E44" s="4"/>
      <c r="F44" s="4"/>
      <c r="G44" s="4"/>
      <c r="H44" s="4"/>
      <c r="I44" s="5" t="s">
        <v>15</v>
      </c>
      <c r="J44" s="5" t="s">
        <v>42</v>
      </c>
      <c r="K44" s="5" t="s">
        <v>35</v>
      </c>
      <c r="L44" s="6" t="s">
        <v>103</v>
      </c>
      <c r="M44" s="5" t="s">
        <v>33</v>
      </c>
      <c r="N44" s="5" t="s">
        <v>27</v>
      </c>
      <c r="O44" s="5">
        <v>117713.0</v>
      </c>
      <c r="P44" s="5">
        <v>374.0</v>
      </c>
      <c r="Q44" s="5">
        <v>16357.0</v>
      </c>
      <c r="R44" s="5">
        <v>100222.0</v>
      </c>
      <c r="S44" s="5">
        <v>5.0</v>
      </c>
      <c r="T44" s="5">
        <v>2505.403543</v>
      </c>
      <c r="V44" s="21">
        <f t="shared" si="1"/>
        <v>21.28400043</v>
      </c>
      <c r="W44" s="21">
        <f t="shared" si="2"/>
        <v>153.1701133</v>
      </c>
      <c r="X44" s="21">
        <f t="shared" si="3"/>
        <v>1.336898396</v>
      </c>
      <c r="Y44" s="21">
        <f t="shared" si="4"/>
        <v>501.0807086</v>
      </c>
      <c r="Z44" s="21">
        <f t="shared" si="5"/>
        <v>6.698939955</v>
      </c>
      <c r="AA44" s="21">
        <f t="shared" si="6"/>
        <v>0.3177219169</v>
      </c>
    </row>
    <row r="45">
      <c r="A45" s="4" t="s">
        <v>104</v>
      </c>
      <c r="B45" s="4" t="str">
        <f>IFERROR(__xludf.DUMMYFUNCTION("SPLIT(A45:A765, ""&gt;"")"),"Online Behavior")</f>
        <v>Online Behavior</v>
      </c>
      <c r="C45" s="4" t="str">
        <f>IFERROR(__xludf.DUMMYFUNCTION("""COMPUTED_VALUE"""),"United States")</f>
        <v>United States</v>
      </c>
      <c r="D45" s="4" t="str">
        <f>IFERROR(__xludf.DUMMYFUNCTION("""COMPUTED_VALUE"""),"Games")</f>
        <v>Games</v>
      </c>
      <c r="E45" s="4" t="str">
        <f>IFERROR(__xludf.DUMMYFUNCTION("""COMPUTED_VALUE"""),"Computer and Video Games")</f>
        <v>Computer and Video Games</v>
      </c>
      <c r="F45" s="4"/>
      <c r="G45" s="4"/>
      <c r="H45" s="4"/>
      <c r="I45" s="5" t="s">
        <v>15</v>
      </c>
      <c r="J45" s="5" t="s">
        <v>16</v>
      </c>
      <c r="K45" s="5" t="s">
        <v>35</v>
      </c>
      <c r="L45" s="6" t="s">
        <v>105</v>
      </c>
      <c r="M45" s="5" t="s">
        <v>26</v>
      </c>
      <c r="N45" s="5" t="s">
        <v>20</v>
      </c>
      <c r="O45" s="5">
        <v>26558.0</v>
      </c>
      <c r="P45" s="5">
        <v>111.0</v>
      </c>
      <c r="Q45" s="5">
        <v>15761.0</v>
      </c>
      <c r="R45" s="5">
        <v>23532.0</v>
      </c>
      <c r="S45" s="5">
        <v>14.0</v>
      </c>
      <c r="T45" s="5">
        <v>6751.558981</v>
      </c>
      <c r="V45" s="21">
        <f t="shared" si="1"/>
        <v>254.2194059</v>
      </c>
      <c r="W45" s="21">
        <f t="shared" si="2"/>
        <v>428.3712316</v>
      </c>
      <c r="X45" s="21">
        <f t="shared" si="3"/>
        <v>12.61261261</v>
      </c>
      <c r="Y45" s="21">
        <f t="shared" si="4"/>
        <v>482.2542129</v>
      </c>
      <c r="Z45" s="21">
        <f t="shared" si="5"/>
        <v>60.82485568</v>
      </c>
      <c r="AA45" s="21">
        <f t="shared" si="6"/>
        <v>0.4179531591</v>
      </c>
    </row>
    <row r="46">
      <c r="A46" s="4" t="s">
        <v>1085</v>
      </c>
      <c r="B46" s="4" t="str">
        <f>IFERROR(__xludf.DUMMYFUNCTION("SPLIT(A46:A766, ""&gt;"")"),"Online Behavior")</f>
        <v>Online Behavior</v>
      </c>
      <c r="C46" s="4" t="str">
        <f>IFERROR(__xludf.DUMMYFUNCTION("""COMPUTED_VALUE"""),"United States")</f>
        <v>United States</v>
      </c>
      <c r="D46" s="4" t="str">
        <f>IFERROR(__xludf.DUMMYFUNCTION("""COMPUTED_VALUE"""),"Finance ")</f>
        <v>Finance </v>
      </c>
      <c r="E46" s="4" t="str">
        <f>IFERROR(__xludf.DUMMYFUNCTION("""COMPUTED_VALUE""")," Insurance")</f>
        <v> Insurance</v>
      </c>
      <c r="F46" s="4" t="str">
        <f>IFERROR(__xludf.DUMMYFUNCTION("""COMPUTED_VALUE"""),"Home Insurance")</f>
        <v>Home Insurance</v>
      </c>
      <c r="G46" s="4"/>
      <c r="H46" s="4"/>
      <c r="I46" s="5" t="s">
        <v>15</v>
      </c>
      <c r="J46" s="5" t="s">
        <v>23</v>
      </c>
      <c r="K46" s="5" t="s">
        <v>95</v>
      </c>
      <c r="L46" s="6" t="s">
        <v>105</v>
      </c>
      <c r="M46" s="5" t="s">
        <v>19</v>
      </c>
      <c r="N46" s="5" t="s">
        <v>27</v>
      </c>
      <c r="O46" s="5">
        <v>53464.0</v>
      </c>
      <c r="P46" s="5">
        <v>212.0</v>
      </c>
      <c r="Q46" s="5">
        <v>22151.0</v>
      </c>
      <c r="R46" s="5">
        <v>49058.0</v>
      </c>
      <c r="S46" s="5">
        <v>9.0</v>
      </c>
      <c r="T46" s="5">
        <v>5741.098045</v>
      </c>
      <c r="V46" s="21">
        <f t="shared" si="1"/>
        <v>107.3825012</v>
      </c>
      <c r="W46" s="21">
        <f t="shared" si="2"/>
        <v>259.1800842</v>
      </c>
      <c r="X46" s="21">
        <f t="shared" si="3"/>
        <v>4.245283019</v>
      </c>
      <c r="Y46" s="21">
        <f t="shared" si="4"/>
        <v>637.8997828</v>
      </c>
      <c r="Z46" s="21">
        <f t="shared" si="5"/>
        <v>27.08065116</v>
      </c>
      <c r="AA46" s="21">
        <f t="shared" si="6"/>
        <v>0.3965285052</v>
      </c>
    </row>
    <row r="47">
      <c r="A47" s="4" t="s">
        <v>1738</v>
      </c>
      <c r="B47" s="4" t="str">
        <f>IFERROR(__xludf.DUMMYFUNCTION("SPLIT(A47:A767, ""&gt;"")"),"US ")</f>
        <v>US </v>
      </c>
      <c r="C47" s="4" t="str">
        <f>IFERROR(__xludf.DUMMYFUNCTION("""COMPUTED_VALUE""")," Reach ")</f>
        <v> Reach </v>
      </c>
      <c r="D47" s="4" t="str">
        <f>IFERROR(__xludf.DUMMYFUNCTION("""COMPUTED_VALUE""")," Sociodemographic ")</f>
        <v> Sociodemographic </v>
      </c>
      <c r="E47" s="4" t="str">
        <f>IFERROR(__xludf.DUMMYFUNCTION("""COMPUTED_VALUE""")," Dwelling Size ")</f>
        <v> Dwelling Size </v>
      </c>
      <c r="F47" s="4" t="str">
        <f>IFERROR(__xludf.DUMMYFUNCTION("""COMPUTED_VALUE""")," 1 Unit")</f>
        <v> 1 Unit</v>
      </c>
      <c r="G47" s="4"/>
      <c r="H47" s="4"/>
      <c r="I47" s="5" t="s">
        <v>61</v>
      </c>
      <c r="J47" s="5" t="s">
        <v>42</v>
      </c>
      <c r="K47" s="5" t="s">
        <v>29</v>
      </c>
      <c r="L47" s="6" t="s">
        <v>105</v>
      </c>
      <c r="M47" s="5" t="s">
        <v>46</v>
      </c>
      <c r="N47" s="5" t="s">
        <v>27</v>
      </c>
      <c r="O47" s="5">
        <v>13686.0</v>
      </c>
      <c r="P47" s="5">
        <v>66.0</v>
      </c>
      <c r="Q47" s="5">
        <v>7928.0</v>
      </c>
      <c r="R47" s="5">
        <v>11931.0</v>
      </c>
      <c r="S47" s="5">
        <v>11.0</v>
      </c>
      <c r="T47" s="5">
        <v>4660.560369</v>
      </c>
      <c r="V47" s="21">
        <f t="shared" si="1"/>
        <v>340.5348801</v>
      </c>
      <c r="W47" s="21">
        <f t="shared" si="2"/>
        <v>587.8607933</v>
      </c>
      <c r="X47" s="21">
        <f t="shared" si="3"/>
        <v>16.66666667</v>
      </c>
      <c r="Y47" s="21">
        <f t="shared" si="4"/>
        <v>423.6873063</v>
      </c>
      <c r="Z47" s="21">
        <f t="shared" si="5"/>
        <v>70.61455105</v>
      </c>
      <c r="AA47" s="21">
        <f t="shared" si="6"/>
        <v>0.4822446295</v>
      </c>
    </row>
    <row r="48">
      <c r="A48" s="4" t="s">
        <v>1087</v>
      </c>
      <c r="B48" s="4" t="str">
        <f>IFERROR(__xludf.DUMMYFUNCTION("SPLIT(A48:A768, ""&gt;"")"),"Online Behavior")</f>
        <v>Online Behavior</v>
      </c>
      <c r="C48" s="4" t="str">
        <f>IFERROR(__xludf.DUMMYFUNCTION("""COMPUTED_VALUE"""),"United States")</f>
        <v>United States</v>
      </c>
      <c r="D48" s="4" t="str">
        <f>IFERROR(__xludf.DUMMYFUNCTION("""COMPUTED_VALUE"""),"B2B ")</f>
        <v>B2B </v>
      </c>
      <c r="E48" s="4" t="str">
        <f>IFERROR(__xludf.DUMMYFUNCTION("""COMPUTED_VALUE""")," Occupation")</f>
        <v> Occupation</v>
      </c>
      <c r="F48" s="4" t="str">
        <f>IFERROR(__xludf.DUMMYFUNCTION("""COMPUTED_VALUE"""),"MechanicalEngineer")</f>
        <v>MechanicalEngineer</v>
      </c>
      <c r="G48" s="4"/>
      <c r="H48" s="4"/>
      <c r="I48" s="5" t="s">
        <v>22</v>
      </c>
      <c r="J48" s="5" t="s">
        <v>23</v>
      </c>
      <c r="K48" s="5" t="s">
        <v>24</v>
      </c>
      <c r="L48" s="6" t="s">
        <v>105</v>
      </c>
      <c r="M48" s="5" t="s">
        <v>19</v>
      </c>
      <c r="N48" s="5" t="s">
        <v>27</v>
      </c>
      <c r="O48" s="5">
        <v>17752.0</v>
      </c>
      <c r="P48" s="5">
        <v>98.0</v>
      </c>
      <c r="Q48" s="5">
        <v>5855.0</v>
      </c>
      <c r="R48" s="5">
        <v>15753.0</v>
      </c>
      <c r="S48" s="5">
        <v>5.0</v>
      </c>
      <c r="T48" s="5">
        <v>2200.297094</v>
      </c>
      <c r="V48" s="21">
        <f t="shared" si="1"/>
        <v>123.9464339</v>
      </c>
      <c r="W48" s="21">
        <f t="shared" si="2"/>
        <v>375.7979665</v>
      </c>
      <c r="X48" s="21">
        <f t="shared" si="3"/>
        <v>5.102040816</v>
      </c>
      <c r="Y48" s="21">
        <f t="shared" si="4"/>
        <v>440.0594188</v>
      </c>
      <c r="Z48" s="21">
        <f t="shared" si="5"/>
        <v>22.45201116</v>
      </c>
      <c r="AA48" s="21">
        <f t="shared" si="6"/>
        <v>0.5520504732</v>
      </c>
    </row>
    <row r="49">
      <c r="A49" s="4" t="s">
        <v>1739</v>
      </c>
      <c r="B49" s="4" t="str">
        <f>IFERROR(__xludf.DUMMYFUNCTION("SPLIT(A49:A769, ""&gt;"")"),"US ")</f>
        <v>US </v>
      </c>
      <c r="C49" s="4" t="str">
        <f>IFERROR(__xludf.DUMMYFUNCTION("""COMPUTED_VALUE""")," Interest Propensities ")</f>
        <v> Interest Propensities </v>
      </c>
      <c r="D49" s="4" t="str">
        <f>IFERROR(__xludf.DUMMYFUNCTION("""COMPUTED_VALUE""")," Insurance ")</f>
        <v> Insurance </v>
      </c>
      <c r="E49" s="4" t="str">
        <f>IFERROR(__xludf.DUMMYFUNCTION("""COMPUTED_VALUE""")," MassMutual")</f>
        <v> MassMutual</v>
      </c>
      <c r="F49" s="4"/>
      <c r="G49" s="4"/>
      <c r="H49" s="4"/>
      <c r="I49" s="5" t="s">
        <v>15</v>
      </c>
      <c r="J49" s="5" t="s">
        <v>42</v>
      </c>
      <c r="K49" s="5" t="s">
        <v>78</v>
      </c>
      <c r="L49" s="6" t="s">
        <v>105</v>
      </c>
      <c r="M49" s="5" t="s">
        <v>19</v>
      </c>
      <c r="N49" s="5" t="s">
        <v>52</v>
      </c>
      <c r="O49" s="5">
        <v>32845.0</v>
      </c>
      <c r="P49" s="5">
        <v>164.0</v>
      </c>
      <c r="Q49" s="5">
        <v>16163.0</v>
      </c>
      <c r="R49" s="5">
        <v>30368.0</v>
      </c>
      <c r="S49" s="5">
        <v>5.0</v>
      </c>
      <c r="T49" s="5">
        <v>1910.436686</v>
      </c>
      <c r="V49" s="21">
        <f t="shared" si="1"/>
        <v>58.16522107</v>
      </c>
      <c r="W49" s="21">
        <f t="shared" si="2"/>
        <v>118.1981492</v>
      </c>
      <c r="X49" s="21">
        <f t="shared" si="3"/>
        <v>3.048780488</v>
      </c>
      <c r="Y49" s="21">
        <f t="shared" si="4"/>
        <v>382.0873372</v>
      </c>
      <c r="Z49" s="21">
        <f t="shared" si="5"/>
        <v>11.64900418</v>
      </c>
      <c r="AA49" s="21">
        <f t="shared" si="6"/>
        <v>0.4993149642</v>
      </c>
    </row>
    <row r="50">
      <c r="A50" s="4" t="s">
        <v>1740</v>
      </c>
      <c r="B50" s="4" t="str">
        <f>IFERROR(__xludf.DUMMYFUNCTION("SPLIT(A50:A770, ""&gt;"")"),"US ")</f>
        <v>US </v>
      </c>
      <c r="C50" s="4" t="str">
        <f>IFERROR(__xludf.DUMMYFUNCTION("""COMPUTED_VALUE""")," Premium Gender ")</f>
        <v> Premium Gender </v>
      </c>
      <c r="D50" s="4" t="str">
        <f>IFERROR(__xludf.DUMMYFUNCTION("""COMPUTED_VALUE""")," Premium Gender ")</f>
        <v> Premium Gender </v>
      </c>
      <c r="E50" s="4" t="str">
        <f>IFERROR(__xludf.DUMMYFUNCTION("""COMPUTED_VALUE""")," Males")</f>
        <v> Males</v>
      </c>
      <c r="F50" s="4"/>
      <c r="G50" s="4"/>
      <c r="H50" s="4"/>
      <c r="I50" s="5" t="s">
        <v>22</v>
      </c>
      <c r="J50" s="5" t="s">
        <v>23</v>
      </c>
      <c r="K50" s="5" t="s">
        <v>35</v>
      </c>
      <c r="L50" s="6" t="s">
        <v>111</v>
      </c>
      <c r="M50" s="5" t="s">
        <v>19</v>
      </c>
      <c r="N50" s="5" t="s">
        <v>27</v>
      </c>
      <c r="O50" s="5">
        <v>15322.0</v>
      </c>
      <c r="P50" s="5">
        <v>55.0</v>
      </c>
      <c r="Q50" s="5">
        <v>6416.0</v>
      </c>
      <c r="R50" s="5">
        <v>14049.0</v>
      </c>
      <c r="S50" s="5">
        <v>5.0</v>
      </c>
      <c r="T50" s="5">
        <v>1850.464205</v>
      </c>
      <c r="V50" s="21">
        <f t="shared" si="1"/>
        <v>120.7717142</v>
      </c>
      <c r="W50" s="21">
        <f t="shared" si="2"/>
        <v>288.413997</v>
      </c>
      <c r="X50" s="21">
        <f t="shared" si="3"/>
        <v>9.090909091</v>
      </c>
      <c r="Y50" s="21">
        <f t="shared" si="4"/>
        <v>370.092841</v>
      </c>
      <c r="Z50" s="21">
        <f t="shared" si="5"/>
        <v>33.64480373</v>
      </c>
      <c r="AA50" s="21">
        <f t="shared" si="6"/>
        <v>0.3589609712</v>
      </c>
    </row>
    <row r="51">
      <c r="A51" s="4" t="s">
        <v>1741</v>
      </c>
      <c r="B51" s="4" t="str">
        <f>IFERROR(__xludf.DUMMYFUNCTION("SPLIT(A51:A771, ""&gt;"")"),"US ")</f>
        <v>US </v>
      </c>
      <c r="C51" s="4" t="str">
        <f>IFERROR(__xludf.DUMMYFUNCTION("""COMPUTED_VALUE""")," Reach ")</f>
        <v> Reach </v>
      </c>
      <c r="D51" s="4" t="str">
        <f>IFERROR(__xludf.DUMMYFUNCTION("""COMPUTED_VALUE""")," Propensity Models ")</f>
        <v> Propensity Models </v>
      </c>
      <c r="E51" s="4" t="str">
        <f>IFERROR(__xludf.DUMMYFUNCTION("""COMPUTED_VALUE""")," Hobbies and Interest ")</f>
        <v> Hobbies and Interest </v>
      </c>
      <c r="F51" s="4" t="str">
        <f>IFERROR(__xludf.DUMMYFUNCTION("""COMPUTED_VALUE""")," Food and Drinks ")</f>
        <v> Food and Drinks </v>
      </c>
      <c r="G51" s="4" t="str">
        <f>IFERROR(__xludf.DUMMYFUNCTION("""COMPUTED_VALUE""")," Eats at Fast Food Restaurants")</f>
        <v> Eats at Fast Food Restaurants</v>
      </c>
      <c r="H51" s="4"/>
      <c r="I51" s="5" t="s">
        <v>15</v>
      </c>
      <c r="J51" s="5" t="s">
        <v>16</v>
      </c>
      <c r="K51" s="5" t="s">
        <v>78</v>
      </c>
      <c r="L51" s="6" t="s">
        <v>113</v>
      </c>
      <c r="M51" s="5" t="s">
        <v>46</v>
      </c>
      <c r="N51" s="5" t="s">
        <v>27</v>
      </c>
      <c r="O51" s="5">
        <v>18458.0</v>
      </c>
      <c r="P51" s="5">
        <v>111.0</v>
      </c>
      <c r="Q51" s="5">
        <v>3623.0</v>
      </c>
      <c r="R51" s="5">
        <v>16934.0</v>
      </c>
      <c r="S51" s="5">
        <v>6.0</v>
      </c>
      <c r="T51" s="5">
        <v>2866.496671</v>
      </c>
      <c r="V51" s="21">
        <f t="shared" si="1"/>
        <v>155.2983352</v>
      </c>
      <c r="W51" s="21">
        <f t="shared" si="2"/>
        <v>791.1942233</v>
      </c>
      <c r="X51" s="21">
        <f t="shared" si="3"/>
        <v>5.405405405</v>
      </c>
      <c r="Y51" s="21">
        <f t="shared" si="4"/>
        <v>477.7494452</v>
      </c>
      <c r="Z51" s="21">
        <f t="shared" si="5"/>
        <v>25.82429433</v>
      </c>
      <c r="AA51" s="21">
        <f t="shared" si="6"/>
        <v>0.6013652617</v>
      </c>
    </row>
    <row r="52">
      <c r="A52" s="4" t="s">
        <v>1091</v>
      </c>
      <c r="B52" s="4" t="str">
        <f>IFERROR(__xludf.DUMMYFUNCTION("SPLIT(A52:A772, ""&gt;"")"),"Online Behavior")</f>
        <v>Online Behavior</v>
      </c>
      <c r="C52" s="4" t="str">
        <f>IFERROR(__xludf.DUMMYFUNCTION("""COMPUTED_VALUE"""),"United States")</f>
        <v>United States</v>
      </c>
      <c r="D52" s="4" t="str">
        <f>IFERROR(__xludf.DUMMYFUNCTION("""COMPUTED_VALUE"""),"Travel")</f>
        <v>Travel</v>
      </c>
      <c r="E52" s="4" t="str">
        <f>IFERROR(__xludf.DUMMYFUNCTION("""COMPUTED_VALUE"""),"Specialty Travel ")</f>
        <v>Specialty Travel </v>
      </c>
      <c r="F52" s="4" t="str">
        <f>IFERROR(__xludf.DUMMYFUNCTION("""COMPUTED_VALUE""")," Adventure Travel")</f>
        <v> Adventure Travel</v>
      </c>
      <c r="G52" s="4"/>
      <c r="H52" s="4"/>
      <c r="I52" s="5" t="s">
        <v>22</v>
      </c>
      <c r="J52" s="5" t="s">
        <v>42</v>
      </c>
      <c r="K52" s="5" t="s">
        <v>35</v>
      </c>
      <c r="L52" s="6" t="s">
        <v>115</v>
      </c>
      <c r="M52" s="5" t="s">
        <v>19</v>
      </c>
      <c r="N52" s="5" t="s">
        <v>27</v>
      </c>
      <c r="O52" s="5">
        <v>108559.0</v>
      </c>
      <c r="P52" s="5">
        <v>212.0</v>
      </c>
      <c r="Q52" s="5">
        <v>79254.0</v>
      </c>
      <c r="R52" s="5">
        <v>100563.0</v>
      </c>
      <c r="S52" s="5">
        <v>7.0</v>
      </c>
      <c r="T52" s="5">
        <v>6850.576483</v>
      </c>
      <c r="V52" s="21">
        <f t="shared" si="1"/>
        <v>63.1046388</v>
      </c>
      <c r="W52" s="21">
        <f t="shared" si="2"/>
        <v>86.43824265</v>
      </c>
      <c r="X52" s="21">
        <f t="shared" si="3"/>
        <v>3.301886792</v>
      </c>
      <c r="Y52" s="21">
        <f t="shared" si="4"/>
        <v>978.6537833</v>
      </c>
      <c r="Z52" s="21">
        <f t="shared" si="5"/>
        <v>32.31404001</v>
      </c>
      <c r="AA52" s="21">
        <f t="shared" si="6"/>
        <v>0.1952855129</v>
      </c>
    </row>
    <row r="53">
      <c r="A53" s="4" t="s">
        <v>1092</v>
      </c>
      <c r="B53" s="4" t="str">
        <f>IFERROR(__xludf.DUMMYFUNCTION("SPLIT(A53:A773, ""&gt;"")"),"Online Behavior")</f>
        <v>Online Behavior</v>
      </c>
      <c r="C53" s="4" t="str">
        <f>IFERROR(__xludf.DUMMYFUNCTION("""COMPUTED_VALUE"""),"United States")</f>
        <v>United States</v>
      </c>
      <c r="D53" s="4" t="str">
        <f>IFERROR(__xludf.DUMMYFUNCTION("""COMPUTED_VALUE"""),"Travel")</f>
        <v>Travel</v>
      </c>
      <c r="E53" s="4" t="str">
        <f>IFERROR(__xludf.DUMMYFUNCTION("""COMPUTED_VALUE"""),"Tourist Destinations ")</f>
        <v>Tourist Destinations </v>
      </c>
      <c r="F53" s="4" t="str">
        <f>IFERROR(__xludf.DUMMYFUNCTION("""COMPUTED_VALUE""")," Zoos-Aquariums-Preserves")</f>
        <v> Zoos-Aquariums-Preserves</v>
      </c>
      <c r="G53" s="4"/>
      <c r="H53" s="4"/>
      <c r="I53" s="5" t="s">
        <v>22</v>
      </c>
      <c r="J53" s="5" t="s">
        <v>42</v>
      </c>
      <c r="K53" s="5" t="s">
        <v>35</v>
      </c>
      <c r="L53" s="6" t="s">
        <v>115</v>
      </c>
      <c r="M53" s="5" t="s">
        <v>117</v>
      </c>
      <c r="N53" s="5" t="s">
        <v>27</v>
      </c>
      <c r="O53" s="5">
        <v>106151.0</v>
      </c>
      <c r="P53" s="5">
        <v>299.0</v>
      </c>
      <c r="Q53" s="5">
        <v>75304.0</v>
      </c>
      <c r="R53" s="5">
        <v>99311.0</v>
      </c>
      <c r="S53" s="5">
        <v>9.0</v>
      </c>
      <c r="T53" s="5">
        <v>6616.88066</v>
      </c>
      <c r="V53" s="21">
        <f t="shared" si="1"/>
        <v>62.33460504</v>
      </c>
      <c r="W53" s="21">
        <f t="shared" si="2"/>
        <v>87.86891347</v>
      </c>
      <c r="X53" s="21">
        <f t="shared" si="3"/>
        <v>3.010033445</v>
      </c>
      <c r="Y53" s="21">
        <f t="shared" si="4"/>
        <v>735.2089622</v>
      </c>
      <c r="Z53" s="21">
        <f t="shared" si="5"/>
        <v>22.13003565</v>
      </c>
      <c r="AA53" s="21">
        <f t="shared" si="6"/>
        <v>0.2816742188</v>
      </c>
    </row>
    <row r="54">
      <c r="A54" s="4" t="s">
        <v>1093</v>
      </c>
      <c r="B54" s="4" t="str">
        <f>IFERROR(__xludf.DUMMYFUNCTION("SPLIT(A54:A774, ""&gt;"")"),"Online Behavior")</f>
        <v>Online Behavior</v>
      </c>
      <c r="C54" s="4" t="str">
        <f>IFERROR(__xludf.DUMMYFUNCTION("""COMPUTED_VALUE"""),"United States")</f>
        <v>United States</v>
      </c>
      <c r="D54" s="4" t="str">
        <f>IFERROR(__xludf.DUMMYFUNCTION("""COMPUTED_VALUE"""),"Sports")</f>
        <v>Sports</v>
      </c>
      <c r="E54" s="4" t="str">
        <f>IFERROR(__xludf.DUMMYFUNCTION("""COMPUTED_VALUE"""),"Sports League ")</f>
        <v>Sports League </v>
      </c>
      <c r="F54" s="4" t="str">
        <f>IFERROR(__xludf.DUMMYFUNCTION("""COMPUTED_VALUE""")," NBA")</f>
        <v> NBA</v>
      </c>
      <c r="G54" s="4"/>
      <c r="H54" s="4"/>
      <c r="I54" s="5" t="s">
        <v>22</v>
      </c>
      <c r="J54" s="5" t="s">
        <v>42</v>
      </c>
      <c r="K54" s="5" t="s">
        <v>84</v>
      </c>
      <c r="L54" s="6" t="s">
        <v>115</v>
      </c>
      <c r="M54" s="5" t="s">
        <v>36</v>
      </c>
      <c r="N54" s="5" t="s">
        <v>27</v>
      </c>
      <c r="O54" s="5">
        <v>149618.0</v>
      </c>
      <c r="P54" s="5">
        <v>260.0</v>
      </c>
      <c r="Q54" s="5">
        <v>126031.0</v>
      </c>
      <c r="R54" s="5">
        <v>140596.0</v>
      </c>
      <c r="S54" s="5">
        <v>26.0</v>
      </c>
      <c r="T54" s="5">
        <v>6605.586158</v>
      </c>
      <c r="V54" s="21">
        <f t="shared" si="1"/>
        <v>44.14967556</v>
      </c>
      <c r="W54" s="21">
        <f t="shared" si="2"/>
        <v>52.41239186</v>
      </c>
      <c r="X54" s="21">
        <f t="shared" si="3"/>
        <v>10</v>
      </c>
      <c r="Y54" s="21">
        <f t="shared" si="4"/>
        <v>254.0610061</v>
      </c>
      <c r="Z54" s="21">
        <f t="shared" si="5"/>
        <v>25.40610061</v>
      </c>
      <c r="AA54" s="21">
        <f t="shared" si="6"/>
        <v>0.1737758826</v>
      </c>
    </row>
    <row r="55">
      <c r="A55" s="4" t="s">
        <v>1094</v>
      </c>
      <c r="B55" s="4" t="str">
        <f>IFERROR(__xludf.DUMMYFUNCTION("SPLIT(A55:A775, ""&gt;"")"),"Online Behavior")</f>
        <v>Online Behavior</v>
      </c>
      <c r="C55" s="4" t="str">
        <f>IFERROR(__xludf.DUMMYFUNCTION("""COMPUTED_VALUE"""),"United States")</f>
        <v>United States</v>
      </c>
      <c r="D55" s="4" t="str">
        <f>IFERROR(__xludf.DUMMYFUNCTION("""COMPUTED_VALUE"""),"Finance ")</f>
        <v>Finance </v>
      </c>
      <c r="E55" s="4" t="str">
        <f>IFERROR(__xludf.DUMMYFUNCTION("""COMPUTED_VALUE""")," Investing")</f>
        <v> Investing</v>
      </c>
      <c r="F55" s="4" t="str">
        <f>IFERROR(__xludf.DUMMYFUNCTION("""COMPUTED_VALUE"""),"Derivatives")</f>
        <v>Derivatives</v>
      </c>
      <c r="G55" s="4"/>
      <c r="H55" s="4"/>
      <c r="I55" s="5" t="s">
        <v>22</v>
      </c>
      <c r="J55" s="5" t="s">
        <v>42</v>
      </c>
      <c r="K55" s="5" t="s">
        <v>35</v>
      </c>
      <c r="L55" s="6" t="s">
        <v>115</v>
      </c>
      <c r="M55" s="5" t="s">
        <v>117</v>
      </c>
      <c r="N55" s="5" t="s">
        <v>27</v>
      </c>
      <c r="O55" s="5">
        <v>114384.0</v>
      </c>
      <c r="P55" s="5">
        <v>100.0</v>
      </c>
      <c r="Q55" s="5">
        <v>61524.0</v>
      </c>
      <c r="R55" s="5">
        <v>105104.0</v>
      </c>
      <c r="S55" s="5">
        <v>12.0</v>
      </c>
      <c r="T55" s="5">
        <v>5803.331454</v>
      </c>
      <c r="V55" s="21">
        <f t="shared" si="1"/>
        <v>50.73551768</v>
      </c>
      <c r="W55" s="21">
        <f t="shared" si="2"/>
        <v>94.32630281</v>
      </c>
      <c r="X55" s="21">
        <f t="shared" si="3"/>
        <v>12</v>
      </c>
      <c r="Y55" s="21">
        <f t="shared" si="4"/>
        <v>483.6109545</v>
      </c>
      <c r="Z55" s="21">
        <f t="shared" si="5"/>
        <v>58.03331454</v>
      </c>
      <c r="AA55" s="21">
        <f t="shared" si="6"/>
        <v>0.08742481466</v>
      </c>
    </row>
    <row r="56">
      <c r="A56" s="4" t="s">
        <v>120</v>
      </c>
      <c r="B56" s="4" t="str">
        <f>IFERROR(__xludf.DUMMYFUNCTION("SPLIT(A56:A776, ""&gt;"")"),"Online Behavior")</f>
        <v>Online Behavior</v>
      </c>
      <c r="C56" s="4" t="str">
        <f>IFERROR(__xludf.DUMMYFUNCTION("""COMPUTED_VALUE"""),"United States")</f>
        <v>United States</v>
      </c>
      <c r="D56" s="4" t="str">
        <f>IFERROR(__xludf.DUMMYFUNCTION("""COMPUTED_VALUE"""),"Law and Government")</f>
        <v>Law and Government</v>
      </c>
      <c r="E56" s="4" t="str">
        <f>IFERROR(__xludf.DUMMYFUNCTION("""COMPUTED_VALUE"""),"Public Safety")</f>
        <v>Public Safety</v>
      </c>
      <c r="F56" s="4"/>
      <c r="G56" s="4"/>
      <c r="H56" s="4"/>
      <c r="I56" s="5" t="s">
        <v>22</v>
      </c>
      <c r="J56" s="5" t="s">
        <v>16</v>
      </c>
      <c r="K56" s="5" t="s">
        <v>121</v>
      </c>
      <c r="L56" s="6" t="s">
        <v>115</v>
      </c>
      <c r="M56" s="5" t="s">
        <v>80</v>
      </c>
      <c r="N56" s="5" t="s">
        <v>27</v>
      </c>
      <c r="O56" s="5">
        <v>43367.0</v>
      </c>
      <c r="P56" s="5">
        <v>111.0</v>
      </c>
      <c r="Q56" s="5">
        <v>14306.0</v>
      </c>
      <c r="R56" s="5">
        <v>39750.0</v>
      </c>
      <c r="S56" s="5">
        <v>12.0</v>
      </c>
      <c r="T56" s="5">
        <v>5214.298693</v>
      </c>
      <c r="V56" s="21">
        <f t="shared" si="1"/>
        <v>120.2365553</v>
      </c>
      <c r="W56" s="21">
        <f t="shared" si="2"/>
        <v>364.4833422</v>
      </c>
      <c r="X56" s="21">
        <f t="shared" si="3"/>
        <v>10.81081081</v>
      </c>
      <c r="Y56" s="21">
        <f t="shared" si="4"/>
        <v>434.5248911</v>
      </c>
      <c r="Z56" s="21">
        <f t="shared" si="5"/>
        <v>46.9756639</v>
      </c>
      <c r="AA56" s="21">
        <f t="shared" si="6"/>
        <v>0.2559549888</v>
      </c>
    </row>
    <row r="57">
      <c r="A57" s="4" t="s">
        <v>122</v>
      </c>
      <c r="B57" s="4" t="str">
        <f>IFERROR(__xludf.DUMMYFUNCTION("SPLIT(A57:A777, ""&gt;"")"),"Online Behavior")</f>
        <v>Online Behavior</v>
      </c>
      <c r="C57" s="4" t="str">
        <f>IFERROR(__xludf.DUMMYFUNCTION("""COMPUTED_VALUE"""),"United States")</f>
        <v>United States</v>
      </c>
      <c r="D57" s="4" t="str">
        <f>IFERROR(__xludf.DUMMYFUNCTION("""COMPUTED_VALUE"""),"Jobs and Education")</f>
        <v>Jobs and Education</v>
      </c>
      <c r="E57" s="4" t="str">
        <f>IFERROR(__xludf.DUMMYFUNCTION("""COMPUTED_VALUE"""),"Education")</f>
        <v>Education</v>
      </c>
      <c r="F57" s="4"/>
      <c r="G57" s="4"/>
      <c r="H57" s="4"/>
      <c r="I57" s="5" t="s">
        <v>15</v>
      </c>
      <c r="J57" s="5" t="s">
        <v>31</v>
      </c>
      <c r="K57" s="5" t="s">
        <v>35</v>
      </c>
      <c r="L57" s="6" t="s">
        <v>115</v>
      </c>
      <c r="M57" s="5" t="s">
        <v>19</v>
      </c>
      <c r="N57" s="5" t="s">
        <v>52</v>
      </c>
      <c r="O57" s="5">
        <v>113420.0</v>
      </c>
      <c r="P57" s="5">
        <v>333.0</v>
      </c>
      <c r="Q57" s="5">
        <v>33557.0</v>
      </c>
      <c r="R57" s="5">
        <v>104929.0</v>
      </c>
      <c r="S57" s="5">
        <v>11.0</v>
      </c>
      <c r="T57" s="5">
        <v>5124.435934</v>
      </c>
      <c r="V57" s="21">
        <f t="shared" si="1"/>
        <v>45.18106096</v>
      </c>
      <c r="W57" s="21">
        <f t="shared" si="2"/>
        <v>152.7084046</v>
      </c>
      <c r="X57" s="21">
        <f t="shared" si="3"/>
        <v>3.303303303</v>
      </c>
      <c r="Y57" s="21">
        <f t="shared" si="4"/>
        <v>465.8578122</v>
      </c>
      <c r="Z57" s="21">
        <f t="shared" si="5"/>
        <v>15.3886965</v>
      </c>
      <c r="AA57" s="21">
        <f t="shared" si="6"/>
        <v>0.2935990125</v>
      </c>
    </row>
    <row r="58">
      <c r="A58" s="4" t="s">
        <v>1096</v>
      </c>
      <c r="B58" s="4" t="str">
        <f>IFERROR(__xludf.DUMMYFUNCTION("SPLIT(A58:A778, ""&gt;"")"),"Online Behavior")</f>
        <v>Online Behavior</v>
      </c>
      <c r="C58" s="4" t="str">
        <f>IFERROR(__xludf.DUMMYFUNCTION("""COMPUTED_VALUE"""),"United States")</f>
        <v>United States</v>
      </c>
      <c r="D58" s="4" t="str">
        <f>IFERROR(__xludf.DUMMYFUNCTION("""COMPUTED_VALUE"""),"Autos and Vehicles ")</f>
        <v>Autos and Vehicles </v>
      </c>
      <c r="E58" s="4" t="str">
        <f>IFERROR(__xludf.DUMMYFUNCTION("""COMPUTED_VALUE""")," Brands")</f>
        <v> Brands</v>
      </c>
      <c r="F58" s="4" t="str">
        <f>IFERROR(__xludf.DUMMYFUNCTION("""COMPUTED_VALUE"""),"Ferrari")</f>
        <v>Ferrari</v>
      </c>
      <c r="G58" s="4"/>
      <c r="H58" s="4"/>
      <c r="I58" s="5" t="s">
        <v>15</v>
      </c>
      <c r="J58" s="5" t="s">
        <v>23</v>
      </c>
      <c r="K58" s="5" t="s">
        <v>55</v>
      </c>
      <c r="L58" s="6" t="s">
        <v>115</v>
      </c>
      <c r="M58" s="5" t="s">
        <v>19</v>
      </c>
      <c r="N58" s="5" t="s">
        <v>52</v>
      </c>
      <c r="O58" s="5">
        <v>88293.0</v>
      </c>
      <c r="P58" s="5">
        <v>255.0</v>
      </c>
      <c r="Q58" s="5">
        <v>24101.0</v>
      </c>
      <c r="R58" s="5">
        <v>75557.0</v>
      </c>
      <c r="S58" s="5">
        <v>19.0</v>
      </c>
      <c r="T58" s="5">
        <v>5054.481581</v>
      </c>
      <c r="V58" s="21">
        <f t="shared" si="1"/>
        <v>57.24668525</v>
      </c>
      <c r="W58" s="21">
        <f t="shared" si="2"/>
        <v>209.7208241</v>
      </c>
      <c r="X58" s="21">
        <f t="shared" si="3"/>
        <v>7.450980392</v>
      </c>
      <c r="Y58" s="21">
        <f t="shared" si="4"/>
        <v>266.0253464</v>
      </c>
      <c r="Z58" s="21">
        <f t="shared" si="5"/>
        <v>19.8214964</v>
      </c>
      <c r="AA58" s="21">
        <f t="shared" si="6"/>
        <v>0.2888111175</v>
      </c>
    </row>
    <row r="59">
      <c r="A59" s="4" t="s">
        <v>124</v>
      </c>
      <c r="B59" s="4" t="str">
        <f>IFERROR(__xludf.DUMMYFUNCTION("SPLIT(A59:A779, ""&gt;"")"),"Online Behavior")</f>
        <v>Online Behavior</v>
      </c>
      <c r="C59" s="4" t="str">
        <f>IFERROR(__xludf.DUMMYFUNCTION("""COMPUTED_VALUE"""),"United States")</f>
        <v>United States</v>
      </c>
      <c r="D59" s="4" t="str">
        <f>IFERROR(__xludf.DUMMYFUNCTION("""COMPUTED_VALUE"""),"News")</f>
        <v>News</v>
      </c>
      <c r="E59" s="4" t="str">
        <f>IFERROR(__xludf.DUMMYFUNCTION("""COMPUTED_VALUE"""),"Sports News")</f>
        <v>Sports News</v>
      </c>
      <c r="F59" s="4"/>
      <c r="G59" s="4"/>
      <c r="H59" s="4"/>
      <c r="I59" s="5" t="s">
        <v>22</v>
      </c>
      <c r="J59" s="5" t="s">
        <v>16</v>
      </c>
      <c r="K59" s="5" t="s">
        <v>35</v>
      </c>
      <c r="L59" s="6" t="s">
        <v>115</v>
      </c>
      <c r="M59" s="5" t="s">
        <v>19</v>
      </c>
      <c r="N59" s="5" t="s">
        <v>27</v>
      </c>
      <c r="O59" s="5">
        <v>26715.0</v>
      </c>
      <c r="P59" s="5">
        <v>100.0</v>
      </c>
      <c r="Q59" s="5">
        <v>12287.0</v>
      </c>
      <c r="R59" s="5">
        <v>25003.0</v>
      </c>
      <c r="S59" s="5">
        <v>6.0</v>
      </c>
      <c r="T59" s="5">
        <v>4623.089672</v>
      </c>
      <c r="V59" s="21">
        <f t="shared" si="1"/>
        <v>173.0522056</v>
      </c>
      <c r="W59" s="21">
        <f t="shared" si="2"/>
        <v>376.2586207</v>
      </c>
      <c r="X59" s="21">
        <f t="shared" si="3"/>
        <v>6</v>
      </c>
      <c r="Y59" s="21">
        <f t="shared" si="4"/>
        <v>770.5149453</v>
      </c>
      <c r="Z59" s="21">
        <f t="shared" si="5"/>
        <v>46.23089672</v>
      </c>
      <c r="AA59" s="21">
        <f t="shared" si="6"/>
        <v>0.3743215422</v>
      </c>
    </row>
    <row r="60">
      <c r="A60" s="4" t="s">
        <v>125</v>
      </c>
      <c r="B60" s="4" t="str">
        <f>IFERROR(__xludf.DUMMYFUNCTION("SPLIT(A60:A780, ""&gt;"")"),"Telecommunications (Telco)")</f>
        <v>Telecommunications (Telco)</v>
      </c>
      <c r="C60" s="4"/>
      <c r="D60" s="4"/>
      <c r="E60" s="4"/>
      <c r="F60" s="4"/>
      <c r="G60" s="4"/>
      <c r="H60" s="4"/>
      <c r="I60" s="5" t="s">
        <v>22</v>
      </c>
      <c r="J60" s="5" t="s">
        <v>31</v>
      </c>
      <c r="K60" s="5" t="s">
        <v>126</v>
      </c>
      <c r="L60" s="6" t="s">
        <v>115</v>
      </c>
      <c r="M60" s="5" t="s">
        <v>19</v>
      </c>
      <c r="N60" s="5" t="s">
        <v>27</v>
      </c>
      <c r="O60" s="5">
        <v>65380.0</v>
      </c>
      <c r="P60" s="5">
        <v>208.0</v>
      </c>
      <c r="Q60" s="5">
        <v>30039.0</v>
      </c>
      <c r="R60" s="5">
        <v>60482.0</v>
      </c>
      <c r="S60" s="5">
        <v>5.0</v>
      </c>
      <c r="T60" s="5">
        <v>2905.884162</v>
      </c>
      <c r="V60" s="21">
        <f t="shared" si="1"/>
        <v>44.44607161</v>
      </c>
      <c r="W60" s="21">
        <f t="shared" si="2"/>
        <v>96.73704724</v>
      </c>
      <c r="X60" s="21">
        <f t="shared" si="3"/>
        <v>2.403846154</v>
      </c>
      <c r="Y60" s="21">
        <f t="shared" si="4"/>
        <v>581.1768324</v>
      </c>
      <c r="Z60" s="21">
        <f t="shared" si="5"/>
        <v>13.97059693</v>
      </c>
      <c r="AA60" s="21">
        <f t="shared" si="6"/>
        <v>0.318140104</v>
      </c>
    </row>
    <row r="61">
      <c r="A61" s="4" t="s">
        <v>1742</v>
      </c>
      <c r="B61" s="4" t="str">
        <f>IFERROR(__xludf.DUMMYFUNCTION("SPLIT(A61:A781, ""&gt;"")"),"US ")</f>
        <v>US </v>
      </c>
      <c r="C61" s="4" t="str">
        <f>IFERROR(__xludf.DUMMYFUNCTION("""COMPUTED_VALUE""")," B2B ")</f>
        <v> B2B </v>
      </c>
      <c r="D61" s="4" t="str">
        <f>IFERROR(__xludf.DUMMYFUNCTION("""COMPUTED_VALUE""")," Purchase DM ")</f>
        <v> Purchase DM </v>
      </c>
      <c r="E61" s="4" t="str">
        <f>IFERROR(__xludf.DUMMYFUNCTION("""COMPUTED_VALUE""")," Technology Services, Hardware and ")</f>
        <v> Technology Services, Hardware and </v>
      </c>
      <c r="F61" s="4" t="str">
        <f>IFERROR(__xludf.DUMMYFUNCTION("""COMPUTED_VALUE""")," or Software ")</f>
        <v> or Software </v>
      </c>
      <c r="G61" s="4" t="str">
        <f>IFERROR(__xludf.DUMMYFUNCTION("""COMPUTED_VALUE""")," I have no input into the final decision")</f>
        <v> I have no input into the final decision</v>
      </c>
      <c r="H61" s="4"/>
      <c r="I61" s="5" t="s">
        <v>15</v>
      </c>
      <c r="J61" s="5" t="s">
        <v>42</v>
      </c>
      <c r="K61" s="5" t="s">
        <v>17</v>
      </c>
      <c r="L61" s="6" t="s">
        <v>115</v>
      </c>
      <c r="M61" s="5" t="s">
        <v>19</v>
      </c>
      <c r="N61" s="5" t="s">
        <v>27</v>
      </c>
      <c r="O61" s="5">
        <v>130796.0</v>
      </c>
      <c r="P61" s="5">
        <v>300.0</v>
      </c>
      <c r="Q61" s="5">
        <v>109118.0</v>
      </c>
      <c r="R61" s="5">
        <v>122937.0</v>
      </c>
      <c r="S61" s="5">
        <v>6.0</v>
      </c>
      <c r="T61" s="5">
        <v>2196.661232</v>
      </c>
      <c r="V61" s="21">
        <f t="shared" si="1"/>
        <v>16.79455971</v>
      </c>
      <c r="W61" s="21">
        <f t="shared" si="2"/>
        <v>20.13106208</v>
      </c>
      <c r="X61" s="21">
        <f t="shared" si="3"/>
        <v>2</v>
      </c>
      <c r="Y61" s="21">
        <f t="shared" si="4"/>
        <v>366.1102053</v>
      </c>
      <c r="Z61" s="21">
        <f t="shared" si="5"/>
        <v>7.322204107</v>
      </c>
      <c r="AA61" s="21">
        <f t="shared" si="6"/>
        <v>0.2293648124</v>
      </c>
    </row>
    <row r="62">
      <c r="A62" s="4" t="s">
        <v>1743</v>
      </c>
      <c r="B62" s="4" t="str">
        <f>IFERROR(__xludf.DUMMYFUNCTION("SPLIT(A62:A782, ""&gt;"")"),"US ")</f>
        <v>US </v>
      </c>
      <c r="C62" s="4" t="str">
        <f>IFERROR(__xludf.DUMMYFUNCTION("""COMPUTED_VALUE""")," Reach ")</f>
        <v> Reach </v>
      </c>
      <c r="D62" s="4" t="str">
        <f>IFERROR(__xludf.DUMMYFUNCTION("""COMPUTED_VALUE""")," Propensity Models ")</f>
        <v> Propensity Models </v>
      </c>
      <c r="E62" s="4" t="str">
        <f>IFERROR(__xludf.DUMMYFUNCTION("""COMPUTED_VALUE""")," Hobbies and Interest ")</f>
        <v> Hobbies and Interest </v>
      </c>
      <c r="F62" s="4" t="str">
        <f>IFERROR(__xludf.DUMMYFUNCTION("""COMPUTED_VALUE""")," Food and Drinks ")</f>
        <v> Food and Drinks </v>
      </c>
      <c r="G62" s="4" t="str">
        <f>IFERROR(__xludf.DUMMYFUNCTION("""COMPUTED_VALUE""")," Wine Lovers")</f>
        <v> Wine Lovers</v>
      </c>
      <c r="H62" s="4"/>
      <c r="I62" s="5" t="s">
        <v>15</v>
      </c>
      <c r="J62" s="5" t="s">
        <v>16</v>
      </c>
      <c r="K62" s="5" t="s">
        <v>39</v>
      </c>
      <c r="L62" s="6" t="s">
        <v>115</v>
      </c>
      <c r="M62" s="5" t="s">
        <v>19</v>
      </c>
      <c r="N62" s="5" t="s">
        <v>52</v>
      </c>
      <c r="O62" s="5">
        <v>64892.0</v>
      </c>
      <c r="P62" s="5">
        <v>214.0</v>
      </c>
      <c r="Q62" s="5">
        <v>34731.0</v>
      </c>
      <c r="R62" s="5">
        <v>59369.0</v>
      </c>
      <c r="S62" s="5">
        <v>24.0</v>
      </c>
      <c r="T62" s="5">
        <v>2096.285549</v>
      </c>
      <c r="V62" s="21">
        <f t="shared" si="1"/>
        <v>32.30422161</v>
      </c>
      <c r="W62" s="21">
        <f t="shared" si="2"/>
        <v>60.35776537</v>
      </c>
      <c r="X62" s="21">
        <f t="shared" si="3"/>
        <v>11.21495327</v>
      </c>
      <c r="Y62" s="21">
        <f t="shared" si="4"/>
        <v>87.34523121</v>
      </c>
      <c r="Z62" s="21">
        <f t="shared" si="5"/>
        <v>9.795726864</v>
      </c>
      <c r="AA62" s="21">
        <f t="shared" si="6"/>
        <v>0.3297787092</v>
      </c>
    </row>
    <row r="63">
      <c r="A63" s="4" t="s">
        <v>1744</v>
      </c>
      <c r="B63" s="4" t="str">
        <f>IFERROR(__xludf.DUMMYFUNCTION("SPLIT(A63:A783, ""&gt;"")"),"US ")</f>
        <v>US </v>
      </c>
      <c r="C63" s="4" t="str">
        <f>IFERROR(__xludf.DUMMYFUNCTION("""COMPUTED_VALUE""")," Brand Propensities ")</f>
        <v> Brand Propensities </v>
      </c>
      <c r="D63" s="4" t="str">
        <f>IFERROR(__xludf.DUMMYFUNCTION("""COMPUTED_VALUE""")," Travel ")</f>
        <v> Travel </v>
      </c>
      <c r="E63" s="4" t="str">
        <f>IFERROR(__xludf.DUMMYFUNCTION("""COMPUTED_VALUE""")," Choice Hotels Buyer Propensity")</f>
        <v> Choice Hotels Buyer Propensity</v>
      </c>
      <c r="F63" s="4"/>
      <c r="G63" s="4"/>
      <c r="H63" s="4"/>
      <c r="I63" s="5" t="s">
        <v>15</v>
      </c>
      <c r="J63" s="5" t="s">
        <v>42</v>
      </c>
      <c r="K63" s="5" t="s">
        <v>35</v>
      </c>
      <c r="L63" s="6" t="s">
        <v>115</v>
      </c>
      <c r="M63" s="5" t="s">
        <v>36</v>
      </c>
      <c r="N63" s="5" t="s">
        <v>27</v>
      </c>
      <c r="O63" s="5">
        <v>210096.0</v>
      </c>
      <c r="P63" s="5">
        <v>590.0</v>
      </c>
      <c r="Q63" s="5">
        <v>90928.0</v>
      </c>
      <c r="R63" s="5">
        <v>184823.0</v>
      </c>
      <c r="S63" s="5">
        <v>4.0</v>
      </c>
      <c r="T63" s="5">
        <v>2027.431388</v>
      </c>
      <c r="V63" s="21">
        <f t="shared" si="1"/>
        <v>9.650023742</v>
      </c>
      <c r="W63" s="21">
        <f t="shared" si="2"/>
        <v>22.29710747</v>
      </c>
      <c r="X63" s="21">
        <f t="shared" si="3"/>
        <v>0.6779661017</v>
      </c>
      <c r="Y63" s="21">
        <f t="shared" si="4"/>
        <v>506.857847</v>
      </c>
      <c r="Z63" s="21">
        <f t="shared" si="5"/>
        <v>3.436324386</v>
      </c>
      <c r="AA63" s="21">
        <f t="shared" si="6"/>
        <v>0.2808240043</v>
      </c>
    </row>
    <row r="64">
      <c r="A64" s="4" t="s">
        <v>1100</v>
      </c>
      <c r="B64" s="4" t="str">
        <f>IFERROR(__xludf.DUMMYFUNCTION("SPLIT(A64:A784, ""&gt;"")"),"OnAudience ")</f>
        <v>OnAudience </v>
      </c>
      <c r="C64" s="4" t="str">
        <f>IFERROR(__xludf.DUMMYFUNCTION("""COMPUTED_VALUE""")," Interest ")</f>
        <v> Interest </v>
      </c>
      <c r="D64" s="4" t="str">
        <f>IFERROR(__xludf.DUMMYFUNCTION("""COMPUTED_VALUE""")," Careers")</f>
        <v> Careers</v>
      </c>
      <c r="E64" s="4"/>
      <c r="F64" s="4"/>
      <c r="G64" s="4"/>
      <c r="H64" s="4"/>
      <c r="I64" s="5" t="s">
        <v>22</v>
      </c>
      <c r="J64" s="5" t="s">
        <v>16</v>
      </c>
      <c r="K64" s="5" t="s">
        <v>131</v>
      </c>
      <c r="L64" s="6" t="s">
        <v>115</v>
      </c>
      <c r="M64" s="5" t="s">
        <v>19</v>
      </c>
      <c r="N64" s="5" t="s">
        <v>27</v>
      </c>
      <c r="O64" s="5">
        <v>77313.0</v>
      </c>
      <c r="P64" s="5">
        <v>191.0</v>
      </c>
      <c r="Q64" s="5">
        <v>40366.0</v>
      </c>
      <c r="R64" s="5">
        <v>71128.0</v>
      </c>
      <c r="S64" s="5">
        <v>3.0</v>
      </c>
      <c r="T64" s="5">
        <v>1790.390198</v>
      </c>
      <c r="V64" s="21">
        <f t="shared" si="1"/>
        <v>23.15768626</v>
      </c>
      <c r="W64" s="21">
        <f t="shared" si="2"/>
        <v>44.35391661</v>
      </c>
      <c r="X64" s="21">
        <f t="shared" si="3"/>
        <v>1.570680628</v>
      </c>
      <c r="Y64" s="21">
        <f t="shared" si="4"/>
        <v>596.7967327</v>
      </c>
      <c r="Z64" s="21">
        <f t="shared" si="5"/>
        <v>9.37377067</v>
      </c>
      <c r="AA64" s="21">
        <f t="shared" si="6"/>
        <v>0.2470477151</v>
      </c>
    </row>
    <row r="65">
      <c r="A65" s="4" t="s">
        <v>1745</v>
      </c>
      <c r="B65" s="4" t="str">
        <f>IFERROR(__xludf.DUMMYFUNCTION("SPLIT(A65:A785, ""&gt;"")"),"US ")</f>
        <v>US </v>
      </c>
      <c r="C65" s="4" t="str">
        <f>IFERROR(__xludf.DUMMYFUNCTION("""COMPUTED_VALUE""")," Brand Propensities ")</f>
        <v> Brand Propensities </v>
      </c>
      <c r="D65" s="4" t="str">
        <f>IFERROR(__xludf.DUMMYFUNCTION("""COMPUTED_VALUE""")," Travel ")</f>
        <v> Travel </v>
      </c>
      <c r="E65" s="4" t="str">
        <f>IFERROR(__xludf.DUMMYFUNCTION("""COMPUTED_VALUE""")," Hotel Tonight Buyer Propensity")</f>
        <v> Hotel Tonight Buyer Propensity</v>
      </c>
      <c r="F65" s="4"/>
      <c r="G65" s="4"/>
      <c r="H65" s="4"/>
      <c r="I65" s="5" t="s">
        <v>15</v>
      </c>
      <c r="J65" s="5" t="s">
        <v>42</v>
      </c>
      <c r="K65" s="5" t="s">
        <v>84</v>
      </c>
      <c r="L65" s="6" t="s">
        <v>115</v>
      </c>
      <c r="M65" s="5" t="s">
        <v>36</v>
      </c>
      <c r="N65" s="5" t="s">
        <v>27</v>
      </c>
      <c r="O65" s="5">
        <v>188170.0</v>
      </c>
      <c r="P65" s="5">
        <v>490.0</v>
      </c>
      <c r="Q65" s="5">
        <v>155266.0</v>
      </c>
      <c r="R65" s="5">
        <v>176562.0</v>
      </c>
      <c r="S65" s="5">
        <v>6.0</v>
      </c>
      <c r="T65" s="5">
        <v>1599.715069</v>
      </c>
      <c r="V65" s="21">
        <f t="shared" si="1"/>
        <v>8.501435239</v>
      </c>
      <c r="W65" s="21">
        <f t="shared" si="2"/>
        <v>10.303061</v>
      </c>
      <c r="X65" s="21">
        <f t="shared" si="3"/>
        <v>1.224489796</v>
      </c>
      <c r="Y65" s="21">
        <f t="shared" si="4"/>
        <v>266.6191782</v>
      </c>
      <c r="Z65" s="21">
        <f t="shared" si="5"/>
        <v>3.264724631</v>
      </c>
      <c r="AA65" s="21">
        <f t="shared" si="6"/>
        <v>0.2604028272</v>
      </c>
    </row>
    <row r="66">
      <c r="A66" s="4" t="s">
        <v>1102</v>
      </c>
      <c r="B66" s="4" t="str">
        <f>IFERROR(__xludf.DUMMYFUNCTION("SPLIT(A66:A786, ""&gt;"")"),"OnAudience ")</f>
        <v>OnAudience </v>
      </c>
      <c r="C66" s="4" t="str">
        <f>IFERROR(__xludf.DUMMYFUNCTION("""COMPUTED_VALUE""")," Interest ")</f>
        <v> Interest </v>
      </c>
      <c r="D66" s="4" t="str">
        <f>IFERROR(__xludf.DUMMYFUNCTION("""COMPUTED_VALUE""")," Science ")</f>
        <v> Science </v>
      </c>
      <c r="E66" s="4" t="str">
        <f>IFERROR(__xludf.DUMMYFUNCTION("""COMPUTED_VALUE""")," Weather Forecast")</f>
        <v> Weather Forecast</v>
      </c>
      <c r="F66" s="4"/>
      <c r="G66" s="4"/>
      <c r="H66" s="4"/>
      <c r="I66" s="5" t="s">
        <v>15</v>
      </c>
      <c r="J66" s="5" t="s">
        <v>23</v>
      </c>
      <c r="K66" s="5" t="s">
        <v>17</v>
      </c>
      <c r="L66" s="6" t="s">
        <v>115</v>
      </c>
      <c r="M66" s="5" t="s">
        <v>19</v>
      </c>
      <c r="N66" s="5" t="s">
        <v>52</v>
      </c>
      <c r="O66" s="5">
        <v>16808.0</v>
      </c>
      <c r="P66" s="5">
        <v>43.0</v>
      </c>
      <c r="Q66" s="5">
        <v>9211.0</v>
      </c>
      <c r="R66" s="5">
        <v>13372.0</v>
      </c>
      <c r="S66" s="5">
        <v>3.0</v>
      </c>
      <c r="T66" s="5">
        <v>1574.79128</v>
      </c>
      <c r="V66" s="21">
        <f t="shared" si="1"/>
        <v>93.6929605</v>
      </c>
      <c r="W66" s="21">
        <f t="shared" si="2"/>
        <v>170.9685463</v>
      </c>
      <c r="X66" s="21">
        <f t="shared" si="3"/>
        <v>6.976744186</v>
      </c>
      <c r="Y66" s="21">
        <f t="shared" si="4"/>
        <v>524.9304267</v>
      </c>
      <c r="Z66" s="21">
        <f t="shared" si="5"/>
        <v>36.62305302</v>
      </c>
      <c r="AA66" s="21">
        <f t="shared" si="6"/>
        <v>0.2558305569</v>
      </c>
    </row>
    <row r="67">
      <c r="A67" s="4" t="s">
        <v>1103</v>
      </c>
      <c r="B67" s="4" t="str">
        <f>IFERROR(__xludf.DUMMYFUNCTION("SPLIT(A67:A787, ""&gt;"")"),"Media and Entertainment ")</f>
        <v>Media and Entertainment </v>
      </c>
      <c r="C67" s="4" t="str">
        <f>IFERROR(__xludf.DUMMYFUNCTION("""COMPUTED_VALUE""")," Sports and Recreational Activities ")</f>
        <v> Sports and Recreational Activities </v>
      </c>
      <c r="D67" s="4" t="str">
        <f>IFERROR(__xludf.DUMMYFUNCTION("""COMPUTED_VALUE""")," Interest (Affinity) ")</f>
        <v> Interest (Affinity) </v>
      </c>
      <c r="E67" s="4" t="str">
        <f>IFERROR(__xludf.DUMMYFUNCTION("""COMPUTED_VALUE""")," Motorsports")</f>
        <v> Motorsports</v>
      </c>
      <c r="F67" s="4"/>
      <c r="G67" s="4"/>
      <c r="H67" s="4"/>
      <c r="I67" s="5" t="s">
        <v>15</v>
      </c>
      <c r="J67" s="5" t="s">
        <v>16</v>
      </c>
      <c r="K67" s="5" t="s">
        <v>39</v>
      </c>
      <c r="L67" s="6" t="s">
        <v>115</v>
      </c>
      <c r="M67" s="5" t="s">
        <v>19</v>
      </c>
      <c r="N67" s="5" t="s">
        <v>52</v>
      </c>
      <c r="O67" s="5">
        <v>21531.0</v>
      </c>
      <c r="P67" s="5">
        <v>55.0</v>
      </c>
      <c r="Q67" s="5">
        <v>15593.0</v>
      </c>
      <c r="R67" s="5">
        <v>18617.0</v>
      </c>
      <c r="S67" s="5">
        <v>6.0</v>
      </c>
      <c r="T67" s="5">
        <v>1470.971925</v>
      </c>
      <c r="V67" s="21">
        <f t="shared" si="1"/>
        <v>68.31879267</v>
      </c>
      <c r="W67" s="21">
        <f t="shared" si="2"/>
        <v>94.3354021</v>
      </c>
      <c r="X67" s="21">
        <f t="shared" si="3"/>
        <v>10.90909091</v>
      </c>
      <c r="Y67" s="21">
        <f t="shared" si="4"/>
        <v>245.1619875</v>
      </c>
      <c r="Z67" s="21">
        <f t="shared" si="5"/>
        <v>26.74494409</v>
      </c>
      <c r="AA67" s="21">
        <f t="shared" si="6"/>
        <v>0.2554456365</v>
      </c>
    </row>
    <row r="68">
      <c r="A68" s="4" t="s">
        <v>1746</v>
      </c>
      <c r="B68" s="4" t="str">
        <f>IFERROR(__xludf.DUMMYFUNCTION("SPLIT(A68:A788, ""&gt;"")"),"Mobile - US ")</f>
        <v>Mobile - US </v>
      </c>
      <c r="C68" s="4" t="str">
        <f>IFERROR(__xludf.DUMMYFUNCTION("""COMPUTED_VALUE""")," Travel ")</f>
        <v> Travel </v>
      </c>
      <c r="D68" s="4" t="str">
        <f>IFERROR(__xludf.DUMMYFUNCTION("""COMPUTED_VALUE""")," Destination ")</f>
        <v> Destination </v>
      </c>
      <c r="E68" s="4" t="str">
        <f>IFERROR(__xludf.DUMMYFUNCTION("""COMPUTED_VALUE""")," International Travelers ")</f>
        <v> International Travelers </v>
      </c>
      <c r="F68" s="4" t="str">
        <f>IFERROR(__xludf.DUMMYFUNCTION("""COMPUTED_VALUE""")," Frequent Travelers")</f>
        <v> Frequent Travelers</v>
      </c>
      <c r="G68" s="4"/>
      <c r="H68" s="4"/>
      <c r="I68" s="5" t="s">
        <v>15</v>
      </c>
      <c r="J68" s="5" t="s">
        <v>23</v>
      </c>
      <c r="K68" s="5" t="s">
        <v>78</v>
      </c>
      <c r="L68" s="6" t="s">
        <v>115</v>
      </c>
      <c r="M68" s="5" t="s">
        <v>136</v>
      </c>
      <c r="N68" s="5" t="s">
        <v>20</v>
      </c>
      <c r="O68" s="5">
        <v>18313.0</v>
      </c>
      <c r="P68" s="5">
        <v>60.0</v>
      </c>
      <c r="Q68" s="5">
        <v>9481.0</v>
      </c>
      <c r="R68" s="5">
        <v>16300.0</v>
      </c>
      <c r="S68" s="5">
        <v>4.0</v>
      </c>
      <c r="T68" s="5">
        <v>1456.934187</v>
      </c>
      <c r="V68" s="21">
        <f t="shared" si="1"/>
        <v>79.55737383</v>
      </c>
      <c r="W68" s="21">
        <f t="shared" si="2"/>
        <v>153.668831</v>
      </c>
      <c r="X68" s="21">
        <f t="shared" si="3"/>
        <v>6.666666667</v>
      </c>
      <c r="Y68" s="21">
        <f t="shared" si="4"/>
        <v>364.2335468</v>
      </c>
      <c r="Z68" s="21">
        <f t="shared" si="5"/>
        <v>24.28223645</v>
      </c>
      <c r="AA68" s="21">
        <f t="shared" si="6"/>
        <v>0.3276361055</v>
      </c>
    </row>
    <row r="69">
      <c r="A69" s="4" t="s">
        <v>1747</v>
      </c>
      <c r="B69" s="4" t="str">
        <f>IFERROR(__xludf.DUMMYFUNCTION("SPLIT(A69:A789, ""&gt;"")"),"US Financial ")</f>
        <v>US Financial </v>
      </c>
      <c r="C69" s="4" t="str">
        <f>IFERROR(__xludf.DUMMYFUNCTION("""COMPUTED_VALUE""")," Estimated Discretionary Spending (Financial) ")</f>
        <v> Estimated Discretionary Spending (Financial) </v>
      </c>
      <c r="D69" s="4" t="str">
        <f>IFERROR(__xludf.DUMMYFUNCTION("""COMPUTED_VALUE""")," Greater than $2,499")</f>
        <v> Greater than $2,499</v>
      </c>
      <c r="E69" s="4"/>
      <c r="F69" s="4"/>
      <c r="G69" s="4"/>
      <c r="H69" s="4"/>
      <c r="I69" s="5" t="s">
        <v>22</v>
      </c>
      <c r="J69" s="5" t="s">
        <v>42</v>
      </c>
      <c r="K69" s="5" t="s">
        <v>39</v>
      </c>
      <c r="L69" s="6" t="s">
        <v>138</v>
      </c>
      <c r="M69" s="5" t="s">
        <v>19</v>
      </c>
      <c r="N69" s="5" t="s">
        <v>27</v>
      </c>
      <c r="O69" s="5">
        <v>10779.0</v>
      </c>
      <c r="P69" s="5">
        <v>86.0</v>
      </c>
      <c r="Q69" s="5">
        <v>6420.0</v>
      </c>
      <c r="R69" s="5">
        <v>10287.0</v>
      </c>
      <c r="S69" s="5">
        <v>3.0</v>
      </c>
      <c r="T69" s="5">
        <v>1759.704833</v>
      </c>
      <c r="V69" s="21">
        <f t="shared" si="1"/>
        <v>163.2530692</v>
      </c>
      <c r="W69" s="21">
        <f t="shared" si="2"/>
        <v>274.097326</v>
      </c>
      <c r="X69" s="21">
        <f t="shared" si="3"/>
        <v>3.488372093</v>
      </c>
      <c r="Y69" s="21">
        <f t="shared" si="4"/>
        <v>586.5682777</v>
      </c>
      <c r="Z69" s="21">
        <f t="shared" si="5"/>
        <v>20.4616841</v>
      </c>
      <c r="AA69" s="21">
        <f t="shared" si="6"/>
        <v>0.7978476668</v>
      </c>
    </row>
    <row r="70">
      <c r="A70" s="4" t="s">
        <v>1748</v>
      </c>
      <c r="B70" s="4" t="str">
        <f>IFERROR(__xludf.DUMMYFUNCTION("SPLIT(A70:A790, ""&gt;"")"),"US ")</f>
        <v>US </v>
      </c>
      <c r="C70" s="4" t="str">
        <f>IFERROR(__xludf.DUMMYFUNCTION("""COMPUTED_VALUE""")," AUTO ")</f>
        <v> AUTO </v>
      </c>
      <c r="D70" s="4" t="str">
        <f>IFERROR(__xludf.DUMMYFUNCTION("""COMPUTED_VALUE""")," Primary Vehicle ")</f>
        <v> Primary Vehicle </v>
      </c>
      <c r="E70" s="4" t="str">
        <f>IFERROR(__xludf.DUMMYFUNCTION("""COMPUTED_VALUE""")," New or Used ")</f>
        <v> New or Used </v>
      </c>
      <c r="F70" s="4" t="str">
        <f>IFERROR(__xludf.DUMMYFUNCTION("""COMPUTED_VALUE""")," Pre-owned")</f>
        <v> Pre-owned</v>
      </c>
      <c r="G70" s="4"/>
      <c r="H70" s="4"/>
      <c r="I70" s="5" t="s">
        <v>22</v>
      </c>
      <c r="J70" s="5" t="s">
        <v>16</v>
      </c>
      <c r="K70" s="5" t="s">
        <v>55</v>
      </c>
      <c r="L70" s="6" t="s">
        <v>140</v>
      </c>
      <c r="M70" s="5" t="s">
        <v>19</v>
      </c>
      <c r="N70" s="5" t="s">
        <v>27</v>
      </c>
      <c r="O70" s="5">
        <v>11325.0</v>
      </c>
      <c r="P70" s="5">
        <v>88.0</v>
      </c>
      <c r="Q70" s="5">
        <v>6186.0</v>
      </c>
      <c r="R70" s="5">
        <v>10612.0</v>
      </c>
      <c r="S70" s="5">
        <v>2.0</v>
      </c>
      <c r="T70" s="5">
        <v>1573.25409</v>
      </c>
      <c r="V70" s="21">
        <f t="shared" si="1"/>
        <v>138.9186834</v>
      </c>
      <c r="W70" s="21">
        <f t="shared" si="2"/>
        <v>254.3249418</v>
      </c>
      <c r="X70" s="21">
        <f t="shared" si="3"/>
        <v>2.272727273</v>
      </c>
      <c r="Y70" s="21">
        <f t="shared" si="4"/>
        <v>786.627045</v>
      </c>
      <c r="Z70" s="21">
        <f t="shared" si="5"/>
        <v>17.87788739</v>
      </c>
      <c r="AA70" s="21">
        <f t="shared" si="6"/>
        <v>0.7770419426</v>
      </c>
    </row>
    <row r="71">
      <c r="A71" s="4" t="s">
        <v>1107</v>
      </c>
      <c r="B71" s="4" t="str">
        <f>IFERROR(__xludf.DUMMYFUNCTION("SPLIT(A71:A791, ""&gt;"")"),"Media and Entertainment ")</f>
        <v>Media and Entertainment </v>
      </c>
      <c r="C71" s="4" t="str">
        <f>IFERROR(__xludf.DUMMYFUNCTION("""COMPUTED_VALUE""")," Gaming ")</f>
        <v> Gaming </v>
      </c>
      <c r="D71" s="4" t="str">
        <f>IFERROR(__xludf.DUMMYFUNCTION("""COMPUTED_VALUE""")," Interest (Affinity) ")</f>
        <v> Interest (Affinity) </v>
      </c>
      <c r="E71" s="4" t="str">
        <f>IFERROR(__xludf.DUMMYFUNCTION("""COMPUTED_VALUE""")," Video Games")</f>
        <v> Video Games</v>
      </c>
      <c r="F71" s="4"/>
      <c r="G71" s="4"/>
      <c r="H71" s="4"/>
      <c r="I71" s="5" t="s">
        <v>22</v>
      </c>
      <c r="J71" s="5" t="s">
        <v>16</v>
      </c>
      <c r="K71" s="5" t="s">
        <v>142</v>
      </c>
      <c r="L71" s="6" t="s">
        <v>143</v>
      </c>
      <c r="M71" s="5" t="s">
        <v>48</v>
      </c>
      <c r="N71" s="5" t="s">
        <v>27</v>
      </c>
      <c r="O71" s="5">
        <v>9078.0</v>
      </c>
      <c r="P71" s="5">
        <v>21.0</v>
      </c>
      <c r="Q71" s="5">
        <v>4051.0</v>
      </c>
      <c r="R71" s="5">
        <v>6215.0</v>
      </c>
      <c r="S71" s="5">
        <v>1.0</v>
      </c>
      <c r="T71" s="5">
        <v>1700.795736</v>
      </c>
      <c r="V71" s="21">
        <f t="shared" si="1"/>
        <v>187.353573</v>
      </c>
      <c r="W71" s="21">
        <f t="shared" si="2"/>
        <v>419.8458988</v>
      </c>
      <c r="X71" s="21">
        <f t="shared" si="3"/>
        <v>4.761904762</v>
      </c>
      <c r="Y71" s="21">
        <f t="shared" si="4"/>
        <v>1700.795736</v>
      </c>
      <c r="Z71" s="21">
        <f t="shared" si="5"/>
        <v>80.99027314</v>
      </c>
      <c r="AA71" s="21">
        <f t="shared" si="6"/>
        <v>0.2313284865</v>
      </c>
    </row>
    <row r="72">
      <c r="A72" s="4" t="s">
        <v>144</v>
      </c>
      <c r="B72" s="4" t="str">
        <f>IFERROR(__xludf.DUMMYFUNCTION("SPLIT(A72:A792, ""&gt;"")"),"Online Behavior")</f>
        <v>Online Behavior</v>
      </c>
      <c r="C72" s="4" t="str">
        <f>IFERROR(__xludf.DUMMYFUNCTION("""COMPUTED_VALUE"""),"United States")</f>
        <v>United States</v>
      </c>
      <c r="D72" s="4" t="str">
        <f>IFERROR(__xludf.DUMMYFUNCTION("""COMPUTED_VALUE"""),"Games")</f>
        <v>Games</v>
      </c>
      <c r="E72" s="4" t="str">
        <f>IFERROR(__xludf.DUMMYFUNCTION("""COMPUTED_VALUE"""),"Card Games")</f>
        <v>Card Games</v>
      </c>
      <c r="F72" s="4"/>
      <c r="G72" s="4"/>
      <c r="H72" s="4"/>
      <c r="I72" s="5" t="s">
        <v>22</v>
      </c>
      <c r="J72" s="5" t="s">
        <v>42</v>
      </c>
      <c r="K72" s="5" t="s">
        <v>29</v>
      </c>
      <c r="L72" s="6" t="s">
        <v>145</v>
      </c>
      <c r="M72" s="5" t="s">
        <v>19</v>
      </c>
      <c r="N72" s="5" t="s">
        <v>27</v>
      </c>
      <c r="O72" s="5">
        <v>11511.0</v>
      </c>
      <c r="P72" s="5">
        <v>33.0</v>
      </c>
      <c r="Q72" s="5">
        <v>8268.0</v>
      </c>
      <c r="R72" s="5">
        <v>11042.0</v>
      </c>
      <c r="S72" s="5">
        <v>3.0</v>
      </c>
      <c r="T72" s="5">
        <v>6815.712325</v>
      </c>
      <c r="V72" s="21">
        <f t="shared" si="1"/>
        <v>592.1042763</v>
      </c>
      <c r="W72" s="21">
        <f t="shared" si="2"/>
        <v>824.3483702</v>
      </c>
      <c r="X72" s="21">
        <f t="shared" si="3"/>
        <v>9.090909091</v>
      </c>
      <c r="Y72" s="21">
        <f t="shared" si="4"/>
        <v>2271.904108</v>
      </c>
      <c r="Z72" s="21">
        <f t="shared" si="5"/>
        <v>206.5367371</v>
      </c>
      <c r="AA72" s="21">
        <f t="shared" si="6"/>
        <v>0.2866823039</v>
      </c>
    </row>
    <row r="73">
      <c r="A73" s="4" t="s">
        <v>1108</v>
      </c>
      <c r="B73" s="4" t="str">
        <f>IFERROR(__xludf.DUMMYFUNCTION("SPLIT(A73:A793, ""&gt;"")"),"Online Behavior")</f>
        <v>Online Behavior</v>
      </c>
      <c r="C73" s="4" t="str">
        <f>IFERROR(__xludf.DUMMYFUNCTION("""COMPUTED_VALUE"""),"United States")</f>
        <v>United States</v>
      </c>
      <c r="D73" s="4" t="str">
        <f>IFERROR(__xludf.DUMMYFUNCTION("""COMPUTED_VALUE"""),"Autos and Vehicles ")</f>
        <v>Autos and Vehicles </v>
      </c>
      <c r="E73" s="4" t="str">
        <f>IFERROR(__xludf.DUMMYFUNCTION("""COMPUTED_VALUE""")," Brands")</f>
        <v> Brands</v>
      </c>
      <c r="F73" s="4" t="str">
        <f>IFERROR(__xludf.DUMMYFUNCTION("""COMPUTED_VALUE"""),"Rolls-Royce")</f>
        <v>Rolls-Royce</v>
      </c>
      <c r="G73" s="4"/>
      <c r="H73" s="4"/>
      <c r="I73" s="5" t="s">
        <v>22</v>
      </c>
      <c r="J73" s="5" t="s">
        <v>23</v>
      </c>
      <c r="K73" s="5" t="s">
        <v>147</v>
      </c>
      <c r="L73" s="6" t="s">
        <v>145</v>
      </c>
      <c r="M73" s="5" t="s">
        <v>46</v>
      </c>
      <c r="N73" s="5" t="s">
        <v>27</v>
      </c>
      <c r="O73" s="5">
        <v>14047.0</v>
      </c>
      <c r="P73" s="5">
        <v>44.0</v>
      </c>
      <c r="Q73" s="5">
        <v>9934.0</v>
      </c>
      <c r="R73" s="5">
        <v>13377.0</v>
      </c>
      <c r="S73" s="5">
        <v>7.0</v>
      </c>
      <c r="T73" s="5">
        <v>5729.650755</v>
      </c>
      <c r="V73" s="21">
        <f t="shared" si="1"/>
        <v>407.8914185</v>
      </c>
      <c r="W73" s="21">
        <f t="shared" si="2"/>
        <v>576.7717692</v>
      </c>
      <c r="X73" s="21">
        <f t="shared" si="3"/>
        <v>15.90909091</v>
      </c>
      <c r="Y73" s="21">
        <f t="shared" si="4"/>
        <v>818.5215364</v>
      </c>
      <c r="Z73" s="21">
        <f t="shared" si="5"/>
        <v>130.2193353</v>
      </c>
      <c r="AA73" s="21">
        <f t="shared" si="6"/>
        <v>0.3132341425</v>
      </c>
    </row>
    <row r="74">
      <c r="A74" s="4" t="s">
        <v>1749</v>
      </c>
      <c r="B74" s="4" t="str">
        <f>IFERROR(__xludf.DUMMYFUNCTION("SPLIT(A74:A794, ""&gt;"")"),"US ")</f>
        <v>US </v>
      </c>
      <c r="C74" s="4" t="str">
        <f>IFERROR(__xludf.DUMMYFUNCTION("""COMPUTED_VALUE""")," Reach ")</f>
        <v> Reach </v>
      </c>
      <c r="D74" s="4" t="str">
        <f>IFERROR(__xludf.DUMMYFUNCTION("""COMPUTED_VALUE""")," Propensity Models ")</f>
        <v> Propensity Models </v>
      </c>
      <c r="E74" s="4" t="str">
        <f>IFERROR(__xludf.DUMMYFUNCTION("""COMPUTED_VALUE""")," Hobbies and Interest ")</f>
        <v> Hobbies and Interest </v>
      </c>
      <c r="F74" s="4" t="str">
        <f>IFERROR(__xludf.DUMMYFUNCTION("""COMPUTED_VALUE""")," Photography")</f>
        <v> Photography</v>
      </c>
      <c r="G74" s="4"/>
      <c r="H74" s="4"/>
      <c r="I74" s="5" t="s">
        <v>15</v>
      </c>
      <c r="J74" s="5" t="s">
        <v>31</v>
      </c>
      <c r="K74" s="5" t="s">
        <v>17</v>
      </c>
      <c r="L74" s="6" t="s">
        <v>145</v>
      </c>
      <c r="M74" s="5" t="s">
        <v>46</v>
      </c>
      <c r="N74" s="5" t="s">
        <v>27</v>
      </c>
      <c r="O74" s="5">
        <v>20278.0</v>
      </c>
      <c r="P74" s="5">
        <v>74.0</v>
      </c>
      <c r="Q74" s="5">
        <v>14227.0</v>
      </c>
      <c r="R74" s="5">
        <v>19480.0</v>
      </c>
      <c r="S74" s="5">
        <v>3.0</v>
      </c>
      <c r="T74" s="5">
        <v>2921.110207</v>
      </c>
      <c r="V74" s="21">
        <f t="shared" si="1"/>
        <v>144.0531713</v>
      </c>
      <c r="W74" s="21">
        <f t="shared" si="2"/>
        <v>205.3215862</v>
      </c>
      <c r="X74" s="21">
        <f t="shared" si="3"/>
        <v>4.054054054</v>
      </c>
      <c r="Y74" s="21">
        <f t="shared" si="4"/>
        <v>973.7034023</v>
      </c>
      <c r="Z74" s="21">
        <f t="shared" si="5"/>
        <v>39.47446226</v>
      </c>
      <c r="AA74" s="21">
        <f t="shared" si="6"/>
        <v>0.3649275076</v>
      </c>
    </row>
    <row r="75">
      <c r="A75" s="4" t="s">
        <v>1115</v>
      </c>
      <c r="B75" s="4" t="str">
        <f>IFERROR(__xludf.DUMMYFUNCTION("SPLIT(A75:A795, ""&gt;"")"),"Travel and Tourism ")</f>
        <v>Travel and Tourism </v>
      </c>
      <c r="C75" s="4" t="str">
        <f>IFERROR(__xludf.DUMMYFUNCTION("""COMPUTED_VALUE""")," Interest (Affinity) ")</f>
        <v> Interest (Affinity) </v>
      </c>
      <c r="D75" s="4" t="str">
        <f>IFERROR(__xludf.DUMMYFUNCTION("""COMPUTED_VALUE""")," Destinations ")</f>
        <v> Destinations </v>
      </c>
      <c r="E75" s="4" t="str">
        <f>IFERROR(__xludf.DUMMYFUNCTION("""COMPUTED_VALUE""")," North America")</f>
        <v> North America</v>
      </c>
      <c r="F75" s="4"/>
      <c r="G75" s="4"/>
      <c r="H75" s="4"/>
      <c r="I75" s="5" t="s">
        <v>22</v>
      </c>
      <c r="J75" s="5" t="s">
        <v>31</v>
      </c>
      <c r="K75" s="5" t="s">
        <v>150</v>
      </c>
      <c r="L75" s="6" t="s">
        <v>145</v>
      </c>
      <c r="M75" s="5" t="s">
        <v>36</v>
      </c>
      <c r="N75" s="5" t="s">
        <v>27</v>
      </c>
      <c r="O75" s="5">
        <v>12354.0</v>
      </c>
      <c r="P75" s="5">
        <v>10.0</v>
      </c>
      <c r="Q75" s="5">
        <v>8561.0</v>
      </c>
      <c r="R75" s="5">
        <v>11782.0</v>
      </c>
      <c r="S75" s="5">
        <v>5.0</v>
      </c>
      <c r="T75" s="5">
        <v>1808.307918</v>
      </c>
      <c r="V75" s="21">
        <f t="shared" si="1"/>
        <v>146.3742851</v>
      </c>
      <c r="W75" s="21">
        <f t="shared" si="2"/>
        <v>211.226249</v>
      </c>
      <c r="X75" s="21">
        <f t="shared" si="3"/>
        <v>50</v>
      </c>
      <c r="Y75" s="21">
        <f t="shared" si="4"/>
        <v>361.6615836</v>
      </c>
      <c r="Z75" s="21">
        <f t="shared" si="5"/>
        <v>180.8307918</v>
      </c>
      <c r="AA75" s="21">
        <f t="shared" si="6"/>
        <v>0.08094544277</v>
      </c>
    </row>
    <row r="76">
      <c r="A76" s="4" t="s">
        <v>1750</v>
      </c>
      <c r="B76" s="4" t="str">
        <f>IFERROR(__xludf.DUMMYFUNCTION("SPLIT(A76:A796, ""&gt;"")"),"US ")</f>
        <v>US </v>
      </c>
      <c r="C76" s="4" t="str">
        <f>IFERROR(__xludf.DUMMYFUNCTION("""COMPUTED_VALUE""")," Reach ")</f>
        <v> Reach </v>
      </c>
      <c r="D76" s="4" t="str">
        <f>IFERROR(__xludf.DUMMYFUNCTION("""COMPUTED_VALUE""")," Sociodemographic ")</f>
        <v> Sociodemographic </v>
      </c>
      <c r="E76" s="4" t="str">
        <f>IFERROR(__xludf.DUMMYFUNCTION("""COMPUTED_VALUE""")," Estimated Current Home Value ")</f>
        <v> Estimated Current Home Value </v>
      </c>
      <c r="F76" s="4" t="str">
        <f>IFERROR(__xludf.DUMMYFUNCTION("""COMPUTED_VALUE""")," $160,000-$199,999")</f>
        <v> $160,000-$199,999</v>
      </c>
      <c r="G76" s="4"/>
      <c r="H76" s="4"/>
      <c r="I76" s="5" t="s">
        <v>15</v>
      </c>
      <c r="J76" s="5" t="s">
        <v>16</v>
      </c>
      <c r="K76" s="5" t="s">
        <v>35</v>
      </c>
      <c r="L76" s="6" t="s">
        <v>145</v>
      </c>
      <c r="M76" s="5" t="s">
        <v>19</v>
      </c>
      <c r="N76" s="5" t="s">
        <v>27</v>
      </c>
      <c r="O76" s="5">
        <v>13132.0</v>
      </c>
      <c r="P76" s="5">
        <v>67.0</v>
      </c>
      <c r="Q76" s="5">
        <v>6133.0</v>
      </c>
      <c r="R76" s="5">
        <v>12377.0</v>
      </c>
      <c r="S76" s="5">
        <v>4.0</v>
      </c>
      <c r="T76" s="5">
        <v>1807.693142</v>
      </c>
      <c r="V76" s="21">
        <f t="shared" si="1"/>
        <v>137.655585</v>
      </c>
      <c r="W76" s="21">
        <f t="shared" si="2"/>
        <v>294.7485964</v>
      </c>
      <c r="X76" s="21">
        <f t="shared" si="3"/>
        <v>5.970149254</v>
      </c>
      <c r="Y76" s="21">
        <f t="shared" si="4"/>
        <v>451.9232855</v>
      </c>
      <c r="Z76" s="21">
        <f t="shared" si="5"/>
        <v>26.98049466</v>
      </c>
      <c r="AA76" s="21">
        <f t="shared" si="6"/>
        <v>0.5102040816</v>
      </c>
    </row>
    <row r="77">
      <c r="A77" s="4" t="s">
        <v>1751</v>
      </c>
      <c r="B77" s="4" t="str">
        <f>IFERROR(__xludf.DUMMYFUNCTION("SPLIT(A77:A797, ""&gt;"")"),"US ")</f>
        <v>US </v>
      </c>
      <c r="C77" s="4" t="str">
        <f>IFERROR(__xludf.DUMMYFUNCTION("""COMPUTED_VALUE"""),"Connected Impulse-Shopper Audience")</f>
        <v>Connected Impulse-Shopper Audience</v>
      </c>
      <c r="D77" s="4"/>
      <c r="E77" s="4"/>
      <c r="F77" s="4"/>
      <c r="G77" s="4"/>
      <c r="H77" s="4"/>
      <c r="I77" s="5" t="s">
        <v>15</v>
      </c>
      <c r="J77" s="5" t="s">
        <v>42</v>
      </c>
      <c r="K77" s="5" t="s">
        <v>95</v>
      </c>
      <c r="L77" s="6" t="s">
        <v>153</v>
      </c>
      <c r="M77" s="5" t="s">
        <v>136</v>
      </c>
      <c r="N77" s="5" t="s">
        <v>27</v>
      </c>
      <c r="O77" s="5">
        <v>35034.0</v>
      </c>
      <c r="P77" s="5">
        <v>145.0</v>
      </c>
      <c r="Q77" s="5">
        <v>13904.0</v>
      </c>
      <c r="R77" s="5">
        <v>34123.0</v>
      </c>
      <c r="S77" s="5">
        <v>3.0</v>
      </c>
      <c r="T77" s="5">
        <v>2141.469346</v>
      </c>
      <c r="V77" s="21">
        <f t="shared" si="1"/>
        <v>61.12545944</v>
      </c>
      <c r="W77" s="21">
        <f t="shared" si="2"/>
        <v>154.0182211</v>
      </c>
      <c r="X77" s="21">
        <f t="shared" si="3"/>
        <v>2.068965517</v>
      </c>
      <c r="Y77" s="21">
        <f t="shared" si="4"/>
        <v>713.8231153</v>
      </c>
      <c r="Z77" s="21">
        <f t="shared" si="5"/>
        <v>14.76875411</v>
      </c>
      <c r="AA77" s="21">
        <f t="shared" si="6"/>
        <v>0.4138836559</v>
      </c>
    </row>
    <row r="78">
      <c r="A78" s="4" t="s">
        <v>1752</v>
      </c>
      <c r="B78" s="4" t="str">
        <f>IFERROR(__xludf.DUMMYFUNCTION("SPLIT(A78:A798, ""&gt;"")"),"US ")</f>
        <v>US </v>
      </c>
      <c r="C78" s="4" t="str">
        <f>IFERROR(__xludf.DUMMYFUNCTION("""COMPUTED_VALUE""")," Interest Propensities ")</f>
        <v> Interest Propensities </v>
      </c>
      <c r="D78" s="4" t="str">
        <f>IFERROR(__xludf.DUMMYFUNCTION("""COMPUTED_VALUE""")," Activities and Interests ")</f>
        <v> Activities and Interests </v>
      </c>
      <c r="E78" s="4" t="str">
        <f>IFERROR(__xludf.DUMMYFUNCTION("""COMPUTED_VALUE""")," International News")</f>
        <v> International News</v>
      </c>
      <c r="F78" s="4"/>
      <c r="G78" s="4"/>
      <c r="H78" s="4"/>
      <c r="I78" s="5" t="s">
        <v>61</v>
      </c>
      <c r="J78" s="5" t="s">
        <v>16</v>
      </c>
      <c r="K78" s="5" t="s">
        <v>155</v>
      </c>
      <c r="L78" s="6" t="s">
        <v>156</v>
      </c>
      <c r="M78" s="5" t="s">
        <v>19</v>
      </c>
      <c r="N78" s="5" t="s">
        <v>27</v>
      </c>
      <c r="O78" s="5">
        <v>9946.0</v>
      </c>
      <c r="P78" s="5">
        <v>20.0</v>
      </c>
      <c r="Q78" s="5">
        <v>4818.0</v>
      </c>
      <c r="R78" s="5">
        <v>7382.0</v>
      </c>
      <c r="S78" s="5">
        <v>3.0</v>
      </c>
      <c r="T78" s="5">
        <v>1525.962329</v>
      </c>
      <c r="V78" s="21">
        <f t="shared" si="1"/>
        <v>153.4247264</v>
      </c>
      <c r="W78" s="21">
        <f t="shared" si="2"/>
        <v>316.7211144</v>
      </c>
      <c r="X78" s="21">
        <f t="shared" si="3"/>
        <v>15</v>
      </c>
      <c r="Y78" s="21">
        <f t="shared" si="4"/>
        <v>508.6541097</v>
      </c>
      <c r="Z78" s="21">
        <f t="shared" si="5"/>
        <v>76.29811645</v>
      </c>
      <c r="AA78" s="21">
        <f t="shared" si="6"/>
        <v>0.2010858637</v>
      </c>
    </row>
    <row r="79">
      <c r="A79" s="4" t="s">
        <v>1131</v>
      </c>
      <c r="B79" s="4" t="str">
        <f>IFERROR(__xludf.DUMMYFUNCTION("SPLIT(A79:A799, ""&gt;"")"),"Online Behavior")</f>
        <v>Online Behavior</v>
      </c>
      <c r="C79" s="4" t="str">
        <f>IFERROR(__xludf.DUMMYFUNCTION("""COMPUTED_VALUE"""),"United States")</f>
        <v>United States</v>
      </c>
      <c r="D79" s="4" t="str">
        <f>IFERROR(__xludf.DUMMYFUNCTION("""COMPUTED_VALUE"""),"Intent ")</f>
        <v>Intent </v>
      </c>
      <c r="E79" s="4" t="str">
        <f>IFERROR(__xludf.DUMMYFUNCTION("""COMPUTED_VALUE""")," Auto Buyers ")</f>
        <v> Auto Buyers </v>
      </c>
      <c r="F79" s="4" t="str">
        <f>IFERROR(__xludf.DUMMYFUNCTION("""COMPUTED_VALUE""")," Car Make")</f>
        <v> Car Make</v>
      </c>
      <c r="G79" s="4" t="str">
        <f>IFERROR(__xludf.DUMMYFUNCTION("""COMPUTED_VALUE"""),"Nissan")</f>
        <v>Nissan</v>
      </c>
      <c r="H79" s="4"/>
      <c r="I79" s="5" t="s">
        <v>22</v>
      </c>
      <c r="J79" s="5" t="s">
        <v>16</v>
      </c>
      <c r="K79" s="5" t="s">
        <v>55</v>
      </c>
      <c r="L79" s="6" t="s">
        <v>158</v>
      </c>
      <c r="M79" s="5" t="s">
        <v>19</v>
      </c>
      <c r="N79" s="5" t="s">
        <v>27</v>
      </c>
      <c r="O79" s="5">
        <v>8068.0</v>
      </c>
      <c r="P79" s="5">
        <v>10.0</v>
      </c>
      <c r="Q79" s="5">
        <v>5545.0</v>
      </c>
      <c r="R79" s="5">
        <v>7554.0</v>
      </c>
      <c r="S79" s="5">
        <v>1.0</v>
      </c>
      <c r="T79" s="5">
        <v>5995.041002</v>
      </c>
      <c r="V79" s="21">
        <f t="shared" si="1"/>
        <v>743.0640806</v>
      </c>
      <c r="W79" s="21">
        <f t="shared" si="2"/>
        <v>1081.161587</v>
      </c>
      <c r="X79" s="21">
        <f t="shared" si="3"/>
        <v>10</v>
      </c>
      <c r="Y79" s="21">
        <f t="shared" si="4"/>
        <v>5995.041002</v>
      </c>
      <c r="Z79" s="21">
        <f t="shared" si="5"/>
        <v>599.5041002</v>
      </c>
      <c r="AA79" s="21">
        <f t="shared" si="6"/>
        <v>0.1239464551</v>
      </c>
    </row>
    <row r="80">
      <c r="A80" s="4" t="s">
        <v>159</v>
      </c>
      <c r="B80" s="4" t="str">
        <f>IFERROR(__xludf.DUMMYFUNCTION("SPLIT(A80:A800, ""&gt;"")"),"Online Behavior")</f>
        <v>Online Behavior</v>
      </c>
      <c r="C80" s="4" t="str">
        <f>IFERROR(__xludf.DUMMYFUNCTION("""COMPUTED_VALUE"""),"United States")</f>
        <v>United States</v>
      </c>
      <c r="D80" s="4" t="str">
        <f>IFERROR(__xludf.DUMMYFUNCTION("""COMPUTED_VALUE"""),"Life Event")</f>
        <v>Life Event</v>
      </c>
      <c r="E80" s="4" t="str">
        <f>IFERROR(__xludf.DUMMYFUNCTION("""COMPUTED_VALUE"""),"Bride")</f>
        <v>Bride</v>
      </c>
      <c r="F80" s="4"/>
      <c r="G80" s="4"/>
      <c r="H80" s="4"/>
      <c r="I80" s="5" t="s">
        <v>22</v>
      </c>
      <c r="J80" s="5" t="s">
        <v>16</v>
      </c>
      <c r="K80" s="5" t="s">
        <v>39</v>
      </c>
      <c r="L80" s="6" t="s">
        <v>160</v>
      </c>
      <c r="M80" s="5" t="s">
        <v>161</v>
      </c>
      <c r="N80" s="5" t="s">
        <v>27</v>
      </c>
      <c r="O80" s="5">
        <v>11919.0</v>
      </c>
      <c r="P80" s="5">
        <v>69.0</v>
      </c>
      <c r="Q80" s="5">
        <v>8100.0</v>
      </c>
      <c r="R80" s="5">
        <v>11524.0</v>
      </c>
      <c r="S80" s="5">
        <v>2.0</v>
      </c>
      <c r="T80" s="5">
        <v>6350.916905</v>
      </c>
      <c r="V80" s="21">
        <f t="shared" si="1"/>
        <v>532.8397437</v>
      </c>
      <c r="W80" s="21">
        <f t="shared" si="2"/>
        <v>784.0638154</v>
      </c>
      <c r="X80" s="21">
        <f t="shared" si="3"/>
        <v>2.898550725</v>
      </c>
      <c r="Y80" s="21">
        <f t="shared" si="4"/>
        <v>3175.458453</v>
      </c>
      <c r="Z80" s="21">
        <f t="shared" si="5"/>
        <v>92.04227399</v>
      </c>
      <c r="AA80" s="21">
        <f t="shared" si="6"/>
        <v>0.5789076265</v>
      </c>
    </row>
    <row r="81">
      <c r="A81" s="4" t="s">
        <v>162</v>
      </c>
      <c r="B81" s="4" t="str">
        <f>IFERROR(__xludf.DUMMYFUNCTION("SPLIT(A81:A801, ""&gt;"")"),"Online Behavior")</f>
        <v>Online Behavior</v>
      </c>
      <c r="C81" s="4" t="str">
        <f>IFERROR(__xludf.DUMMYFUNCTION("""COMPUTED_VALUE"""),"United States")</f>
        <v>United States</v>
      </c>
      <c r="D81" s="4" t="str">
        <f>IFERROR(__xludf.DUMMYFUNCTION("""COMPUTED_VALUE"""),"Life Event")</f>
        <v>Life Event</v>
      </c>
      <c r="E81" s="4" t="str">
        <f>IFERROR(__xludf.DUMMYFUNCTION("""COMPUTED_VALUE"""),"Engagement")</f>
        <v>Engagement</v>
      </c>
      <c r="F81" s="4"/>
      <c r="G81" s="4"/>
      <c r="H81" s="4"/>
      <c r="I81" s="5" t="s">
        <v>22</v>
      </c>
      <c r="J81" s="5" t="s">
        <v>23</v>
      </c>
      <c r="K81" s="5" t="s">
        <v>55</v>
      </c>
      <c r="L81" s="6" t="s">
        <v>160</v>
      </c>
      <c r="M81" s="5" t="s">
        <v>19</v>
      </c>
      <c r="N81" s="5" t="s">
        <v>27</v>
      </c>
      <c r="O81" s="5">
        <v>35163.0</v>
      </c>
      <c r="P81" s="5">
        <v>250.0</v>
      </c>
      <c r="Q81" s="5">
        <v>21222.0</v>
      </c>
      <c r="R81" s="5">
        <v>33671.0</v>
      </c>
      <c r="S81" s="5">
        <v>15.0</v>
      </c>
      <c r="T81" s="5">
        <v>6336.7181</v>
      </c>
      <c r="V81" s="21">
        <f t="shared" si="1"/>
        <v>180.2098257</v>
      </c>
      <c r="W81" s="21">
        <f t="shared" si="2"/>
        <v>298.5919376</v>
      </c>
      <c r="X81" s="21">
        <f t="shared" si="3"/>
        <v>6</v>
      </c>
      <c r="Y81" s="21">
        <f t="shared" si="4"/>
        <v>422.4478733</v>
      </c>
      <c r="Z81" s="21">
        <f t="shared" si="5"/>
        <v>25.3468724</v>
      </c>
      <c r="AA81" s="21">
        <f t="shared" si="6"/>
        <v>0.710974604</v>
      </c>
    </row>
    <row r="82">
      <c r="A82" s="4" t="s">
        <v>163</v>
      </c>
      <c r="B82" s="4" t="str">
        <f>IFERROR(__xludf.DUMMYFUNCTION("SPLIT(A82:A802, ""&gt;"")"),"Online Behavior")</f>
        <v>Online Behavior</v>
      </c>
      <c r="C82" s="4" t="str">
        <f>IFERROR(__xludf.DUMMYFUNCTION("""COMPUTED_VALUE"""),"United States")</f>
        <v>United States</v>
      </c>
      <c r="D82" s="4" t="str">
        <f>IFERROR(__xludf.DUMMYFUNCTION("""COMPUTED_VALUE"""),"The Changing Consumer")</f>
        <v>The Changing Consumer</v>
      </c>
      <c r="E82" s="4" t="str">
        <f>IFERROR(__xludf.DUMMYFUNCTION("""COMPUTED_VALUE"""),"Internet Connection")</f>
        <v>Internet Connection</v>
      </c>
      <c r="F82" s="4"/>
      <c r="G82" s="4"/>
      <c r="H82" s="4"/>
      <c r="I82" s="5" t="s">
        <v>15</v>
      </c>
      <c r="J82" s="5" t="s">
        <v>42</v>
      </c>
      <c r="K82" s="5" t="s">
        <v>35</v>
      </c>
      <c r="L82" s="6" t="s">
        <v>160</v>
      </c>
      <c r="M82" s="5" t="s">
        <v>19</v>
      </c>
      <c r="N82" s="5" t="s">
        <v>52</v>
      </c>
      <c r="O82" s="5">
        <v>27202.0</v>
      </c>
      <c r="P82" s="5">
        <v>70.0</v>
      </c>
      <c r="Q82" s="5">
        <v>5202.0</v>
      </c>
      <c r="R82" s="5">
        <v>23474.0</v>
      </c>
      <c r="S82" s="5">
        <v>11.0</v>
      </c>
      <c r="T82" s="5">
        <v>4253.979116</v>
      </c>
      <c r="V82" s="21">
        <f t="shared" si="1"/>
        <v>156.3847921</v>
      </c>
      <c r="W82" s="21">
        <f t="shared" si="2"/>
        <v>817.7583845</v>
      </c>
      <c r="X82" s="21">
        <f t="shared" si="3"/>
        <v>15.71428571</v>
      </c>
      <c r="Y82" s="21">
        <f t="shared" si="4"/>
        <v>386.7253742</v>
      </c>
      <c r="Z82" s="21">
        <f t="shared" si="5"/>
        <v>60.77113023</v>
      </c>
      <c r="AA82" s="21">
        <f t="shared" si="6"/>
        <v>0.2573340196</v>
      </c>
    </row>
    <row r="83">
      <c r="A83" s="4" t="s">
        <v>1133</v>
      </c>
      <c r="B83" s="4" t="str">
        <f>IFERROR(__xludf.DUMMYFUNCTION("SPLIT(A83:A803, ""&gt;"")"),"Lotame ")</f>
        <v>Lotame </v>
      </c>
      <c r="C83" s="4" t="str">
        <f>IFERROR(__xludf.DUMMYFUNCTION("""COMPUTED_VALUE""")," Personal Finance ")</f>
        <v> Personal Finance </v>
      </c>
      <c r="D83" s="4" t="str">
        <f>IFERROR(__xludf.DUMMYFUNCTION("""COMPUTED_VALUE""")," Estate Planning")</f>
        <v> Estate Planning</v>
      </c>
      <c r="E83" s="4"/>
      <c r="F83" s="4"/>
      <c r="G83" s="4"/>
      <c r="H83" s="4"/>
      <c r="I83" s="5" t="s">
        <v>22</v>
      </c>
      <c r="J83" s="5" t="s">
        <v>16</v>
      </c>
      <c r="K83" s="5" t="s">
        <v>17</v>
      </c>
      <c r="L83" s="6" t="s">
        <v>160</v>
      </c>
      <c r="M83" s="5" t="s">
        <v>19</v>
      </c>
      <c r="N83" s="5" t="s">
        <v>27</v>
      </c>
      <c r="O83" s="5">
        <v>59782.0</v>
      </c>
      <c r="P83" s="5">
        <v>212.0</v>
      </c>
      <c r="Q83" s="5">
        <v>28235.0</v>
      </c>
      <c r="R83" s="5">
        <v>57543.0</v>
      </c>
      <c r="S83" s="5">
        <v>13.0</v>
      </c>
      <c r="T83" s="5">
        <v>1455.703554</v>
      </c>
      <c r="V83" s="21">
        <f t="shared" si="1"/>
        <v>24.35019829</v>
      </c>
      <c r="W83" s="21">
        <f t="shared" si="2"/>
        <v>51.55670459</v>
      </c>
      <c r="X83" s="21">
        <f t="shared" si="3"/>
        <v>6.132075472</v>
      </c>
      <c r="Y83" s="21">
        <f t="shared" si="4"/>
        <v>111.9771965</v>
      </c>
      <c r="Z83" s="21">
        <f t="shared" si="5"/>
        <v>6.866526198</v>
      </c>
      <c r="AA83" s="21">
        <f t="shared" si="6"/>
        <v>0.3546217925</v>
      </c>
    </row>
    <row r="84">
      <c r="A84" s="4" t="s">
        <v>1137</v>
      </c>
      <c r="B84" s="4" t="str">
        <f>IFERROR(__xludf.DUMMYFUNCTION("SPLIT(A84:A804, ""&gt;"")"),"Online Behavior")</f>
        <v>Online Behavior</v>
      </c>
      <c r="C84" s="4" t="str">
        <f>IFERROR(__xludf.DUMMYFUNCTION("""COMPUTED_VALUE"""),"United States")</f>
        <v>United States</v>
      </c>
      <c r="D84" s="4" t="str">
        <f>IFERROR(__xludf.DUMMYFUNCTION("""COMPUTED_VALUE"""),"Sports")</f>
        <v>Sports</v>
      </c>
      <c r="E84" s="4" t="str">
        <f>IFERROR(__xludf.DUMMYFUNCTION("""COMPUTED_VALUE"""),"Team Sports ")</f>
        <v>Team Sports </v>
      </c>
      <c r="F84" s="4" t="str">
        <f>IFERROR(__xludf.DUMMYFUNCTION("""COMPUTED_VALUE""")," Volleyball")</f>
        <v> Volleyball</v>
      </c>
      <c r="G84" s="4"/>
      <c r="H84" s="4"/>
      <c r="I84" s="5" t="s">
        <v>15</v>
      </c>
      <c r="J84" s="5" t="s">
        <v>16</v>
      </c>
      <c r="K84" s="5" t="s">
        <v>39</v>
      </c>
      <c r="L84" s="6" t="s">
        <v>166</v>
      </c>
      <c r="M84" s="5" t="s">
        <v>167</v>
      </c>
      <c r="N84" s="5" t="s">
        <v>20</v>
      </c>
      <c r="O84" s="5">
        <v>10066.0</v>
      </c>
      <c r="P84" s="5">
        <v>63.0</v>
      </c>
      <c r="Q84" s="5">
        <v>6978.0</v>
      </c>
      <c r="R84" s="5">
        <v>9369.0</v>
      </c>
      <c r="S84" s="5">
        <v>19.0</v>
      </c>
      <c r="T84" s="5">
        <v>6879.587097</v>
      </c>
      <c r="V84" s="21">
        <f t="shared" si="1"/>
        <v>683.4479532</v>
      </c>
      <c r="W84" s="21">
        <f t="shared" si="2"/>
        <v>985.8966892</v>
      </c>
      <c r="X84" s="21">
        <f t="shared" si="3"/>
        <v>30.15873016</v>
      </c>
      <c r="Y84" s="21">
        <f t="shared" si="4"/>
        <v>362.0835314</v>
      </c>
      <c r="Z84" s="21">
        <f t="shared" si="5"/>
        <v>109.1997952</v>
      </c>
      <c r="AA84" s="21">
        <f t="shared" si="6"/>
        <v>0.6258692629</v>
      </c>
    </row>
    <row r="85">
      <c r="A85" s="4" t="s">
        <v>1753</v>
      </c>
      <c r="B85" s="4" t="str">
        <f>IFERROR(__xludf.DUMMYFUNCTION("SPLIT(A85:A805, ""&gt;"")"),"Mobile - US ")</f>
        <v>Mobile - US </v>
      </c>
      <c r="C85" s="4" t="str">
        <f>IFERROR(__xludf.DUMMYFUNCTION("""COMPUTED_VALUE""")," Food ")</f>
        <v> Food </v>
      </c>
      <c r="D85" s="4" t="str">
        <f>IFERROR(__xludf.DUMMYFUNCTION("""COMPUTED_VALUE""")," Restaurant ")</f>
        <v> Restaurant </v>
      </c>
      <c r="E85" s="4" t="str">
        <f>IFERROR(__xludf.DUMMYFUNCTION("""COMPUTED_VALUE""")," Brand ")</f>
        <v> Brand </v>
      </c>
      <c r="F85" s="4" t="str">
        <f>IFERROR(__xludf.DUMMYFUNCTION("""COMPUTED_VALUE""")," Outback Steakhouse")</f>
        <v> Outback Steakhouse</v>
      </c>
      <c r="G85" s="4"/>
      <c r="H85" s="4"/>
      <c r="I85" s="5" t="s">
        <v>15</v>
      </c>
      <c r="J85" s="5" t="s">
        <v>16</v>
      </c>
      <c r="K85" s="5" t="s">
        <v>35</v>
      </c>
      <c r="L85" s="6" t="s">
        <v>166</v>
      </c>
      <c r="M85" s="5" t="s">
        <v>161</v>
      </c>
      <c r="N85" s="5" t="s">
        <v>27</v>
      </c>
      <c r="O85" s="5">
        <v>11296.0</v>
      </c>
      <c r="P85" s="5">
        <v>54.0</v>
      </c>
      <c r="Q85" s="5">
        <v>6822.0</v>
      </c>
      <c r="R85" s="5">
        <v>9274.0</v>
      </c>
      <c r="S85" s="5">
        <v>4.0</v>
      </c>
      <c r="T85" s="5">
        <v>1682.338499</v>
      </c>
      <c r="V85" s="21">
        <f t="shared" si="1"/>
        <v>148.9322326</v>
      </c>
      <c r="W85" s="21">
        <f t="shared" si="2"/>
        <v>246.6048811</v>
      </c>
      <c r="X85" s="21">
        <f t="shared" si="3"/>
        <v>7.407407407</v>
      </c>
      <c r="Y85" s="21">
        <f t="shared" si="4"/>
        <v>420.5846248</v>
      </c>
      <c r="Z85" s="21">
        <f t="shared" si="5"/>
        <v>31.15441665</v>
      </c>
      <c r="AA85" s="21">
        <f t="shared" si="6"/>
        <v>0.4780453258</v>
      </c>
    </row>
    <row r="86">
      <c r="A86" s="4" t="s">
        <v>169</v>
      </c>
      <c r="B86" s="4" t="str">
        <f>IFERROR(__xludf.DUMMYFUNCTION("SPLIT(A86:A806, ""&gt;"")"),"Online Behavior")</f>
        <v>Online Behavior</v>
      </c>
      <c r="C86" s="4" t="str">
        <f>IFERROR(__xludf.DUMMYFUNCTION("""COMPUTED_VALUE"""),"United States")</f>
        <v>United States</v>
      </c>
      <c r="D86" s="4" t="str">
        <f>IFERROR(__xludf.DUMMYFUNCTION("""COMPUTED_VALUE"""),"Sports")</f>
        <v>Sports</v>
      </c>
      <c r="E86" s="4" t="str">
        <f>IFERROR(__xludf.DUMMYFUNCTION("""COMPUTED_VALUE"""),"Sporting Goods")</f>
        <v>Sporting Goods</v>
      </c>
      <c r="F86" s="4"/>
      <c r="G86" s="4"/>
      <c r="H86" s="4"/>
      <c r="I86" s="5" t="s">
        <v>22</v>
      </c>
      <c r="J86" s="5" t="s">
        <v>31</v>
      </c>
      <c r="K86" s="5" t="s">
        <v>39</v>
      </c>
      <c r="L86" s="6" t="s">
        <v>170</v>
      </c>
      <c r="M86" s="5" t="s">
        <v>19</v>
      </c>
      <c r="N86" s="5" t="s">
        <v>27</v>
      </c>
      <c r="O86" s="5">
        <v>18633.0</v>
      </c>
      <c r="P86" s="5">
        <v>60.0</v>
      </c>
      <c r="Q86" s="5">
        <v>9424.0</v>
      </c>
      <c r="R86" s="5">
        <v>18087.0</v>
      </c>
      <c r="S86" s="5">
        <v>15.0</v>
      </c>
      <c r="T86" s="5">
        <v>6785.063293</v>
      </c>
      <c r="V86" s="21">
        <f t="shared" si="1"/>
        <v>364.1422902</v>
      </c>
      <c r="W86" s="21">
        <f t="shared" si="2"/>
        <v>719.9770048</v>
      </c>
      <c r="X86" s="21">
        <f t="shared" si="3"/>
        <v>25</v>
      </c>
      <c r="Y86" s="21">
        <f t="shared" si="4"/>
        <v>452.3375529</v>
      </c>
      <c r="Z86" s="21">
        <f t="shared" si="5"/>
        <v>113.0843882</v>
      </c>
      <c r="AA86" s="21">
        <f t="shared" si="6"/>
        <v>0.3220093383</v>
      </c>
    </row>
    <row r="87">
      <c r="A87" s="4" t="s">
        <v>171</v>
      </c>
      <c r="B87" s="4" t="str">
        <f>IFERROR(__xludf.DUMMYFUNCTION("SPLIT(A87:A807, ""&gt;"")"),"Online Behavior")</f>
        <v>Online Behavior</v>
      </c>
      <c r="C87" s="4" t="str">
        <f>IFERROR(__xludf.DUMMYFUNCTION("""COMPUTED_VALUE"""),"United States")</f>
        <v>United States</v>
      </c>
      <c r="D87" s="4" t="str">
        <f>IFERROR(__xludf.DUMMYFUNCTION("""COMPUTED_VALUE"""),"News")</f>
        <v>News</v>
      </c>
      <c r="E87" s="4" t="str">
        <f>IFERROR(__xludf.DUMMYFUNCTION("""COMPUTED_VALUE"""),"Newspapers")</f>
        <v>Newspapers</v>
      </c>
      <c r="F87" s="4"/>
      <c r="G87" s="4"/>
      <c r="H87" s="4"/>
      <c r="I87" s="5" t="s">
        <v>22</v>
      </c>
      <c r="J87" s="5" t="s">
        <v>42</v>
      </c>
      <c r="K87" s="5" t="s">
        <v>78</v>
      </c>
      <c r="L87" s="6" t="s">
        <v>170</v>
      </c>
      <c r="M87" s="5" t="s">
        <v>26</v>
      </c>
      <c r="N87" s="5" t="s">
        <v>27</v>
      </c>
      <c r="O87" s="5">
        <v>37176.0</v>
      </c>
      <c r="P87" s="5">
        <v>100.0</v>
      </c>
      <c r="Q87" s="5">
        <v>31829.0</v>
      </c>
      <c r="R87" s="5">
        <v>35639.0</v>
      </c>
      <c r="S87" s="5">
        <v>21.0</v>
      </c>
      <c r="T87" s="5">
        <v>6753.595242</v>
      </c>
      <c r="V87" s="21">
        <f t="shared" si="1"/>
        <v>181.6654627</v>
      </c>
      <c r="W87" s="21">
        <f t="shared" si="2"/>
        <v>212.183708</v>
      </c>
      <c r="X87" s="21">
        <f t="shared" si="3"/>
        <v>21</v>
      </c>
      <c r="Y87" s="21">
        <f t="shared" si="4"/>
        <v>321.5997734</v>
      </c>
      <c r="Z87" s="21">
        <f t="shared" si="5"/>
        <v>67.53595242</v>
      </c>
      <c r="AA87" s="21">
        <f t="shared" si="6"/>
        <v>0.2689907467</v>
      </c>
    </row>
    <row r="88">
      <c r="A88" s="4" t="s">
        <v>1144</v>
      </c>
      <c r="B88" s="4" t="str">
        <f>IFERROR(__xludf.DUMMYFUNCTION("SPLIT(A88:A808, ""&gt;"")"),"Online Behavior")</f>
        <v>Online Behavior</v>
      </c>
      <c r="C88" s="4" t="str">
        <f>IFERROR(__xludf.DUMMYFUNCTION("""COMPUTED_VALUE"""),"United States")</f>
        <v>United States</v>
      </c>
      <c r="D88" s="4" t="str">
        <f>IFERROR(__xludf.DUMMYFUNCTION("""COMPUTED_VALUE"""),"Sports")</f>
        <v>Sports</v>
      </c>
      <c r="E88" s="4" t="str">
        <f>IFERROR(__xludf.DUMMYFUNCTION("""COMPUTED_VALUE"""),"Winter Sports ")</f>
        <v>Winter Sports </v>
      </c>
      <c r="F88" s="4" t="str">
        <f>IFERROR(__xludf.DUMMYFUNCTION("""COMPUTED_VALUE""")," Skiing and Snowboarding")</f>
        <v> Skiing and Snowboarding</v>
      </c>
      <c r="G88" s="4"/>
      <c r="H88" s="4"/>
      <c r="I88" s="5" t="s">
        <v>22</v>
      </c>
      <c r="J88" s="5" t="s">
        <v>42</v>
      </c>
      <c r="K88" s="5" t="s">
        <v>173</v>
      </c>
      <c r="L88" s="6" t="s">
        <v>170</v>
      </c>
      <c r="M88" s="5" t="s">
        <v>19</v>
      </c>
      <c r="N88" s="5" t="s">
        <v>27</v>
      </c>
      <c r="O88" s="5">
        <v>29251.0</v>
      </c>
      <c r="P88" s="5">
        <v>95.0</v>
      </c>
      <c r="Q88" s="5">
        <v>25060.0</v>
      </c>
      <c r="R88" s="5">
        <v>28038.0</v>
      </c>
      <c r="S88" s="5">
        <v>8.0</v>
      </c>
      <c r="T88" s="5">
        <v>5994.746834</v>
      </c>
      <c r="V88" s="21">
        <f t="shared" si="1"/>
        <v>204.9416032</v>
      </c>
      <c r="W88" s="21">
        <f t="shared" si="2"/>
        <v>239.2157555</v>
      </c>
      <c r="X88" s="21">
        <f t="shared" si="3"/>
        <v>8.421052632</v>
      </c>
      <c r="Y88" s="21">
        <f t="shared" si="4"/>
        <v>749.3433543</v>
      </c>
      <c r="Z88" s="21">
        <f t="shared" si="5"/>
        <v>63.10259825</v>
      </c>
      <c r="AA88" s="21">
        <f t="shared" si="6"/>
        <v>0.3247752214</v>
      </c>
    </row>
    <row r="89">
      <c r="A89" s="4" t="s">
        <v>1754</v>
      </c>
      <c r="B89" s="4" t="str">
        <f>IFERROR(__xludf.DUMMYFUNCTION("SPLIT(A89:A809, ""&gt;"")"),"US ")</f>
        <v>US </v>
      </c>
      <c r="C89" s="4" t="str">
        <f>IFERROR(__xludf.DUMMYFUNCTION("""COMPUTED_VALUE""")," Reach ")</f>
        <v> Reach </v>
      </c>
      <c r="D89" s="4" t="str">
        <f>IFERROR(__xludf.DUMMYFUNCTION("""COMPUTED_VALUE""")," Propensity Models ")</f>
        <v> Propensity Models </v>
      </c>
      <c r="E89" s="4" t="str">
        <f>IFERROR(__xludf.DUMMYFUNCTION("""COMPUTED_VALUE""")," Household Consumer Expenditures ")</f>
        <v> Household Consumer Expenditures </v>
      </c>
      <c r="F89" s="4" t="str">
        <f>IFERROR(__xludf.DUMMYFUNCTION("""COMPUTED_VALUE""")," Home Office")</f>
        <v> Home Office</v>
      </c>
      <c r="G89" s="4"/>
      <c r="H89" s="4"/>
      <c r="I89" s="5" t="s">
        <v>22</v>
      </c>
      <c r="J89" s="5" t="s">
        <v>16</v>
      </c>
      <c r="K89" s="5" t="s">
        <v>175</v>
      </c>
      <c r="L89" s="6" t="s">
        <v>170</v>
      </c>
      <c r="M89" s="5" t="s">
        <v>117</v>
      </c>
      <c r="N89" s="5" t="s">
        <v>27</v>
      </c>
      <c r="O89" s="5">
        <v>36431.0</v>
      </c>
      <c r="P89" s="5">
        <v>108.0</v>
      </c>
      <c r="Q89" s="5">
        <v>31262.0</v>
      </c>
      <c r="R89" s="5">
        <v>35043.0</v>
      </c>
      <c r="S89" s="5">
        <v>11.0</v>
      </c>
      <c r="T89" s="5">
        <v>3285.834522</v>
      </c>
      <c r="V89" s="21">
        <f t="shared" si="1"/>
        <v>90.19336614</v>
      </c>
      <c r="W89" s="21">
        <f t="shared" si="2"/>
        <v>105.1063439</v>
      </c>
      <c r="X89" s="21">
        <f t="shared" si="3"/>
        <v>10.18518519</v>
      </c>
      <c r="Y89" s="21">
        <f t="shared" si="4"/>
        <v>298.7122293</v>
      </c>
      <c r="Z89" s="21">
        <f t="shared" si="5"/>
        <v>30.42439372</v>
      </c>
      <c r="AA89" s="21">
        <f t="shared" si="6"/>
        <v>0.2964508248</v>
      </c>
    </row>
    <row r="90">
      <c r="A90" s="4" t="s">
        <v>1148</v>
      </c>
      <c r="B90" s="4" t="str">
        <f>IFERROR(__xludf.DUMMYFUNCTION("SPLIT(A90:A810, ""&gt;"")"),"OnAudience ")</f>
        <v>OnAudience </v>
      </c>
      <c r="C90" s="4" t="str">
        <f>IFERROR(__xludf.DUMMYFUNCTION("""COMPUTED_VALUE""")," Intent ")</f>
        <v> Intent </v>
      </c>
      <c r="D90" s="4" t="str">
        <f>IFERROR(__xludf.DUMMYFUNCTION("""COMPUTED_VALUE""")," Sporting Goods")</f>
        <v> Sporting Goods</v>
      </c>
      <c r="E90" s="4"/>
      <c r="F90" s="4"/>
      <c r="G90" s="4"/>
      <c r="H90" s="4"/>
      <c r="I90" s="5" t="s">
        <v>15</v>
      </c>
      <c r="J90" s="5" t="s">
        <v>31</v>
      </c>
      <c r="K90" s="5" t="s">
        <v>35</v>
      </c>
      <c r="L90" s="6" t="s">
        <v>170</v>
      </c>
      <c r="M90" s="5" t="s">
        <v>26</v>
      </c>
      <c r="N90" s="5" t="s">
        <v>27</v>
      </c>
      <c r="O90" s="5">
        <v>22004.0</v>
      </c>
      <c r="P90" s="5">
        <v>80.0</v>
      </c>
      <c r="Q90" s="5">
        <v>18735.0</v>
      </c>
      <c r="R90" s="5">
        <v>21127.0</v>
      </c>
      <c r="S90" s="5">
        <v>4.0</v>
      </c>
      <c r="T90" s="5">
        <v>1632.472782</v>
      </c>
      <c r="V90" s="21">
        <f t="shared" si="1"/>
        <v>74.18981921</v>
      </c>
      <c r="W90" s="21">
        <f t="shared" si="2"/>
        <v>87.13492298</v>
      </c>
      <c r="X90" s="21">
        <f t="shared" si="3"/>
        <v>5</v>
      </c>
      <c r="Y90" s="21">
        <f t="shared" si="4"/>
        <v>408.1181955</v>
      </c>
      <c r="Z90" s="21">
        <f t="shared" si="5"/>
        <v>20.40590978</v>
      </c>
      <c r="AA90" s="21">
        <f t="shared" si="6"/>
        <v>0.36357026</v>
      </c>
    </row>
    <row r="91">
      <c r="A91" s="4" t="s">
        <v>1149</v>
      </c>
      <c r="B91" s="4" t="str">
        <f>IFERROR(__xludf.DUMMYFUNCTION("SPLIT(A91:A811, ""&gt;"")"),"Online Behavior")</f>
        <v>Online Behavior</v>
      </c>
      <c r="C91" s="4" t="str">
        <f>IFERROR(__xludf.DUMMYFUNCTION("""COMPUTED_VALUE"""),"United States")</f>
        <v>United States</v>
      </c>
      <c r="D91" s="4" t="str">
        <f>IFERROR(__xludf.DUMMYFUNCTION("""COMPUTED_VALUE"""),"Intent ")</f>
        <v>Intent </v>
      </c>
      <c r="E91" s="4" t="str">
        <f>IFERROR(__xludf.DUMMYFUNCTION("""COMPUTED_VALUE""")," Shopping")</f>
        <v> Shopping</v>
      </c>
      <c r="F91" s="4" t="str">
        <f>IFERROR(__xludf.DUMMYFUNCTION("""COMPUTED_VALUE"""),"Consumer Electronics ")</f>
        <v>Consumer Electronics </v>
      </c>
      <c r="G91" s="4" t="str">
        <f>IFERROR(__xludf.DUMMYFUNCTION("""COMPUTED_VALUE""")," Computers, Laptops")</f>
        <v> Computers, Laptops</v>
      </c>
      <c r="H91" s="4"/>
      <c r="I91" s="5" t="s">
        <v>22</v>
      </c>
      <c r="J91" s="5" t="s">
        <v>23</v>
      </c>
      <c r="K91" s="5" t="s">
        <v>173</v>
      </c>
      <c r="L91" s="6" t="s">
        <v>178</v>
      </c>
      <c r="M91" s="5" t="s">
        <v>50</v>
      </c>
      <c r="N91" s="5" t="s">
        <v>27</v>
      </c>
      <c r="O91" s="5">
        <v>16644.0</v>
      </c>
      <c r="P91" s="5">
        <v>10.0</v>
      </c>
      <c r="Q91" s="5">
        <v>5055.0</v>
      </c>
      <c r="R91" s="5">
        <v>15831.0</v>
      </c>
      <c r="S91" s="5">
        <v>5.0</v>
      </c>
      <c r="T91" s="5">
        <v>6386.464232</v>
      </c>
      <c r="V91" s="21">
        <f t="shared" si="1"/>
        <v>383.7096991</v>
      </c>
      <c r="W91" s="21">
        <f t="shared" si="2"/>
        <v>1263.395496</v>
      </c>
      <c r="X91" s="21">
        <f t="shared" si="3"/>
        <v>50</v>
      </c>
      <c r="Y91" s="21">
        <f t="shared" si="4"/>
        <v>1277.292846</v>
      </c>
      <c r="Z91" s="21">
        <f t="shared" si="5"/>
        <v>638.6464232</v>
      </c>
      <c r="AA91" s="21">
        <f t="shared" si="6"/>
        <v>0.06008171113</v>
      </c>
    </row>
    <row r="92">
      <c r="A92" s="4" t="s">
        <v>179</v>
      </c>
      <c r="B92" s="4" t="str">
        <f>IFERROR(__xludf.DUMMYFUNCTION("SPLIT(A92:A812, ""&gt;"")"),"Online Behavior")</f>
        <v>Online Behavior</v>
      </c>
      <c r="C92" s="4" t="str">
        <f>IFERROR(__xludf.DUMMYFUNCTION("""COMPUTED_VALUE"""),"United States")</f>
        <v>United States</v>
      </c>
      <c r="D92" s="4" t="str">
        <f>IFERROR(__xludf.DUMMYFUNCTION("""COMPUTED_VALUE"""),"Sports")</f>
        <v>Sports</v>
      </c>
      <c r="E92" s="4" t="str">
        <f>IFERROR(__xludf.DUMMYFUNCTION("""COMPUTED_VALUE"""),"Fantasy Sports")</f>
        <v>Fantasy Sports</v>
      </c>
      <c r="F92" s="4"/>
      <c r="G92" s="4"/>
      <c r="H92" s="4"/>
      <c r="I92" s="5" t="s">
        <v>22</v>
      </c>
      <c r="J92" s="5" t="s">
        <v>31</v>
      </c>
      <c r="K92" s="5" t="s">
        <v>142</v>
      </c>
      <c r="L92" s="6" t="s">
        <v>178</v>
      </c>
      <c r="M92" s="5" t="s">
        <v>117</v>
      </c>
      <c r="N92" s="5" t="s">
        <v>27</v>
      </c>
      <c r="O92" s="5">
        <v>45285.0</v>
      </c>
      <c r="P92" s="5">
        <v>190.0</v>
      </c>
      <c r="Q92" s="5">
        <v>30225.0</v>
      </c>
      <c r="R92" s="5">
        <v>43298.0</v>
      </c>
      <c r="S92" s="5">
        <v>11.0</v>
      </c>
      <c r="T92" s="5">
        <v>4728.012406</v>
      </c>
      <c r="V92" s="21">
        <f t="shared" si="1"/>
        <v>104.4057062</v>
      </c>
      <c r="W92" s="21">
        <f t="shared" si="2"/>
        <v>156.4272095</v>
      </c>
      <c r="X92" s="21">
        <f t="shared" si="3"/>
        <v>5.789473684</v>
      </c>
      <c r="Y92" s="21">
        <f t="shared" si="4"/>
        <v>429.8193096</v>
      </c>
      <c r="Z92" s="21">
        <f t="shared" si="5"/>
        <v>24.88427582</v>
      </c>
      <c r="AA92" s="21">
        <f t="shared" si="6"/>
        <v>0.4195649774</v>
      </c>
    </row>
    <row r="93">
      <c r="A93" s="4" t="s">
        <v>1755</v>
      </c>
      <c r="B93" s="4" t="str">
        <f>IFERROR(__xludf.DUMMYFUNCTION("SPLIT(A93:A813, ""&gt;"")"),"US ")</f>
        <v>US </v>
      </c>
      <c r="C93" s="4" t="str">
        <f>IFERROR(__xludf.DUMMYFUNCTION("""COMPUTED_VALUE""")," Interest Propensities ")</f>
        <v> Interest Propensities </v>
      </c>
      <c r="D93" s="4" t="str">
        <f>IFERROR(__xludf.DUMMYFUNCTION("""COMPUTED_VALUE""")," Oil &amp; Gas ")</f>
        <v> Oil &amp; Gas </v>
      </c>
      <c r="E93" s="4" t="str">
        <f>IFERROR(__xludf.DUMMYFUNCTION("""COMPUTED_VALUE""")," QuickTrip")</f>
        <v> QuickTrip</v>
      </c>
      <c r="F93" s="4"/>
      <c r="G93" s="4"/>
      <c r="H93" s="4"/>
      <c r="I93" s="5" t="s">
        <v>22</v>
      </c>
      <c r="J93" s="5" t="s">
        <v>16</v>
      </c>
      <c r="K93" s="5" t="s">
        <v>181</v>
      </c>
      <c r="L93" s="6" t="s">
        <v>178</v>
      </c>
      <c r="M93" s="5" t="s">
        <v>117</v>
      </c>
      <c r="N93" s="5" t="s">
        <v>27</v>
      </c>
      <c r="O93" s="5">
        <v>16227.0</v>
      </c>
      <c r="P93" s="5">
        <v>40.0</v>
      </c>
      <c r="Q93" s="5">
        <v>9438.0</v>
      </c>
      <c r="R93" s="5">
        <v>15611.0</v>
      </c>
      <c r="S93" s="5">
        <v>3.0</v>
      </c>
      <c r="T93" s="5">
        <v>1991.94384</v>
      </c>
      <c r="V93" s="21">
        <f t="shared" si="1"/>
        <v>122.7549048</v>
      </c>
      <c r="W93" s="21">
        <f t="shared" si="2"/>
        <v>211.0557152</v>
      </c>
      <c r="X93" s="21">
        <f t="shared" si="3"/>
        <v>7.5</v>
      </c>
      <c r="Y93" s="21">
        <f t="shared" si="4"/>
        <v>663.98128</v>
      </c>
      <c r="Z93" s="21">
        <f t="shared" si="5"/>
        <v>49.798596</v>
      </c>
      <c r="AA93" s="21">
        <f t="shared" si="6"/>
        <v>0.2465027423</v>
      </c>
    </row>
    <row r="94">
      <c r="A94" s="4" t="s">
        <v>1154</v>
      </c>
      <c r="B94" s="4" t="str">
        <f>IFERROR(__xludf.DUMMYFUNCTION("SPLIT(A94:A814, ""&gt;"")"),"OnAudience ")</f>
        <v>OnAudience </v>
      </c>
      <c r="C94" s="4" t="str">
        <f>IFERROR(__xludf.DUMMYFUNCTION("""COMPUTED_VALUE""")," Interest ")</f>
        <v> Interest </v>
      </c>
      <c r="D94" s="4" t="str">
        <f>IFERROR(__xludf.DUMMYFUNCTION("""COMPUTED_VALUE""")," Shopping ")</f>
        <v> Shopping </v>
      </c>
      <c r="E94" s="4" t="str">
        <f>IFERROR(__xludf.DUMMYFUNCTION("""COMPUTED_VALUE""")," Shopping Mall Buyers")</f>
        <v> Shopping Mall Buyers</v>
      </c>
      <c r="F94" s="4"/>
      <c r="G94" s="4"/>
      <c r="H94" s="4"/>
      <c r="I94" s="5" t="s">
        <v>15</v>
      </c>
      <c r="J94" s="5" t="s">
        <v>31</v>
      </c>
      <c r="K94" s="5" t="s">
        <v>183</v>
      </c>
      <c r="L94" s="6" t="s">
        <v>178</v>
      </c>
      <c r="M94" s="5" t="s">
        <v>184</v>
      </c>
      <c r="N94" s="5" t="s">
        <v>27</v>
      </c>
      <c r="O94" s="5">
        <v>7409.0</v>
      </c>
      <c r="P94" s="5">
        <v>10.0</v>
      </c>
      <c r="Q94" s="5">
        <v>5009.0</v>
      </c>
      <c r="R94" s="5">
        <v>7160.0</v>
      </c>
      <c r="S94" s="5">
        <v>12.0</v>
      </c>
      <c r="T94" s="5">
        <v>1472.110115</v>
      </c>
      <c r="V94" s="21">
        <f t="shared" si="1"/>
        <v>198.6921467</v>
      </c>
      <c r="W94" s="21">
        <f t="shared" si="2"/>
        <v>293.8930156</v>
      </c>
      <c r="X94" s="21">
        <f t="shared" si="3"/>
        <v>120</v>
      </c>
      <c r="Y94" s="21">
        <f t="shared" si="4"/>
        <v>122.6758429</v>
      </c>
      <c r="Z94" s="21">
        <f t="shared" si="5"/>
        <v>147.2110115</v>
      </c>
      <c r="AA94" s="21">
        <f t="shared" si="6"/>
        <v>0.1349709812</v>
      </c>
    </row>
    <row r="95">
      <c r="A95" s="4" t="s">
        <v>185</v>
      </c>
      <c r="B95" s="4" t="str">
        <f>IFERROR(__xludf.DUMMYFUNCTION("SPLIT(A95:A815, ""&gt;"")"),"Online Behavior")</f>
        <v>Online Behavior</v>
      </c>
      <c r="C95" s="4" t="str">
        <f>IFERROR(__xludf.DUMMYFUNCTION("""COMPUTED_VALUE"""),"United States")</f>
        <v>United States</v>
      </c>
      <c r="D95" s="4" t="str">
        <f>IFERROR(__xludf.DUMMYFUNCTION("""COMPUTED_VALUE"""),"Law and Government")</f>
        <v>Law and Government</v>
      </c>
      <c r="E95" s="4" t="str">
        <f>IFERROR(__xludf.DUMMYFUNCTION("""COMPUTED_VALUE"""),"Military")</f>
        <v>Military</v>
      </c>
      <c r="F95" s="4"/>
      <c r="G95" s="4"/>
      <c r="H95" s="4"/>
      <c r="I95" s="5" t="s">
        <v>22</v>
      </c>
      <c r="J95" s="5" t="s">
        <v>23</v>
      </c>
      <c r="K95" s="5" t="s">
        <v>32</v>
      </c>
      <c r="L95" s="6" t="s">
        <v>186</v>
      </c>
      <c r="M95" s="5" t="s">
        <v>19</v>
      </c>
      <c r="N95" s="5" t="s">
        <v>27</v>
      </c>
      <c r="O95" s="5">
        <v>17582.0</v>
      </c>
      <c r="P95" s="5">
        <v>56.0</v>
      </c>
      <c r="Q95" s="5">
        <v>9848.0</v>
      </c>
      <c r="R95" s="5">
        <v>16558.0</v>
      </c>
      <c r="S95" s="5">
        <v>12.0</v>
      </c>
      <c r="T95" s="5">
        <v>6846.447915</v>
      </c>
      <c r="V95" s="21">
        <f t="shared" si="1"/>
        <v>389.4009734</v>
      </c>
      <c r="W95" s="21">
        <f t="shared" si="2"/>
        <v>695.2120141</v>
      </c>
      <c r="X95" s="21">
        <f t="shared" si="3"/>
        <v>21.42857143</v>
      </c>
      <c r="Y95" s="21">
        <f t="shared" si="4"/>
        <v>570.5373263</v>
      </c>
      <c r="Z95" s="21">
        <f t="shared" si="5"/>
        <v>122.2579985</v>
      </c>
      <c r="AA95" s="21">
        <f t="shared" si="6"/>
        <v>0.3185075646</v>
      </c>
    </row>
    <row r="96">
      <c r="A96" s="4" t="s">
        <v>187</v>
      </c>
      <c r="B96" s="4" t="str">
        <f>IFERROR(__xludf.DUMMYFUNCTION("SPLIT(A96:A816, ""&gt;"")"),"Online Behavior")</f>
        <v>Online Behavior</v>
      </c>
      <c r="C96" s="4" t="str">
        <f>IFERROR(__xludf.DUMMYFUNCTION("""COMPUTED_VALUE"""),"United States")</f>
        <v>United States</v>
      </c>
      <c r="D96" s="4" t="str">
        <f>IFERROR(__xludf.DUMMYFUNCTION("""COMPUTED_VALUE"""),"Travel")</f>
        <v>Travel</v>
      </c>
      <c r="E96" s="4" t="str">
        <f>IFERROR(__xludf.DUMMYFUNCTION("""COMPUTED_VALUE"""),"Bus and Rail")</f>
        <v>Bus and Rail</v>
      </c>
      <c r="F96" s="4"/>
      <c r="G96" s="4"/>
      <c r="H96" s="4"/>
      <c r="I96" s="5" t="s">
        <v>15</v>
      </c>
      <c r="J96" s="5" t="s">
        <v>31</v>
      </c>
      <c r="K96" s="5" t="s">
        <v>78</v>
      </c>
      <c r="L96" s="6" t="s">
        <v>186</v>
      </c>
      <c r="M96" s="5" t="s">
        <v>46</v>
      </c>
      <c r="N96" s="5" t="s">
        <v>52</v>
      </c>
      <c r="O96" s="5">
        <v>45711.0</v>
      </c>
      <c r="P96" s="5">
        <v>130.0</v>
      </c>
      <c r="Q96" s="5">
        <v>23052.0</v>
      </c>
      <c r="R96" s="5">
        <v>42375.0</v>
      </c>
      <c r="S96" s="5">
        <v>11.0</v>
      </c>
      <c r="T96" s="5">
        <v>6417.876169</v>
      </c>
      <c r="V96" s="21">
        <f t="shared" si="1"/>
        <v>140.4011325</v>
      </c>
      <c r="W96" s="21">
        <f t="shared" si="2"/>
        <v>278.4086487</v>
      </c>
      <c r="X96" s="21">
        <f t="shared" si="3"/>
        <v>8.461538462</v>
      </c>
      <c r="Y96" s="21">
        <f t="shared" si="4"/>
        <v>583.4432881</v>
      </c>
      <c r="Z96" s="21">
        <f t="shared" si="5"/>
        <v>49.36827822</v>
      </c>
      <c r="AA96" s="21">
        <f t="shared" si="6"/>
        <v>0.2843954409</v>
      </c>
    </row>
    <row r="97">
      <c r="A97" s="4" t="s">
        <v>1156</v>
      </c>
      <c r="B97" s="4" t="str">
        <f>IFERROR(__xludf.DUMMYFUNCTION("SPLIT(A97:A817, ""&gt;"")"),"Online Behavior")</f>
        <v>Online Behavior</v>
      </c>
      <c r="C97" s="4" t="str">
        <f>IFERROR(__xludf.DUMMYFUNCTION("""COMPUTED_VALUE"""),"United States")</f>
        <v>United States</v>
      </c>
      <c r="D97" s="4" t="str">
        <f>IFERROR(__xludf.DUMMYFUNCTION("""COMPUTED_VALUE"""),"Validated Demographic ")</f>
        <v>Validated Demographic </v>
      </c>
      <c r="E97" s="4" t="str">
        <f>IFERROR(__xludf.DUMMYFUNCTION("""COMPUTED_VALUE""")," Age")</f>
        <v> Age</v>
      </c>
      <c r="F97" s="4" t="str">
        <f>IFERROR(__xludf.DUMMYFUNCTION("""COMPUTED_VALUE"""),"18-64")</f>
        <v>18-64</v>
      </c>
      <c r="G97" s="4"/>
      <c r="H97" s="4"/>
      <c r="I97" s="5" t="s">
        <v>15</v>
      </c>
      <c r="J97" s="5" t="s">
        <v>42</v>
      </c>
      <c r="K97" s="5" t="s">
        <v>32</v>
      </c>
      <c r="L97" s="6" t="s">
        <v>186</v>
      </c>
      <c r="M97" s="5" t="s">
        <v>26</v>
      </c>
      <c r="N97" s="5" t="s">
        <v>52</v>
      </c>
      <c r="O97" s="5">
        <v>48562.0</v>
      </c>
      <c r="P97" s="5">
        <v>150.0</v>
      </c>
      <c r="Q97" s="5">
        <v>29108.0</v>
      </c>
      <c r="R97" s="5">
        <v>45570.0</v>
      </c>
      <c r="S97" s="5">
        <v>11.0</v>
      </c>
      <c r="T97" s="5">
        <v>6346.633024</v>
      </c>
      <c r="V97" s="21">
        <f t="shared" si="1"/>
        <v>130.6913435</v>
      </c>
      <c r="W97" s="21">
        <f t="shared" si="2"/>
        <v>218.0374132</v>
      </c>
      <c r="X97" s="21">
        <f t="shared" si="3"/>
        <v>7.333333333</v>
      </c>
      <c r="Y97" s="21">
        <f t="shared" si="4"/>
        <v>576.9666385</v>
      </c>
      <c r="Z97" s="21">
        <f t="shared" si="5"/>
        <v>42.31088683</v>
      </c>
      <c r="AA97" s="21">
        <f t="shared" si="6"/>
        <v>0.3088834891</v>
      </c>
    </row>
    <row r="98">
      <c r="A98" s="4" t="s">
        <v>1157</v>
      </c>
      <c r="B98" s="4" t="str">
        <f>IFERROR(__xludf.DUMMYFUNCTION("SPLIT(A98:A818, ""&gt;"")"),"Online Behavior")</f>
        <v>Online Behavior</v>
      </c>
      <c r="C98" s="4" t="str">
        <f>IFERROR(__xludf.DUMMYFUNCTION("""COMPUTED_VALUE"""),"United States")</f>
        <v>United States</v>
      </c>
      <c r="D98" s="4" t="str">
        <f>IFERROR(__xludf.DUMMYFUNCTION("""COMPUTED_VALUE"""),"Validated Demographic ")</f>
        <v>Validated Demographic </v>
      </c>
      <c r="E98" s="4" t="str">
        <f>IFERROR(__xludf.DUMMYFUNCTION("""COMPUTED_VALUE""")," Gender and Age Combined")</f>
        <v> Gender and Age Combined</v>
      </c>
      <c r="F98" s="4" t="str">
        <f>IFERROR(__xludf.DUMMYFUNCTION("""COMPUTED_VALUE"""),"Males 25-44")</f>
        <v>Males 25-44</v>
      </c>
      <c r="G98" s="4"/>
      <c r="H98" s="4"/>
      <c r="I98" s="5" t="s">
        <v>15</v>
      </c>
      <c r="J98" s="5" t="s">
        <v>31</v>
      </c>
      <c r="K98" s="5" t="s">
        <v>39</v>
      </c>
      <c r="L98" s="6" t="s">
        <v>186</v>
      </c>
      <c r="M98" s="5" t="s">
        <v>19</v>
      </c>
      <c r="N98" s="5" t="s">
        <v>20</v>
      </c>
      <c r="O98" s="5">
        <v>47394.0</v>
      </c>
      <c r="P98" s="5">
        <v>184.0</v>
      </c>
      <c r="Q98" s="5">
        <v>22712.0</v>
      </c>
      <c r="R98" s="5">
        <v>41918.0</v>
      </c>
      <c r="S98" s="5">
        <v>24.0</v>
      </c>
      <c r="T98" s="5">
        <v>4701.496237</v>
      </c>
      <c r="V98" s="21">
        <f t="shared" si="1"/>
        <v>99.20024132</v>
      </c>
      <c r="W98" s="21">
        <f t="shared" si="2"/>
        <v>207.0049417</v>
      </c>
      <c r="X98" s="21">
        <f t="shared" si="3"/>
        <v>13.04347826</v>
      </c>
      <c r="Y98" s="21">
        <f t="shared" si="4"/>
        <v>195.8956765</v>
      </c>
      <c r="Z98" s="21">
        <f t="shared" si="5"/>
        <v>25.55160998</v>
      </c>
      <c r="AA98" s="21">
        <f t="shared" si="6"/>
        <v>0.3882347977</v>
      </c>
    </row>
    <row r="99">
      <c r="A99" s="4" t="s">
        <v>1158</v>
      </c>
      <c r="B99" s="4" t="str">
        <f>IFERROR(__xludf.DUMMYFUNCTION("SPLIT(A99:A819, ""&gt;"")"),"Purchase Behaviors ")</f>
        <v>Purchase Behaviors </v>
      </c>
      <c r="C99" s="4" t="str">
        <f>IFERROR(__xludf.DUMMYFUNCTION("""COMPUTED_VALUE""")," Q2 Environmentally Concerned Shoppers")</f>
        <v> Q2 Environmentally Concerned Shoppers</v>
      </c>
      <c r="D99" s="4"/>
      <c r="E99" s="4"/>
      <c r="F99" s="4"/>
      <c r="G99" s="4"/>
      <c r="H99" s="4"/>
      <c r="I99" s="5" t="s">
        <v>22</v>
      </c>
      <c r="J99" s="5" t="s">
        <v>31</v>
      </c>
      <c r="K99" s="5" t="s">
        <v>39</v>
      </c>
      <c r="L99" s="6" t="s">
        <v>186</v>
      </c>
      <c r="M99" s="5" t="s">
        <v>191</v>
      </c>
      <c r="N99" s="5" t="s">
        <v>27</v>
      </c>
      <c r="O99" s="5">
        <v>66554.0</v>
      </c>
      <c r="P99" s="5">
        <v>169.0</v>
      </c>
      <c r="Q99" s="5">
        <v>39206.0</v>
      </c>
      <c r="R99" s="5">
        <v>62109.0</v>
      </c>
      <c r="S99" s="5">
        <v>6.0</v>
      </c>
      <c r="T99" s="5">
        <v>1890.885935</v>
      </c>
      <c r="V99" s="21">
        <f t="shared" si="1"/>
        <v>28.41130413</v>
      </c>
      <c r="W99" s="21">
        <f t="shared" si="2"/>
        <v>48.22950403</v>
      </c>
      <c r="X99" s="21">
        <f t="shared" si="3"/>
        <v>3.550295858</v>
      </c>
      <c r="Y99" s="21">
        <f t="shared" si="4"/>
        <v>315.1476558</v>
      </c>
      <c r="Z99" s="21">
        <f t="shared" si="5"/>
        <v>11.18867417</v>
      </c>
      <c r="AA99" s="21">
        <f t="shared" si="6"/>
        <v>0.2539291402</v>
      </c>
    </row>
    <row r="100">
      <c r="A100" s="4" t="s">
        <v>1161</v>
      </c>
      <c r="B100" s="4" t="str">
        <f>IFERROR(__xludf.DUMMYFUNCTION("SPLIT(A100:A820, ""&gt;"")"),"Travel and Tourism ")</f>
        <v>Travel and Tourism </v>
      </c>
      <c r="C100" s="4" t="str">
        <f>IFERROR(__xludf.DUMMYFUNCTION("""COMPUTED_VALUE""")," Interest (Affinity) ")</f>
        <v> Interest (Affinity) </v>
      </c>
      <c r="D100" s="4" t="str">
        <f>IFERROR(__xludf.DUMMYFUNCTION("""COMPUTED_VALUE""")," Destinations ")</f>
        <v> Destinations </v>
      </c>
      <c r="E100" s="4" t="str">
        <f>IFERROR(__xludf.DUMMYFUNCTION("""COMPUTED_VALUE""")," North America ")</f>
        <v> North America </v>
      </c>
      <c r="F100" s="4" t="str">
        <f>IFERROR(__xludf.DUMMYFUNCTION("""COMPUTED_VALUE""")," United States")</f>
        <v> United States</v>
      </c>
      <c r="G100" s="4"/>
      <c r="H100" s="4"/>
      <c r="I100" s="5" t="s">
        <v>61</v>
      </c>
      <c r="J100" s="5" t="s">
        <v>16</v>
      </c>
      <c r="K100" s="5" t="s">
        <v>17</v>
      </c>
      <c r="L100" s="6" t="s">
        <v>186</v>
      </c>
      <c r="M100" s="5" t="s">
        <v>19</v>
      </c>
      <c r="N100" s="5" t="s">
        <v>27</v>
      </c>
      <c r="O100" s="5">
        <v>9730.0</v>
      </c>
      <c r="P100" s="5">
        <v>45.0</v>
      </c>
      <c r="Q100" s="5">
        <v>2971.0</v>
      </c>
      <c r="R100" s="5">
        <v>5102.0</v>
      </c>
      <c r="S100" s="5">
        <v>3.0</v>
      </c>
      <c r="T100" s="5">
        <v>1778.937935</v>
      </c>
      <c r="V100" s="21">
        <f t="shared" si="1"/>
        <v>182.8302091</v>
      </c>
      <c r="W100" s="21">
        <f t="shared" si="2"/>
        <v>598.7673965</v>
      </c>
      <c r="X100" s="21">
        <f t="shared" si="3"/>
        <v>6.666666667</v>
      </c>
      <c r="Y100" s="21">
        <f t="shared" si="4"/>
        <v>592.9793117</v>
      </c>
      <c r="Z100" s="21">
        <f t="shared" si="5"/>
        <v>39.53195411</v>
      </c>
      <c r="AA100" s="21">
        <f t="shared" si="6"/>
        <v>0.4624871531</v>
      </c>
    </row>
    <row r="101">
      <c r="A101" s="4" t="s">
        <v>1164</v>
      </c>
      <c r="B101" s="4" t="str">
        <f>IFERROR(__xludf.DUMMYFUNCTION("SPLIT(A101:A821, ""&gt;"")"),"Media and Entertainment ")</f>
        <v>Media and Entertainment </v>
      </c>
      <c r="C101" s="4" t="str">
        <f>IFERROR(__xludf.DUMMYFUNCTION("""COMPUTED_VALUE""")," Connected TV and Over-the-Top (CTV and OTT) ")</f>
        <v> Connected TV and Over-the-Top (CTV and OTT) </v>
      </c>
      <c r="D101" s="4" t="str">
        <f>IFERROR(__xludf.DUMMYFUNCTION("""COMPUTED_VALUE""")," Streaming Television and Film Viewership ")</f>
        <v> Streaming Television and Film Viewership </v>
      </c>
      <c r="E101" s="4" t="str">
        <f>IFERROR(__xludf.DUMMYFUNCTION("""COMPUTED_VALUE""")," OTT Movie Viewers ")</f>
        <v> OTT Movie Viewers </v>
      </c>
      <c r="F101" s="4" t="str">
        <f>IFERROR(__xludf.DUMMYFUNCTION("""COMPUTED_VALUE""")," Genre ")</f>
        <v> Genre </v>
      </c>
      <c r="G101" s="4" t="str">
        <f>IFERROR(__xludf.DUMMYFUNCTION("""COMPUTED_VALUE""")," Crime Movie Streamers")</f>
        <v> Crime Movie Streamers</v>
      </c>
      <c r="H101" s="4"/>
      <c r="I101" s="5" t="s">
        <v>15</v>
      </c>
      <c r="J101" s="5" t="s">
        <v>31</v>
      </c>
      <c r="K101" s="5" t="s">
        <v>35</v>
      </c>
      <c r="L101" s="6" t="s">
        <v>186</v>
      </c>
      <c r="M101" s="5" t="s">
        <v>46</v>
      </c>
      <c r="N101" s="5" t="s">
        <v>52</v>
      </c>
      <c r="O101" s="5">
        <v>69757.0</v>
      </c>
      <c r="P101" s="5">
        <v>199.0</v>
      </c>
      <c r="Q101" s="5">
        <v>41258.0</v>
      </c>
      <c r="R101" s="5">
        <v>65374.0</v>
      </c>
      <c r="S101" s="5">
        <v>20.0</v>
      </c>
      <c r="T101" s="5">
        <v>1510.61532</v>
      </c>
      <c r="V101" s="21">
        <f t="shared" si="1"/>
        <v>21.65539401</v>
      </c>
      <c r="W101" s="21">
        <f t="shared" si="2"/>
        <v>36.61387658</v>
      </c>
      <c r="X101" s="21">
        <f t="shared" si="3"/>
        <v>10.05025126</v>
      </c>
      <c r="Y101" s="21">
        <f t="shared" si="4"/>
        <v>75.530766</v>
      </c>
      <c r="Z101" s="21">
        <f t="shared" si="5"/>
        <v>7.591031759</v>
      </c>
      <c r="AA101" s="21">
        <f t="shared" si="6"/>
        <v>0.2852760296</v>
      </c>
    </row>
    <row r="102">
      <c r="A102" s="4" t="s">
        <v>1756</v>
      </c>
      <c r="B102" s="4" t="str">
        <f>IFERROR(__xludf.DUMMYFUNCTION("SPLIT(A102:A822, ""&gt;"")"),"US Financial ")</f>
        <v>US Financial </v>
      </c>
      <c r="C102" s="4" t="str">
        <f>IFERROR(__xludf.DUMMYFUNCTION("""COMPUTED_VALUE""")," Likely Attitude and Behavior ")</f>
        <v> Likely Attitude and Behavior </v>
      </c>
      <c r="D102" s="4" t="str">
        <f>IFERROR(__xludf.DUMMYFUNCTION("""COMPUTED_VALUE""")," Bank Selection ")</f>
        <v> Bank Selection </v>
      </c>
      <c r="E102" s="4" t="str">
        <f>IFERROR(__xludf.DUMMYFUNCTION("""COMPUTED_VALUE""")," Customer Service Very Important (Financial)")</f>
        <v> Customer Service Very Important (Financial)</v>
      </c>
      <c r="F102" s="4"/>
      <c r="G102" s="4"/>
      <c r="H102" s="4"/>
      <c r="I102" s="5" t="s">
        <v>61</v>
      </c>
      <c r="J102" s="5" t="s">
        <v>23</v>
      </c>
      <c r="K102" s="5" t="s">
        <v>24</v>
      </c>
      <c r="L102" s="6" t="s">
        <v>195</v>
      </c>
      <c r="M102" s="5" t="s">
        <v>26</v>
      </c>
      <c r="N102" s="5" t="s">
        <v>27</v>
      </c>
      <c r="O102" s="5">
        <v>8862.0</v>
      </c>
      <c r="P102" s="5">
        <v>30.0</v>
      </c>
      <c r="Q102" s="5">
        <v>1359.0</v>
      </c>
      <c r="R102" s="5">
        <v>7114.0</v>
      </c>
      <c r="S102" s="5">
        <v>1.0</v>
      </c>
      <c r="T102" s="5">
        <v>1481.945157</v>
      </c>
      <c r="V102" s="21">
        <f t="shared" si="1"/>
        <v>167.2246848</v>
      </c>
      <c r="W102" s="21">
        <f t="shared" si="2"/>
        <v>1090.467371</v>
      </c>
      <c r="X102" s="21">
        <f t="shared" si="3"/>
        <v>3.333333333</v>
      </c>
      <c r="Y102" s="21">
        <f t="shared" si="4"/>
        <v>1481.945157</v>
      </c>
      <c r="Z102" s="21">
        <f t="shared" si="5"/>
        <v>49.3981719</v>
      </c>
      <c r="AA102" s="21">
        <f t="shared" si="6"/>
        <v>0.3385240352</v>
      </c>
    </row>
    <row r="103">
      <c r="A103" s="4" t="s">
        <v>1166</v>
      </c>
      <c r="B103" s="4" t="str">
        <f>IFERROR(__xludf.DUMMYFUNCTION("SPLIT(A103:A823, ""&gt;"")"),"Online Behavior")</f>
        <v>Online Behavior</v>
      </c>
      <c r="C103" s="4" t="str">
        <f>IFERROR(__xludf.DUMMYFUNCTION("""COMPUTED_VALUE"""),"United States")</f>
        <v>United States</v>
      </c>
      <c r="D103" s="4" t="str">
        <f>IFERROR(__xludf.DUMMYFUNCTION("""COMPUTED_VALUE"""),"Sports")</f>
        <v>Sports</v>
      </c>
      <c r="E103" s="4" t="str">
        <f>IFERROR(__xludf.DUMMYFUNCTION("""COMPUTED_VALUE"""),"Individual Sports ")</f>
        <v>Individual Sports </v>
      </c>
      <c r="F103" s="4" t="str">
        <f>IFERROR(__xludf.DUMMYFUNCTION("""COMPUTED_VALUE""")," Running and Walking")</f>
        <v> Running and Walking</v>
      </c>
      <c r="G103" s="4"/>
      <c r="H103" s="4"/>
      <c r="I103" s="5" t="s">
        <v>15</v>
      </c>
      <c r="J103" s="5" t="s">
        <v>42</v>
      </c>
      <c r="K103" s="5" t="s">
        <v>39</v>
      </c>
      <c r="L103" s="6" t="s">
        <v>197</v>
      </c>
      <c r="M103" s="5" t="s">
        <v>46</v>
      </c>
      <c r="N103" s="5" t="s">
        <v>27</v>
      </c>
      <c r="O103" s="5">
        <v>7229.0</v>
      </c>
      <c r="P103" s="5">
        <v>20.0</v>
      </c>
      <c r="Q103" s="5">
        <v>5668.0</v>
      </c>
      <c r="R103" s="5">
        <v>6760.0</v>
      </c>
      <c r="S103" s="5">
        <v>3.0</v>
      </c>
      <c r="T103" s="5">
        <v>6812.588702</v>
      </c>
      <c r="V103" s="21">
        <f t="shared" si="1"/>
        <v>942.3971091</v>
      </c>
      <c r="W103" s="21">
        <f t="shared" si="2"/>
        <v>1201.938727</v>
      </c>
      <c r="X103" s="21">
        <f t="shared" si="3"/>
        <v>15</v>
      </c>
      <c r="Y103" s="21">
        <f t="shared" si="4"/>
        <v>2270.862901</v>
      </c>
      <c r="Z103" s="21">
        <f t="shared" si="5"/>
        <v>340.6294351</v>
      </c>
      <c r="AA103" s="21">
        <f t="shared" si="6"/>
        <v>0.2766634389</v>
      </c>
    </row>
    <row r="104">
      <c r="A104" s="4" t="s">
        <v>1167</v>
      </c>
      <c r="B104" s="4" t="str">
        <f>IFERROR(__xludf.DUMMYFUNCTION("SPLIT(A104:A824, ""&gt;"")"),"Online Behavior")</f>
        <v>Online Behavior</v>
      </c>
      <c r="C104" s="4" t="str">
        <f>IFERROR(__xludf.DUMMYFUNCTION("""COMPUTED_VALUE"""),"United States")</f>
        <v>United States</v>
      </c>
      <c r="D104" s="4" t="str">
        <f>IFERROR(__xludf.DUMMYFUNCTION("""COMPUTED_VALUE"""),"People and Society")</f>
        <v>People and Society</v>
      </c>
      <c r="E104" s="4" t="str">
        <f>IFERROR(__xludf.DUMMYFUNCTION("""COMPUTED_VALUE"""),"Family and Relationships ")</f>
        <v>Family and Relationships </v>
      </c>
      <c r="F104" s="4" t="str">
        <f>IFERROR(__xludf.DUMMYFUNCTION("""COMPUTED_VALUE""")," Parents")</f>
        <v> Parents</v>
      </c>
      <c r="G104" s="4"/>
      <c r="H104" s="4"/>
      <c r="I104" s="5" t="s">
        <v>22</v>
      </c>
      <c r="J104" s="5" t="s">
        <v>16</v>
      </c>
      <c r="K104" s="5" t="s">
        <v>95</v>
      </c>
      <c r="L104" s="6" t="s">
        <v>197</v>
      </c>
      <c r="M104" s="5" t="s">
        <v>46</v>
      </c>
      <c r="N104" s="5" t="s">
        <v>27</v>
      </c>
      <c r="O104" s="5">
        <v>115544.0</v>
      </c>
      <c r="P104" s="5">
        <v>412.0</v>
      </c>
      <c r="Q104" s="5">
        <v>79182.0</v>
      </c>
      <c r="R104" s="5">
        <v>109463.0</v>
      </c>
      <c r="S104" s="5">
        <v>56.0</v>
      </c>
      <c r="T104" s="5">
        <v>6721.094453</v>
      </c>
      <c r="V104" s="21">
        <f t="shared" si="1"/>
        <v>58.1691343</v>
      </c>
      <c r="W104" s="21">
        <f t="shared" si="2"/>
        <v>84.88159497</v>
      </c>
      <c r="X104" s="21">
        <f t="shared" si="3"/>
        <v>13.59223301</v>
      </c>
      <c r="Y104" s="21">
        <f t="shared" si="4"/>
        <v>120.0195438</v>
      </c>
      <c r="Z104" s="21">
        <f t="shared" si="5"/>
        <v>16.31333605</v>
      </c>
      <c r="AA104" s="21">
        <f t="shared" si="6"/>
        <v>0.356574119</v>
      </c>
    </row>
    <row r="105">
      <c r="A105" s="4" t="s">
        <v>1168</v>
      </c>
      <c r="B105" s="4" t="str">
        <f>IFERROR(__xludf.DUMMYFUNCTION("SPLIT(A105:A825, ""&gt;"")"),"Online Behavior")</f>
        <v>Online Behavior</v>
      </c>
      <c r="C105" s="4" t="str">
        <f>IFERROR(__xludf.DUMMYFUNCTION("""COMPUTED_VALUE"""),"United States")</f>
        <v>United States</v>
      </c>
      <c r="D105" s="4" t="str">
        <f>IFERROR(__xludf.DUMMYFUNCTION("""COMPUTED_VALUE"""),"Travel")</f>
        <v>Travel</v>
      </c>
      <c r="E105" s="4" t="str">
        <f>IFERROR(__xludf.DUMMYFUNCTION("""COMPUTED_VALUE"""),"Tourist Destinations ")</f>
        <v>Tourist Destinations </v>
      </c>
      <c r="F105" s="4" t="str">
        <f>IFERROR(__xludf.DUMMYFUNCTION("""COMPUTED_VALUE""")," Regional Parks and Gardens")</f>
        <v> Regional Parks and Gardens</v>
      </c>
      <c r="G105" s="4"/>
      <c r="H105" s="4"/>
      <c r="I105" s="5" t="s">
        <v>15</v>
      </c>
      <c r="J105" s="5" t="s">
        <v>16</v>
      </c>
      <c r="K105" s="5" t="s">
        <v>17</v>
      </c>
      <c r="L105" s="6" t="s">
        <v>197</v>
      </c>
      <c r="M105" s="5" t="s">
        <v>19</v>
      </c>
      <c r="N105" s="5" t="s">
        <v>52</v>
      </c>
      <c r="O105" s="5">
        <v>48211.0</v>
      </c>
      <c r="P105" s="5">
        <v>160.0</v>
      </c>
      <c r="Q105" s="5">
        <v>30157.0</v>
      </c>
      <c r="R105" s="5">
        <v>43810.0</v>
      </c>
      <c r="S105" s="5">
        <v>14.0</v>
      </c>
      <c r="T105" s="5">
        <v>6708.463351</v>
      </c>
      <c r="V105" s="21">
        <f t="shared" si="1"/>
        <v>139.1479818</v>
      </c>
      <c r="W105" s="21">
        <f t="shared" si="2"/>
        <v>222.4512833</v>
      </c>
      <c r="X105" s="21">
        <f t="shared" si="3"/>
        <v>8.75</v>
      </c>
      <c r="Y105" s="21">
        <f t="shared" si="4"/>
        <v>479.1759536</v>
      </c>
      <c r="Z105" s="21">
        <f t="shared" si="5"/>
        <v>41.92789594</v>
      </c>
      <c r="AA105" s="21">
        <f t="shared" si="6"/>
        <v>0.3318744685</v>
      </c>
    </row>
    <row r="106">
      <c r="A106" s="4" t="s">
        <v>1169</v>
      </c>
      <c r="B106" s="4" t="str">
        <f>IFERROR(__xludf.DUMMYFUNCTION("SPLIT(A106:A826, ""&gt;"")"),"Online Behavior")</f>
        <v>Online Behavior</v>
      </c>
      <c r="C106" s="4" t="str">
        <f>IFERROR(__xludf.DUMMYFUNCTION("""COMPUTED_VALUE"""),"United States")</f>
        <v>United States</v>
      </c>
      <c r="D106" s="4" t="str">
        <f>IFERROR(__xludf.DUMMYFUNCTION("""COMPUTED_VALUE"""),"Autos and Vehicles ")</f>
        <v>Autos and Vehicles </v>
      </c>
      <c r="E106" s="4" t="str">
        <f>IFERROR(__xludf.DUMMYFUNCTION("""COMPUTED_VALUE""")," Brands")</f>
        <v> Brands</v>
      </c>
      <c r="F106" s="4" t="str">
        <f>IFERROR(__xludf.DUMMYFUNCTION("""COMPUTED_VALUE"""),"Mazda")</f>
        <v>Mazda</v>
      </c>
      <c r="G106" s="4"/>
      <c r="H106" s="4"/>
      <c r="I106" s="5" t="s">
        <v>22</v>
      </c>
      <c r="J106" s="5" t="s">
        <v>16</v>
      </c>
      <c r="K106" s="5" t="s">
        <v>78</v>
      </c>
      <c r="L106" s="6" t="s">
        <v>197</v>
      </c>
      <c r="M106" s="5" t="s">
        <v>161</v>
      </c>
      <c r="N106" s="5" t="s">
        <v>27</v>
      </c>
      <c r="O106" s="5">
        <v>134847.0</v>
      </c>
      <c r="P106" s="5">
        <v>450.0</v>
      </c>
      <c r="Q106" s="5">
        <v>104268.0</v>
      </c>
      <c r="R106" s="5">
        <v>128470.0</v>
      </c>
      <c r="S106" s="5">
        <v>125.0</v>
      </c>
      <c r="T106" s="5">
        <v>6040.595578</v>
      </c>
      <c r="V106" s="21">
        <f t="shared" si="1"/>
        <v>44.79592114</v>
      </c>
      <c r="W106" s="21">
        <f t="shared" si="2"/>
        <v>57.93335998</v>
      </c>
      <c r="X106" s="21">
        <f t="shared" si="3"/>
        <v>27.77777778</v>
      </c>
      <c r="Y106" s="21">
        <f t="shared" si="4"/>
        <v>48.32476462</v>
      </c>
      <c r="Z106" s="21">
        <f t="shared" si="5"/>
        <v>13.42354573</v>
      </c>
      <c r="AA106" s="21">
        <f t="shared" si="6"/>
        <v>0.3337115397</v>
      </c>
    </row>
    <row r="107">
      <c r="A107" s="4" t="s">
        <v>1170</v>
      </c>
      <c r="B107" s="4" t="str">
        <f>IFERROR(__xludf.DUMMYFUNCTION("SPLIT(A107:A827, ""&gt;"")"),"Online Behavior")</f>
        <v>Online Behavior</v>
      </c>
      <c r="C107" s="4" t="str">
        <f>IFERROR(__xludf.DUMMYFUNCTION("""COMPUTED_VALUE"""),"United States")</f>
        <v>United States</v>
      </c>
      <c r="D107" s="4" t="str">
        <f>IFERROR(__xludf.DUMMYFUNCTION("""COMPUTED_VALUE"""),"Travel")</f>
        <v>Travel</v>
      </c>
      <c r="E107" s="4" t="str">
        <f>IFERROR(__xludf.DUMMYFUNCTION("""COMPUTED_VALUE"""),"Tourist Destinations ")</f>
        <v>Tourist Destinations </v>
      </c>
      <c r="F107" s="4" t="str">
        <f>IFERROR(__xludf.DUMMYFUNCTION("""COMPUTED_VALUE""")," Mountain and Ski Resorts")</f>
        <v> Mountain and Ski Resorts</v>
      </c>
      <c r="G107" s="4"/>
      <c r="H107" s="4"/>
      <c r="I107" s="5" t="s">
        <v>22</v>
      </c>
      <c r="J107" s="5" t="s">
        <v>16</v>
      </c>
      <c r="K107" s="5" t="s">
        <v>95</v>
      </c>
      <c r="L107" s="6" t="s">
        <v>197</v>
      </c>
      <c r="M107" s="5" t="s">
        <v>46</v>
      </c>
      <c r="N107" s="5" t="s">
        <v>27</v>
      </c>
      <c r="O107" s="5">
        <v>35178.0</v>
      </c>
      <c r="P107" s="5">
        <v>155.0</v>
      </c>
      <c r="Q107" s="5">
        <v>23374.0</v>
      </c>
      <c r="R107" s="5">
        <v>33779.0</v>
      </c>
      <c r="S107" s="5">
        <v>8.0</v>
      </c>
      <c r="T107" s="5">
        <v>5738.809089</v>
      </c>
      <c r="V107" s="21">
        <f t="shared" si="1"/>
        <v>163.1363093</v>
      </c>
      <c r="W107" s="21">
        <f t="shared" si="2"/>
        <v>245.5210528</v>
      </c>
      <c r="X107" s="21">
        <f t="shared" si="3"/>
        <v>5.161290323</v>
      </c>
      <c r="Y107" s="21">
        <f t="shared" si="4"/>
        <v>717.3511361</v>
      </c>
      <c r="Z107" s="21">
        <f t="shared" si="5"/>
        <v>37.02457477</v>
      </c>
      <c r="AA107" s="21">
        <f t="shared" si="6"/>
        <v>0.4406162943</v>
      </c>
    </row>
    <row r="108">
      <c r="A108" s="4" t="s">
        <v>1171</v>
      </c>
      <c r="B108" s="4" t="str">
        <f>IFERROR(__xludf.DUMMYFUNCTION("SPLIT(A108:A828, ""&gt;"")"),"Online Behavior")</f>
        <v>Online Behavior</v>
      </c>
      <c r="C108" s="4" t="str">
        <f>IFERROR(__xludf.DUMMYFUNCTION("""COMPUTED_VALUE"""),"United States")</f>
        <v>United States</v>
      </c>
      <c r="D108" s="4" t="str">
        <f>IFERROR(__xludf.DUMMYFUNCTION("""COMPUTED_VALUE"""),"Validated Demographic ")</f>
        <v>Validated Demographic </v>
      </c>
      <c r="E108" s="4" t="str">
        <f>IFERROR(__xludf.DUMMYFUNCTION("""COMPUTED_VALUE""")," Gender and Age Combined")</f>
        <v> Gender and Age Combined</v>
      </c>
      <c r="F108" s="4" t="str">
        <f>IFERROR(__xludf.DUMMYFUNCTION("""COMPUTED_VALUE"""),"Females 45-54")</f>
        <v>Females 45-54</v>
      </c>
      <c r="G108" s="4"/>
      <c r="H108" s="4"/>
      <c r="I108" s="5" t="s">
        <v>22</v>
      </c>
      <c r="J108" s="5" t="s">
        <v>16</v>
      </c>
      <c r="K108" s="5" t="s">
        <v>17</v>
      </c>
      <c r="L108" s="6" t="s">
        <v>197</v>
      </c>
      <c r="M108" s="5" t="s">
        <v>19</v>
      </c>
      <c r="N108" s="5" t="s">
        <v>27</v>
      </c>
      <c r="O108" s="5">
        <v>43117.0</v>
      </c>
      <c r="P108" s="5">
        <v>100.0</v>
      </c>
      <c r="Q108" s="5">
        <v>6478.0</v>
      </c>
      <c r="R108" s="5">
        <v>27405.0</v>
      </c>
      <c r="S108" s="5">
        <v>8.0</v>
      </c>
      <c r="T108" s="5">
        <v>4250.430439</v>
      </c>
      <c r="V108" s="21">
        <f t="shared" si="1"/>
        <v>98.57899295</v>
      </c>
      <c r="W108" s="21">
        <f t="shared" si="2"/>
        <v>656.1331335</v>
      </c>
      <c r="X108" s="21">
        <f t="shared" si="3"/>
        <v>8</v>
      </c>
      <c r="Y108" s="21">
        <f t="shared" si="4"/>
        <v>531.3038049</v>
      </c>
      <c r="Z108" s="21">
        <f t="shared" si="5"/>
        <v>42.50430439</v>
      </c>
      <c r="AA108" s="21">
        <f t="shared" si="6"/>
        <v>0.2319270821</v>
      </c>
    </row>
    <row r="109">
      <c r="A109" s="4" t="s">
        <v>1757</v>
      </c>
      <c r="B109" s="4" t="str">
        <f>IFERROR(__xludf.DUMMYFUNCTION("SPLIT(A109:A829, ""&gt;"")"),"US ")</f>
        <v>US </v>
      </c>
      <c r="C109" s="4" t="str">
        <f>IFERROR(__xludf.DUMMYFUNCTION("""COMPUTED_VALUE""")," Reach ")</f>
        <v> Reach </v>
      </c>
      <c r="D109" s="4" t="str">
        <f>IFERROR(__xludf.DUMMYFUNCTION("""COMPUTED_VALUE""")," Propensity Models ")</f>
        <v> Propensity Models </v>
      </c>
      <c r="E109" s="4" t="str">
        <f>IFERROR(__xludf.DUMMYFUNCTION("""COMPUTED_VALUE""")," Hobbies and Interest ")</f>
        <v> Hobbies and Interest </v>
      </c>
      <c r="F109" s="4" t="str">
        <f>IFERROR(__xludf.DUMMYFUNCTION("""COMPUTED_VALUE""")," Sports ")</f>
        <v> Sports </v>
      </c>
      <c r="G109" s="4" t="str">
        <f>IFERROR(__xludf.DUMMYFUNCTION("""COMPUTED_VALUE""")," Avid Runners")</f>
        <v> Avid Runners</v>
      </c>
      <c r="H109" s="4"/>
      <c r="I109" s="5" t="s">
        <v>15</v>
      </c>
      <c r="J109" s="5" t="s">
        <v>42</v>
      </c>
      <c r="K109" s="5" t="s">
        <v>204</v>
      </c>
      <c r="L109" s="6" t="s">
        <v>197</v>
      </c>
      <c r="M109" s="5" t="s">
        <v>46</v>
      </c>
      <c r="N109" s="5" t="s">
        <v>27</v>
      </c>
      <c r="O109" s="5">
        <v>510778.0</v>
      </c>
      <c r="P109" s="5">
        <v>1290.0</v>
      </c>
      <c r="Q109" s="5">
        <v>70777.0</v>
      </c>
      <c r="R109" s="5">
        <v>436133.0</v>
      </c>
      <c r="S109" s="5">
        <v>6.0</v>
      </c>
      <c r="T109" s="5">
        <v>3870.253867</v>
      </c>
      <c r="V109" s="21">
        <f t="shared" si="1"/>
        <v>7.577174168</v>
      </c>
      <c r="W109" s="21">
        <f t="shared" si="2"/>
        <v>54.68236669</v>
      </c>
      <c r="X109" s="21">
        <f t="shared" si="3"/>
        <v>0.4651162791</v>
      </c>
      <c r="Y109" s="21">
        <f t="shared" si="4"/>
        <v>645.0423112</v>
      </c>
      <c r="Z109" s="21">
        <f t="shared" si="5"/>
        <v>3.000196796</v>
      </c>
      <c r="AA109" s="21">
        <f t="shared" si="6"/>
        <v>0.2525559049</v>
      </c>
    </row>
    <row r="110">
      <c r="A110" s="4" t="s">
        <v>1758</v>
      </c>
      <c r="B110" s="4" t="str">
        <f>IFERROR(__xludf.DUMMYFUNCTION("SPLIT(A110:A830, ""&gt;"")"),"OnAudience ")</f>
        <v>OnAudience </v>
      </c>
      <c r="C110" s="4" t="str">
        <f>IFERROR(__xludf.DUMMYFUNCTION("""COMPUTED_VALUE""")," Interest ")</f>
        <v> Interest </v>
      </c>
      <c r="D110" s="4" t="str">
        <f>IFERROR(__xludf.DUMMYFUNCTION("""COMPUTED_VALUE""")," Business")</f>
        <v> Business</v>
      </c>
      <c r="E110" s="4"/>
      <c r="F110" s="4"/>
      <c r="G110" s="4"/>
      <c r="H110" s="4"/>
      <c r="I110" s="5" t="s">
        <v>15</v>
      </c>
      <c r="J110" s="5" t="s">
        <v>23</v>
      </c>
      <c r="K110" s="5" t="s">
        <v>29</v>
      </c>
      <c r="L110" s="6" t="s">
        <v>197</v>
      </c>
      <c r="M110" s="5" t="s">
        <v>26</v>
      </c>
      <c r="N110" s="5" t="s">
        <v>27</v>
      </c>
      <c r="O110" s="5">
        <v>13700.0</v>
      </c>
      <c r="P110" s="5">
        <v>63.0</v>
      </c>
      <c r="Q110" s="5">
        <v>3609.0</v>
      </c>
      <c r="R110" s="5">
        <v>12644.0</v>
      </c>
      <c r="S110" s="5">
        <v>4.0</v>
      </c>
      <c r="T110" s="5">
        <v>2032.700147</v>
      </c>
      <c r="V110" s="21">
        <f t="shared" si="1"/>
        <v>148.3722735</v>
      </c>
      <c r="W110" s="21">
        <f t="shared" si="2"/>
        <v>563.2308526</v>
      </c>
      <c r="X110" s="21">
        <f t="shared" si="3"/>
        <v>6.349206349</v>
      </c>
      <c r="Y110" s="21">
        <f t="shared" si="4"/>
        <v>508.1750368</v>
      </c>
      <c r="Z110" s="21">
        <f t="shared" si="5"/>
        <v>32.2650817</v>
      </c>
      <c r="AA110" s="21">
        <f t="shared" si="6"/>
        <v>0.4598540146</v>
      </c>
    </row>
    <row r="111">
      <c r="A111" s="4" t="s">
        <v>1759</v>
      </c>
      <c r="B111" s="4" t="str">
        <f>IFERROR(__xludf.DUMMYFUNCTION("SPLIT(A111:A831, ""&gt;"")"),"US ")</f>
        <v>US </v>
      </c>
      <c r="C111" s="4" t="str">
        <f>IFERROR(__xludf.DUMMYFUNCTION("""COMPUTED_VALUE""")," Reach ")</f>
        <v> Reach </v>
      </c>
      <c r="D111" s="4" t="str">
        <f>IFERROR(__xludf.DUMMYFUNCTION("""COMPUTED_VALUE""")," Propensity Models ")</f>
        <v> Propensity Models </v>
      </c>
      <c r="E111" s="4" t="str">
        <f>IFERROR(__xludf.DUMMYFUNCTION("""COMPUTED_VALUE""")," Real Estate ")</f>
        <v> Real Estate </v>
      </c>
      <c r="F111" s="4" t="str">
        <f>IFERROR(__xludf.DUMMYFUNCTION("""COMPUTED_VALUE""")," Monthly Mortgage Payment ")</f>
        <v> Monthly Mortgage Payment </v>
      </c>
      <c r="G111" s="4" t="str">
        <f>IFERROR(__xludf.DUMMYFUNCTION("""COMPUTED_VALUE""")," $800-$999")</f>
        <v> $800-$999</v>
      </c>
      <c r="H111" s="4"/>
      <c r="I111" s="5" t="s">
        <v>15</v>
      </c>
      <c r="J111" s="5" t="s">
        <v>31</v>
      </c>
      <c r="K111" s="5" t="s">
        <v>55</v>
      </c>
      <c r="L111" s="6" t="s">
        <v>197</v>
      </c>
      <c r="M111" s="5" t="s">
        <v>117</v>
      </c>
      <c r="N111" s="5" t="s">
        <v>20</v>
      </c>
      <c r="O111" s="5">
        <v>13075.0</v>
      </c>
      <c r="P111" s="5">
        <v>74.0</v>
      </c>
      <c r="Q111" s="5">
        <v>5980.0</v>
      </c>
      <c r="R111" s="5">
        <v>12114.0</v>
      </c>
      <c r="S111" s="5">
        <v>15.0</v>
      </c>
      <c r="T111" s="5">
        <v>1936.130798</v>
      </c>
      <c r="V111" s="21">
        <f t="shared" si="1"/>
        <v>148.0788373</v>
      </c>
      <c r="W111" s="21">
        <f t="shared" si="2"/>
        <v>323.767692</v>
      </c>
      <c r="X111" s="21">
        <f t="shared" si="3"/>
        <v>20.27027027</v>
      </c>
      <c r="Y111" s="21">
        <f t="shared" si="4"/>
        <v>129.0753865</v>
      </c>
      <c r="Z111" s="21">
        <f t="shared" si="5"/>
        <v>26.1639297</v>
      </c>
      <c r="AA111" s="21">
        <f t="shared" si="6"/>
        <v>0.5659655832</v>
      </c>
    </row>
    <row r="112">
      <c r="A112" s="4" t="s">
        <v>1760</v>
      </c>
      <c r="B112" s="4" t="str">
        <f>IFERROR(__xludf.DUMMYFUNCTION("SPLIT(A112:A832, ""&gt;"")"),"US ")</f>
        <v>US </v>
      </c>
      <c r="C112" s="4" t="str">
        <f>IFERROR(__xludf.DUMMYFUNCTION("""COMPUTED_VALUE"""),"Green Consumer Audience")</f>
        <v>Green Consumer Audience</v>
      </c>
      <c r="D112" s="4"/>
      <c r="E112" s="4"/>
      <c r="F112" s="4"/>
      <c r="G112" s="4"/>
      <c r="H112" s="4"/>
      <c r="I112" s="5" t="s">
        <v>22</v>
      </c>
      <c r="J112" s="5" t="s">
        <v>16</v>
      </c>
      <c r="K112" s="5" t="s">
        <v>55</v>
      </c>
      <c r="L112" s="6" t="s">
        <v>197</v>
      </c>
      <c r="M112" s="5" t="s">
        <v>136</v>
      </c>
      <c r="N112" s="5" t="s">
        <v>27</v>
      </c>
      <c r="O112" s="5">
        <v>69540.0</v>
      </c>
      <c r="P112" s="5">
        <v>204.0</v>
      </c>
      <c r="Q112" s="5">
        <v>28713.0</v>
      </c>
      <c r="R112" s="5">
        <v>62829.0</v>
      </c>
      <c r="S112" s="5">
        <v>15.0</v>
      </c>
      <c r="T112" s="5">
        <v>1838.98773</v>
      </c>
      <c r="V112" s="21">
        <f t="shared" si="1"/>
        <v>26.44503494</v>
      </c>
      <c r="W112" s="21">
        <f t="shared" si="2"/>
        <v>64.04721659</v>
      </c>
      <c r="X112" s="21">
        <f t="shared" si="3"/>
        <v>7.352941176</v>
      </c>
      <c r="Y112" s="21">
        <f t="shared" si="4"/>
        <v>122.599182</v>
      </c>
      <c r="Z112" s="21">
        <f t="shared" si="5"/>
        <v>9.014645735</v>
      </c>
      <c r="AA112" s="21">
        <f t="shared" si="6"/>
        <v>0.2933563417</v>
      </c>
    </row>
    <row r="113">
      <c r="A113" s="4" t="s">
        <v>1761</v>
      </c>
      <c r="B113" s="4" t="str">
        <f>IFERROR(__xludf.DUMMYFUNCTION("SPLIT(A113:A833, ""&gt;"")"),"US ")</f>
        <v>US </v>
      </c>
      <c r="C113" s="4" t="str">
        <f>IFERROR(__xludf.DUMMYFUNCTION("""COMPUTED_VALUE""")," Reach ")</f>
        <v> Reach </v>
      </c>
      <c r="D113" s="4" t="str">
        <f>IFERROR(__xludf.DUMMYFUNCTION("""COMPUTED_VALUE""")," Propensity Models ")</f>
        <v> Propensity Models </v>
      </c>
      <c r="E113" s="4" t="str">
        <f>IFERROR(__xludf.DUMMYFUNCTION("""COMPUTED_VALUE""")," Household Consumer Expenditures ")</f>
        <v> Household Consumer Expenditures </v>
      </c>
      <c r="F113" s="4" t="str">
        <f>IFERROR(__xludf.DUMMYFUNCTION("""COMPUTED_VALUE""")," Lawn and Garden")</f>
        <v> Lawn and Garden</v>
      </c>
      <c r="G113" s="4"/>
      <c r="H113" s="4"/>
      <c r="I113" s="5" t="s">
        <v>15</v>
      </c>
      <c r="J113" s="5" t="s">
        <v>23</v>
      </c>
      <c r="K113" s="5" t="s">
        <v>78</v>
      </c>
      <c r="L113" s="6" t="s">
        <v>197</v>
      </c>
      <c r="M113" s="5" t="s">
        <v>19</v>
      </c>
      <c r="N113" s="5" t="s">
        <v>52</v>
      </c>
      <c r="O113" s="5">
        <v>65983.0</v>
      </c>
      <c r="P113" s="5">
        <v>212.0</v>
      </c>
      <c r="Q113" s="5">
        <v>8536.0</v>
      </c>
      <c r="R113" s="5">
        <v>57434.0</v>
      </c>
      <c r="S113" s="5">
        <v>3.0</v>
      </c>
      <c r="T113" s="5">
        <v>1599.076249</v>
      </c>
      <c r="V113" s="21">
        <f t="shared" si="1"/>
        <v>24.23467028</v>
      </c>
      <c r="W113" s="21">
        <f t="shared" si="2"/>
        <v>187.3332063</v>
      </c>
      <c r="X113" s="21">
        <f t="shared" si="3"/>
        <v>1.41509434</v>
      </c>
      <c r="Y113" s="21">
        <f t="shared" si="4"/>
        <v>533.0254163</v>
      </c>
      <c r="Z113" s="21">
        <f t="shared" si="5"/>
        <v>7.542812495</v>
      </c>
      <c r="AA113" s="21">
        <f t="shared" si="6"/>
        <v>0.321294879</v>
      </c>
    </row>
    <row r="114">
      <c r="A114" s="4" t="s">
        <v>1762</v>
      </c>
      <c r="B114" s="4" t="str">
        <f>IFERROR(__xludf.DUMMYFUNCTION("SPLIT(A114:A834, ""&gt;"")"),"US Interest ")</f>
        <v>US Interest </v>
      </c>
      <c r="C114" s="4" t="str">
        <f>IFERROR(__xludf.DUMMYFUNCTION("""COMPUTED_VALUE""")," Home ")</f>
        <v> Home </v>
      </c>
      <c r="D114" s="4" t="str">
        <f>IFERROR(__xludf.DUMMYFUNCTION("""COMPUTED_VALUE""")," Home Improvement ")</f>
        <v> Home Improvement </v>
      </c>
      <c r="E114" s="4" t="str">
        <f>IFERROR(__xludf.DUMMYFUNCTION("""COMPUTED_VALUE""")," Home Improvement Grouping")</f>
        <v> Home Improvement Grouping</v>
      </c>
      <c r="F114" s="4"/>
      <c r="G114" s="4"/>
      <c r="H114" s="4"/>
      <c r="I114" s="5" t="s">
        <v>22</v>
      </c>
      <c r="J114" s="5" t="s">
        <v>16</v>
      </c>
      <c r="K114" s="5" t="s">
        <v>35</v>
      </c>
      <c r="L114" s="6" t="s">
        <v>197</v>
      </c>
      <c r="M114" s="5" t="s">
        <v>19</v>
      </c>
      <c r="N114" s="5" t="s">
        <v>27</v>
      </c>
      <c r="O114" s="5">
        <v>21478.0</v>
      </c>
      <c r="P114" s="5">
        <v>50.0</v>
      </c>
      <c r="Q114" s="5">
        <v>15548.0</v>
      </c>
      <c r="R114" s="5">
        <v>20651.0</v>
      </c>
      <c r="S114" s="5">
        <v>24.0</v>
      </c>
      <c r="T114" s="5">
        <v>1541.214047</v>
      </c>
      <c r="V114" s="21">
        <f t="shared" si="1"/>
        <v>71.75780087</v>
      </c>
      <c r="W114" s="21">
        <f t="shared" si="2"/>
        <v>99.12619289</v>
      </c>
      <c r="X114" s="21">
        <f t="shared" si="3"/>
        <v>48</v>
      </c>
      <c r="Y114" s="21">
        <f t="shared" si="4"/>
        <v>64.21725196</v>
      </c>
      <c r="Z114" s="21">
        <f t="shared" si="5"/>
        <v>30.82428094</v>
      </c>
      <c r="AA114" s="21">
        <f t="shared" si="6"/>
        <v>0.2327963498</v>
      </c>
    </row>
    <row r="115">
      <c r="A115" s="4" t="s">
        <v>210</v>
      </c>
      <c r="B115" s="4" t="str">
        <f>IFERROR(__xludf.DUMMYFUNCTION("SPLIT(A115:A835, ""&gt;"")"),"Online Behavior")</f>
        <v>Online Behavior</v>
      </c>
      <c r="C115" s="4" t="str">
        <f>IFERROR(__xludf.DUMMYFUNCTION("""COMPUTED_VALUE"""),"United States")</f>
        <v>United States</v>
      </c>
      <c r="D115" s="4" t="str">
        <f>IFERROR(__xludf.DUMMYFUNCTION("""COMPUTED_VALUE"""),"Real Estate")</f>
        <v>Real Estate</v>
      </c>
      <c r="E115" s="4" t="str">
        <f>IFERROR(__xludf.DUMMYFUNCTION("""COMPUTED_VALUE"""),"Apartments and Residential Rentals")</f>
        <v>Apartments and Residential Rentals</v>
      </c>
      <c r="F115" s="4"/>
      <c r="G115" s="4"/>
      <c r="H115" s="4"/>
      <c r="I115" s="5" t="s">
        <v>22</v>
      </c>
      <c r="J115" s="5" t="s">
        <v>31</v>
      </c>
      <c r="K115" s="5" t="s">
        <v>78</v>
      </c>
      <c r="L115" s="6" t="s">
        <v>211</v>
      </c>
      <c r="M115" s="5" t="s">
        <v>19</v>
      </c>
      <c r="N115" s="5" t="s">
        <v>27</v>
      </c>
      <c r="O115" s="5">
        <v>9515.0</v>
      </c>
      <c r="P115" s="5">
        <v>30.0</v>
      </c>
      <c r="Q115" s="5">
        <v>6169.0</v>
      </c>
      <c r="R115" s="5">
        <v>9138.0</v>
      </c>
      <c r="S115" s="5">
        <v>3.0</v>
      </c>
      <c r="T115" s="5">
        <v>5776.508186</v>
      </c>
      <c r="V115" s="21">
        <f t="shared" si="1"/>
        <v>607.0949223</v>
      </c>
      <c r="W115" s="21">
        <f t="shared" si="2"/>
        <v>936.3767525</v>
      </c>
      <c r="X115" s="21">
        <f t="shared" si="3"/>
        <v>10</v>
      </c>
      <c r="Y115" s="21">
        <f t="shared" si="4"/>
        <v>1925.502729</v>
      </c>
      <c r="Z115" s="21">
        <f t="shared" si="5"/>
        <v>192.5502729</v>
      </c>
      <c r="AA115" s="21">
        <f t="shared" si="6"/>
        <v>0.3152916448</v>
      </c>
    </row>
    <row r="116">
      <c r="A116" s="4" t="s">
        <v>1763</v>
      </c>
      <c r="B116" s="4" t="str">
        <f>IFERROR(__xludf.DUMMYFUNCTION("SPLIT(A116:A836, ""&gt;"")"),"US ")</f>
        <v>US </v>
      </c>
      <c r="C116" s="4" t="str">
        <f>IFERROR(__xludf.DUMMYFUNCTION("""COMPUTED_VALUE""")," Reach ")</f>
        <v> Reach </v>
      </c>
      <c r="D116" s="4" t="str">
        <f>IFERROR(__xludf.DUMMYFUNCTION("""COMPUTED_VALUE""")," Propensity Models ")</f>
        <v> Propensity Models </v>
      </c>
      <c r="E116" s="4" t="str">
        <f>IFERROR(__xludf.DUMMYFUNCTION("""COMPUTED_VALUE""")," Hobbies and Interest ")</f>
        <v> Hobbies and Interest </v>
      </c>
      <c r="F116" s="4" t="str">
        <f>IFERROR(__xludf.DUMMYFUNCTION("""COMPUTED_VALUE""")," Food and Drinks ")</f>
        <v> Food and Drinks </v>
      </c>
      <c r="G116" s="4" t="str">
        <f>IFERROR(__xludf.DUMMYFUNCTION("""COMPUTED_VALUE""")," High-end Spirit Drinkers")</f>
        <v> High-end Spirit Drinkers</v>
      </c>
      <c r="H116" s="4"/>
      <c r="I116" s="5" t="s">
        <v>22</v>
      </c>
      <c r="J116" s="5" t="s">
        <v>23</v>
      </c>
      <c r="K116" s="5" t="s">
        <v>35</v>
      </c>
      <c r="L116" s="6" t="s">
        <v>211</v>
      </c>
      <c r="M116" s="5" t="s">
        <v>48</v>
      </c>
      <c r="N116" s="5" t="s">
        <v>27</v>
      </c>
      <c r="O116" s="5">
        <v>20548.0</v>
      </c>
      <c r="P116" s="5">
        <v>40.0</v>
      </c>
      <c r="Q116" s="5">
        <v>14259.0</v>
      </c>
      <c r="R116" s="5">
        <v>19654.0</v>
      </c>
      <c r="S116" s="5">
        <v>13.0</v>
      </c>
      <c r="T116" s="5">
        <v>3060.424769</v>
      </c>
      <c r="V116" s="21">
        <f t="shared" si="1"/>
        <v>148.9402749</v>
      </c>
      <c r="W116" s="21">
        <f t="shared" si="2"/>
        <v>214.631094</v>
      </c>
      <c r="X116" s="21">
        <f t="shared" si="3"/>
        <v>32.5</v>
      </c>
      <c r="Y116" s="21">
        <f t="shared" si="4"/>
        <v>235.4172899</v>
      </c>
      <c r="Z116" s="21">
        <f t="shared" si="5"/>
        <v>76.51061923</v>
      </c>
      <c r="AA116" s="21">
        <f t="shared" si="6"/>
        <v>0.1946661476</v>
      </c>
    </row>
    <row r="117">
      <c r="A117" s="4" t="s">
        <v>1179</v>
      </c>
      <c r="B117" s="4" t="str">
        <f>IFERROR(__xludf.DUMMYFUNCTION("SPLIT(A117:A837, ""&gt;"")"),"OnAudience ")</f>
        <v>OnAudience </v>
      </c>
      <c r="C117" s="4" t="str">
        <f>IFERROR(__xludf.DUMMYFUNCTION("""COMPUTED_VALUE""")," Intent ")</f>
        <v> Intent </v>
      </c>
      <c r="D117" s="4" t="str">
        <f>IFERROR(__xludf.DUMMYFUNCTION("""COMPUTED_VALUE""")," Sporting Goods ")</f>
        <v> Sporting Goods </v>
      </c>
      <c r="E117" s="4" t="str">
        <f>IFERROR(__xludf.DUMMYFUNCTION("""COMPUTED_VALUE""")," Team Sports")</f>
        <v> Team Sports</v>
      </c>
      <c r="F117" s="4"/>
      <c r="G117" s="4"/>
      <c r="H117" s="4"/>
      <c r="I117" s="5" t="s">
        <v>15</v>
      </c>
      <c r="J117" s="5" t="s">
        <v>42</v>
      </c>
      <c r="K117" s="5" t="s">
        <v>214</v>
      </c>
      <c r="L117" s="6" t="s">
        <v>211</v>
      </c>
      <c r="M117" s="5" t="s">
        <v>36</v>
      </c>
      <c r="N117" s="5" t="s">
        <v>20</v>
      </c>
      <c r="O117" s="5">
        <v>94340.0</v>
      </c>
      <c r="P117" s="5">
        <v>250.0</v>
      </c>
      <c r="Q117" s="5">
        <v>16955.0</v>
      </c>
      <c r="R117" s="5">
        <v>76971.0</v>
      </c>
      <c r="S117" s="5">
        <v>13.0</v>
      </c>
      <c r="T117" s="5">
        <v>1517.244377</v>
      </c>
      <c r="V117" s="21">
        <f t="shared" si="1"/>
        <v>16.08272607</v>
      </c>
      <c r="W117" s="21">
        <f t="shared" si="2"/>
        <v>89.48654538</v>
      </c>
      <c r="X117" s="21">
        <f t="shared" si="3"/>
        <v>5.2</v>
      </c>
      <c r="Y117" s="21">
        <f t="shared" si="4"/>
        <v>116.7111059</v>
      </c>
      <c r="Z117" s="21">
        <f t="shared" si="5"/>
        <v>6.068977508</v>
      </c>
      <c r="AA117" s="21">
        <f t="shared" si="6"/>
        <v>0.26499894</v>
      </c>
    </row>
    <row r="118">
      <c r="A118" s="4" t="s">
        <v>1180</v>
      </c>
      <c r="B118" s="4" t="str">
        <f>IFERROR(__xludf.DUMMYFUNCTION("SPLIT(A118:A838, ""&gt;"")"),"Online Behavior")</f>
        <v>Online Behavior</v>
      </c>
      <c r="C118" s="4" t="str">
        <f>IFERROR(__xludf.DUMMYFUNCTION("""COMPUTED_VALUE"""),"United States")</f>
        <v>United States</v>
      </c>
      <c r="D118" s="4" t="str">
        <f>IFERROR(__xludf.DUMMYFUNCTION("""COMPUTED_VALUE"""),"Validated Demographic ")</f>
        <v>Validated Demographic </v>
      </c>
      <c r="E118" s="4" t="str">
        <f>IFERROR(__xludf.DUMMYFUNCTION("""COMPUTED_VALUE""")," Age")</f>
        <v> Age</v>
      </c>
      <c r="F118" s="4" t="str">
        <f>IFERROR(__xludf.DUMMYFUNCTION("""COMPUTED_VALUE"""),"25-44")</f>
        <v>25-44</v>
      </c>
      <c r="G118" s="4"/>
      <c r="H118" s="4"/>
      <c r="I118" s="5" t="s">
        <v>61</v>
      </c>
      <c r="J118" s="5" t="s">
        <v>23</v>
      </c>
      <c r="K118" s="5" t="s">
        <v>32</v>
      </c>
      <c r="L118" s="6" t="s">
        <v>216</v>
      </c>
      <c r="M118" s="5" t="s">
        <v>26</v>
      </c>
      <c r="N118" s="5" t="s">
        <v>27</v>
      </c>
      <c r="O118" s="5">
        <v>114723.0</v>
      </c>
      <c r="P118" s="5">
        <v>350.0</v>
      </c>
      <c r="Q118" s="5">
        <v>14623.0</v>
      </c>
      <c r="R118" s="5">
        <v>92063.0</v>
      </c>
      <c r="S118" s="5">
        <v>6.0</v>
      </c>
      <c r="T118" s="5">
        <v>4742.008637</v>
      </c>
      <c r="V118" s="21">
        <f t="shared" si="1"/>
        <v>41.33441975</v>
      </c>
      <c r="W118" s="21">
        <f t="shared" si="2"/>
        <v>324.2842534</v>
      </c>
      <c r="X118" s="21">
        <f t="shared" si="3"/>
        <v>1.714285714</v>
      </c>
      <c r="Y118" s="21">
        <f t="shared" si="4"/>
        <v>790.3347728</v>
      </c>
      <c r="Z118" s="21">
        <f t="shared" si="5"/>
        <v>13.54859611</v>
      </c>
      <c r="AA118" s="21">
        <f t="shared" si="6"/>
        <v>0.3050826774</v>
      </c>
    </row>
    <row r="119">
      <c r="A119" s="4" t="s">
        <v>1181</v>
      </c>
      <c r="B119" s="4" t="str">
        <f>IFERROR(__xludf.DUMMYFUNCTION("SPLIT(A119:A839, ""&gt;"")"),"Media and Entertainment ")</f>
        <v>Media and Entertainment </v>
      </c>
      <c r="C119" s="4" t="str">
        <f>IFERROR(__xludf.DUMMYFUNCTION("""COMPUTED_VALUE""")," Sports and Recreational Activities ")</f>
        <v> Sports and Recreational Activities </v>
      </c>
      <c r="D119" s="4" t="str">
        <f>IFERROR(__xludf.DUMMYFUNCTION("""COMPUTED_VALUE""")," Interest (Affinity)")</f>
        <v> Interest (Affinity)</v>
      </c>
      <c r="E119" s="4"/>
      <c r="F119" s="4"/>
      <c r="G119" s="4"/>
      <c r="H119" s="4"/>
      <c r="I119" s="5" t="s">
        <v>15</v>
      </c>
      <c r="J119" s="5" t="s">
        <v>31</v>
      </c>
      <c r="K119" s="5" t="s">
        <v>35</v>
      </c>
      <c r="L119" s="6" t="s">
        <v>216</v>
      </c>
      <c r="M119" s="5" t="s">
        <v>19</v>
      </c>
      <c r="N119" s="5" t="s">
        <v>27</v>
      </c>
      <c r="O119" s="5">
        <v>14581.0</v>
      </c>
      <c r="P119" s="5">
        <v>85.0</v>
      </c>
      <c r="Q119" s="5">
        <v>6970.0</v>
      </c>
      <c r="R119" s="5">
        <v>8882.0</v>
      </c>
      <c r="S119" s="5">
        <v>4.0</v>
      </c>
      <c r="T119" s="5">
        <v>2636.202124</v>
      </c>
      <c r="V119" s="21">
        <f t="shared" si="1"/>
        <v>180.7970732</v>
      </c>
      <c r="W119" s="21">
        <f t="shared" si="2"/>
        <v>378.2212516</v>
      </c>
      <c r="X119" s="21">
        <f t="shared" si="3"/>
        <v>4.705882353</v>
      </c>
      <c r="Y119" s="21">
        <f t="shared" si="4"/>
        <v>659.050531</v>
      </c>
      <c r="Z119" s="21">
        <f t="shared" si="5"/>
        <v>31.01414264</v>
      </c>
      <c r="AA119" s="21">
        <f t="shared" si="6"/>
        <v>0.5829504149</v>
      </c>
    </row>
    <row r="120">
      <c r="A120" s="4" t="s">
        <v>1182</v>
      </c>
      <c r="B120" s="4" t="str">
        <f>IFERROR(__xludf.DUMMYFUNCTION("SPLIT(A120:A840, ""&gt;"")"),"Online Behavior")</f>
        <v>Online Behavior</v>
      </c>
      <c r="C120" s="4" t="str">
        <f>IFERROR(__xludf.DUMMYFUNCTION("""COMPUTED_VALUE"""),"United States")</f>
        <v>United States</v>
      </c>
      <c r="D120" s="4" t="str">
        <f>IFERROR(__xludf.DUMMYFUNCTION("""COMPUTED_VALUE"""),"Travel")</f>
        <v>Travel</v>
      </c>
      <c r="E120" s="4" t="str">
        <f>IFERROR(__xludf.DUMMYFUNCTION("""COMPUTED_VALUE"""),"Tourist Destinations ")</f>
        <v>Tourist Destinations </v>
      </c>
      <c r="F120" s="4" t="str">
        <f>IFERROR(__xludf.DUMMYFUNCTION("""COMPUTED_VALUE""")," Beaches and Islands")</f>
        <v> Beaches and Islands</v>
      </c>
      <c r="G120" s="4"/>
      <c r="H120" s="4"/>
      <c r="I120" s="5" t="s">
        <v>61</v>
      </c>
      <c r="J120" s="5" t="s">
        <v>42</v>
      </c>
      <c r="K120" s="5" t="s">
        <v>35</v>
      </c>
      <c r="L120" s="6" t="s">
        <v>219</v>
      </c>
      <c r="M120" s="5" t="s">
        <v>19</v>
      </c>
      <c r="N120" s="5" t="s">
        <v>27</v>
      </c>
      <c r="O120" s="5">
        <v>19461.0</v>
      </c>
      <c r="P120" s="5">
        <v>74.0</v>
      </c>
      <c r="Q120" s="5">
        <v>14647.0</v>
      </c>
      <c r="R120" s="5">
        <v>18731.0</v>
      </c>
      <c r="S120" s="5">
        <v>9.0</v>
      </c>
      <c r="T120" s="5">
        <v>7311.99875</v>
      </c>
      <c r="V120" s="21">
        <f t="shared" si="1"/>
        <v>375.7257464</v>
      </c>
      <c r="W120" s="21">
        <f t="shared" si="2"/>
        <v>499.2147709</v>
      </c>
      <c r="X120" s="21">
        <f t="shared" si="3"/>
        <v>12.16216216</v>
      </c>
      <c r="Y120" s="21">
        <f t="shared" si="4"/>
        <v>812.4443056</v>
      </c>
      <c r="Z120" s="21">
        <f t="shared" si="5"/>
        <v>98.81079392</v>
      </c>
      <c r="AA120" s="21">
        <f t="shared" si="6"/>
        <v>0.3802476748</v>
      </c>
    </row>
    <row r="121">
      <c r="A121" s="4" t="s">
        <v>220</v>
      </c>
      <c r="B121" s="4" t="str">
        <f>IFERROR(__xludf.DUMMYFUNCTION("SPLIT(A121:A841, ""&gt;"")"),"Online Behavior")</f>
        <v>Online Behavior</v>
      </c>
      <c r="C121" s="4" t="str">
        <f>IFERROR(__xludf.DUMMYFUNCTION("""COMPUTED_VALUE"""),"United States")</f>
        <v>United States</v>
      </c>
      <c r="D121" s="4" t="str">
        <f>IFERROR(__xludf.DUMMYFUNCTION("""COMPUTED_VALUE"""),"The Changing Consumer")</f>
        <v>The Changing Consumer</v>
      </c>
      <c r="E121" s="4" t="str">
        <f>IFERROR(__xludf.DUMMYFUNCTION("""COMPUTED_VALUE"""),"Direct to Consumer")</f>
        <v>Direct to Consumer</v>
      </c>
      <c r="F121" s="4"/>
      <c r="G121" s="4"/>
      <c r="H121" s="4"/>
      <c r="I121" s="5" t="s">
        <v>22</v>
      </c>
      <c r="J121" s="5" t="s">
        <v>23</v>
      </c>
      <c r="K121" s="5" t="s">
        <v>35</v>
      </c>
      <c r="L121" s="6" t="s">
        <v>219</v>
      </c>
      <c r="M121" s="5" t="s">
        <v>26</v>
      </c>
      <c r="N121" s="5" t="s">
        <v>27</v>
      </c>
      <c r="O121" s="5">
        <v>27032.0</v>
      </c>
      <c r="P121" s="5">
        <v>110.0</v>
      </c>
      <c r="Q121" s="5">
        <v>21893.0</v>
      </c>
      <c r="R121" s="5">
        <v>26127.0</v>
      </c>
      <c r="S121" s="5">
        <v>5.0</v>
      </c>
      <c r="T121" s="5">
        <v>5292.896913</v>
      </c>
      <c r="V121" s="21">
        <f t="shared" si="1"/>
        <v>195.8011584</v>
      </c>
      <c r="W121" s="21">
        <f t="shared" si="2"/>
        <v>241.7620661</v>
      </c>
      <c r="X121" s="21">
        <f t="shared" si="3"/>
        <v>4.545454545</v>
      </c>
      <c r="Y121" s="21">
        <f t="shared" si="4"/>
        <v>1058.579383</v>
      </c>
      <c r="Z121" s="21">
        <f t="shared" si="5"/>
        <v>48.11724466</v>
      </c>
      <c r="AA121" s="21">
        <f t="shared" si="6"/>
        <v>0.4069251258</v>
      </c>
    </row>
    <row r="122">
      <c r="A122" s="4" t="s">
        <v>221</v>
      </c>
      <c r="B122" s="4" t="str">
        <f>IFERROR(__xludf.DUMMYFUNCTION("SPLIT(A122:A842, ""&gt;"")"),"Online Behavior")</f>
        <v>Online Behavior</v>
      </c>
      <c r="C122" s="4" t="str">
        <f>IFERROR(__xludf.DUMMYFUNCTION("""COMPUTED_VALUE"""),"United States")</f>
        <v>United States</v>
      </c>
      <c r="D122" s="4" t="str">
        <f>IFERROR(__xludf.DUMMYFUNCTION("""COMPUTED_VALUE"""),"Arts and Entertainment")</f>
        <v>Arts and Entertainment</v>
      </c>
      <c r="E122" s="4" t="str">
        <f>IFERROR(__xludf.DUMMYFUNCTION("""COMPUTED_VALUE"""),"Music and Audio")</f>
        <v>Music and Audio</v>
      </c>
      <c r="F122" s="4"/>
      <c r="G122" s="4"/>
      <c r="H122" s="4"/>
      <c r="I122" s="5" t="s">
        <v>15</v>
      </c>
      <c r="J122" s="5" t="s">
        <v>23</v>
      </c>
      <c r="K122" s="5" t="s">
        <v>84</v>
      </c>
      <c r="L122" s="6" t="s">
        <v>222</v>
      </c>
      <c r="M122" s="5" t="s">
        <v>19</v>
      </c>
      <c r="N122" s="5" t="s">
        <v>27</v>
      </c>
      <c r="O122" s="5">
        <v>7628.0</v>
      </c>
      <c r="P122" s="5">
        <v>19.0</v>
      </c>
      <c r="Q122" s="5">
        <v>5048.0</v>
      </c>
      <c r="R122" s="5">
        <v>7154.0</v>
      </c>
      <c r="S122" s="5">
        <v>5.0</v>
      </c>
      <c r="T122" s="5">
        <v>6684.062804</v>
      </c>
      <c r="V122" s="21">
        <f t="shared" si="1"/>
        <v>876.253645</v>
      </c>
      <c r="W122" s="21">
        <f t="shared" si="2"/>
        <v>1324.101189</v>
      </c>
      <c r="X122" s="21">
        <f t="shared" si="3"/>
        <v>26.31578947</v>
      </c>
      <c r="Y122" s="21">
        <f t="shared" si="4"/>
        <v>1336.812561</v>
      </c>
      <c r="Z122" s="21">
        <f t="shared" si="5"/>
        <v>351.7927792</v>
      </c>
      <c r="AA122" s="21">
        <f t="shared" si="6"/>
        <v>0.2490823283</v>
      </c>
    </row>
    <row r="123">
      <c r="A123" s="4" t="s">
        <v>1184</v>
      </c>
      <c r="B123" s="4" t="str">
        <f>IFERROR(__xludf.DUMMYFUNCTION("SPLIT(A123:A843, ""&gt;"")"),"Online Behavior")</f>
        <v>Online Behavior</v>
      </c>
      <c r="C123" s="4" t="str">
        <f>IFERROR(__xludf.DUMMYFUNCTION("""COMPUTED_VALUE"""),"United States")</f>
        <v>United States</v>
      </c>
      <c r="D123" s="4" t="str">
        <f>IFERROR(__xludf.DUMMYFUNCTION("""COMPUTED_VALUE"""),"Autos and Vehicles ")</f>
        <v>Autos and Vehicles </v>
      </c>
      <c r="E123" s="4" t="str">
        <f>IFERROR(__xludf.DUMMYFUNCTION("""COMPUTED_VALUE""")," Brands")</f>
        <v> Brands</v>
      </c>
      <c r="F123" s="4" t="str">
        <f>IFERROR(__xludf.DUMMYFUNCTION("""COMPUTED_VALUE"""),"Volvo")</f>
        <v>Volvo</v>
      </c>
      <c r="G123" s="4"/>
      <c r="H123" s="4"/>
      <c r="I123" s="5" t="s">
        <v>22</v>
      </c>
      <c r="J123" s="5" t="s">
        <v>16</v>
      </c>
      <c r="K123" s="5" t="s">
        <v>78</v>
      </c>
      <c r="L123" s="6" t="s">
        <v>224</v>
      </c>
      <c r="M123" s="5" t="s">
        <v>19</v>
      </c>
      <c r="N123" s="5" t="s">
        <v>27</v>
      </c>
      <c r="O123" s="5">
        <v>7806.0</v>
      </c>
      <c r="P123" s="5">
        <v>20.0</v>
      </c>
      <c r="Q123" s="5">
        <v>3150.0</v>
      </c>
      <c r="R123" s="5">
        <v>7247.0</v>
      </c>
      <c r="S123" s="5">
        <v>1.0</v>
      </c>
      <c r="T123" s="5">
        <v>6162.320833</v>
      </c>
      <c r="V123" s="21">
        <f t="shared" si="1"/>
        <v>789.4338756</v>
      </c>
      <c r="W123" s="21">
        <f t="shared" si="2"/>
        <v>1956.292328</v>
      </c>
      <c r="X123" s="21">
        <f t="shared" si="3"/>
        <v>5</v>
      </c>
      <c r="Y123" s="21">
        <f t="shared" si="4"/>
        <v>6162.320833</v>
      </c>
      <c r="Z123" s="21">
        <f t="shared" si="5"/>
        <v>308.1160417</v>
      </c>
      <c r="AA123" s="21">
        <f t="shared" si="6"/>
        <v>0.2562131694</v>
      </c>
    </row>
    <row r="124">
      <c r="A124" s="4" t="s">
        <v>1764</v>
      </c>
      <c r="B124" s="4" t="str">
        <f>IFERROR(__xludf.DUMMYFUNCTION("SPLIT(A124:A844, ""&gt;"")"),"US ")</f>
        <v>US </v>
      </c>
      <c r="C124" s="4" t="str">
        <f>IFERROR(__xludf.DUMMYFUNCTION("""COMPUTED_VALUE""")," B2B ")</f>
        <v> B2B </v>
      </c>
      <c r="D124" s="4" t="str">
        <f>IFERROR(__xludf.DUMMYFUNCTION("""COMPUTED_VALUE""")," B2B Decision Maker Responsibilities ")</f>
        <v> B2B Decision Maker Responsibilities </v>
      </c>
      <c r="E124" s="4" t="str">
        <f>IFERROR(__xludf.DUMMYFUNCTION("""COMPUTED_VALUE""")," Company Liability or Insurance")</f>
        <v> Company Liability or Insurance</v>
      </c>
      <c r="F124" s="4"/>
      <c r="G124" s="4"/>
      <c r="H124" s="4"/>
      <c r="I124" s="5" t="s">
        <v>15</v>
      </c>
      <c r="J124" s="5" t="s">
        <v>42</v>
      </c>
      <c r="K124" s="5" t="s">
        <v>55</v>
      </c>
      <c r="L124" s="6" t="s">
        <v>226</v>
      </c>
      <c r="M124" s="5" t="s">
        <v>19</v>
      </c>
      <c r="N124" s="5" t="s">
        <v>52</v>
      </c>
      <c r="O124" s="5">
        <v>31443.0</v>
      </c>
      <c r="P124" s="5">
        <v>70.0</v>
      </c>
      <c r="Q124" s="5">
        <v>19134.0</v>
      </c>
      <c r="R124" s="5">
        <v>28059.0</v>
      </c>
      <c r="S124" s="5">
        <v>9.0</v>
      </c>
      <c r="T124" s="5">
        <v>2122.765888</v>
      </c>
      <c r="V124" s="21">
        <f t="shared" si="1"/>
        <v>67.51155704</v>
      </c>
      <c r="W124" s="21">
        <f t="shared" si="2"/>
        <v>110.9420868</v>
      </c>
      <c r="X124" s="21">
        <f t="shared" si="3"/>
        <v>12.85714286</v>
      </c>
      <c r="Y124" s="21">
        <f t="shared" si="4"/>
        <v>235.8628764</v>
      </c>
      <c r="Z124" s="21">
        <f t="shared" si="5"/>
        <v>30.32522697</v>
      </c>
      <c r="AA124" s="21">
        <f t="shared" si="6"/>
        <v>0.2226250676</v>
      </c>
    </row>
    <row r="125">
      <c r="A125" s="4" t="s">
        <v>1765</v>
      </c>
      <c r="B125" s="4" t="str">
        <f>IFERROR(__xludf.DUMMYFUNCTION("SPLIT(A125:A845, ""&gt;"")"),"US ")</f>
        <v>US </v>
      </c>
      <c r="C125" s="4" t="str">
        <f>IFERROR(__xludf.DUMMYFUNCTION("""COMPUTED_VALUE""")," Reach ")</f>
        <v> Reach </v>
      </c>
      <c r="D125" s="4" t="str">
        <f>IFERROR(__xludf.DUMMYFUNCTION("""COMPUTED_VALUE""")," Propensity Models ")</f>
        <v> Propensity Models </v>
      </c>
      <c r="E125" s="4" t="str">
        <f>IFERROR(__xludf.DUMMYFUNCTION("""COMPUTED_VALUE""")," Luxury Home Goods Store Shopper")</f>
        <v> Luxury Home Goods Store Shopper</v>
      </c>
      <c r="F125" s="4"/>
      <c r="G125" s="4"/>
      <c r="H125" s="4"/>
      <c r="I125" s="5" t="s">
        <v>22</v>
      </c>
      <c r="J125" s="5" t="s">
        <v>23</v>
      </c>
      <c r="K125" s="5" t="s">
        <v>29</v>
      </c>
      <c r="L125" s="6" t="s">
        <v>228</v>
      </c>
      <c r="M125" s="5" t="s">
        <v>19</v>
      </c>
      <c r="N125" s="5" t="s">
        <v>27</v>
      </c>
      <c r="O125" s="5">
        <v>29107.0</v>
      </c>
      <c r="P125" s="5">
        <v>64.0</v>
      </c>
      <c r="Q125" s="5">
        <v>4047.0</v>
      </c>
      <c r="R125" s="5">
        <v>27357.0</v>
      </c>
      <c r="S125" s="5">
        <v>9.0</v>
      </c>
      <c r="T125" s="5">
        <v>3339.454322</v>
      </c>
      <c r="V125" s="21">
        <f t="shared" si="1"/>
        <v>114.7302821</v>
      </c>
      <c r="W125" s="21">
        <f t="shared" si="2"/>
        <v>825.1678582</v>
      </c>
      <c r="X125" s="21">
        <f t="shared" si="3"/>
        <v>14.0625</v>
      </c>
      <c r="Y125" s="21">
        <f t="shared" si="4"/>
        <v>371.0504802</v>
      </c>
      <c r="Z125" s="21">
        <f t="shared" si="5"/>
        <v>52.17897378</v>
      </c>
      <c r="AA125" s="21">
        <f t="shared" si="6"/>
        <v>0.2198783798</v>
      </c>
    </row>
    <row r="126">
      <c r="A126" s="4" t="s">
        <v>1766</v>
      </c>
      <c r="B126" s="4" t="str">
        <f>IFERROR(__xludf.DUMMYFUNCTION("SPLIT(A126:A846, ""&gt;"")"),"US ")</f>
        <v>US </v>
      </c>
      <c r="C126" s="4" t="str">
        <f>IFERROR(__xludf.DUMMYFUNCTION("""COMPUTED_VALUE""")," B2B ")</f>
        <v> B2B </v>
      </c>
      <c r="D126" s="4" t="str">
        <f>IFERROR(__xludf.DUMMYFUNCTION("""COMPUTED_VALUE""")," B2B Decision Maker Responsibilities ")</f>
        <v> B2B Decision Maker Responsibilities </v>
      </c>
      <c r="E126" s="4" t="str">
        <f>IFERROR(__xludf.DUMMYFUNCTION("""COMPUTED_VALUE""")," Employee Benefits")</f>
        <v> Employee Benefits</v>
      </c>
      <c r="F126" s="4"/>
      <c r="G126" s="4"/>
      <c r="H126" s="4"/>
      <c r="I126" s="5" t="s">
        <v>22</v>
      </c>
      <c r="J126" s="5" t="s">
        <v>16</v>
      </c>
      <c r="K126" s="5" t="s">
        <v>84</v>
      </c>
      <c r="L126" s="6" t="s">
        <v>228</v>
      </c>
      <c r="M126" s="5" t="s">
        <v>36</v>
      </c>
      <c r="N126" s="5" t="s">
        <v>27</v>
      </c>
      <c r="O126" s="5">
        <v>12451.0</v>
      </c>
      <c r="P126" s="5">
        <v>30.0</v>
      </c>
      <c r="Q126" s="5">
        <v>2987.0</v>
      </c>
      <c r="R126" s="5">
        <v>11295.0</v>
      </c>
      <c r="S126" s="5">
        <v>4.0</v>
      </c>
      <c r="T126" s="5">
        <v>2127.323828</v>
      </c>
      <c r="V126" s="21">
        <f t="shared" si="1"/>
        <v>170.8556604</v>
      </c>
      <c r="W126" s="21">
        <f t="shared" si="2"/>
        <v>712.1941172</v>
      </c>
      <c r="X126" s="21">
        <f t="shared" si="3"/>
        <v>13.33333333</v>
      </c>
      <c r="Y126" s="21">
        <f t="shared" si="4"/>
        <v>531.830957</v>
      </c>
      <c r="Z126" s="21">
        <f t="shared" si="5"/>
        <v>70.91079427</v>
      </c>
      <c r="AA126" s="21">
        <f t="shared" si="6"/>
        <v>0.2409445024</v>
      </c>
    </row>
    <row r="127">
      <c r="A127" s="4" t="s">
        <v>1767</v>
      </c>
      <c r="B127" s="4" t="str">
        <f>IFERROR(__xludf.DUMMYFUNCTION("SPLIT(A127:A847, ""&gt;"")"),"US ")</f>
        <v>US </v>
      </c>
      <c r="C127" s="4" t="str">
        <f>IFERROR(__xludf.DUMMYFUNCTION("""COMPUTED_VALUE""")," Brand Propensities ")</f>
        <v> Brand Propensities </v>
      </c>
      <c r="D127" s="4" t="str">
        <f>IFERROR(__xludf.DUMMYFUNCTION("""COMPUTED_VALUE""")," Travel ")</f>
        <v> Travel </v>
      </c>
      <c r="E127" s="4" t="str">
        <f>IFERROR(__xludf.DUMMYFUNCTION("""COMPUTED_VALUE""")," American Airlines Buyer Propensity")</f>
        <v> American Airlines Buyer Propensity</v>
      </c>
      <c r="F127" s="4"/>
      <c r="G127" s="4"/>
      <c r="H127" s="4"/>
      <c r="I127" s="5" t="s">
        <v>15</v>
      </c>
      <c r="J127" s="5" t="s">
        <v>16</v>
      </c>
      <c r="K127" s="5" t="s">
        <v>78</v>
      </c>
      <c r="L127" s="6" t="s">
        <v>228</v>
      </c>
      <c r="M127" s="5" t="s">
        <v>231</v>
      </c>
      <c r="N127" s="5" t="s">
        <v>20</v>
      </c>
      <c r="O127" s="5">
        <v>12176.0</v>
      </c>
      <c r="P127" s="5">
        <v>10.0</v>
      </c>
      <c r="Q127" s="5">
        <v>5460.0</v>
      </c>
      <c r="R127" s="5">
        <v>11154.0</v>
      </c>
      <c r="S127" s="5">
        <v>10.0</v>
      </c>
      <c r="T127" s="5">
        <v>1816.030806</v>
      </c>
      <c r="V127" s="21">
        <f t="shared" si="1"/>
        <v>149.1483908</v>
      </c>
      <c r="W127" s="21">
        <f t="shared" si="2"/>
        <v>332.6063747</v>
      </c>
      <c r="X127" s="21">
        <f t="shared" si="3"/>
        <v>100</v>
      </c>
      <c r="Y127" s="21">
        <f t="shared" si="4"/>
        <v>181.6030806</v>
      </c>
      <c r="Z127" s="21">
        <f t="shared" si="5"/>
        <v>181.6030806</v>
      </c>
      <c r="AA127" s="21">
        <f t="shared" si="6"/>
        <v>0.08212877792</v>
      </c>
    </row>
    <row r="128">
      <c r="A128" s="4" t="s">
        <v>232</v>
      </c>
      <c r="B128" s="4" t="str">
        <f>IFERROR(__xludf.DUMMYFUNCTION("SPLIT(A128:A848, ""&gt;"")"),"OnAudience")</f>
        <v>OnAudience</v>
      </c>
      <c r="C128" s="4"/>
      <c r="D128" s="4"/>
      <c r="E128" s="4"/>
      <c r="F128" s="4"/>
      <c r="G128" s="4"/>
      <c r="H128" s="4"/>
      <c r="I128" s="5" t="s">
        <v>15</v>
      </c>
      <c r="J128" s="5" t="s">
        <v>23</v>
      </c>
      <c r="K128" s="5" t="s">
        <v>29</v>
      </c>
      <c r="L128" s="6" t="s">
        <v>233</v>
      </c>
      <c r="M128" s="5" t="s">
        <v>19</v>
      </c>
      <c r="N128" s="5" t="s">
        <v>27</v>
      </c>
      <c r="O128" s="5">
        <v>7472.0</v>
      </c>
      <c r="P128" s="5">
        <v>10.0</v>
      </c>
      <c r="Q128" s="5">
        <v>1191.0</v>
      </c>
      <c r="R128" s="5">
        <v>5883.0</v>
      </c>
      <c r="S128" s="5">
        <v>1.0</v>
      </c>
      <c r="T128" s="5">
        <v>2183.952037</v>
      </c>
      <c r="V128" s="21">
        <f t="shared" si="1"/>
        <v>292.2848015</v>
      </c>
      <c r="W128" s="21">
        <f t="shared" si="2"/>
        <v>1833.712877</v>
      </c>
      <c r="X128" s="21">
        <f t="shared" si="3"/>
        <v>10</v>
      </c>
      <c r="Y128" s="21">
        <f t="shared" si="4"/>
        <v>2183.952037</v>
      </c>
      <c r="Z128" s="21">
        <f t="shared" si="5"/>
        <v>218.3952037</v>
      </c>
      <c r="AA128" s="21">
        <f t="shared" si="6"/>
        <v>0.1338329764</v>
      </c>
    </row>
    <row r="129">
      <c r="A129" s="4" t="s">
        <v>1189</v>
      </c>
      <c r="B129" s="4" t="str">
        <f>IFERROR(__xludf.DUMMYFUNCTION("SPLIT(A129:A849, ""&gt;"")"),"Media and Entertainment ")</f>
        <v>Media and Entertainment </v>
      </c>
      <c r="C129" s="4" t="str">
        <f>IFERROR(__xludf.DUMMYFUNCTION("""COMPUTED_VALUE""")," Audio and Video Streaming ")</f>
        <v> Audio and Video Streaming </v>
      </c>
      <c r="D129" s="4" t="str">
        <f>IFERROR(__xludf.DUMMYFUNCTION("""COMPUTED_VALUE""")," Streaming Audio")</f>
        <v> Streaming Audio</v>
      </c>
      <c r="E129" s="4"/>
      <c r="F129" s="4"/>
      <c r="G129" s="4"/>
      <c r="H129" s="4"/>
      <c r="I129" s="5" t="s">
        <v>15</v>
      </c>
      <c r="J129" s="5" t="s">
        <v>31</v>
      </c>
      <c r="K129" s="5" t="s">
        <v>35</v>
      </c>
      <c r="L129" s="6" t="s">
        <v>235</v>
      </c>
      <c r="M129" s="5" t="s">
        <v>19</v>
      </c>
      <c r="N129" s="5" t="s">
        <v>27</v>
      </c>
      <c r="O129" s="5">
        <v>42451.0</v>
      </c>
      <c r="P129" s="5">
        <v>122.0</v>
      </c>
      <c r="Q129" s="5">
        <v>29142.0</v>
      </c>
      <c r="R129" s="5">
        <v>41093.0</v>
      </c>
      <c r="S129" s="5">
        <v>7.0</v>
      </c>
      <c r="T129" s="5">
        <v>1530.553686</v>
      </c>
      <c r="V129" s="21">
        <f t="shared" si="1"/>
        <v>36.05459674</v>
      </c>
      <c r="W129" s="21">
        <f t="shared" si="2"/>
        <v>52.52054375</v>
      </c>
      <c r="X129" s="21">
        <f t="shared" si="3"/>
        <v>5.737704918</v>
      </c>
      <c r="Y129" s="21">
        <f t="shared" si="4"/>
        <v>218.6505266</v>
      </c>
      <c r="Z129" s="21">
        <f t="shared" si="5"/>
        <v>12.54552202</v>
      </c>
      <c r="AA129" s="21">
        <f t="shared" si="6"/>
        <v>0.2873901675</v>
      </c>
    </row>
    <row r="130">
      <c r="A130" s="4" t="s">
        <v>1768</v>
      </c>
      <c r="B130" s="4" t="str">
        <f>IFERROR(__xludf.DUMMYFUNCTION("SPLIT(A130:A850, ""&gt;"")"),"US ")</f>
        <v>US </v>
      </c>
      <c r="C130" s="4" t="str">
        <f>IFERROR(__xludf.DUMMYFUNCTION("""COMPUTED_VALUE"""),"Rural Improvement Fanatic")</f>
        <v>Rural Improvement Fanatic</v>
      </c>
      <c r="D130" s="4"/>
      <c r="E130" s="4"/>
      <c r="F130" s="4"/>
      <c r="G130" s="4"/>
      <c r="H130" s="4"/>
      <c r="I130" s="5" t="s">
        <v>22</v>
      </c>
      <c r="J130" s="5" t="s">
        <v>16</v>
      </c>
      <c r="K130" s="5" t="s">
        <v>78</v>
      </c>
      <c r="L130" s="6" t="s">
        <v>235</v>
      </c>
      <c r="M130" s="5" t="s">
        <v>117</v>
      </c>
      <c r="N130" s="5" t="s">
        <v>27</v>
      </c>
      <c r="O130" s="5">
        <v>10677.0</v>
      </c>
      <c r="P130" s="5">
        <v>88.0</v>
      </c>
      <c r="Q130" s="5">
        <v>7247.0</v>
      </c>
      <c r="R130" s="5">
        <v>10338.0</v>
      </c>
      <c r="S130" s="5">
        <v>3.0</v>
      </c>
      <c r="T130" s="5">
        <v>1483.452706</v>
      </c>
      <c r="V130" s="21">
        <f t="shared" si="1"/>
        <v>138.9390939</v>
      </c>
      <c r="W130" s="21">
        <f t="shared" si="2"/>
        <v>204.6988693</v>
      </c>
      <c r="X130" s="21">
        <f t="shared" si="3"/>
        <v>3.409090909</v>
      </c>
      <c r="Y130" s="21">
        <f t="shared" si="4"/>
        <v>494.4842353</v>
      </c>
      <c r="Z130" s="21">
        <f t="shared" si="5"/>
        <v>16.85741711</v>
      </c>
      <c r="AA130" s="21">
        <f t="shared" si="6"/>
        <v>0.8242015547</v>
      </c>
    </row>
    <row r="131">
      <c r="A131" s="4" t="s">
        <v>1191</v>
      </c>
      <c r="B131" s="4" t="str">
        <f>IFERROR(__xludf.DUMMYFUNCTION("SPLIT(A131:A851, ""&gt;"")"),"Online Behavior")</f>
        <v>Online Behavior</v>
      </c>
      <c r="C131" s="4" t="str">
        <f>IFERROR(__xludf.DUMMYFUNCTION("""COMPUTED_VALUE"""),"United States")</f>
        <v>United States</v>
      </c>
      <c r="D131" s="4" t="str">
        <f>IFERROR(__xludf.DUMMYFUNCTION("""COMPUTED_VALUE"""),"Sports")</f>
        <v>Sports</v>
      </c>
      <c r="E131" s="4" t="str">
        <f>IFERROR(__xludf.DUMMYFUNCTION("""COMPUTED_VALUE"""),"Sports League ")</f>
        <v>Sports League </v>
      </c>
      <c r="F131" s="4" t="str">
        <f>IFERROR(__xludf.DUMMYFUNCTION("""COMPUTED_VALUE""")," Premier League")</f>
        <v> Premier League</v>
      </c>
      <c r="G131" s="4"/>
      <c r="H131" s="4"/>
      <c r="I131" s="5" t="s">
        <v>15</v>
      </c>
      <c r="J131" s="5" t="s">
        <v>23</v>
      </c>
      <c r="K131" s="5" t="s">
        <v>35</v>
      </c>
      <c r="L131" s="6" t="s">
        <v>238</v>
      </c>
      <c r="M131" s="5" t="s">
        <v>46</v>
      </c>
      <c r="N131" s="5" t="s">
        <v>27</v>
      </c>
      <c r="O131" s="5">
        <v>8217.0</v>
      </c>
      <c r="P131" s="5">
        <v>25.0</v>
      </c>
      <c r="Q131" s="5">
        <v>5740.0</v>
      </c>
      <c r="R131" s="5">
        <v>8009.0</v>
      </c>
      <c r="S131" s="5">
        <v>11.0</v>
      </c>
      <c r="T131" s="5">
        <v>6051.334623</v>
      </c>
      <c r="V131" s="21">
        <f t="shared" si="1"/>
        <v>736.4408693</v>
      </c>
      <c r="W131" s="21">
        <f t="shared" si="2"/>
        <v>1054.239481</v>
      </c>
      <c r="X131" s="21">
        <f t="shared" si="3"/>
        <v>44</v>
      </c>
      <c r="Y131" s="21">
        <f t="shared" si="4"/>
        <v>550.1213294</v>
      </c>
      <c r="Z131" s="21">
        <f t="shared" si="5"/>
        <v>242.0533849</v>
      </c>
      <c r="AA131" s="21">
        <f t="shared" si="6"/>
        <v>0.3042472922</v>
      </c>
    </row>
    <row r="132">
      <c r="A132" s="4" t="s">
        <v>239</v>
      </c>
      <c r="B132" s="4" t="str">
        <f>IFERROR(__xludf.DUMMYFUNCTION("SPLIT(A132:A852, ""&gt;"")"),"Online Behavior")</f>
        <v>Online Behavior</v>
      </c>
      <c r="C132" s="4" t="str">
        <f>IFERROR(__xludf.DUMMYFUNCTION("""COMPUTED_VALUE"""),"United States")</f>
        <v>United States</v>
      </c>
      <c r="D132" s="4" t="str">
        <f>IFERROR(__xludf.DUMMYFUNCTION("""COMPUTED_VALUE"""),"The Changing Consumer")</f>
        <v>The Changing Consumer</v>
      </c>
      <c r="E132" s="4" t="str">
        <f>IFERROR(__xludf.DUMMYFUNCTION("""COMPUTED_VALUE"""),"Gaming Equipment")</f>
        <v>Gaming Equipment</v>
      </c>
      <c r="F132" s="4"/>
      <c r="G132" s="4"/>
      <c r="H132" s="4"/>
      <c r="I132" s="5" t="s">
        <v>22</v>
      </c>
      <c r="J132" s="5" t="s">
        <v>23</v>
      </c>
      <c r="K132" s="5" t="s">
        <v>240</v>
      </c>
      <c r="L132" s="6" t="s">
        <v>238</v>
      </c>
      <c r="M132" s="5" t="s">
        <v>161</v>
      </c>
      <c r="N132" s="5" t="s">
        <v>27</v>
      </c>
      <c r="O132" s="5">
        <v>7530.0</v>
      </c>
      <c r="P132" s="5">
        <v>20.0</v>
      </c>
      <c r="Q132" s="5">
        <v>5468.0</v>
      </c>
      <c r="R132" s="5">
        <v>7298.0</v>
      </c>
      <c r="S132" s="5">
        <v>3.0</v>
      </c>
      <c r="T132" s="5">
        <v>5038.714067</v>
      </c>
      <c r="V132" s="21">
        <f t="shared" si="1"/>
        <v>669.1519345</v>
      </c>
      <c r="W132" s="21">
        <f t="shared" si="2"/>
        <v>921.4912339</v>
      </c>
      <c r="X132" s="21">
        <f t="shared" si="3"/>
        <v>15</v>
      </c>
      <c r="Y132" s="21">
        <f t="shared" si="4"/>
        <v>1679.571356</v>
      </c>
      <c r="Z132" s="21">
        <f t="shared" si="5"/>
        <v>251.9357034</v>
      </c>
      <c r="AA132" s="21">
        <f t="shared" si="6"/>
        <v>0.2656042497</v>
      </c>
    </row>
    <row r="133">
      <c r="A133" s="4" t="s">
        <v>241</v>
      </c>
      <c r="B133" s="4" t="str">
        <f>IFERROR(__xludf.DUMMYFUNCTION("SPLIT(A133:A853, ""&gt;"")"),"Online Behavior")</f>
        <v>Online Behavior</v>
      </c>
      <c r="C133" s="4" t="str">
        <f>IFERROR(__xludf.DUMMYFUNCTION("""COMPUTED_VALUE"""),"United States")</f>
        <v>United States</v>
      </c>
      <c r="D133" s="4" t="str">
        <f>IFERROR(__xludf.DUMMYFUNCTION("""COMPUTED_VALUE"""),"Travel")</f>
        <v>Travel</v>
      </c>
      <c r="E133" s="4" t="str">
        <f>IFERROR(__xludf.DUMMYFUNCTION("""COMPUTED_VALUE"""),"Travel")</f>
        <v>Travel</v>
      </c>
      <c r="F133" s="4"/>
      <c r="G133" s="4"/>
      <c r="H133" s="4"/>
      <c r="I133" s="5" t="s">
        <v>22</v>
      </c>
      <c r="J133" s="5" t="s">
        <v>16</v>
      </c>
      <c r="K133" s="5" t="s">
        <v>78</v>
      </c>
      <c r="L133" s="6" t="s">
        <v>242</v>
      </c>
      <c r="M133" s="5" t="s">
        <v>19</v>
      </c>
      <c r="N133" s="5" t="s">
        <v>27</v>
      </c>
      <c r="O133" s="5">
        <v>272509.0</v>
      </c>
      <c r="P133" s="5">
        <v>736.0</v>
      </c>
      <c r="Q133" s="5">
        <v>89526.0</v>
      </c>
      <c r="R133" s="5">
        <v>237859.0</v>
      </c>
      <c r="S133" s="5">
        <v>69.0</v>
      </c>
      <c r="T133" s="5">
        <v>8168.347077</v>
      </c>
      <c r="V133" s="21">
        <f t="shared" si="1"/>
        <v>29.97459562</v>
      </c>
      <c r="W133" s="21">
        <f t="shared" si="2"/>
        <v>91.23994233</v>
      </c>
      <c r="X133" s="21">
        <f t="shared" si="3"/>
        <v>9.375</v>
      </c>
      <c r="Y133" s="21">
        <f t="shared" si="4"/>
        <v>118.3818417</v>
      </c>
      <c r="Z133" s="21">
        <f t="shared" si="5"/>
        <v>11.09829766</v>
      </c>
      <c r="AA133" s="21">
        <f t="shared" si="6"/>
        <v>0.270082823</v>
      </c>
    </row>
    <row r="134">
      <c r="A134" s="4" t="s">
        <v>1192</v>
      </c>
      <c r="B134" s="4" t="str">
        <f>IFERROR(__xludf.DUMMYFUNCTION("SPLIT(A134:A854, ""&gt;"")"),"Online Behavior")</f>
        <v>Online Behavior</v>
      </c>
      <c r="C134" s="4" t="str">
        <f>IFERROR(__xludf.DUMMYFUNCTION("""COMPUTED_VALUE"""),"United States")</f>
        <v>United States</v>
      </c>
      <c r="D134" s="4" t="str">
        <f>IFERROR(__xludf.DUMMYFUNCTION("""COMPUTED_VALUE"""),"Beauty and Fitness")</f>
        <v>Beauty and Fitness</v>
      </c>
      <c r="E134" s="4" t="str">
        <f>IFERROR(__xludf.DUMMYFUNCTION("""COMPUTED_VALUE"""),"Face and Body Care ")</f>
        <v>Face and Body Care </v>
      </c>
      <c r="F134" s="4" t="str">
        <f>IFERROR(__xludf.DUMMYFUNCTION("""COMPUTED_VALUE""")," Unwanted Body and Facial Hair Removal")</f>
        <v> Unwanted Body and Facial Hair Removal</v>
      </c>
      <c r="G134" s="4"/>
      <c r="H134" s="4"/>
      <c r="I134" s="5" t="s">
        <v>15</v>
      </c>
      <c r="J134" s="5" t="s">
        <v>16</v>
      </c>
      <c r="K134" s="5" t="s">
        <v>78</v>
      </c>
      <c r="L134" s="6" t="s">
        <v>242</v>
      </c>
      <c r="M134" s="5" t="s">
        <v>19</v>
      </c>
      <c r="N134" s="5" t="s">
        <v>27</v>
      </c>
      <c r="O134" s="5">
        <v>106392.0</v>
      </c>
      <c r="P134" s="5">
        <v>299.0</v>
      </c>
      <c r="Q134" s="5">
        <v>39599.0</v>
      </c>
      <c r="R134" s="5">
        <v>94941.0</v>
      </c>
      <c r="S134" s="5">
        <v>3.0</v>
      </c>
      <c r="T134" s="5">
        <v>6542.612428</v>
      </c>
      <c r="V134" s="21">
        <f t="shared" si="1"/>
        <v>61.49534202</v>
      </c>
      <c r="W134" s="21">
        <f t="shared" si="2"/>
        <v>165.2216578</v>
      </c>
      <c r="X134" s="21">
        <f t="shared" si="3"/>
        <v>1.003344482</v>
      </c>
      <c r="Y134" s="21">
        <f t="shared" si="4"/>
        <v>2180.870809</v>
      </c>
      <c r="Z134" s="21">
        <f t="shared" si="5"/>
        <v>21.88164692</v>
      </c>
      <c r="AA134" s="21">
        <f t="shared" si="6"/>
        <v>0.2810361681</v>
      </c>
    </row>
    <row r="135">
      <c r="A135" s="4" t="s">
        <v>1193</v>
      </c>
      <c r="B135" s="4" t="str">
        <f>IFERROR(__xludf.DUMMYFUNCTION("SPLIT(A135:A855, ""&gt;"")"),"Online Behavior")</f>
        <v>Online Behavior</v>
      </c>
      <c r="C135" s="4" t="str">
        <f>IFERROR(__xludf.DUMMYFUNCTION("""COMPUTED_VALUE"""),"United States")</f>
        <v>United States</v>
      </c>
      <c r="D135" s="4" t="str">
        <f>IFERROR(__xludf.DUMMYFUNCTION("""COMPUTED_VALUE"""),"Intent ")</f>
        <v>Intent </v>
      </c>
      <c r="E135" s="4" t="str">
        <f>IFERROR(__xludf.DUMMYFUNCTION("""COMPUTED_VALUE""")," Auto Buyers ")</f>
        <v> Auto Buyers </v>
      </c>
      <c r="F135" s="4" t="str">
        <f>IFERROR(__xludf.DUMMYFUNCTION("""COMPUTED_VALUE""")," Car Make")</f>
        <v> Car Make</v>
      </c>
      <c r="G135" s="4" t="str">
        <f>IFERROR(__xludf.DUMMYFUNCTION("""COMPUTED_VALUE"""),"Toyota")</f>
        <v>Toyota</v>
      </c>
      <c r="H135" s="4"/>
      <c r="I135" s="5" t="s">
        <v>22</v>
      </c>
      <c r="J135" s="5" t="s">
        <v>31</v>
      </c>
      <c r="K135" s="5" t="s">
        <v>17</v>
      </c>
      <c r="L135" s="6" t="s">
        <v>242</v>
      </c>
      <c r="M135" s="5" t="s">
        <v>26</v>
      </c>
      <c r="N135" s="5" t="s">
        <v>27</v>
      </c>
      <c r="O135" s="5">
        <v>9060.0</v>
      </c>
      <c r="P135" s="5">
        <v>30.0</v>
      </c>
      <c r="Q135" s="5">
        <v>5190.0</v>
      </c>
      <c r="R135" s="5">
        <v>8621.0</v>
      </c>
      <c r="S135" s="5">
        <v>14.0</v>
      </c>
      <c r="T135" s="5">
        <v>4934.851563</v>
      </c>
      <c r="V135" s="21">
        <f t="shared" si="1"/>
        <v>544.685603</v>
      </c>
      <c r="W135" s="21">
        <f t="shared" si="2"/>
        <v>950.8384514</v>
      </c>
      <c r="X135" s="21">
        <f t="shared" si="3"/>
        <v>46.66666667</v>
      </c>
      <c r="Y135" s="21">
        <f t="shared" si="4"/>
        <v>352.4893974</v>
      </c>
      <c r="Z135" s="21">
        <f t="shared" si="5"/>
        <v>164.4950521</v>
      </c>
      <c r="AA135" s="21">
        <f t="shared" si="6"/>
        <v>0.3311258278</v>
      </c>
    </row>
    <row r="136">
      <c r="A136" s="4" t="s">
        <v>1194</v>
      </c>
      <c r="B136" s="4" t="str">
        <f>IFERROR(__xludf.DUMMYFUNCTION("SPLIT(A136:A856, ""&gt;"")"),"Online Behavior")</f>
        <v>Online Behavior</v>
      </c>
      <c r="C136" s="4" t="str">
        <f>IFERROR(__xludf.DUMMYFUNCTION("""COMPUTED_VALUE"""),"United States")</f>
        <v>United States</v>
      </c>
      <c r="D136" s="4" t="str">
        <f>IFERROR(__xludf.DUMMYFUNCTION("""COMPUTED_VALUE"""),"Food and Drink")</f>
        <v>Food and Drink</v>
      </c>
      <c r="E136" s="4" t="str">
        <f>IFERROR(__xludf.DUMMYFUNCTION("""COMPUTED_VALUE"""),"Restaurants ")</f>
        <v>Restaurants </v>
      </c>
      <c r="F136" s="4" t="str">
        <f>IFERROR(__xludf.DUMMYFUNCTION("""COMPUTED_VALUE""")," Dining Guides")</f>
        <v> Dining Guides</v>
      </c>
      <c r="G136" s="4"/>
      <c r="H136" s="4"/>
      <c r="I136" s="5" t="s">
        <v>22</v>
      </c>
      <c r="J136" s="5" t="s">
        <v>31</v>
      </c>
      <c r="K136" s="5" t="s">
        <v>35</v>
      </c>
      <c r="L136" s="6" t="s">
        <v>242</v>
      </c>
      <c r="M136" s="5" t="s">
        <v>117</v>
      </c>
      <c r="N136" s="5" t="s">
        <v>27</v>
      </c>
      <c r="O136" s="5">
        <v>116926.0</v>
      </c>
      <c r="P136" s="5">
        <v>321.0</v>
      </c>
      <c r="Q136" s="5">
        <v>69132.0</v>
      </c>
      <c r="R136" s="5">
        <v>111957.0</v>
      </c>
      <c r="S136" s="5">
        <v>22.0</v>
      </c>
      <c r="T136" s="5">
        <v>4918.040982</v>
      </c>
      <c r="V136" s="21">
        <f t="shared" si="1"/>
        <v>42.06114108</v>
      </c>
      <c r="W136" s="21">
        <f t="shared" si="2"/>
        <v>71.13986261</v>
      </c>
      <c r="X136" s="21">
        <f t="shared" si="3"/>
        <v>6.853582555</v>
      </c>
      <c r="Y136" s="21">
        <f t="shared" si="4"/>
        <v>223.5473174</v>
      </c>
      <c r="Z136" s="21">
        <f t="shared" si="5"/>
        <v>15.32099994</v>
      </c>
      <c r="AA136" s="21">
        <f t="shared" si="6"/>
        <v>0.2745326104</v>
      </c>
    </row>
    <row r="137">
      <c r="A137" s="4" t="s">
        <v>1769</v>
      </c>
      <c r="B137" s="4" t="str">
        <f>IFERROR(__xludf.DUMMYFUNCTION("SPLIT(A137:A857, ""&gt;"")"),"Media and Entertainment ")</f>
        <v>Media and Entertainment </v>
      </c>
      <c r="C137" s="4" t="str">
        <f>IFERROR(__xludf.DUMMYFUNCTION("""COMPUTED_VALUE""")," Music")</f>
        <v> Music</v>
      </c>
      <c r="D137" s="4"/>
      <c r="E137" s="4"/>
      <c r="F137" s="4"/>
      <c r="G137" s="4"/>
      <c r="H137" s="4"/>
      <c r="I137" s="5" t="s">
        <v>15</v>
      </c>
      <c r="J137" s="5" t="s">
        <v>42</v>
      </c>
      <c r="K137" s="5" t="s">
        <v>78</v>
      </c>
      <c r="L137" s="6" t="s">
        <v>242</v>
      </c>
      <c r="M137" s="5" t="s">
        <v>50</v>
      </c>
      <c r="N137" s="5" t="s">
        <v>27</v>
      </c>
      <c r="O137" s="5">
        <v>45402.0</v>
      </c>
      <c r="P137" s="5">
        <v>122.0</v>
      </c>
      <c r="Q137" s="5">
        <v>17284.0</v>
      </c>
      <c r="R137" s="5">
        <v>27542.0</v>
      </c>
      <c r="S137" s="5">
        <v>5.0</v>
      </c>
      <c r="T137" s="5">
        <v>2163.265346</v>
      </c>
      <c r="V137" s="21">
        <f t="shared" si="1"/>
        <v>47.64691745</v>
      </c>
      <c r="W137" s="21">
        <f t="shared" si="2"/>
        <v>125.1599946</v>
      </c>
      <c r="X137" s="21">
        <f t="shared" si="3"/>
        <v>4.098360656</v>
      </c>
      <c r="Y137" s="21">
        <f t="shared" si="4"/>
        <v>432.6530692</v>
      </c>
      <c r="Z137" s="21">
        <f t="shared" si="5"/>
        <v>17.73168316</v>
      </c>
      <c r="AA137" s="21">
        <f t="shared" si="6"/>
        <v>0.2687106295</v>
      </c>
    </row>
    <row r="138">
      <c r="A138" s="4" t="s">
        <v>1196</v>
      </c>
      <c r="B138" s="4" t="str">
        <f>IFERROR(__xludf.DUMMYFUNCTION("SPLIT(A138:A858, ""&gt;"")"),"OnAudience ")</f>
        <v>OnAudience </v>
      </c>
      <c r="C138" s="4" t="str">
        <f>IFERROR(__xludf.DUMMYFUNCTION("""COMPUTED_VALUE""")," Interest ")</f>
        <v> Interest </v>
      </c>
      <c r="D138" s="4" t="str">
        <f>IFERROR(__xludf.DUMMYFUNCTION("""COMPUTED_VALUE""")," Technology")</f>
        <v> Technology</v>
      </c>
      <c r="E138" s="4"/>
      <c r="F138" s="4"/>
      <c r="G138" s="4"/>
      <c r="H138" s="4"/>
      <c r="I138" s="5" t="s">
        <v>61</v>
      </c>
      <c r="J138" s="5" t="s">
        <v>31</v>
      </c>
      <c r="K138" s="5" t="s">
        <v>35</v>
      </c>
      <c r="L138" s="6" t="s">
        <v>242</v>
      </c>
      <c r="M138" s="5" t="s">
        <v>19</v>
      </c>
      <c r="N138" s="5" t="s">
        <v>27</v>
      </c>
      <c r="O138" s="5">
        <v>84306.0</v>
      </c>
      <c r="P138" s="5">
        <v>185.0</v>
      </c>
      <c r="Q138" s="5">
        <v>45376.0</v>
      </c>
      <c r="R138" s="5">
        <v>79935.0</v>
      </c>
      <c r="S138" s="5">
        <v>3.0</v>
      </c>
      <c r="T138" s="5">
        <v>1809.590961</v>
      </c>
      <c r="V138" s="21">
        <f t="shared" si="1"/>
        <v>21.46455722</v>
      </c>
      <c r="W138" s="21">
        <f t="shared" si="2"/>
        <v>39.87991363</v>
      </c>
      <c r="X138" s="21">
        <f t="shared" si="3"/>
        <v>1.621621622</v>
      </c>
      <c r="Y138" s="21">
        <f t="shared" si="4"/>
        <v>603.196987</v>
      </c>
      <c r="Z138" s="21">
        <f t="shared" si="5"/>
        <v>9.781572762</v>
      </c>
      <c r="AA138" s="21">
        <f t="shared" si="6"/>
        <v>0.2194387114</v>
      </c>
    </row>
    <row r="139">
      <c r="A139" s="4" t="s">
        <v>1770</v>
      </c>
      <c r="B139" s="4" t="str">
        <f>IFERROR(__xludf.DUMMYFUNCTION("SPLIT(A139:A859, ""&gt;"")"),"US ")</f>
        <v>US </v>
      </c>
      <c r="C139" s="4" t="str">
        <f>IFERROR(__xludf.DUMMYFUNCTION("""COMPUTED_VALUE""")," Interest Propensities ")</f>
        <v> Interest Propensities </v>
      </c>
      <c r="D139" s="4" t="str">
        <f>IFERROR(__xludf.DUMMYFUNCTION("""COMPUTED_VALUE""")," Social ")</f>
        <v> Social </v>
      </c>
      <c r="E139" s="4" t="str">
        <f>IFERROR(__xludf.DUMMYFUNCTION("""COMPUTED_VALUE""")," Premium User Generated Content")</f>
        <v> Premium User Generated Content</v>
      </c>
      <c r="F139" s="4"/>
      <c r="G139" s="4"/>
      <c r="H139" s="4"/>
      <c r="I139" s="5" t="s">
        <v>15</v>
      </c>
      <c r="J139" s="5" t="s">
        <v>16</v>
      </c>
      <c r="K139" s="5" t="s">
        <v>17</v>
      </c>
      <c r="L139" s="6" t="s">
        <v>242</v>
      </c>
      <c r="M139" s="5" t="s">
        <v>19</v>
      </c>
      <c r="N139" s="5" t="s">
        <v>27</v>
      </c>
      <c r="O139" s="5">
        <v>88499.0</v>
      </c>
      <c r="P139" s="5">
        <v>186.0</v>
      </c>
      <c r="Q139" s="5">
        <v>18950.0</v>
      </c>
      <c r="R139" s="5">
        <v>71458.0</v>
      </c>
      <c r="S139" s="5">
        <v>5.0</v>
      </c>
      <c r="T139" s="5">
        <v>1803.139812</v>
      </c>
      <c r="V139" s="21">
        <f t="shared" si="1"/>
        <v>20.37469138</v>
      </c>
      <c r="W139" s="21">
        <f t="shared" si="2"/>
        <v>95.15249668</v>
      </c>
      <c r="X139" s="21">
        <f t="shared" si="3"/>
        <v>2.688172043</v>
      </c>
      <c r="Y139" s="21">
        <f t="shared" si="4"/>
        <v>360.6279624</v>
      </c>
      <c r="Z139" s="21">
        <f t="shared" si="5"/>
        <v>9.694300065</v>
      </c>
      <c r="AA139" s="21">
        <f t="shared" si="6"/>
        <v>0.2101718663</v>
      </c>
    </row>
    <row r="140">
      <c r="A140" s="4" t="s">
        <v>1771</v>
      </c>
      <c r="B140" s="4" t="str">
        <f>IFERROR(__xludf.DUMMYFUNCTION("SPLIT(A140:A860, ""&gt;"")"),"OnAudience ")</f>
        <v>OnAudience </v>
      </c>
      <c r="C140" s="4" t="str">
        <f>IFERROR(__xludf.DUMMYFUNCTION("""COMPUTED_VALUE""")," Interest ")</f>
        <v> Interest </v>
      </c>
      <c r="D140" s="4" t="str">
        <f>IFERROR(__xludf.DUMMYFUNCTION("""COMPUTED_VALUE""")," Business ")</f>
        <v> Business </v>
      </c>
      <c r="E140" s="4" t="str">
        <f>IFERROR(__xludf.DUMMYFUNCTION("""COMPUTED_VALUE""")," Economy")</f>
        <v> Economy</v>
      </c>
      <c r="F140" s="4"/>
      <c r="G140" s="4"/>
      <c r="H140" s="4"/>
      <c r="I140" s="5" t="s">
        <v>15</v>
      </c>
      <c r="J140" s="5" t="s">
        <v>16</v>
      </c>
      <c r="K140" s="5" t="s">
        <v>150</v>
      </c>
      <c r="L140" s="6" t="s">
        <v>242</v>
      </c>
      <c r="M140" s="5" t="s">
        <v>19</v>
      </c>
      <c r="N140" s="5" t="s">
        <v>27</v>
      </c>
      <c r="O140" s="5">
        <v>77748.0</v>
      </c>
      <c r="P140" s="5">
        <v>227.0</v>
      </c>
      <c r="Q140" s="5">
        <v>6170.0</v>
      </c>
      <c r="R140" s="5">
        <v>53603.0</v>
      </c>
      <c r="S140" s="5">
        <v>3.0</v>
      </c>
      <c r="T140" s="5">
        <v>1498.3009</v>
      </c>
      <c r="V140" s="21">
        <f t="shared" si="1"/>
        <v>19.27124685</v>
      </c>
      <c r="W140" s="21">
        <f t="shared" si="2"/>
        <v>242.8364506</v>
      </c>
      <c r="X140" s="21">
        <f t="shared" si="3"/>
        <v>1.321585903</v>
      </c>
      <c r="Y140" s="21">
        <f t="shared" si="4"/>
        <v>499.4336333</v>
      </c>
      <c r="Z140" s="21">
        <f t="shared" si="5"/>
        <v>6.600444493</v>
      </c>
      <c r="AA140" s="21">
        <f t="shared" si="6"/>
        <v>0.2919689252</v>
      </c>
    </row>
    <row r="141">
      <c r="A141" s="4" t="s">
        <v>1772</v>
      </c>
      <c r="B141" s="4" t="str">
        <f>IFERROR(__xludf.DUMMYFUNCTION("SPLIT(A141:A861, ""&gt;"")"),"US ")</f>
        <v>US </v>
      </c>
      <c r="C141" s="4" t="str">
        <f>IFERROR(__xludf.DUMMYFUNCTION("""COMPUTED_VALUE""")," Reach ")</f>
        <v> Reach </v>
      </c>
      <c r="D141" s="4" t="str">
        <f>IFERROR(__xludf.DUMMYFUNCTION("""COMPUTED_VALUE""")," Propensity Models ")</f>
        <v> Propensity Models </v>
      </c>
      <c r="E141" s="4" t="str">
        <f>IFERROR(__xludf.DUMMYFUNCTION("""COMPUTED_VALUE""")," Lifestyle ")</f>
        <v> Lifestyle </v>
      </c>
      <c r="F141" s="4" t="str">
        <f>IFERROR(__xludf.DUMMYFUNCTION("""COMPUTED_VALUE""")," Charities ")</f>
        <v> Charities </v>
      </c>
      <c r="G141" s="4" t="str">
        <f>IFERROR(__xludf.DUMMYFUNCTION("""COMPUTED_VALUE""")," Contributes to Charities")</f>
        <v> Contributes to Charities</v>
      </c>
      <c r="H141" s="4"/>
      <c r="I141" s="5" t="s">
        <v>22</v>
      </c>
      <c r="J141" s="5" t="s">
        <v>42</v>
      </c>
      <c r="K141" s="5" t="s">
        <v>35</v>
      </c>
      <c r="L141" s="6" t="s">
        <v>251</v>
      </c>
      <c r="M141" s="5" t="s">
        <v>19</v>
      </c>
      <c r="N141" s="5" t="s">
        <v>27</v>
      </c>
      <c r="O141" s="5">
        <v>10191.0</v>
      </c>
      <c r="P141" s="5">
        <v>75.0</v>
      </c>
      <c r="Q141" s="5">
        <v>1243.0</v>
      </c>
      <c r="R141" s="5">
        <v>8897.0</v>
      </c>
      <c r="S141" s="5">
        <v>3.0</v>
      </c>
      <c r="T141" s="5">
        <v>2365.914372</v>
      </c>
      <c r="V141" s="21">
        <f t="shared" si="1"/>
        <v>232.157234</v>
      </c>
      <c r="W141" s="21">
        <f t="shared" si="2"/>
        <v>1903.390484</v>
      </c>
      <c r="X141" s="21">
        <f t="shared" si="3"/>
        <v>4</v>
      </c>
      <c r="Y141" s="21">
        <f t="shared" si="4"/>
        <v>788.638124</v>
      </c>
      <c r="Z141" s="21">
        <f t="shared" si="5"/>
        <v>31.54552496</v>
      </c>
      <c r="AA141" s="21">
        <f t="shared" si="6"/>
        <v>0.7359434795</v>
      </c>
    </row>
    <row r="142">
      <c r="A142" s="4" t="s">
        <v>1773</v>
      </c>
      <c r="B142" s="4" t="str">
        <f>IFERROR(__xludf.DUMMYFUNCTION("SPLIT(A142:A862, ""&gt;"")"),"US ")</f>
        <v>US </v>
      </c>
      <c r="C142" s="4" t="str">
        <f>IFERROR(__xludf.DUMMYFUNCTION("""COMPUTED_VALUE""")," Reach ")</f>
        <v> Reach </v>
      </c>
      <c r="D142" s="4" t="str">
        <f>IFERROR(__xludf.DUMMYFUNCTION("""COMPUTED_VALUE""")," Propensity Models ")</f>
        <v> Propensity Models </v>
      </c>
      <c r="E142" s="4" t="str">
        <f>IFERROR(__xludf.DUMMYFUNCTION("""COMPUTED_VALUE""")," Household Consumer Expenditures ")</f>
        <v> Household Consumer Expenditures </v>
      </c>
      <c r="F142" s="4" t="str">
        <f>IFERROR(__xludf.DUMMYFUNCTION("""COMPUTED_VALUE""")," Kitchen")</f>
        <v> Kitchen</v>
      </c>
      <c r="G142" s="4"/>
      <c r="H142" s="4"/>
      <c r="I142" s="5" t="s">
        <v>22</v>
      </c>
      <c r="J142" s="5" t="s">
        <v>31</v>
      </c>
      <c r="K142" s="5" t="s">
        <v>29</v>
      </c>
      <c r="L142" s="6" t="s">
        <v>253</v>
      </c>
      <c r="M142" s="5" t="s">
        <v>19</v>
      </c>
      <c r="N142" s="5" t="s">
        <v>27</v>
      </c>
      <c r="O142" s="5">
        <v>10093.0</v>
      </c>
      <c r="P142" s="5">
        <v>65.0</v>
      </c>
      <c r="Q142" s="5">
        <v>3901.0</v>
      </c>
      <c r="R142" s="5">
        <v>9645.0</v>
      </c>
      <c r="S142" s="5">
        <v>2.0</v>
      </c>
      <c r="T142" s="5">
        <v>3105.283004</v>
      </c>
      <c r="V142" s="21">
        <f t="shared" si="1"/>
        <v>307.6669973</v>
      </c>
      <c r="W142" s="21">
        <f t="shared" si="2"/>
        <v>796.022303</v>
      </c>
      <c r="X142" s="21">
        <f t="shared" si="3"/>
        <v>3.076923077</v>
      </c>
      <c r="Y142" s="21">
        <f t="shared" si="4"/>
        <v>1552.641502</v>
      </c>
      <c r="Z142" s="21">
        <f t="shared" si="5"/>
        <v>47.77358468</v>
      </c>
      <c r="AA142" s="21">
        <f t="shared" si="6"/>
        <v>0.6440107005</v>
      </c>
    </row>
    <row r="143">
      <c r="A143" s="4" t="s">
        <v>1201</v>
      </c>
      <c r="B143" s="4" t="str">
        <f>IFERROR(__xludf.DUMMYFUNCTION("SPLIT(A143:A863, ""&gt;"")"),"Online Behavior")</f>
        <v>Online Behavior</v>
      </c>
      <c r="C143" s="4" t="str">
        <f>IFERROR(__xludf.DUMMYFUNCTION("""COMPUTED_VALUE"""),"United States")</f>
        <v>United States</v>
      </c>
      <c r="D143" s="4" t="str">
        <f>IFERROR(__xludf.DUMMYFUNCTION("""COMPUTED_VALUE"""),"Finance ")</f>
        <v>Finance </v>
      </c>
      <c r="E143" s="4" t="str">
        <f>IFERROR(__xludf.DUMMYFUNCTION("""COMPUTED_VALUE""")," Financial Planning and Management")</f>
        <v> Financial Planning and Management</v>
      </c>
      <c r="F143" s="4" t="str">
        <f>IFERROR(__xludf.DUMMYFUNCTION("""COMPUTED_VALUE"""),"Asset and Portfolio Management")</f>
        <v>Asset and Portfolio Management</v>
      </c>
      <c r="G143" s="4"/>
      <c r="H143" s="4"/>
      <c r="I143" s="5" t="s">
        <v>15</v>
      </c>
      <c r="J143" s="5" t="s">
        <v>16</v>
      </c>
      <c r="K143" s="5" t="s">
        <v>35</v>
      </c>
      <c r="L143" s="6" t="s">
        <v>255</v>
      </c>
      <c r="M143" s="5" t="s">
        <v>19</v>
      </c>
      <c r="N143" s="5" t="s">
        <v>27</v>
      </c>
      <c r="O143" s="5">
        <v>9328.0</v>
      </c>
      <c r="P143" s="5">
        <v>56.0</v>
      </c>
      <c r="Q143" s="5">
        <v>7102.0</v>
      </c>
      <c r="R143" s="5">
        <v>8925.0</v>
      </c>
      <c r="S143" s="5">
        <v>5.0</v>
      </c>
      <c r="T143" s="5">
        <v>3408.076049</v>
      </c>
      <c r="V143" s="21">
        <f t="shared" si="1"/>
        <v>365.3597823</v>
      </c>
      <c r="W143" s="21">
        <f t="shared" si="2"/>
        <v>479.8755349</v>
      </c>
      <c r="X143" s="21">
        <f t="shared" si="3"/>
        <v>8.928571429</v>
      </c>
      <c r="Y143" s="21">
        <f t="shared" si="4"/>
        <v>681.6152098</v>
      </c>
      <c r="Z143" s="21">
        <f t="shared" si="5"/>
        <v>60.85850088</v>
      </c>
      <c r="AA143" s="21">
        <f t="shared" si="6"/>
        <v>0.6003430532</v>
      </c>
    </row>
    <row r="144">
      <c r="A144" s="4" t="s">
        <v>1204</v>
      </c>
      <c r="B144" s="4" t="str">
        <f>IFERROR(__xludf.DUMMYFUNCTION("SPLIT(A144:A866, ""&gt;"")"),"Online Behavior")</f>
        <v>Online Behavior</v>
      </c>
      <c r="C144" s="4" t="str">
        <f>IFERROR(__xludf.DUMMYFUNCTION("""COMPUTED_VALUE"""),"United States")</f>
        <v>United States</v>
      </c>
      <c r="D144" s="4" t="str">
        <f>IFERROR(__xludf.DUMMYFUNCTION("""COMPUTED_VALUE"""),"Intent ")</f>
        <v>Intent </v>
      </c>
      <c r="E144" s="4" t="str">
        <f>IFERROR(__xludf.DUMMYFUNCTION("""COMPUTED_VALUE""")," Auto Buyers ")</f>
        <v> Auto Buyers </v>
      </c>
      <c r="F144" s="4" t="str">
        <f>IFERROR(__xludf.DUMMYFUNCTION("""COMPUTED_VALUE""")," Car Make")</f>
        <v> Car Make</v>
      </c>
      <c r="G144" s="4" t="str">
        <f>IFERROR(__xludf.DUMMYFUNCTION("""COMPUTED_VALUE"""),"Hyundai")</f>
        <v>Hyundai</v>
      </c>
      <c r="H144" s="4"/>
      <c r="I144" s="5" t="s">
        <v>22</v>
      </c>
      <c r="J144" s="5" t="s">
        <v>42</v>
      </c>
      <c r="K144" s="5" t="s">
        <v>78</v>
      </c>
      <c r="L144" s="6" t="s">
        <v>261</v>
      </c>
      <c r="M144" s="5" t="s">
        <v>48</v>
      </c>
      <c r="N144" s="5" t="s">
        <v>27</v>
      </c>
      <c r="O144" s="5">
        <v>25532.0</v>
      </c>
      <c r="P144" s="5">
        <v>140.0</v>
      </c>
      <c r="Q144" s="5">
        <v>15219.0</v>
      </c>
      <c r="R144" s="5">
        <v>21497.0</v>
      </c>
      <c r="S144" s="5">
        <v>9.0</v>
      </c>
      <c r="T144" s="5">
        <v>6047.174109</v>
      </c>
      <c r="V144" s="21">
        <f t="shared" si="1"/>
        <v>236.8468631</v>
      </c>
      <c r="W144" s="21">
        <f t="shared" si="2"/>
        <v>397.3437223</v>
      </c>
      <c r="X144" s="21">
        <f t="shared" si="3"/>
        <v>6.428571429</v>
      </c>
      <c r="Y144" s="21">
        <f t="shared" si="4"/>
        <v>671.9082343</v>
      </c>
      <c r="Z144" s="21">
        <f t="shared" si="5"/>
        <v>43.19410078</v>
      </c>
      <c r="AA144" s="21">
        <f t="shared" si="6"/>
        <v>0.5483315056</v>
      </c>
    </row>
    <row r="145">
      <c r="A145" s="4" t="s">
        <v>1205</v>
      </c>
      <c r="B145" s="4" t="str">
        <f>IFERROR(__xludf.DUMMYFUNCTION("SPLIT(A145:A867, ""&gt;"")"),"Online Behavior")</f>
        <v>Online Behavior</v>
      </c>
      <c r="C145" s="4" t="str">
        <f>IFERROR(__xludf.DUMMYFUNCTION("""COMPUTED_VALUE"""),"United States")</f>
        <v>United States</v>
      </c>
      <c r="D145" s="4" t="str">
        <f>IFERROR(__xludf.DUMMYFUNCTION("""COMPUTED_VALUE"""),"Validated Demographic ")</f>
        <v>Validated Demographic </v>
      </c>
      <c r="E145" s="4" t="str">
        <f>IFERROR(__xludf.DUMMYFUNCTION("""COMPUTED_VALUE""")," Gender and Age Combined")</f>
        <v> Gender and Age Combined</v>
      </c>
      <c r="F145" s="4" t="str">
        <f>IFERROR(__xludf.DUMMYFUNCTION("""COMPUTED_VALUE"""),"Females 18-54")</f>
        <v>Females 18-54</v>
      </c>
      <c r="G145" s="4"/>
      <c r="H145" s="4"/>
      <c r="I145" s="5" t="s">
        <v>22</v>
      </c>
      <c r="J145" s="5" t="s">
        <v>31</v>
      </c>
      <c r="K145" s="5" t="s">
        <v>35</v>
      </c>
      <c r="L145" s="6" t="s">
        <v>261</v>
      </c>
      <c r="M145" s="5" t="s">
        <v>26</v>
      </c>
      <c r="N145" s="5" t="s">
        <v>27</v>
      </c>
      <c r="O145" s="5">
        <v>28553.0</v>
      </c>
      <c r="P145" s="5">
        <v>90.0</v>
      </c>
      <c r="Q145" s="5">
        <v>11390.0</v>
      </c>
      <c r="R145" s="5">
        <v>23355.0</v>
      </c>
      <c r="S145" s="5">
        <v>13.0</v>
      </c>
      <c r="T145" s="5">
        <v>5573.112396</v>
      </c>
      <c r="V145" s="21">
        <f t="shared" si="1"/>
        <v>195.1848281</v>
      </c>
      <c r="W145" s="21">
        <f t="shared" si="2"/>
        <v>489.2987178</v>
      </c>
      <c r="X145" s="21">
        <f t="shared" si="3"/>
        <v>14.44444444</v>
      </c>
      <c r="Y145" s="21">
        <f t="shared" si="4"/>
        <v>428.7009535</v>
      </c>
      <c r="Z145" s="21">
        <f t="shared" si="5"/>
        <v>61.92347107</v>
      </c>
      <c r="AA145" s="21">
        <f t="shared" si="6"/>
        <v>0.3152033061</v>
      </c>
    </row>
    <row r="146">
      <c r="A146" s="4" t="s">
        <v>1206</v>
      </c>
      <c r="B146" s="4" t="str">
        <f>IFERROR(__xludf.DUMMYFUNCTION("SPLIT(A146:A868, ""&gt;"")"),"Telecommunications (Telco) ")</f>
        <v>Telecommunications (Telco) </v>
      </c>
      <c r="C146" s="4" t="str">
        <f>IFERROR(__xludf.DUMMYFUNCTION("""COMPUTED_VALUE""")," Subscribers")</f>
        <v> Subscribers</v>
      </c>
      <c r="D146" s="4"/>
      <c r="E146" s="4"/>
      <c r="F146" s="4"/>
      <c r="G146" s="4"/>
      <c r="H146" s="4"/>
      <c r="I146" s="5" t="s">
        <v>22</v>
      </c>
      <c r="J146" s="5" t="s">
        <v>23</v>
      </c>
      <c r="K146" s="5" t="s">
        <v>142</v>
      </c>
      <c r="L146" s="6" t="s">
        <v>264</v>
      </c>
      <c r="M146" s="5" t="s">
        <v>19</v>
      </c>
      <c r="N146" s="5" t="s">
        <v>27</v>
      </c>
      <c r="O146" s="5">
        <v>29393.0</v>
      </c>
      <c r="P146" s="5">
        <v>70.0</v>
      </c>
      <c r="Q146" s="5">
        <v>3277.0</v>
      </c>
      <c r="R146" s="5">
        <v>25959.0</v>
      </c>
      <c r="S146" s="5">
        <v>19.0</v>
      </c>
      <c r="T146" s="5">
        <v>2120.757698</v>
      </c>
      <c r="V146" s="21">
        <f t="shared" si="1"/>
        <v>72.15179458</v>
      </c>
      <c r="W146" s="21">
        <f t="shared" si="2"/>
        <v>647.1643875</v>
      </c>
      <c r="X146" s="21">
        <f t="shared" si="3"/>
        <v>27.14285714</v>
      </c>
      <c r="Y146" s="21">
        <f t="shared" si="4"/>
        <v>111.6188262</v>
      </c>
      <c r="Z146" s="21">
        <f t="shared" si="5"/>
        <v>30.29653854</v>
      </c>
      <c r="AA146" s="21">
        <f t="shared" si="6"/>
        <v>0.2381519409</v>
      </c>
    </row>
    <row r="147">
      <c r="A147" s="4" t="s">
        <v>1207</v>
      </c>
      <c r="B147" s="4" t="str">
        <f>IFERROR(__xludf.DUMMYFUNCTION("SPLIT(A147:A869, ""&gt;"")"),"Online Behavior")</f>
        <v>Online Behavior</v>
      </c>
      <c r="C147" s="4" t="str">
        <f>IFERROR(__xludf.DUMMYFUNCTION("""COMPUTED_VALUE"""),"United States")</f>
        <v>United States</v>
      </c>
      <c r="D147" s="4" t="str">
        <f>IFERROR(__xludf.DUMMYFUNCTION("""COMPUTED_VALUE"""),"Finance ")</f>
        <v>Finance </v>
      </c>
      <c r="E147" s="4" t="str">
        <f>IFERROR(__xludf.DUMMYFUNCTION("""COMPUTED_VALUE""")," Banking")</f>
        <v> Banking</v>
      </c>
      <c r="F147" s="4" t="str">
        <f>IFERROR(__xludf.DUMMYFUNCTION("""COMPUTED_VALUE"""),"ATMs and Branch Locations")</f>
        <v>ATMs and Branch Locations</v>
      </c>
      <c r="G147" s="4"/>
      <c r="H147" s="4"/>
      <c r="I147" s="5" t="s">
        <v>22</v>
      </c>
      <c r="J147" s="5" t="s">
        <v>16</v>
      </c>
      <c r="K147" s="5" t="s">
        <v>17</v>
      </c>
      <c r="L147" s="6" t="s">
        <v>266</v>
      </c>
      <c r="M147" s="5" t="s">
        <v>33</v>
      </c>
      <c r="N147" s="5" t="s">
        <v>27</v>
      </c>
      <c r="O147" s="5">
        <v>39212.0</v>
      </c>
      <c r="P147" s="5">
        <v>260.0</v>
      </c>
      <c r="Q147" s="5">
        <v>31317.0</v>
      </c>
      <c r="R147" s="5">
        <v>37660.0</v>
      </c>
      <c r="S147" s="5">
        <v>1.0</v>
      </c>
      <c r="T147" s="5">
        <v>3621.417703</v>
      </c>
      <c r="V147" s="21">
        <f t="shared" si="1"/>
        <v>92.35483278</v>
      </c>
      <c r="W147" s="21">
        <f t="shared" si="2"/>
        <v>115.6374398</v>
      </c>
      <c r="X147" s="21">
        <f t="shared" si="3"/>
        <v>0.3846153846</v>
      </c>
      <c r="Y147" s="21">
        <f t="shared" si="4"/>
        <v>3621.417703</v>
      </c>
      <c r="Z147" s="21">
        <f t="shared" si="5"/>
        <v>13.92852963</v>
      </c>
      <c r="AA147" s="21">
        <f t="shared" si="6"/>
        <v>0.6630623279</v>
      </c>
    </row>
    <row r="148">
      <c r="A148" s="4" t="s">
        <v>1208</v>
      </c>
      <c r="B148" s="4" t="str">
        <f>IFERROR(__xludf.DUMMYFUNCTION("SPLIT(A148:A870, ""&gt;"")"),"Online Behavior")</f>
        <v>Online Behavior</v>
      </c>
      <c r="C148" s="4" t="str">
        <f>IFERROR(__xludf.DUMMYFUNCTION("""COMPUTED_VALUE"""),"United States")</f>
        <v>United States</v>
      </c>
      <c r="D148" s="4" t="str">
        <f>IFERROR(__xludf.DUMMYFUNCTION("""COMPUTED_VALUE"""),"Intent ")</f>
        <v>Intent </v>
      </c>
      <c r="E148" s="4" t="str">
        <f>IFERROR(__xludf.DUMMYFUNCTION("""COMPUTED_VALUE""")," Travel")</f>
        <v> Travel</v>
      </c>
      <c r="F148" s="4" t="str">
        <f>IFERROR(__xludf.DUMMYFUNCTION("""COMPUTED_VALUE"""),"Accommodation ")</f>
        <v>Accommodation </v>
      </c>
      <c r="G148" s="4" t="str">
        <f>IFERROR(__xludf.DUMMYFUNCTION("""COMPUTED_VALUE""")," Hotels")</f>
        <v> Hotels</v>
      </c>
      <c r="H148" s="4"/>
      <c r="I148" s="5" t="s">
        <v>61</v>
      </c>
      <c r="J148" s="5" t="s">
        <v>42</v>
      </c>
      <c r="K148" s="5" t="s">
        <v>39</v>
      </c>
      <c r="L148" s="6" t="s">
        <v>268</v>
      </c>
      <c r="M148" s="5" t="s">
        <v>19</v>
      </c>
      <c r="N148" s="5" t="s">
        <v>27</v>
      </c>
      <c r="O148" s="5">
        <v>14137.0</v>
      </c>
      <c r="P148" s="5">
        <v>44.0</v>
      </c>
      <c r="Q148" s="5">
        <v>9300.0</v>
      </c>
      <c r="R148" s="5">
        <v>13110.0</v>
      </c>
      <c r="S148" s="5">
        <v>8.0</v>
      </c>
      <c r="T148" s="5">
        <v>6345.460338</v>
      </c>
      <c r="V148" s="21">
        <f t="shared" si="1"/>
        <v>448.8548022</v>
      </c>
      <c r="W148" s="21">
        <f t="shared" si="2"/>
        <v>682.3075632</v>
      </c>
      <c r="X148" s="21">
        <f t="shared" si="3"/>
        <v>18.18181818</v>
      </c>
      <c r="Y148" s="21">
        <f t="shared" si="4"/>
        <v>793.1825423</v>
      </c>
      <c r="Z148" s="21">
        <f t="shared" si="5"/>
        <v>144.2150077</v>
      </c>
      <c r="AA148" s="21">
        <f t="shared" si="6"/>
        <v>0.3112400085</v>
      </c>
    </row>
    <row r="149">
      <c r="A149" s="4" t="s">
        <v>269</v>
      </c>
      <c r="B149" s="4" t="str">
        <f>IFERROR(__xludf.DUMMYFUNCTION("SPLIT(A149:A871, ""&gt;"")"),"Online Behavior")</f>
        <v>Online Behavior</v>
      </c>
      <c r="C149" s="4" t="str">
        <f>IFERROR(__xludf.DUMMYFUNCTION("""COMPUTED_VALUE"""),"United States")</f>
        <v>United States</v>
      </c>
      <c r="D149" s="4" t="str">
        <f>IFERROR(__xludf.DUMMYFUNCTION("""COMPUTED_VALUE"""),"Home and Garden")</f>
        <v>Home and Garden</v>
      </c>
      <c r="E149" s="4" t="str">
        <f>IFERROR(__xludf.DUMMYFUNCTION("""COMPUTED_VALUE"""),"Homemaking and Interior Decor")</f>
        <v>Homemaking and Interior Decor</v>
      </c>
      <c r="F149" s="4"/>
      <c r="G149" s="4"/>
      <c r="H149" s="4"/>
      <c r="I149" s="5" t="s">
        <v>15</v>
      </c>
      <c r="J149" s="5" t="s">
        <v>42</v>
      </c>
      <c r="K149" s="5" t="s">
        <v>17</v>
      </c>
      <c r="L149" s="6" t="s">
        <v>268</v>
      </c>
      <c r="M149" s="5" t="s">
        <v>19</v>
      </c>
      <c r="N149" s="5" t="s">
        <v>27</v>
      </c>
      <c r="O149" s="5">
        <v>7921.0</v>
      </c>
      <c r="P149" s="5">
        <v>50.0</v>
      </c>
      <c r="Q149" s="5">
        <v>4727.0</v>
      </c>
      <c r="R149" s="5">
        <v>6513.0</v>
      </c>
      <c r="S149" s="5">
        <v>11.0</v>
      </c>
      <c r="T149" s="5">
        <v>5379.00144</v>
      </c>
      <c r="V149" s="21">
        <f t="shared" si="1"/>
        <v>679.0811059</v>
      </c>
      <c r="W149" s="21">
        <f t="shared" si="2"/>
        <v>1137.931339</v>
      </c>
      <c r="X149" s="21">
        <f t="shared" si="3"/>
        <v>22</v>
      </c>
      <c r="Y149" s="21">
        <f t="shared" si="4"/>
        <v>489.0001309</v>
      </c>
      <c r="Z149" s="21">
        <f t="shared" si="5"/>
        <v>107.5800288</v>
      </c>
      <c r="AA149" s="21">
        <f t="shared" si="6"/>
        <v>0.6312334301</v>
      </c>
    </row>
    <row r="150">
      <c r="A150" s="4" t="s">
        <v>1775</v>
      </c>
      <c r="B150" s="4" t="str">
        <f>IFERROR(__xludf.DUMMYFUNCTION("SPLIT(A150:A872, ""&gt;"")"),"US ")</f>
        <v>US </v>
      </c>
      <c r="C150" s="4" t="str">
        <f>IFERROR(__xludf.DUMMYFUNCTION("""COMPUTED_VALUE""")," Sociodemographic ")</f>
        <v> Sociodemographic </v>
      </c>
      <c r="D150" s="4" t="str">
        <f>IFERROR(__xludf.DUMMYFUNCTION("""COMPUTED_VALUE""")," P$YCLE Premier Lifestage ")</f>
        <v> P$YCLE Premier Lifestage </v>
      </c>
      <c r="E150" s="4" t="str">
        <f>IFERROR(__xludf.DUMMYFUNCTION("""COMPUTED_VALUE""")," M2 Wealthy Achievers")</f>
        <v> M2 Wealthy Achievers</v>
      </c>
      <c r="F150" s="4"/>
      <c r="G150" s="4"/>
      <c r="H150" s="4"/>
      <c r="I150" s="5" t="s">
        <v>22</v>
      </c>
      <c r="J150" s="5" t="s">
        <v>42</v>
      </c>
      <c r="K150" s="5" t="s">
        <v>29</v>
      </c>
      <c r="L150" s="6" t="s">
        <v>271</v>
      </c>
      <c r="M150" s="5" t="s">
        <v>19</v>
      </c>
      <c r="N150" s="5" t="s">
        <v>27</v>
      </c>
      <c r="O150" s="5">
        <v>11025.0</v>
      </c>
      <c r="P150" s="5">
        <v>50.0</v>
      </c>
      <c r="Q150" s="5">
        <v>7974.0</v>
      </c>
      <c r="R150" s="5">
        <v>10311.0</v>
      </c>
      <c r="S150" s="5">
        <v>4.0</v>
      </c>
      <c r="T150" s="5">
        <v>1657.159766</v>
      </c>
      <c r="V150" s="21">
        <f t="shared" si="1"/>
        <v>150.3092758</v>
      </c>
      <c r="W150" s="21">
        <f t="shared" si="2"/>
        <v>207.820387</v>
      </c>
      <c r="X150" s="21">
        <f t="shared" si="3"/>
        <v>8</v>
      </c>
      <c r="Y150" s="21">
        <f t="shared" si="4"/>
        <v>414.2899415</v>
      </c>
      <c r="Z150" s="21">
        <f t="shared" si="5"/>
        <v>33.14319532</v>
      </c>
      <c r="AA150" s="21">
        <f t="shared" si="6"/>
        <v>0.4535147392</v>
      </c>
    </row>
    <row r="151">
      <c r="A151" s="4" t="s">
        <v>1776</v>
      </c>
      <c r="B151" s="4" t="str">
        <f>IFERROR(__xludf.DUMMYFUNCTION("SPLIT(A151:A873, ""&gt;"")"),"US ")</f>
        <v>US </v>
      </c>
      <c r="C151" s="4" t="str">
        <f>IFERROR(__xludf.DUMMYFUNCTION("""COMPUTED_VALUE""")," Brand Propensities ")</f>
        <v> Brand Propensities </v>
      </c>
      <c r="D151" s="4" t="str">
        <f>IFERROR(__xludf.DUMMYFUNCTION("""COMPUTED_VALUE""")," Health ")</f>
        <v> Health </v>
      </c>
      <c r="E151" s="4" t="str">
        <f>IFERROR(__xludf.DUMMYFUNCTION("""COMPUTED_VALUE""")," Beauty and Cosmetics ")</f>
        <v> Beauty and Cosmetics </v>
      </c>
      <c r="F151" s="4" t="str">
        <f>IFERROR(__xludf.DUMMYFUNCTION("""COMPUTED_VALUE""")," Bare Escentuals Buyer Propensity")</f>
        <v> Bare Escentuals Buyer Propensity</v>
      </c>
      <c r="G151" s="4"/>
      <c r="H151" s="4"/>
      <c r="I151" s="5" t="s">
        <v>15</v>
      </c>
      <c r="J151" s="5" t="s">
        <v>42</v>
      </c>
      <c r="K151" s="5" t="s">
        <v>273</v>
      </c>
      <c r="L151" s="6" t="s">
        <v>271</v>
      </c>
      <c r="M151" s="5" t="s">
        <v>26</v>
      </c>
      <c r="N151" s="5" t="s">
        <v>27</v>
      </c>
      <c r="O151" s="5">
        <v>14922.0</v>
      </c>
      <c r="P151" s="5">
        <v>99.0</v>
      </c>
      <c r="Q151" s="5">
        <v>10713.0</v>
      </c>
      <c r="R151" s="5">
        <v>13992.0</v>
      </c>
      <c r="S151" s="5">
        <v>5.0</v>
      </c>
      <c r="T151" s="5">
        <v>1578.876432</v>
      </c>
      <c r="V151" s="21">
        <f t="shared" si="1"/>
        <v>105.8086337</v>
      </c>
      <c r="W151" s="21">
        <f t="shared" si="2"/>
        <v>147.3794859</v>
      </c>
      <c r="X151" s="21">
        <f t="shared" si="3"/>
        <v>5.050505051</v>
      </c>
      <c r="Y151" s="21">
        <f t="shared" si="4"/>
        <v>315.7752864</v>
      </c>
      <c r="Z151" s="21">
        <f t="shared" si="5"/>
        <v>15.94824679</v>
      </c>
      <c r="AA151" s="21">
        <f t="shared" si="6"/>
        <v>0.6634499397</v>
      </c>
    </row>
    <row r="152">
      <c r="A152" s="4" t="s">
        <v>275</v>
      </c>
      <c r="B152" s="4" t="str">
        <f>IFERROR(__xludf.DUMMYFUNCTION("SPLIT(A152:A875, ""&gt;"")"),"Online Behavior")</f>
        <v>Online Behavior</v>
      </c>
      <c r="C152" s="4" t="str">
        <f>IFERROR(__xludf.DUMMYFUNCTION("""COMPUTED_VALUE"""),"United States")</f>
        <v>United States</v>
      </c>
      <c r="D152" s="4" t="str">
        <f>IFERROR(__xludf.DUMMYFUNCTION("""COMPUTED_VALUE"""),"Internet and Telecom")</f>
        <v>Internet and Telecom</v>
      </c>
      <c r="E152" s="4" t="str">
        <f>IFERROR(__xludf.DUMMYFUNCTION("""COMPUTED_VALUE"""),"Email and Messaging")</f>
        <v>Email and Messaging</v>
      </c>
      <c r="F152" s="4"/>
      <c r="G152" s="4"/>
      <c r="H152" s="4"/>
      <c r="I152" s="5" t="s">
        <v>22</v>
      </c>
      <c r="J152" s="5" t="s">
        <v>16</v>
      </c>
      <c r="K152" s="5" t="s">
        <v>55</v>
      </c>
      <c r="L152" s="6" t="s">
        <v>276</v>
      </c>
      <c r="M152" s="5" t="s">
        <v>48</v>
      </c>
      <c r="N152" s="5" t="s">
        <v>27</v>
      </c>
      <c r="O152" s="5">
        <v>14553.0</v>
      </c>
      <c r="P152" s="5">
        <v>47.0</v>
      </c>
      <c r="Q152" s="5">
        <v>6119.0</v>
      </c>
      <c r="R152" s="5">
        <v>12505.0</v>
      </c>
      <c r="S152" s="5">
        <v>11.0</v>
      </c>
      <c r="T152" s="5">
        <v>6968.00047</v>
      </c>
      <c r="V152" s="21">
        <f t="shared" si="1"/>
        <v>478.801654</v>
      </c>
      <c r="W152" s="21">
        <f t="shared" si="2"/>
        <v>1138.748238</v>
      </c>
      <c r="X152" s="21">
        <f t="shared" si="3"/>
        <v>23.40425532</v>
      </c>
      <c r="Y152" s="21">
        <f t="shared" si="4"/>
        <v>633.4545882</v>
      </c>
      <c r="Z152" s="21">
        <f t="shared" si="5"/>
        <v>148.2553291</v>
      </c>
      <c r="AA152" s="21">
        <f t="shared" si="6"/>
        <v>0.3229574658</v>
      </c>
    </row>
    <row r="153">
      <c r="A153" s="4" t="s">
        <v>277</v>
      </c>
      <c r="B153" s="4" t="str">
        <f>IFERROR(__xludf.DUMMYFUNCTION("SPLIT(A153:A876, ""&gt;"")"),"Online Behavior")</f>
        <v>Online Behavior</v>
      </c>
      <c r="C153" s="4" t="str">
        <f>IFERROR(__xludf.DUMMYFUNCTION("""COMPUTED_VALUE"""),"United States")</f>
        <v>United States</v>
      </c>
      <c r="D153" s="4" t="str">
        <f>IFERROR(__xludf.DUMMYFUNCTION("""COMPUTED_VALUE"""),"Travel")</f>
        <v>Travel</v>
      </c>
      <c r="E153" s="4" t="str">
        <f>IFERROR(__xludf.DUMMYFUNCTION("""COMPUTED_VALUE"""),"Car Rental and Taxi Services")</f>
        <v>Car Rental and Taxi Services</v>
      </c>
      <c r="F153" s="4"/>
      <c r="G153" s="4"/>
      <c r="H153" s="4"/>
      <c r="I153" s="5" t="s">
        <v>61</v>
      </c>
      <c r="J153" s="5" t="s">
        <v>16</v>
      </c>
      <c r="K153" s="5" t="s">
        <v>17</v>
      </c>
      <c r="L153" s="6" t="s">
        <v>278</v>
      </c>
      <c r="M153" s="5" t="s">
        <v>26</v>
      </c>
      <c r="N153" s="5" t="s">
        <v>27</v>
      </c>
      <c r="O153" s="5">
        <v>10350.0</v>
      </c>
      <c r="P153" s="5">
        <v>66.0</v>
      </c>
      <c r="Q153" s="5">
        <v>723.0</v>
      </c>
      <c r="R153" s="5">
        <v>8720.0</v>
      </c>
      <c r="S153" s="5">
        <v>14.0</v>
      </c>
      <c r="T153" s="5">
        <v>6774.202636</v>
      </c>
      <c r="V153" s="21">
        <f t="shared" si="1"/>
        <v>654.512332</v>
      </c>
      <c r="W153" s="21">
        <f t="shared" si="2"/>
        <v>9369.574877</v>
      </c>
      <c r="X153" s="21">
        <f t="shared" si="3"/>
        <v>21.21212121</v>
      </c>
      <c r="Y153" s="21">
        <f t="shared" si="4"/>
        <v>483.8716169</v>
      </c>
      <c r="Z153" s="21">
        <f t="shared" si="5"/>
        <v>102.6394339</v>
      </c>
      <c r="AA153" s="21">
        <f t="shared" si="6"/>
        <v>0.6376811594</v>
      </c>
    </row>
    <row r="154">
      <c r="A154" s="4" t="s">
        <v>1778</v>
      </c>
      <c r="B154" s="4" t="str">
        <f>IFERROR(__xludf.DUMMYFUNCTION("SPLIT(A154:A877, ""&gt;"")"),"Mobile - US ")</f>
        <v>Mobile - US </v>
      </c>
      <c r="C154" s="4" t="str">
        <f>IFERROR(__xludf.DUMMYFUNCTION("""COMPUTED_VALUE""")," Food ")</f>
        <v> Food </v>
      </c>
      <c r="D154" s="4" t="str">
        <f>IFERROR(__xludf.DUMMYFUNCTION("""COMPUTED_VALUE""")," Restaurant ")</f>
        <v> Restaurant </v>
      </c>
      <c r="E154" s="4" t="str">
        <f>IFERROR(__xludf.DUMMYFUNCTION("""COMPUTED_VALUE""")," Style ")</f>
        <v> Style </v>
      </c>
      <c r="F154" s="4" t="str">
        <f>IFERROR(__xludf.DUMMYFUNCTION("""COMPUTED_VALUE""")," Desserts")</f>
        <v> Desserts</v>
      </c>
      <c r="G154" s="4"/>
      <c r="H154" s="4"/>
      <c r="I154" s="5" t="s">
        <v>15</v>
      </c>
      <c r="J154" s="5" t="s">
        <v>23</v>
      </c>
      <c r="K154" s="5" t="s">
        <v>78</v>
      </c>
      <c r="L154" s="6" t="s">
        <v>278</v>
      </c>
      <c r="M154" s="5" t="s">
        <v>46</v>
      </c>
      <c r="N154" s="5" t="s">
        <v>20</v>
      </c>
      <c r="O154" s="5">
        <v>18028.0</v>
      </c>
      <c r="P154" s="5">
        <v>89.0</v>
      </c>
      <c r="Q154" s="5">
        <v>1851.0</v>
      </c>
      <c r="R154" s="5">
        <v>14926.0</v>
      </c>
      <c r="S154" s="5">
        <v>24.0</v>
      </c>
      <c r="T154" s="5">
        <v>1572.24171</v>
      </c>
      <c r="V154" s="21">
        <f t="shared" si="1"/>
        <v>87.21109996</v>
      </c>
      <c r="W154" s="21">
        <f t="shared" si="2"/>
        <v>849.401248</v>
      </c>
      <c r="X154" s="21">
        <f t="shared" si="3"/>
        <v>26.96629213</v>
      </c>
      <c r="Y154" s="21">
        <f t="shared" si="4"/>
        <v>65.51007125</v>
      </c>
      <c r="Z154" s="21">
        <f t="shared" si="5"/>
        <v>17.66563719</v>
      </c>
      <c r="AA154" s="21">
        <f t="shared" si="6"/>
        <v>0.4936765032</v>
      </c>
    </row>
    <row r="155">
      <c r="A155" s="4" t="s">
        <v>1779</v>
      </c>
      <c r="B155" s="4" t="str">
        <f>IFERROR(__xludf.DUMMYFUNCTION("SPLIT(A155:A878, ""&gt;"")"),"US ")</f>
        <v>US </v>
      </c>
      <c r="C155" s="4" t="str">
        <f>IFERROR(__xludf.DUMMYFUNCTION("""COMPUTED_VALUE""")," AUTO ")</f>
        <v> AUTO </v>
      </c>
      <c r="D155" s="4" t="str">
        <f>IFERROR(__xludf.DUMMYFUNCTION("""COMPUTED_VALUE""")," Primary Vehicle ")</f>
        <v> Primary Vehicle </v>
      </c>
      <c r="E155" s="4" t="str">
        <f>IFERROR(__xludf.DUMMYFUNCTION("""COMPUTED_VALUE""")," New or Used ")</f>
        <v> New or Used </v>
      </c>
      <c r="F155" s="4" t="str">
        <f>IFERROR(__xludf.DUMMYFUNCTION("""COMPUTED_VALUE""")," New")</f>
        <v> New</v>
      </c>
      <c r="G155" s="4"/>
      <c r="H155" s="4"/>
      <c r="I155" s="5" t="s">
        <v>15</v>
      </c>
      <c r="J155" s="5" t="s">
        <v>23</v>
      </c>
      <c r="K155" s="5" t="s">
        <v>17</v>
      </c>
      <c r="L155" s="6" t="s">
        <v>281</v>
      </c>
      <c r="M155" s="5" t="s">
        <v>19</v>
      </c>
      <c r="N155" s="5" t="s">
        <v>27</v>
      </c>
      <c r="O155" s="5">
        <v>12391.0</v>
      </c>
      <c r="P155" s="5">
        <v>40.0</v>
      </c>
      <c r="Q155" s="5">
        <v>5756.0</v>
      </c>
      <c r="R155" s="5">
        <v>11636.0</v>
      </c>
      <c r="S155" s="5">
        <v>4.0</v>
      </c>
      <c r="T155" s="5">
        <v>3069.123483</v>
      </c>
      <c r="V155" s="21">
        <f t="shared" si="1"/>
        <v>247.6897331</v>
      </c>
      <c r="W155" s="21">
        <f t="shared" si="2"/>
        <v>533.2042187</v>
      </c>
      <c r="X155" s="21">
        <f t="shared" si="3"/>
        <v>10</v>
      </c>
      <c r="Y155" s="21">
        <f t="shared" si="4"/>
        <v>767.2808708</v>
      </c>
      <c r="Z155" s="21">
        <f t="shared" si="5"/>
        <v>76.72808708</v>
      </c>
      <c r="AA155" s="21">
        <f t="shared" si="6"/>
        <v>0.3228149463</v>
      </c>
    </row>
    <row r="156">
      <c r="A156" s="4" t="s">
        <v>1780</v>
      </c>
      <c r="B156" s="4" t="str">
        <f>IFERROR(__xludf.DUMMYFUNCTION("SPLIT(A156:A879, ""&gt;"")"),"US ")</f>
        <v>US </v>
      </c>
      <c r="C156" s="4" t="str">
        <f>IFERROR(__xludf.DUMMYFUNCTION("""COMPUTED_VALUE""")," B2B ")</f>
        <v> B2B </v>
      </c>
      <c r="D156" s="4" t="str">
        <f>IFERROR(__xludf.DUMMYFUNCTION("""COMPUTED_VALUE""")," B2B Decision Maker Responsibilities ")</f>
        <v> B2B Decision Maker Responsibilities </v>
      </c>
      <c r="E156" s="4" t="str">
        <f>IFERROR(__xludf.DUMMYFUNCTION("""COMPUTED_VALUE""")," Advertising Services")</f>
        <v> Advertising Services</v>
      </c>
      <c r="F156" s="4"/>
      <c r="G156" s="4"/>
      <c r="H156" s="4"/>
      <c r="I156" s="5" t="s">
        <v>22</v>
      </c>
      <c r="J156" s="5" t="s">
        <v>31</v>
      </c>
      <c r="K156" s="5" t="s">
        <v>32</v>
      </c>
      <c r="L156" s="6" t="s">
        <v>283</v>
      </c>
      <c r="M156" s="5" t="s">
        <v>46</v>
      </c>
      <c r="N156" s="5" t="s">
        <v>27</v>
      </c>
      <c r="O156" s="5">
        <v>14917.0</v>
      </c>
      <c r="P156" s="5">
        <v>10.0</v>
      </c>
      <c r="Q156" s="5">
        <v>3065.0</v>
      </c>
      <c r="R156" s="5">
        <v>13109.0</v>
      </c>
      <c r="S156" s="5">
        <v>3.0</v>
      </c>
      <c r="T156" s="5">
        <v>1583.537104</v>
      </c>
      <c r="V156" s="21">
        <f t="shared" si="1"/>
        <v>106.1565398</v>
      </c>
      <c r="W156" s="21">
        <f t="shared" si="2"/>
        <v>516.6515837</v>
      </c>
      <c r="X156" s="21">
        <f t="shared" si="3"/>
        <v>30</v>
      </c>
      <c r="Y156" s="21">
        <f t="shared" si="4"/>
        <v>527.8457013</v>
      </c>
      <c r="Z156" s="21">
        <f t="shared" si="5"/>
        <v>158.3537104</v>
      </c>
      <c r="AA156" s="21">
        <f t="shared" si="6"/>
        <v>0.0670376081</v>
      </c>
    </row>
    <row r="157">
      <c r="A157" s="4" t="s">
        <v>1215</v>
      </c>
      <c r="B157" s="4" t="str">
        <f>IFERROR(__xludf.DUMMYFUNCTION("SPLIT(A157:A880, ""&gt;"")"),"Online Behavior")</f>
        <v>Online Behavior</v>
      </c>
      <c r="C157" s="4" t="str">
        <f>IFERROR(__xludf.DUMMYFUNCTION("""COMPUTED_VALUE"""),"United States")</f>
        <v>United States</v>
      </c>
      <c r="D157" s="4" t="str">
        <f>IFERROR(__xludf.DUMMYFUNCTION("""COMPUTED_VALUE"""),"Intent ")</f>
        <v>Intent </v>
      </c>
      <c r="E157" s="4" t="str">
        <f>IFERROR(__xludf.DUMMYFUNCTION("""COMPUTED_VALUE""")," Travel")</f>
        <v> Travel</v>
      </c>
      <c r="F157" s="4" t="str">
        <f>IFERROR(__xludf.DUMMYFUNCTION("""COMPUTED_VALUE"""),"Cruises")</f>
        <v>Cruises</v>
      </c>
      <c r="G157" s="4"/>
      <c r="H157" s="4"/>
      <c r="I157" s="5" t="s">
        <v>61</v>
      </c>
      <c r="J157" s="5" t="s">
        <v>16</v>
      </c>
      <c r="K157" s="5" t="s">
        <v>29</v>
      </c>
      <c r="L157" s="6" t="s">
        <v>285</v>
      </c>
      <c r="M157" s="5" t="s">
        <v>117</v>
      </c>
      <c r="N157" s="5" t="s">
        <v>27</v>
      </c>
      <c r="O157" s="5">
        <v>9560.0</v>
      </c>
      <c r="P157" s="5">
        <v>98.0</v>
      </c>
      <c r="Q157" s="5">
        <v>3076.0</v>
      </c>
      <c r="R157" s="5">
        <v>6252.0</v>
      </c>
      <c r="S157" s="5">
        <v>17.0</v>
      </c>
      <c r="T157" s="5">
        <v>6420.218123</v>
      </c>
      <c r="V157" s="21">
        <f t="shared" si="1"/>
        <v>671.5709334</v>
      </c>
      <c r="W157" s="21">
        <f t="shared" si="2"/>
        <v>2087.197049</v>
      </c>
      <c r="X157" s="21">
        <f t="shared" si="3"/>
        <v>17.34693878</v>
      </c>
      <c r="Y157" s="21">
        <f t="shared" si="4"/>
        <v>377.6598896</v>
      </c>
      <c r="Z157" s="21">
        <f t="shared" si="5"/>
        <v>65.51242983</v>
      </c>
      <c r="AA157" s="21">
        <f t="shared" si="6"/>
        <v>1.025104603</v>
      </c>
    </row>
    <row r="158">
      <c r="A158" s="4" t="s">
        <v>1781</v>
      </c>
      <c r="B158" s="4" t="str">
        <f>IFERROR(__xludf.DUMMYFUNCTION("SPLIT(A158:A881, ""&gt;"")"),"US ")</f>
        <v>US </v>
      </c>
      <c r="C158" s="4" t="str">
        <f>IFERROR(__xludf.DUMMYFUNCTION("""COMPUTED_VALUE""")," B2B ")</f>
        <v> B2B </v>
      </c>
      <c r="D158" s="4" t="str">
        <f>IFERROR(__xludf.DUMMYFUNCTION("""COMPUTED_VALUE""")," B2B Decision Maker Responsibilities ")</f>
        <v> B2B Decision Maker Responsibilities </v>
      </c>
      <c r="E158" s="4" t="str">
        <f>IFERROR(__xludf.DUMMYFUNCTION("""COMPUTED_VALUE""")," Accounting or Tax Services")</f>
        <v> Accounting or Tax Services</v>
      </c>
      <c r="F158" s="4"/>
      <c r="G158" s="4"/>
      <c r="H158" s="4"/>
      <c r="I158" s="5" t="s">
        <v>22</v>
      </c>
      <c r="J158" s="5" t="s">
        <v>23</v>
      </c>
      <c r="K158" s="5" t="s">
        <v>55</v>
      </c>
      <c r="L158" s="6" t="s">
        <v>287</v>
      </c>
      <c r="M158" s="5" t="s">
        <v>19</v>
      </c>
      <c r="N158" s="5" t="s">
        <v>27</v>
      </c>
      <c r="O158" s="5">
        <v>12606.0</v>
      </c>
      <c r="P158" s="5">
        <v>74.0</v>
      </c>
      <c r="Q158" s="5">
        <v>8332.0</v>
      </c>
      <c r="R158" s="5">
        <v>11170.0</v>
      </c>
      <c r="S158" s="5">
        <v>5.0</v>
      </c>
      <c r="T158" s="5">
        <v>2002.537989</v>
      </c>
      <c r="V158" s="21">
        <f t="shared" si="1"/>
        <v>158.8559407</v>
      </c>
      <c r="W158" s="21">
        <f t="shared" si="2"/>
        <v>240.3430136</v>
      </c>
      <c r="X158" s="21">
        <f t="shared" si="3"/>
        <v>6.756756757</v>
      </c>
      <c r="Y158" s="21">
        <f t="shared" si="4"/>
        <v>400.5075978</v>
      </c>
      <c r="Z158" s="21">
        <f t="shared" si="5"/>
        <v>27.06132418</v>
      </c>
      <c r="AA158" s="21">
        <f t="shared" si="6"/>
        <v>0.587022053</v>
      </c>
    </row>
    <row r="159">
      <c r="A159" s="4" t="s">
        <v>288</v>
      </c>
      <c r="B159" s="4" t="str">
        <f>IFERROR(__xludf.DUMMYFUNCTION("SPLIT(A159:A882, ""&gt;"")"),"Online Behavior")</f>
        <v>Online Behavior</v>
      </c>
      <c r="C159" s="4" t="str">
        <f>IFERROR(__xludf.DUMMYFUNCTION("""COMPUTED_VALUE"""),"United States")</f>
        <v>United States</v>
      </c>
      <c r="D159" s="4" t="str">
        <f>IFERROR(__xludf.DUMMYFUNCTION("""COMPUTED_VALUE"""),"Beauty and Fitness")</f>
        <v>Beauty and Fitness</v>
      </c>
      <c r="E159" s="4" t="str">
        <f>IFERROR(__xludf.DUMMYFUNCTION("""COMPUTED_VALUE"""),"Cosmetology and Beauty Professionals")</f>
        <v>Cosmetology and Beauty Professionals</v>
      </c>
      <c r="F159" s="4"/>
      <c r="G159" s="4"/>
      <c r="H159" s="4"/>
      <c r="I159" s="5" t="s">
        <v>22</v>
      </c>
      <c r="J159" s="5" t="s">
        <v>16</v>
      </c>
      <c r="K159" s="5" t="s">
        <v>78</v>
      </c>
      <c r="L159" s="6" t="s">
        <v>289</v>
      </c>
      <c r="M159" s="5" t="s">
        <v>33</v>
      </c>
      <c r="N159" s="5" t="s">
        <v>27</v>
      </c>
      <c r="O159" s="5">
        <v>18022.0</v>
      </c>
      <c r="P159" s="5">
        <v>30.0</v>
      </c>
      <c r="Q159" s="5">
        <v>10618.0</v>
      </c>
      <c r="R159" s="5">
        <v>16643.0</v>
      </c>
      <c r="S159" s="5">
        <v>15.0</v>
      </c>
      <c r="T159" s="5">
        <v>4051.158749</v>
      </c>
      <c r="V159" s="21">
        <f t="shared" si="1"/>
        <v>224.7896321</v>
      </c>
      <c r="W159" s="21">
        <f t="shared" si="2"/>
        <v>381.5368948</v>
      </c>
      <c r="X159" s="21">
        <f t="shared" si="3"/>
        <v>50</v>
      </c>
      <c r="Y159" s="21">
        <f t="shared" si="4"/>
        <v>270.0772499</v>
      </c>
      <c r="Z159" s="21">
        <f t="shared" si="5"/>
        <v>135.038625</v>
      </c>
      <c r="AA159" s="21">
        <f t="shared" si="6"/>
        <v>0.1664632116</v>
      </c>
    </row>
    <row r="160">
      <c r="A160" s="4" t="s">
        <v>1217</v>
      </c>
      <c r="B160" s="4" t="str">
        <f>IFERROR(__xludf.DUMMYFUNCTION("SPLIT(A160:A883, ""&gt;"")"),"Online Behavior")</f>
        <v>Online Behavior</v>
      </c>
      <c r="C160" s="4" t="str">
        <f>IFERROR(__xludf.DUMMYFUNCTION("""COMPUTED_VALUE"""),"United States")</f>
        <v>United States</v>
      </c>
      <c r="D160" s="4" t="str">
        <f>IFERROR(__xludf.DUMMYFUNCTION("""COMPUTED_VALUE"""),"Finance ")</f>
        <v>Finance </v>
      </c>
      <c r="E160" s="4" t="str">
        <f>IFERROR(__xludf.DUMMYFUNCTION("""COMPUTED_VALUE""")," Insurance")</f>
        <v> Insurance</v>
      </c>
      <c r="F160" s="4" t="str">
        <f>IFERROR(__xludf.DUMMYFUNCTION("""COMPUTED_VALUE"""),"Life Insurance")</f>
        <v>Life Insurance</v>
      </c>
      <c r="G160" s="4"/>
      <c r="H160" s="4"/>
      <c r="I160" s="5" t="s">
        <v>22</v>
      </c>
      <c r="J160" s="5" t="s">
        <v>16</v>
      </c>
      <c r="K160" s="5" t="s">
        <v>17</v>
      </c>
      <c r="L160" s="6" t="s">
        <v>291</v>
      </c>
      <c r="M160" s="5" t="s">
        <v>36</v>
      </c>
      <c r="N160" s="5" t="s">
        <v>27</v>
      </c>
      <c r="O160" s="5">
        <v>18401.0</v>
      </c>
      <c r="P160" s="5">
        <v>66.0</v>
      </c>
      <c r="Q160" s="5">
        <v>11051.0</v>
      </c>
      <c r="R160" s="5">
        <v>17202.0</v>
      </c>
      <c r="S160" s="5">
        <v>26.0</v>
      </c>
      <c r="T160" s="5">
        <v>6571.491552</v>
      </c>
      <c r="V160" s="21">
        <f t="shared" si="1"/>
        <v>357.1268709</v>
      </c>
      <c r="W160" s="21">
        <f t="shared" si="2"/>
        <v>594.6513032</v>
      </c>
      <c r="X160" s="21">
        <f t="shared" si="3"/>
        <v>39.39393939</v>
      </c>
      <c r="Y160" s="21">
        <f t="shared" si="4"/>
        <v>252.7496751</v>
      </c>
      <c r="Z160" s="21">
        <f t="shared" si="5"/>
        <v>99.56805382</v>
      </c>
      <c r="AA160" s="21">
        <f t="shared" si="6"/>
        <v>0.3586761589</v>
      </c>
    </row>
    <row r="161">
      <c r="A161" s="4" t="s">
        <v>292</v>
      </c>
      <c r="B161" s="4" t="str">
        <f>IFERROR(__xludf.DUMMYFUNCTION("SPLIT(A161:A884, ""&gt;"")"),"Online Behavior")</f>
        <v>Online Behavior</v>
      </c>
      <c r="C161" s="4" t="str">
        <f>IFERROR(__xludf.DUMMYFUNCTION("""COMPUTED_VALUE"""),"United States")</f>
        <v>United States</v>
      </c>
      <c r="D161" s="4" t="str">
        <f>IFERROR(__xludf.DUMMYFUNCTION("""COMPUTED_VALUE"""),"Food and Drink")</f>
        <v>Food and Drink</v>
      </c>
      <c r="E161" s="4" t="str">
        <f>IFERROR(__xludf.DUMMYFUNCTION("""COMPUTED_VALUE"""),"Food and Grocery Retailers")</f>
        <v>Food and Grocery Retailers</v>
      </c>
      <c r="F161" s="4"/>
      <c r="G161" s="4"/>
      <c r="H161" s="4"/>
      <c r="I161" s="5" t="s">
        <v>22</v>
      </c>
      <c r="J161" s="5" t="s">
        <v>16</v>
      </c>
      <c r="K161" s="5" t="s">
        <v>273</v>
      </c>
      <c r="L161" s="6" t="s">
        <v>291</v>
      </c>
      <c r="M161" s="5" t="s">
        <v>19</v>
      </c>
      <c r="N161" s="5" t="s">
        <v>27</v>
      </c>
      <c r="O161" s="5">
        <v>18412.0</v>
      </c>
      <c r="P161" s="5">
        <v>140.0</v>
      </c>
      <c r="Q161" s="5">
        <v>5668.0</v>
      </c>
      <c r="R161" s="5">
        <v>16711.0</v>
      </c>
      <c r="S161" s="5">
        <v>12.0</v>
      </c>
      <c r="T161" s="5">
        <v>5244.34174</v>
      </c>
      <c r="V161" s="21">
        <f t="shared" si="1"/>
        <v>284.8328123</v>
      </c>
      <c r="W161" s="21">
        <f t="shared" si="2"/>
        <v>925.2543649</v>
      </c>
      <c r="X161" s="21">
        <f t="shared" si="3"/>
        <v>8.571428571</v>
      </c>
      <c r="Y161" s="21">
        <f t="shared" si="4"/>
        <v>437.0284783</v>
      </c>
      <c r="Z161" s="21">
        <f t="shared" si="5"/>
        <v>37.45958386</v>
      </c>
      <c r="AA161" s="21">
        <f t="shared" si="6"/>
        <v>0.7603736693</v>
      </c>
    </row>
    <row r="162">
      <c r="A162" s="4" t="s">
        <v>1218</v>
      </c>
      <c r="B162" s="4" t="str">
        <f>IFERROR(__xludf.DUMMYFUNCTION("SPLIT(A162:A885, ""&gt;"")"),"Online Behavior")</f>
        <v>Online Behavior</v>
      </c>
      <c r="C162" s="4" t="str">
        <f>IFERROR(__xludf.DUMMYFUNCTION("""COMPUTED_VALUE"""),"United States")</f>
        <v>United States</v>
      </c>
      <c r="D162" s="4" t="str">
        <f>IFERROR(__xludf.DUMMYFUNCTION("""COMPUTED_VALUE"""),"Intent ")</f>
        <v>Intent </v>
      </c>
      <c r="E162" s="4" t="str">
        <f>IFERROR(__xludf.DUMMYFUNCTION("""COMPUTED_VALUE""")," Shopping")</f>
        <v> Shopping</v>
      </c>
      <c r="F162" s="4" t="str">
        <f>IFERROR(__xludf.DUMMYFUNCTION("""COMPUTED_VALUE"""),"Drug Stores ")</f>
        <v>Drug Stores </v>
      </c>
      <c r="G162" s="4" t="str">
        <f>IFERROR(__xludf.DUMMYFUNCTION("""COMPUTED_VALUE""")," CVS")</f>
        <v> CVS</v>
      </c>
      <c r="H162" s="4"/>
      <c r="I162" s="5" t="s">
        <v>15</v>
      </c>
      <c r="J162" s="5" t="s">
        <v>31</v>
      </c>
      <c r="K162" s="5" t="s">
        <v>29</v>
      </c>
      <c r="L162" s="6" t="s">
        <v>291</v>
      </c>
      <c r="M162" s="5" t="s">
        <v>46</v>
      </c>
      <c r="N162" s="5" t="s">
        <v>27</v>
      </c>
      <c r="O162" s="5">
        <v>11697.0</v>
      </c>
      <c r="P162" s="5">
        <v>64.0</v>
      </c>
      <c r="Q162" s="5">
        <v>6761.0</v>
      </c>
      <c r="R162" s="5">
        <v>10783.0</v>
      </c>
      <c r="S162" s="5">
        <v>3.0</v>
      </c>
      <c r="T162" s="5">
        <v>5218.070231</v>
      </c>
      <c r="V162" s="21">
        <f t="shared" si="1"/>
        <v>446.1032941</v>
      </c>
      <c r="W162" s="21">
        <f t="shared" si="2"/>
        <v>771.7897102</v>
      </c>
      <c r="X162" s="21">
        <f t="shared" si="3"/>
        <v>4.6875</v>
      </c>
      <c r="Y162" s="21">
        <f t="shared" si="4"/>
        <v>1739.356744</v>
      </c>
      <c r="Z162" s="21">
        <f t="shared" si="5"/>
        <v>81.53234736</v>
      </c>
      <c r="AA162" s="21">
        <f t="shared" si="6"/>
        <v>0.5471488416</v>
      </c>
    </row>
    <row r="163">
      <c r="A163" s="4" t="s">
        <v>1782</v>
      </c>
      <c r="B163" s="4" t="str">
        <f>IFERROR(__xludf.DUMMYFUNCTION("SPLIT(A163:A886, ""&gt;"")"),"US ")</f>
        <v>US </v>
      </c>
      <c r="C163" s="4" t="str">
        <f>IFERROR(__xludf.DUMMYFUNCTION("""COMPUTED_VALUE""")," Composite Segment ")</f>
        <v> Composite Segment </v>
      </c>
      <c r="D163" s="4" t="str">
        <f>IFERROR(__xludf.DUMMYFUNCTION("""COMPUTED_VALUE""")," Women Born to Shop")</f>
        <v> Women Born to Shop</v>
      </c>
      <c r="E163" s="4"/>
      <c r="F163" s="4"/>
      <c r="G163" s="4"/>
      <c r="H163" s="4"/>
      <c r="I163" s="5" t="s">
        <v>22</v>
      </c>
      <c r="J163" s="5" t="s">
        <v>16</v>
      </c>
      <c r="K163" s="5" t="s">
        <v>29</v>
      </c>
      <c r="L163" s="6" t="s">
        <v>291</v>
      </c>
      <c r="M163" s="5" t="s">
        <v>36</v>
      </c>
      <c r="N163" s="5" t="s">
        <v>27</v>
      </c>
      <c r="O163" s="5">
        <v>12220.0</v>
      </c>
      <c r="P163" s="5">
        <v>54.0</v>
      </c>
      <c r="Q163" s="5">
        <v>7133.0</v>
      </c>
      <c r="R163" s="5">
        <v>11331.0</v>
      </c>
      <c r="S163" s="5">
        <v>3.0</v>
      </c>
      <c r="T163" s="5">
        <v>1478.392247</v>
      </c>
      <c r="V163" s="21">
        <f t="shared" si="1"/>
        <v>120.9813623</v>
      </c>
      <c r="W163" s="21">
        <f t="shared" si="2"/>
        <v>207.2609347</v>
      </c>
      <c r="X163" s="21">
        <f t="shared" si="3"/>
        <v>5.555555556</v>
      </c>
      <c r="Y163" s="21">
        <f t="shared" si="4"/>
        <v>492.7974157</v>
      </c>
      <c r="Z163" s="21">
        <f t="shared" si="5"/>
        <v>27.3776342</v>
      </c>
      <c r="AA163" s="21">
        <f t="shared" si="6"/>
        <v>0.441898527</v>
      </c>
    </row>
    <row r="164">
      <c r="A164" s="4" t="s">
        <v>1220</v>
      </c>
      <c r="B164" s="4" t="str">
        <f>IFERROR(__xludf.DUMMYFUNCTION("SPLIT(A164:A887, ""&gt;"")"),"Real Estate ")</f>
        <v>Real Estate </v>
      </c>
      <c r="C164" s="4" t="str">
        <f>IFERROR(__xludf.DUMMYFUNCTION("""COMPUTED_VALUE""")," Rent Amount ")</f>
        <v> Rent Amount </v>
      </c>
      <c r="D164" s="4" t="str">
        <f>IFERROR(__xludf.DUMMYFUNCTION("""COMPUTED_VALUE""")," Sensible  Rentals ($1000-$3000)")</f>
        <v> Sensible  Rentals ($1000-$3000)</v>
      </c>
      <c r="E164" s="4"/>
      <c r="F164" s="4"/>
      <c r="G164" s="4"/>
      <c r="H164" s="4"/>
      <c r="I164" s="5" t="s">
        <v>15</v>
      </c>
      <c r="J164" s="5" t="s">
        <v>42</v>
      </c>
      <c r="K164" s="5" t="s">
        <v>17</v>
      </c>
      <c r="L164" s="6" t="s">
        <v>291</v>
      </c>
      <c r="M164" s="5" t="s">
        <v>136</v>
      </c>
      <c r="N164" s="5" t="s">
        <v>52</v>
      </c>
      <c r="O164" s="5">
        <v>49415.0</v>
      </c>
      <c r="P164" s="5">
        <v>144.0</v>
      </c>
      <c r="Q164" s="5">
        <v>24692.0</v>
      </c>
      <c r="R164" s="5">
        <v>45565.0</v>
      </c>
      <c r="S164" s="5">
        <v>3.0</v>
      </c>
      <c r="T164" s="5">
        <v>1471.175728</v>
      </c>
      <c r="V164" s="21">
        <f t="shared" si="1"/>
        <v>29.77184515</v>
      </c>
      <c r="W164" s="21">
        <f t="shared" si="2"/>
        <v>59.58106788</v>
      </c>
      <c r="X164" s="21">
        <f t="shared" si="3"/>
        <v>2.083333333</v>
      </c>
      <c r="Y164" s="21">
        <f t="shared" si="4"/>
        <v>490.3919093</v>
      </c>
      <c r="Z164" s="21">
        <f t="shared" si="5"/>
        <v>10.21649811</v>
      </c>
      <c r="AA164" s="21">
        <f t="shared" si="6"/>
        <v>0.291409491</v>
      </c>
    </row>
    <row r="165">
      <c r="A165" s="4" t="s">
        <v>1221</v>
      </c>
      <c r="B165" s="4" t="str">
        <f>IFERROR(__xludf.DUMMYFUNCTION("SPLIT(A165:A888, ""&gt;"")"),"Online Behavior")</f>
        <v>Online Behavior</v>
      </c>
      <c r="C165" s="4" t="str">
        <f>IFERROR(__xludf.DUMMYFUNCTION("""COMPUTED_VALUE"""),"United States")</f>
        <v>United States</v>
      </c>
      <c r="D165" s="4" t="str">
        <f>IFERROR(__xludf.DUMMYFUNCTION("""COMPUTED_VALUE"""),"Finance ")</f>
        <v>Finance </v>
      </c>
      <c r="E165" s="4" t="str">
        <f>IFERROR(__xludf.DUMMYFUNCTION("""COMPUTED_VALUE""")," Credit and Lending")</f>
        <v> Credit and Lending</v>
      </c>
      <c r="F165" s="4" t="str">
        <f>IFERROR(__xludf.DUMMYFUNCTION("""COMPUTED_VALUE"""),"Loans")</f>
        <v>Loans</v>
      </c>
      <c r="G165" s="4"/>
      <c r="H165" s="4"/>
      <c r="I165" s="5" t="s">
        <v>15</v>
      </c>
      <c r="J165" s="5" t="s">
        <v>16</v>
      </c>
      <c r="K165" s="5" t="s">
        <v>35</v>
      </c>
      <c r="L165" s="6" t="s">
        <v>297</v>
      </c>
      <c r="M165" s="5" t="s">
        <v>19</v>
      </c>
      <c r="N165" s="5" t="s">
        <v>27</v>
      </c>
      <c r="O165" s="5">
        <v>1100942.0</v>
      </c>
      <c r="P165" s="5">
        <v>2984.0</v>
      </c>
      <c r="Q165" s="5">
        <v>629973.0</v>
      </c>
      <c r="R165" s="5">
        <v>1041225.0</v>
      </c>
      <c r="S165" s="5">
        <v>147.0</v>
      </c>
      <c r="T165" s="5">
        <v>7979.348589</v>
      </c>
      <c r="V165" s="21">
        <f t="shared" si="1"/>
        <v>7.247746556</v>
      </c>
      <c r="W165" s="21">
        <f t="shared" si="2"/>
        <v>12.66617552</v>
      </c>
      <c r="X165" s="21">
        <f t="shared" si="3"/>
        <v>4.926273458</v>
      </c>
      <c r="Y165" s="21">
        <f t="shared" si="4"/>
        <v>54.28128292</v>
      </c>
      <c r="Z165" s="21">
        <f t="shared" si="5"/>
        <v>2.674044433</v>
      </c>
      <c r="AA165" s="21">
        <f t="shared" si="6"/>
        <v>0.2710406179</v>
      </c>
    </row>
    <row r="166">
      <c r="A166" s="4" t="s">
        <v>1222</v>
      </c>
      <c r="B166" s="4" t="str">
        <f>IFERROR(__xludf.DUMMYFUNCTION("SPLIT(A166:A889, ""&gt;"")"),"Online Behavior")</f>
        <v>Online Behavior</v>
      </c>
      <c r="C166" s="4" t="str">
        <f>IFERROR(__xludf.DUMMYFUNCTION("""COMPUTED_VALUE"""),"United States")</f>
        <v>United States</v>
      </c>
      <c r="D166" s="4" t="str">
        <f>IFERROR(__xludf.DUMMYFUNCTION("""COMPUTED_VALUE"""),"Finance ")</f>
        <v>Finance </v>
      </c>
      <c r="E166" s="4" t="str">
        <f>IFERROR(__xludf.DUMMYFUNCTION("""COMPUTED_VALUE""")," Banking")</f>
        <v> Banking</v>
      </c>
      <c r="F166" s="4" t="str">
        <f>IFERROR(__xludf.DUMMYFUNCTION("""COMPUTED_VALUE"""),"Money Transfer and Wire Services")</f>
        <v>Money Transfer and Wire Services</v>
      </c>
      <c r="G166" s="4"/>
      <c r="H166" s="4"/>
      <c r="I166" s="5" t="s">
        <v>22</v>
      </c>
      <c r="J166" s="5" t="s">
        <v>16</v>
      </c>
      <c r="K166" s="5" t="s">
        <v>78</v>
      </c>
      <c r="L166" s="6" t="s">
        <v>297</v>
      </c>
      <c r="M166" s="5" t="s">
        <v>19</v>
      </c>
      <c r="N166" s="5" t="s">
        <v>27</v>
      </c>
      <c r="O166" s="5">
        <v>221720.0</v>
      </c>
      <c r="P166" s="5">
        <v>499.0</v>
      </c>
      <c r="Q166" s="5">
        <v>35178.0</v>
      </c>
      <c r="R166" s="5">
        <v>196583.0</v>
      </c>
      <c r="S166" s="5">
        <v>69.0</v>
      </c>
      <c r="T166" s="5">
        <v>7890.221963</v>
      </c>
      <c r="V166" s="21">
        <f t="shared" si="1"/>
        <v>35.58642415</v>
      </c>
      <c r="W166" s="21">
        <f t="shared" si="2"/>
        <v>224.2942169</v>
      </c>
      <c r="X166" s="21">
        <f t="shared" si="3"/>
        <v>13.82765531</v>
      </c>
      <c r="Y166" s="21">
        <f t="shared" si="4"/>
        <v>114.3510429</v>
      </c>
      <c r="Z166" s="21">
        <f t="shared" si="5"/>
        <v>15.81206806</v>
      </c>
      <c r="AA166" s="21">
        <f t="shared" si="6"/>
        <v>0.2250586325</v>
      </c>
    </row>
    <row r="167">
      <c r="A167" s="4" t="s">
        <v>299</v>
      </c>
      <c r="B167" s="4" t="str">
        <f>IFERROR(__xludf.DUMMYFUNCTION("SPLIT(A167:A890, ""&gt;"")"),"Online Behavior")</f>
        <v>Online Behavior</v>
      </c>
      <c r="C167" s="4" t="str">
        <f>IFERROR(__xludf.DUMMYFUNCTION("""COMPUTED_VALUE"""),"United States")</f>
        <v>United States</v>
      </c>
      <c r="D167" s="4" t="str">
        <f>IFERROR(__xludf.DUMMYFUNCTION("""COMPUTED_VALUE"""),"Travel")</f>
        <v>Travel</v>
      </c>
      <c r="E167" s="4" t="str">
        <f>IFERROR(__xludf.DUMMYFUNCTION("""COMPUTED_VALUE"""),"Tourist Destinations")</f>
        <v>Tourist Destinations</v>
      </c>
      <c r="F167" s="4"/>
      <c r="G167" s="4"/>
      <c r="H167" s="4"/>
      <c r="I167" s="5" t="s">
        <v>15</v>
      </c>
      <c r="J167" s="5" t="s">
        <v>31</v>
      </c>
      <c r="K167" s="5" t="s">
        <v>78</v>
      </c>
      <c r="L167" s="6" t="s">
        <v>297</v>
      </c>
      <c r="M167" s="5" t="s">
        <v>19</v>
      </c>
      <c r="N167" s="5" t="s">
        <v>27</v>
      </c>
      <c r="O167" s="5">
        <v>325152.0</v>
      </c>
      <c r="P167" s="5">
        <v>854.0</v>
      </c>
      <c r="Q167" s="5">
        <v>138319.0</v>
      </c>
      <c r="R167" s="5">
        <v>300133.0</v>
      </c>
      <c r="S167" s="5">
        <v>55.0</v>
      </c>
      <c r="T167" s="5">
        <v>7887.612662</v>
      </c>
      <c r="V167" s="21">
        <f t="shared" si="1"/>
        <v>24.25823203</v>
      </c>
      <c r="W167" s="21">
        <f t="shared" si="2"/>
        <v>57.02479531</v>
      </c>
      <c r="X167" s="21">
        <f t="shared" si="3"/>
        <v>6.44028103</v>
      </c>
      <c r="Y167" s="21">
        <f t="shared" si="4"/>
        <v>143.4111393</v>
      </c>
      <c r="Z167" s="21">
        <f t="shared" si="5"/>
        <v>9.2360804</v>
      </c>
      <c r="AA167" s="21">
        <f t="shared" si="6"/>
        <v>0.2626463931</v>
      </c>
    </row>
    <row r="168">
      <c r="A168" s="4" t="s">
        <v>1223</v>
      </c>
      <c r="B168" s="4" t="str">
        <f>IFERROR(__xludf.DUMMYFUNCTION("SPLIT(A168:A891, ""&gt;"")"),"Online Behavior")</f>
        <v>Online Behavior</v>
      </c>
      <c r="C168" s="4" t="str">
        <f>IFERROR(__xludf.DUMMYFUNCTION("""COMPUTED_VALUE"""),"United States")</f>
        <v>United States</v>
      </c>
      <c r="D168" s="4" t="str">
        <f>IFERROR(__xludf.DUMMYFUNCTION("""COMPUTED_VALUE"""),"Finance ")</f>
        <v>Finance </v>
      </c>
      <c r="E168" s="4" t="str">
        <f>IFERROR(__xludf.DUMMYFUNCTION("""COMPUTED_VALUE""")," Investing")</f>
        <v> Investing</v>
      </c>
      <c r="F168" s="4" t="str">
        <f>IFERROR(__xludf.DUMMYFUNCTION("""COMPUTED_VALUE"""),"Stocks and Bonds")</f>
        <v>Stocks and Bonds</v>
      </c>
      <c r="G168" s="4"/>
      <c r="H168" s="4"/>
      <c r="I168" s="5" t="s">
        <v>22</v>
      </c>
      <c r="J168" s="5" t="s">
        <v>16</v>
      </c>
      <c r="K168" s="5" t="s">
        <v>55</v>
      </c>
      <c r="L168" s="6" t="s">
        <v>297</v>
      </c>
      <c r="M168" s="5" t="s">
        <v>50</v>
      </c>
      <c r="N168" s="5" t="s">
        <v>27</v>
      </c>
      <c r="O168" s="5">
        <v>680912.0</v>
      </c>
      <c r="P168" s="5">
        <v>2000.0</v>
      </c>
      <c r="Q168" s="5">
        <v>388915.0</v>
      </c>
      <c r="R168" s="5">
        <v>648524.0</v>
      </c>
      <c r="S168" s="5">
        <v>39.0</v>
      </c>
      <c r="T168" s="5">
        <v>7814.262494</v>
      </c>
      <c r="V168" s="21">
        <f t="shared" si="1"/>
        <v>11.47617092</v>
      </c>
      <c r="W168" s="21">
        <f t="shared" si="2"/>
        <v>20.09246878</v>
      </c>
      <c r="X168" s="21">
        <f t="shared" si="3"/>
        <v>1.95</v>
      </c>
      <c r="Y168" s="21">
        <f t="shared" si="4"/>
        <v>200.365705</v>
      </c>
      <c r="Z168" s="21">
        <f t="shared" si="5"/>
        <v>3.907131247</v>
      </c>
      <c r="AA168" s="21">
        <f t="shared" si="6"/>
        <v>0.2937237117</v>
      </c>
    </row>
    <row r="169">
      <c r="A169" s="4" t="s">
        <v>301</v>
      </c>
      <c r="B169" s="4" t="str">
        <f>IFERROR(__xludf.DUMMYFUNCTION("SPLIT(A169:A892, ""&gt;"")"),"Online Behavior")</f>
        <v>Online Behavior</v>
      </c>
      <c r="C169" s="4" t="str">
        <f>IFERROR(__xludf.DUMMYFUNCTION("""COMPUTED_VALUE"""),"United States")</f>
        <v>United States</v>
      </c>
      <c r="D169" s="4" t="str">
        <f>IFERROR(__xludf.DUMMYFUNCTION("""COMPUTED_VALUE"""),"Life Event")</f>
        <v>Life Event</v>
      </c>
      <c r="E169" s="4" t="str">
        <f>IFERROR(__xludf.DUMMYFUNCTION("""COMPUTED_VALUE"""),"New Parent")</f>
        <v>New Parent</v>
      </c>
      <c r="F169" s="4"/>
      <c r="G169" s="4"/>
      <c r="H169" s="4"/>
      <c r="I169" s="5" t="s">
        <v>15</v>
      </c>
      <c r="J169" s="5" t="s">
        <v>42</v>
      </c>
      <c r="K169" s="5" t="s">
        <v>39</v>
      </c>
      <c r="L169" s="6" t="s">
        <v>297</v>
      </c>
      <c r="M169" s="5" t="s">
        <v>33</v>
      </c>
      <c r="N169" s="5" t="s">
        <v>27</v>
      </c>
      <c r="O169" s="5">
        <v>569171.0</v>
      </c>
      <c r="P169" s="5">
        <v>1354.0</v>
      </c>
      <c r="Q169" s="5">
        <v>343050.0</v>
      </c>
      <c r="R169" s="5">
        <v>541133.0</v>
      </c>
      <c r="S169" s="5">
        <v>78.0</v>
      </c>
      <c r="T169" s="5">
        <v>7129.633287</v>
      </c>
      <c r="V169" s="21">
        <f t="shared" si="1"/>
        <v>12.52634672</v>
      </c>
      <c r="W169" s="21">
        <f t="shared" si="2"/>
        <v>20.78307328</v>
      </c>
      <c r="X169" s="21">
        <f t="shared" si="3"/>
        <v>5.76070901</v>
      </c>
      <c r="Y169" s="21">
        <f t="shared" si="4"/>
        <v>91.40555496</v>
      </c>
      <c r="Z169" s="21">
        <f t="shared" si="5"/>
        <v>5.265608041</v>
      </c>
      <c r="AA169" s="21">
        <f t="shared" si="6"/>
        <v>0.2378898433</v>
      </c>
    </row>
    <row r="170">
      <c r="A170" s="4" t="s">
        <v>1224</v>
      </c>
      <c r="B170" s="4" t="str">
        <f>IFERROR(__xludf.DUMMYFUNCTION("SPLIT(A170:A893, ""&gt;"")"),"Online Behavior")</f>
        <v>Online Behavior</v>
      </c>
      <c r="C170" s="4" t="str">
        <f>IFERROR(__xludf.DUMMYFUNCTION("""COMPUTED_VALUE"""),"United States")</f>
        <v>United States</v>
      </c>
      <c r="D170" s="4" t="str">
        <f>IFERROR(__xludf.DUMMYFUNCTION("""COMPUTED_VALUE"""),"Hobbies and Leisure")</f>
        <v>Hobbies and Leisure</v>
      </c>
      <c r="E170" s="4" t="str">
        <f>IFERROR(__xludf.DUMMYFUNCTION("""COMPUTED_VALUE"""),"Outdoors ")</f>
        <v>Outdoors </v>
      </c>
      <c r="F170" s="4" t="str">
        <f>IFERROR(__xludf.DUMMYFUNCTION("""COMPUTED_VALUE""")," Hiking and Camping")</f>
        <v> Hiking and Camping</v>
      </c>
      <c r="G170" s="4"/>
      <c r="H170" s="4"/>
      <c r="I170" s="5" t="s">
        <v>15</v>
      </c>
      <c r="J170" s="5" t="s">
        <v>42</v>
      </c>
      <c r="K170" s="5" t="s">
        <v>35</v>
      </c>
      <c r="L170" s="6" t="s">
        <v>297</v>
      </c>
      <c r="M170" s="5" t="s">
        <v>36</v>
      </c>
      <c r="N170" s="5" t="s">
        <v>20</v>
      </c>
      <c r="O170" s="5">
        <v>27592.0</v>
      </c>
      <c r="P170" s="5">
        <v>80.0</v>
      </c>
      <c r="Q170" s="5">
        <v>10901.0</v>
      </c>
      <c r="R170" s="5">
        <v>24980.0</v>
      </c>
      <c r="S170" s="5">
        <v>17.0</v>
      </c>
      <c r="T170" s="5">
        <v>6809.356022</v>
      </c>
      <c r="V170" s="21">
        <f t="shared" si="1"/>
        <v>246.7873305</v>
      </c>
      <c r="W170" s="21">
        <f t="shared" si="2"/>
        <v>624.6542539</v>
      </c>
      <c r="X170" s="21">
        <f t="shared" si="3"/>
        <v>21.25</v>
      </c>
      <c r="Y170" s="21">
        <f t="shared" si="4"/>
        <v>400.5503542</v>
      </c>
      <c r="Z170" s="21">
        <f t="shared" si="5"/>
        <v>85.11695028</v>
      </c>
      <c r="AA170" s="21">
        <f t="shared" si="6"/>
        <v>0.2899391128</v>
      </c>
    </row>
    <row r="171">
      <c r="A171" s="4" t="s">
        <v>1225</v>
      </c>
      <c r="B171" s="4" t="str">
        <f>IFERROR(__xludf.DUMMYFUNCTION("SPLIT(A171:A894, ""&gt;"")"),"Online Behavior")</f>
        <v>Online Behavior</v>
      </c>
      <c r="C171" s="4" t="str">
        <f>IFERROR(__xludf.DUMMYFUNCTION("""COMPUTED_VALUE"""),"United States")</f>
        <v>United States</v>
      </c>
      <c r="D171" s="4" t="str">
        <f>IFERROR(__xludf.DUMMYFUNCTION("""COMPUTED_VALUE"""),"Intent ")</f>
        <v>Intent </v>
      </c>
      <c r="E171" s="4" t="str">
        <f>IFERROR(__xludf.DUMMYFUNCTION("""COMPUTED_VALUE""")," Financial Intent")</f>
        <v> Financial Intent</v>
      </c>
      <c r="F171" s="4" t="str">
        <f>IFERROR(__xludf.DUMMYFUNCTION("""COMPUTED_VALUE"""),"Loans and Credit")</f>
        <v>Loans and Credit</v>
      </c>
      <c r="G171" s="4"/>
      <c r="H171" s="4"/>
      <c r="I171" s="5" t="s">
        <v>22</v>
      </c>
      <c r="J171" s="5" t="s">
        <v>31</v>
      </c>
      <c r="K171" s="5" t="s">
        <v>304</v>
      </c>
      <c r="L171" s="6" t="s">
        <v>297</v>
      </c>
      <c r="M171" s="5" t="s">
        <v>167</v>
      </c>
      <c r="N171" s="5" t="s">
        <v>27</v>
      </c>
      <c r="O171" s="5">
        <v>83957.0</v>
      </c>
      <c r="P171" s="5">
        <v>185.0</v>
      </c>
      <c r="Q171" s="5">
        <v>1420.0</v>
      </c>
      <c r="R171" s="5">
        <v>69246.0</v>
      </c>
      <c r="S171" s="5">
        <v>19.0</v>
      </c>
      <c r="T171" s="5">
        <v>6651.51451</v>
      </c>
      <c r="V171" s="21">
        <f t="shared" si="1"/>
        <v>79.22525233</v>
      </c>
      <c r="W171" s="21">
        <f t="shared" si="2"/>
        <v>4684.165148</v>
      </c>
      <c r="X171" s="21">
        <f t="shared" si="3"/>
        <v>10.27027027</v>
      </c>
      <c r="Y171" s="21">
        <f t="shared" si="4"/>
        <v>350.0797111</v>
      </c>
      <c r="Z171" s="21">
        <f t="shared" si="5"/>
        <v>35.95413249</v>
      </c>
      <c r="AA171" s="21">
        <f t="shared" si="6"/>
        <v>0.2203508939</v>
      </c>
    </row>
    <row r="172">
      <c r="A172" s="4" t="s">
        <v>305</v>
      </c>
      <c r="B172" s="4" t="str">
        <f>IFERROR(__xludf.DUMMYFUNCTION("SPLIT(A172:A895, ""&gt;"")"),"Online Behavior")</f>
        <v>Online Behavior</v>
      </c>
      <c r="C172" s="4" t="str">
        <f>IFERROR(__xludf.DUMMYFUNCTION("""COMPUTED_VALUE"""),"United States")</f>
        <v>United States</v>
      </c>
      <c r="D172" s="4" t="str">
        <f>IFERROR(__xludf.DUMMYFUNCTION("""COMPUTED_VALUE"""),"Real Estate")</f>
        <v>Real Estate</v>
      </c>
      <c r="E172" s="4" t="str">
        <f>IFERROR(__xludf.DUMMYFUNCTION("""COMPUTED_VALUE"""),"Homeowner")</f>
        <v>Homeowner</v>
      </c>
      <c r="F172" s="4"/>
      <c r="G172" s="4"/>
      <c r="H172" s="4"/>
      <c r="I172" s="5" t="s">
        <v>15</v>
      </c>
      <c r="J172" s="5" t="s">
        <v>42</v>
      </c>
      <c r="K172" s="5" t="s">
        <v>78</v>
      </c>
      <c r="L172" s="6" t="s">
        <v>297</v>
      </c>
      <c r="M172" s="5" t="s">
        <v>19</v>
      </c>
      <c r="N172" s="5" t="s">
        <v>27</v>
      </c>
      <c r="O172" s="5">
        <v>161178.0</v>
      </c>
      <c r="P172" s="5">
        <v>492.0</v>
      </c>
      <c r="Q172" s="5">
        <v>70181.0</v>
      </c>
      <c r="R172" s="5">
        <v>150003.0</v>
      </c>
      <c r="S172" s="5">
        <v>11.0</v>
      </c>
      <c r="T172" s="5">
        <v>5892.48218</v>
      </c>
      <c r="V172" s="21">
        <f t="shared" si="1"/>
        <v>36.5588491</v>
      </c>
      <c r="W172" s="21">
        <f t="shared" si="2"/>
        <v>83.96121714</v>
      </c>
      <c r="X172" s="21">
        <f t="shared" si="3"/>
        <v>2.235772358</v>
      </c>
      <c r="Y172" s="21">
        <f t="shared" si="4"/>
        <v>535.6801982</v>
      </c>
      <c r="Z172" s="21">
        <f t="shared" si="5"/>
        <v>11.9765898</v>
      </c>
      <c r="AA172" s="21">
        <f t="shared" si="6"/>
        <v>0.3052525779</v>
      </c>
    </row>
    <row r="173">
      <c r="A173" s="4" t="s">
        <v>1226</v>
      </c>
      <c r="B173" s="4" t="str">
        <f>IFERROR(__xludf.DUMMYFUNCTION("SPLIT(A173:A896, ""&gt;"")"),"Online Behavior")</f>
        <v>Online Behavior</v>
      </c>
      <c r="C173" s="4" t="str">
        <f>IFERROR(__xludf.DUMMYFUNCTION("""COMPUTED_VALUE"""),"United States")</f>
        <v>United States</v>
      </c>
      <c r="D173" s="4" t="str">
        <f>IFERROR(__xludf.DUMMYFUNCTION("""COMPUTED_VALUE"""),"Arts and Entertainment")</f>
        <v>Arts and Entertainment</v>
      </c>
      <c r="E173" s="4" t="str">
        <f>IFERROR(__xludf.DUMMYFUNCTION("""COMPUTED_VALUE"""),"Events and Listings ")</f>
        <v>Events and Listings </v>
      </c>
      <c r="F173" s="4" t="str">
        <f>IFERROR(__xludf.DUMMYFUNCTION("""COMPUTED_VALUE""")," Film Festivals")</f>
        <v> Film Festivals</v>
      </c>
      <c r="G173" s="4"/>
      <c r="H173" s="4"/>
      <c r="I173" s="5" t="s">
        <v>22</v>
      </c>
      <c r="J173" s="5" t="s">
        <v>31</v>
      </c>
      <c r="K173" s="5" t="s">
        <v>17</v>
      </c>
      <c r="L173" s="6" t="s">
        <v>297</v>
      </c>
      <c r="M173" s="5" t="s">
        <v>19</v>
      </c>
      <c r="N173" s="5" t="s">
        <v>27</v>
      </c>
      <c r="O173" s="5">
        <v>405957.0</v>
      </c>
      <c r="P173" s="5">
        <v>874.0</v>
      </c>
      <c r="Q173" s="5">
        <v>204189.0</v>
      </c>
      <c r="R173" s="5">
        <v>385654.0</v>
      </c>
      <c r="S173" s="5">
        <v>16.0</v>
      </c>
      <c r="T173" s="5">
        <v>5864.126493</v>
      </c>
      <c r="V173" s="21">
        <f t="shared" si="1"/>
        <v>14.44519122</v>
      </c>
      <c r="W173" s="21">
        <f t="shared" si="2"/>
        <v>28.71911069</v>
      </c>
      <c r="X173" s="21">
        <f t="shared" si="3"/>
        <v>1.830663616</v>
      </c>
      <c r="Y173" s="21">
        <f t="shared" si="4"/>
        <v>366.5079058</v>
      </c>
      <c r="Z173" s="21">
        <f t="shared" si="5"/>
        <v>6.70952688</v>
      </c>
      <c r="AA173" s="21">
        <f t="shared" si="6"/>
        <v>0.215293738</v>
      </c>
    </row>
    <row r="174">
      <c r="A174" s="4" t="s">
        <v>307</v>
      </c>
      <c r="B174" s="4" t="str">
        <f>IFERROR(__xludf.DUMMYFUNCTION("SPLIT(A174:A897, ""&gt;"")"),"Online Behavior")</f>
        <v>Online Behavior</v>
      </c>
      <c r="C174" s="4" t="str">
        <f>IFERROR(__xludf.DUMMYFUNCTION("""COMPUTED_VALUE"""),"United States")</f>
        <v>United States</v>
      </c>
      <c r="D174" s="4" t="str">
        <f>IFERROR(__xludf.DUMMYFUNCTION("""COMPUTED_VALUE"""),"Travel")</f>
        <v>Travel</v>
      </c>
      <c r="E174" s="4" t="str">
        <f>IFERROR(__xludf.DUMMYFUNCTION("""COMPUTED_VALUE"""),"Cruises and Charters")</f>
        <v>Cruises and Charters</v>
      </c>
      <c r="F174" s="4"/>
      <c r="G174" s="4"/>
      <c r="H174" s="4"/>
      <c r="I174" s="5" t="s">
        <v>15</v>
      </c>
      <c r="J174" s="5" t="s">
        <v>31</v>
      </c>
      <c r="K174" s="5" t="s">
        <v>17</v>
      </c>
      <c r="L174" s="6" t="s">
        <v>297</v>
      </c>
      <c r="M174" s="5" t="s">
        <v>36</v>
      </c>
      <c r="N174" s="5" t="s">
        <v>20</v>
      </c>
      <c r="O174" s="5">
        <v>161222.0</v>
      </c>
      <c r="P174" s="5">
        <v>500.0</v>
      </c>
      <c r="Q174" s="5">
        <v>66740.0</v>
      </c>
      <c r="R174" s="5">
        <v>149743.0</v>
      </c>
      <c r="S174" s="5">
        <v>19.0</v>
      </c>
      <c r="T174" s="5">
        <v>5767.797381</v>
      </c>
      <c r="V174" s="21">
        <f t="shared" si="1"/>
        <v>35.77549826</v>
      </c>
      <c r="W174" s="21">
        <f t="shared" si="2"/>
        <v>86.42189663</v>
      </c>
      <c r="X174" s="21">
        <f t="shared" si="3"/>
        <v>3.8</v>
      </c>
      <c r="Y174" s="21">
        <f t="shared" si="4"/>
        <v>303.5682832</v>
      </c>
      <c r="Z174" s="21">
        <f t="shared" si="5"/>
        <v>11.53559476</v>
      </c>
      <c r="AA174" s="21">
        <f t="shared" si="6"/>
        <v>0.3101313716</v>
      </c>
    </row>
    <row r="175">
      <c r="A175" s="4" t="s">
        <v>1227</v>
      </c>
      <c r="B175" s="4" t="str">
        <f>IFERROR(__xludf.DUMMYFUNCTION("SPLIT(A175:A898, ""&gt;"")"),"Online Behavior")</f>
        <v>Online Behavior</v>
      </c>
      <c r="C175" s="4" t="str">
        <f>IFERROR(__xludf.DUMMYFUNCTION("""COMPUTED_VALUE"""),"United States")</f>
        <v>United States</v>
      </c>
      <c r="D175" s="4" t="str">
        <f>IFERROR(__xludf.DUMMYFUNCTION("""COMPUTED_VALUE"""),"B2B ")</f>
        <v>B2B </v>
      </c>
      <c r="E175" s="4" t="str">
        <f>IFERROR(__xludf.DUMMYFUNCTION("""COMPUTED_VALUE""")," Occupation")</f>
        <v> Occupation</v>
      </c>
      <c r="F175" s="4" t="str">
        <f>IFERROR(__xludf.DUMMYFUNCTION("""COMPUTED_VALUE"""),"Student")</f>
        <v>Student</v>
      </c>
      <c r="G175" s="4"/>
      <c r="H175" s="4"/>
      <c r="I175" s="5" t="s">
        <v>15</v>
      </c>
      <c r="J175" s="5" t="s">
        <v>42</v>
      </c>
      <c r="K175" s="5" t="s">
        <v>29</v>
      </c>
      <c r="L175" s="6" t="s">
        <v>297</v>
      </c>
      <c r="M175" s="5" t="s">
        <v>19</v>
      </c>
      <c r="N175" s="5" t="s">
        <v>52</v>
      </c>
      <c r="O175" s="5">
        <v>39163.0</v>
      </c>
      <c r="P175" s="5">
        <v>113.0</v>
      </c>
      <c r="Q175" s="5">
        <v>16254.0</v>
      </c>
      <c r="R175" s="5">
        <v>36526.0</v>
      </c>
      <c r="S175" s="5">
        <v>15.0</v>
      </c>
      <c r="T175" s="5">
        <v>5692.765813</v>
      </c>
      <c r="V175" s="21">
        <f t="shared" si="1"/>
        <v>145.3608205</v>
      </c>
      <c r="W175" s="21">
        <f t="shared" si="2"/>
        <v>350.2378376</v>
      </c>
      <c r="X175" s="21">
        <f t="shared" si="3"/>
        <v>13.27433628</v>
      </c>
      <c r="Y175" s="21">
        <f t="shared" si="4"/>
        <v>379.5177209</v>
      </c>
      <c r="Z175" s="21">
        <f t="shared" si="5"/>
        <v>50.37845852</v>
      </c>
      <c r="AA175" s="21">
        <f t="shared" si="6"/>
        <v>0.2885376503</v>
      </c>
    </row>
    <row r="176">
      <c r="A176" s="4" t="s">
        <v>309</v>
      </c>
      <c r="B176" s="4" t="str">
        <f>IFERROR(__xludf.DUMMYFUNCTION("SPLIT(A176:A899, ""&gt;"")"),"Online Behavior")</f>
        <v>Online Behavior</v>
      </c>
      <c r="C176" s="4" t="str">
        <f>IFERROR(__xludf.DUMMYFUNCTION("""COMPUTED_VALUE"""),"United States")</f>
        <v>United States</v>
      </c>
      <c r="D176" s="4" t="str">
        <f>IFERROR(__xludf.DUMMYFUNCTION("""COMPUTED_VALUE"""),"Online Communities")</f>
        <v>Online Communities</v>
      </c>
      <c r="E176" s="4" t="str">
        <f>IFERROR(__xludf.DUMMYFUNCTION("""COMPUTED_VALUE"""),"File Sharing and Hosting")</f>
        <v>File Sharing and Hosting</v>
      </c>
      <c r="F176" s="4"/>
      <c r="G176" s="4"/>
      <c r="H176" s="4"/>
      <c r="I176" s="5" t="s">
        <v>22</v>
      </c>
      <c r="J176" s="5" t="s">
        <v>23</v>
      </c>
      <c r="K176" s="5" t="s">
        <v>29</v>
      </c>
      <c r="L176" s="6" t="s">
        <v>297</v>
      </c>
      <c r="M176" s="5" t="s">
        <v>117</v>
      </c>
      <c r="N176" s="5" t="s">
        <v>27</v>
      </c>
      <c r="O176" s="5">
        <v>39794.0</v>
      </c>
      <c r="P176" s="5">
        <v>101.0</v>
      </c>
      <c r="Q176" s="5">
        <v>17539.0</v>
      </c>
      <c r="R176" s="5">
        <v>37664.0</v>
      </c>
      <c r="S176" s="5">
        <v>12.0</v>
      </c>
      <c r="T176" s="5">
        <v>5328.524514</v>
      </c>
      <c r="V176" s="21">
        <f t="shared" si="1"/>
        <v>133.9027118</v>
      </c>
      <c r="W176" s="21">
        <f t="shared" si="2"/>
        <v>303.8100527</v>
      </c>
      <c r="X176" s="21">
        <f t="shared" si="3"/>
        <v>11.88118812</v>
      </c>
      <c r="Y176" s="21">
        <f t="shared" si="4"/>
        <v>444.0437095</v>
      </c>
      <c r="Z176" s="21">
        <f t="shared" si="5"/>
        <v>52.75766846</v>
      </c>
      <c r="AA176" s="21">
        <f t="shared" si="6"/>
        <v>0.2538071066</v>
      </c>
    </row>
    <row r="177">
      <c r="A177" s="4" t="s">
        <v>1228</v>
      </c>
      <c r="B177" s="4" t="str">
        <f>IFERROR(__xludf.DUMMYFUNCTION("SPLIT(A177:A900, ""&gt;"")"),"Online Behavior")</f>
        <v>Online Behavior</v>
      </c>
      <c r="C177" s="4" t="str">
        <f>IFERROR(__xludf.DUMMYFUNCTION("""COMPUTED_VALUE"""),"United States")</f>
        <v>United States</v>
      </c>
      <c r="D177" s="4" t="str">
        <f>IFERROR(__xludf.DUMMYFUNCTION("""COMPUTED_VALUE"""),"Autos and Vehicles ")</f>
        <v>Autos and Vehicles </v>
      </c>
      <c r="E177" s="4" t="str">
        <f>IFERROR(__xludf.DUMMYFUNCTION("""COMPUTED_VALUE""")," Brands")</f>
        <v> Brands</v>
      </c>
      <c r="F177" s="4" t="str">
        <f>IFERROR(__xludf.DUMMYFUNCTION("""COMPUTED_VALUE"""),"LandRover")</f>
        <v>LandRover</v>
      </c>
      <c r="G177" s="4"/>
      <c r="H177" s="4"/>
      <c r="I177" s="5" t="s">
        <v>15</v>
      </c>
      <c r="J177" s="5" t="s">
        <v>31</v>
      </c>
      <c r="K177" s="5" t="s">
        <v>84</v>
      </c>
      <c r="L177" s="6" t="s">
        <v>297</v>
      </c>
      <c r="M177" s="5" t="s">
        <v>19</v>
      </c>
      <c r="N177" s="5" t="s">
        <v>20</v>
      </c>
      <c r="O177" s="5">
        <v>104538.0</v>
      </c>
      <c r="P177" s="5">
        <v>347.0</v>
      </c>
      <c r="Q177" s="5">
        <v>49049.0</v>
      </c>
      <c r="R177" s="5">
        <v>97093.0</v>
      </c>
      <c r="S177" s="5">
        <v>2.0</v>
      </c>
      <c r="T177" s="5">
        <v>5266.424233</v>
      </c>
      <c r="V177" s="21">
        <f t="shared" si="1"/>
        <v>50.37808484</v>
      </c>
      <c r="W177" s="21">
        <f t="shared" si="2"/>
        <v>107.3706749</v>
      </c>
      <c r="X177" s="21">
        <f t="shared" si="3"/>
        <v>0.5763688761</v>
      </c>
      <c r="Y177" s="21">
        <f t="shared" si="4"/>
        <v>2633.212117</v>
      </c>
      <c r="Z177" s="21">
        <f t="shared" si="5"/>
        <v>15.17701508</v>
      </c>
      <c r="AA177" s="21">
        <f t="shared" si="6"/>
        <v>0.331936712</v>
      </c>
    </row>
    <row r="178">
      <c r="A178" s="4" t="s">
        <v>311</v>
      </c>
      <c r="B178" s="4" t="str">
        <f>IFERROR(__xludf.DUMMYFUNCTION("SPLIT(A178:A901, ""&gt;"")"),"Online Behavior")</f>
        <v>Online Behavior</v>
      </c>
      <c r="C178" s="4" t="str">
        <f>IFERROR(__xludf.DUMMYFUNCTION("""COMPUTED_VALUE"""),"United States")</f>
        <v>United States</v>
      </c>
      <c r="D178" s="4" t="str">
        <f>IFERROR(__xludf.DUMMYFUNCTION("""COMPUTED_VALUE"""),"Food and Drink")</f>
        <v>Food and Drink</v>
      </c>
      <c r="E178" s="4" t="str">
        <f>IFERROR(__xludf.DUMMYFUNCTION("""COMPUTED_VALUE"""),"Food and Grocery Delivery")</f>
        <v>Food and Grocery Delivery</v>
      </c>
      <c r="F178" s="4"/>
      <c r="G178" s="4"/>
      <c r="H178" s="4"/>
      <c r="I178" s="5" t="s">
        <v>15</v>
      </c>
      <c r="J178" s="5" t="s">
        <v>31</v>
      </c>
      <c r="K178" s="5" t="s">
        <v>35</v>
      </c>
      <c r="L178" s="6" t="s">
        <v>297</v>
      </c>
      <c r="M178" s="5" t="s">
        <v>19</v>
      </c>
      <c r="N178" s="5" t="s">
        <v>27</v>
      </c>
      <c r="O178" s="5">
        <v>262807.0</v>
      </c>
      <c r="P178" s="5">
        <v>684.0</v>
      </c>
      <c r="Q178" s="5">
        <v>109871.0</v>
      </c>
      <c r="R178" s="5">
        <v>236426.0</v>
      </c>
      <c r="S178" s="5">
        <v>12.0</v>
      </c>
      <c r="T178" s="5">
        <v>5150.468923</v>
      </c>
      <c r="V178" s="21">
        <f t="shared" si="1"/>
        <v>19.59791377</v>
      </c>
      <c r="W178" s="21">
        <f t="shared" si="2"/>
        <v>46.87741918</v>
      </c>
      <c r="X178" s="21">
        <f t="shared" si="3"/>
        <v>1.754385965</v>
      </c>
      <c r="Y178" s="21">
        <f t="shared" si="4"/>
        <v>429.2057436</v>
      </c>
      <c r="Z178" s="21">
        <f t="shared" si="5"/>
        <v>7.529925326</v>
      </c>
      <c r="AA178" s="21">
        <f t="shared" si="6"/>
        <v>0.2602670401</v>
      </c>
    </row>
    <row r="179">
      <c r="A179" s="4" t="s">
        <v>1229</v>
      </c>
      <c r="B179" s="4" t="str">
        <f>IFERROR(__xludf.DUMMYFUNCTION("SPLIT(A179:A902, ""&gt;"")"),"Online Behavior")</f>
        <v>Online Behavior</v>
      </c>
      <c r="C179" s="4" t="str">
        <f>IFERROR(__xludf.DUMMYFUNCTION("""COMPUTED_VALUE"""),"United States")</f>
        <v>United States</v>
      </c>
      <c r="D179" s="4" t="str">
        <f>IFERROR(__xludf.DUMMYFUNCTION("""COMPUTED_VALUE"""),"Sports")</f>
        <v>Sports</v>
      </c>
      <c r="E179" s="4" t="str">
        <f>IFERROR(__xludf.DUMMYFUNCTION("""COMPUTED_VALUE"""),"Sports League ")</f>
        <v>Sports League </v>
      </c>
      <c r="F179" s="4" t="str">
        <f>IFERROR(__xludf.DUMMYFUNCTION("""COMPUTED_VALUE""")," NHL")</f>
        <v> NHL</v>
      </c>
      <c r="G179" s="4"/>
      <c r="H179" s="4"/>
      <c r="I179" s="5" t="s">
        <v>15</v>
      </c>
      <c r="J179" s="5" t="s">
        <v>31</v>
      </c>
      <c r="K179" s="5" t="s">
        <v>35</v>
      </c>
      <c r="L179" s="6" t="s">
        <v>297</v>
      </c>
      <c r="M179" s="5" t="s">
        <v>117</v>
      </c>
      <c r="N179" s="5" t="s">
        <v>27</v>
      </c>
      <c r="O179" s="5">
        <v>56945.0</v>
      </c>
      <c r="P179" s="5">
        <v>152.0</v>
      </c>
      <c r="Q179" s="5">
        <v>20750.0</v>
      </c>
      <c r="R179" s="5">
        <v>50714.0</v>
      </c>
      <c r="S179" s="5">
        <v>9.0</v>
      </c>
      <c r="T179" s="5">
        <v>5144.474371</v>
      </c>
      <c r="V179" s="21">
        <f t="shared" si="1"/>
        <v>90.34110758</v>
      </c>
      <c r="W179" s="21">
        <f t="shared" si="2"/>
        <v>247.9264757</v>
      </c>
      <c r="X179" s="21">
        <f t="shared" si="3"/>
        <v>5.921052632</v>
      </c>
      <c r="Y179" s="21">
        <f t="shared" si="4"/>
        <v>571.6082634</v>
      </c>
      <c r="Z179" s="21">
        <f t="shared" si="5"/>
        <v>33.84522613</v>
      </c>
      <c r="AA179" s="21">
        <f t="shared" si="6"/>
        <v>0.2669242251</v>
      </c>
    </row>
    <row r="180">
      <c r="A180" s="4" t="s">
        <v>1783</v>
      </c>
      <c r="B180" s="4" t="str">
        <f>IFERROR(__xludf.DUMMYFUNCTION("SPLIT(A180:A904, ""&gt;"")"),"US ")</f>
        <v>US </v>
      </c>
      <c r="C180" s="4" t="str">
        <f>IFERROR(__xludf.DUMMYFUNCTION("""COMPUTED_VALUE""")," AUTO ")</f>
        <v> AUTO </v>
      </c>
      <c r="D180" s="4" t="str">
        <f>IFERROR(__xludf.DUMMYFUNCTION("""COMPUTED_VALUE""")," Decision Maker for Auto Purchase ")</f>
        <v> Decision Maker for Auto Purchase </v>
      </c>
      <c r="E180" s="4" t="str">
        <f>IFERROR(__xludf.DUMMYFUNCTION("""COMPUTED_VALUE""")," I shared equally in the decision")</f>
        <v> I shared equally in the decision</v>
      </c>
      <c r="F180" s="4"/>
      <c r="G180" s="4"/>
      <c r="H180" s="4"/>
      <c r="I180" s="5" t="s">
        <v>22</v>
      </c>
      <c r="J180" s="5" t="s">
        <v>23</v>
      </c>
      <c r="K180" s="5" t="s">
        <v>35</v>
      </c>
      <c r="L180" s="6" t="s">
        <v>297</v>
      </c>
      <c r="M180" s="5" t="s">
        <v>19</v>
      </c>
      <c r="N180" s="5" t="s">
        <v>27</v>
      </c>
      <c r="O180" s="5">
        <v>102884.0</v>
      </c>
      <c r="P180" s="5">
        <v>299.0</v>
      </c>
      <c r="Q180" s="5">
        <v>42841.0</v>
      </c>
      <c r="R180" s="5">
        <v>96539.0</v>
      </c>
      <c r="S180" s="5">
        <v>6.0</v>
      </c>
      <c r="T180" s="5">
        <v>2015.448331</v>
      </c>
      <c r="V180" s="21">
        <f t="shared" si="1"/>
        <v>19.58952151</v>
      </c>
      <c r="W180" s="21">
        <f t="shared" si="2"/>
        <v>47.04484795</v>
      </c>
      <c r="X180" s="21">
        <f t="shared" si="3"/>
        <v>2.006688963</v>
      </c>
      <c r="Y180" s="21">
        <f t="shared" si="4"/>
        <v>335.9080552</v>
      </c>
      <c r="Z180" s="21">
        <f t="shared" si="5"/>
        <v>6.74062987</v>
      </c>
      <c r="AA180" s="21">
        <f t="shared" si="6"/>
        <v>0.2906185607</v>
      </c>
    </row>
    <row r="181">
      <c r="A181" s="4" t="s">
        <v>1784</v>
      </c>
      <c r="B181" s="4" t="str">
        <f>IFERROR(__xludf.DUMMYFUNCTION("SPLIT(A181:A905, ""&gt;"")"),"US ")</f>
        <v>US </v>
      </c>
      <c r="C181" s="4" t="str">
        <f>IFERROR(__xludf.DUMMYFUNCTION("""COMPUTED_VALUE""")," B2B ")</f>
        <v> B2B </v>
      </c>
      <c r="D181" s="4" t="str">
        <f>IFERROR(__xludf.DUMMYFUNCTION("""COMPUTED_VALUE""")," B2B Decision Maker Responsibilities ")</f>
        <v> B2B Decision Maker Responsibilities </v>
      </c>
      <c r="E181" s="4" t="str">
        <f>IFERROR(__xludf.DUMMYFUNCTION("""COMPUTED_VALUE""")," Office Supplies or Equipment")</f>
        <v> Office Supplies or Equipment</v>
      </c>
      <c r="F181" s="4"/>
      <c r="G181" s="4"/>
      <c r="H181" s="4"/>
      <c r="I181" s="5" t="s">
        <v>15</v>
      </c>
      <c r="J181" s="5" t="s">
        <v>23</v>
      </c>
      <c r="K181" s="5" t="s">
        <v>17</v>
      </c>
      <c r="L181" s="6" t="s">
        <v>297</v>
      </c>
      <c r="M181" s="5" t="s">
        <v>19</v>
      </c>
      <c r="N181" s="5" t="s">
        <v>52</v>
      </c>
      <c r="O181" s="5">
        <v>55692.0</v>
      </c>
      <c r="P181" s="5">
        <v>184.0</v>
      </c>
      <c r="Q181" s="5">
        <v>3596.0</v>
      </c>
      <c r="R181" s="5">
        <v>51209.0</v>
      </c>
      <c r="S181" s="5">
        <v>9.0</v>
      </c>
      <c r="T181" s="5">
        <v>1981.050288</v>
      </c>
      <c r="V181" s="21">
        <f t="shared" si="1"/>
        <v>35.57154148</v>
      </c>
      <c r="W181" s="21">
        <f t="shared" si="2"/>
        <v>550.9038621</v>
      </c>
      <c r="X181" s="21">
        <f t="shared" si="3"/>
        <v>4.891304348</v>
      </c>
      <c r="Y181" s="21">
        <f t="shared" si="4"/>
        <v>220.1166987</v>
      </c>
      <c r="Z181" s="21">
        <f t="shared" si="5"/>
        <v>10.76657765</v>
      </c>
      <c r="AA181" s="21">
        <f t="shared" si="6"/>
        <v>0.3303885657</v>
      </c>
    </row>
    <row r="182">
      <c r="A182" s="4" t="s">
        <v>1785</v>
      </c>
      <c r="B182" s="4" t="str">
        <f>IFERROR(__xludf.DUMMYFUNCTION("SPLIT(A182:A906, ""&gt;"")"),"US ")</f>
        <v>US </v>
      </c>
      <c r="C182" s="4" t="str">
        <f>IFERROR(__xludf.DUMMYFUNCTION("""COMPUTED_VALUE""")," Reach ")</f>
        <v> Reach </v>
      </c>
      <c r="D182" s="4" t="str">
        <f>IFERROR(__xludf.DUMMYFUNCTION("""COMPUTED_VALUE""")," Propensity Models ")</f>
        <v> Propensity Models </v>
      </c>
      <c r="E182" s="4" t="str">
        <f>IFERROR(__xludf.DUMMYFUNCTION("""COMPUTED_VALUE""")," Hobbies and Interest ")</f>
        <v> Hobbies and Interest </v>
      </c>
      <c r="F182" s="4" t="str">
        <f>IFERROR(__xludf.DUMMYFUNCTION("""COMPUTED_VALUE""")," Pets ")</f>
        <v> Pets </v>
      </c>
      <c r="G182" s="4" t="str">
        <f>IFERROR(__xludf.DUMMYFUNCTION("""COMPUTED_VALUE""")," Cat Owners")</f>
        <v> Cat Owners</v>
      </c>
      <c r="H182" s="4"/>
      <c r="I182" s="5" t="s">
        <v>15</v>
      </c>
      <c r="J182" s="5" t="s">
        <v>23</v>
      </c>
      <c r="K182" s="5" t="s">
        <v>17</v>
      </c>
      <c r="L182" s="6" t="s">
        <v>297</v>
      </c>
      <c r="M182" s="5" t="s">
        <v>46</v>
      </c>
      <c r="N182" s="5" t="s">
        <v>20</v>
      </c>
      <c r="O182" s="5">
        <v>63460.0</v>
      </c>
      <c r="P182" s="5">
        <v>212.0</v>
      </c>
      <c r="Q182" s="5">
        <v>26978.0</v>
      </c>
      <c r="R182" s="5">
        <v>59516.0</v>
      </c>
      <c r="S182" s="5">
        <v>4.0</v>
      </c>
      <c r="T182" s="5">
        <v>1945.433188</v>
      </c>
      <c r="V182" s="21">
        <f t="shared" si="1"/>
        <v>30.65605402</v>
      </c>
      <c r="W182" s="21">
        <f t="shared" si="2"/>
        <v>72.11183883</v>
      </c>
      <c r="X182" s="21">
        <f t="shared" si="3"/>
        <v>1.886792453</v>
      </c>
      <c r="Y182" s="21">
        <f t="shared" si="4"/>
        <v>486.358297</v>
      </c>
      <c r="Z182" s="21">
        <f t="shared" si="5"/>
        <v>9.176571642</v>
      </c>
      <c r="AA182" s="21">
        <f t="shared" si="6"/>
        <v>0.3340687047</v>
      </c>
    </row>
    <row r="183">
      <c r="A183" s="4" t="s">
        <v>1234</v>
      </c>
      <c r="B183" s="4" t="str">
        <f>IFERROR(__xludf.DUMMYFUNCTION("SPLIT(A183:A907, ""&gt;"")"),"OnAudience ")</f>
        <v>OnAudience </v>
      </c>
      <c r="C183" s="4" t="str">
        <f>IFERROR(__xludf.DUMMYFUNCTION("""COMPUTED_VALUE""")," Interest ")</f>
        <v> Interest </v>
      </c>
      <c r="D183" s="4" t="str">
        <f>IFERROR(__xludf.DUMMYFUNCTION("""COMPUTED_VALUE""")," Life Stage")</f>
        <v> Life Stage</v>
      </c>
      <c r="E183" s="4"/>
      <c r="F183" s="4"/>
      <c r="G183" s="4"/>
      <c r="H183" s="4"/>
      <c r="I183" s="5" t="s">
        <v>15</v>
      </c>
      <c r="J183" s="5" t="s">
        <v>42</v>
      </c>
      <c r="K183" s="5" t="s">
        <v>142</v>
      </c>
      <c r="L183" s="6" t="s">
        <v>297</v>
      </c>
      <c r="M183" s="5" t="s">
        <v>19</v>
      </c>
      <c r="N183" s="5" t="s">
        <v>27</v>
      </c>
      <c r="O183" s="5">
        <v>189462.0</v>
      </c>
      <c r="P183" s="5">
        <v>478.0</v>
      </c>
      <c r="Q183" s="5">
        <v>53431.0</v>
      </c>
      <c r="R183" s="5">
        <v>163634.0</v>
      </c>
      <c r="S183" s="5">
        <v>5.0</v>
      </c>
      <c r="T183" s="5">
        <v>1625.17488</v>
      </c>
      <c r="V183" s="21">
        <f t="shared" si="1"/>
        <v>8.577840834</v>
      </c>
      <c r="W183" s="21">
        <f t="shared" si="2"/>
        <v>30.4163291</v>
      </c>
      <c r="X183" s="21">
        <f t="shared" si="3"/>
        <v>1.046025105</v>
      </c>
      <c r="Y183" s="21">
        <f t="shared" si="4"/>
        <v>325.034976</v>
      </c>
      <c r="Z183" s="21">
        <f t="shared" si="5"/>
        <v>3.399947448</v>
      </c>
      <c r="AA183" s="21">
        <f t="shared" si="6"/>
        <v>0.2522933359</v>
      </c>
    </row>
    <row r="184">
      <c r="A184" s="4" t="s">
        <v>1786</v>
      </c>
      <c r="B184" s="4" t="str">
        <f>IFERROR(__xludf.DUMMYFUNCTION("SPLIT(A184:A908, ""&gt;"")"),"US ")</f>
        <v>US </v>
      </c>
      <c r="C184" s="4" t="str">
        <f>IFERROR(__xludf.DUMMYFUNCTION("""COMPUTED_VALUE""")," Interest Propensities ")</f>
        <v> Interest Propensities </v>
      </c>
      <c r="D184" s="4" t="str">
        <f>IFERROR(__xludf.DUMMYFUNCTION("""COMPUTED_VALUE""")," Activities and Interests ")</f>
        <v> Activities and Interests </v>
      </c>
      <c r="E184" s="4" t="str">
        <f>IFERROR(__xludf.DUMMYFUNCTION("""COMPUTED_VALUE""")," Fashion")</f>
        <v> Fashion</v>
      </c>
      <c r="F184" s="4"/>
      <c r="G184" s="4"/>
      <c r="H184" s="4"/>
      <c r="I184" s="5" t="s">
        <v>15</v>
      </c>
      <c r="J184" s="5" t="s">
        <v>31</v>
      </c>
      <c r="K184" s="5" t="s">
        <v>95</v>
      </c>
      <c r="L184" s="6" t="s">
        <v>297</v>
      </c>
      <c r="M184" s="5" t="s">
        <v>26</v>
      </c>
      <c r="N184" s="5" t="s">
        <v>52</v>
      </c>
      <c r="O184" s="5">
        <v>61442.0</v>
      </c>
      <c r="P184" s="5">
        <v>190.0</v>
      </c>
      <c r="Q184" s="5">
        <v>17048.0</v>
      </c>
      <c r="R184" s="5">
        <v>54166.0</v>
      </c>
      <c r="S184" s="5">
        <v>1.0</v>
      </c>
      <c r="T184" s="5">
        <v>1609.149933</v>
      </c>
      <c r="V184" s="21">
        <f t="shared" si="1"/>
        <v>26.18973883</v>
      </c>
      <c r="W184" s="21">
        <f t="shared" si="2"/>
        <v>94.38936726</v>
      </c>
      <c r="X184" s="21">
        <f t="shared" si="3"/>
        <v>0.5263157895</v>
      </c>
      <c r="Y184" s="21">
        <f t="shared" si="4"/>
        <v>1609.149933</v>
      </c>
      <c r="Z184" s="21">
        <f t="shared" si="5"/>
        <v>8.469210174</v>
      </c>
      <c r="AA184" s="21">
        <f t="shared" si="6"/>
        <v>0.3092347254</v>
      </c>
    </row>
    <row r="185">
      <c r="A185" s="4" t="s">
        <v>1787</v>
      </c>
      <c r="B185" s="4" t="str">
        <f>IFERROR(__xludf.DUMMYFUNCTION("SPLIT(A185:A909, ""&gt;"")"),"Mobile - US ")</f>
        <v>Mobile - US </v>
      </c>
      <c r="C185" s="4" t="str">
        <f>IFERROR(__xludf.DUMMYFUNCTION("""COMPUTED_VALUE""")," Travel ")</f>
        <v> Travel </v>
      </c>
      <c r="D185" s="4" t="str">
        <f>IFERROR(__xludf.DUMMYFUNCTION("""COMPUTED_VALUE""")," Car Rentals ")</f>
        <v> Car Rentals </v>
      </c>
      <c r="E185" s="4" t="str">
        <f>IFERROR(__xludf.DUMMYFUNCTION("""COMPUTED_VALUE""")," Hertz")</f>
        <v> Hertz</v>
      </c>
      <c r="F185" s="4"/>
      <c r="G185" s="4"/>
      <c r="H185" s="4"/>
      <c r="I185" s="5" t="s">
        <v>22</v>
      </c>
      <c r="J185" s="5" t="s">
        <v>23</v>
      </c>
      <c r="K185" s="5" t="s">
        <v>35</v>
      </c>
      <c r="L185" s="6" t="s">
        <v>297</v>
      </c>
      <c r="M185" s="5" t="s">
        <v>46</v>
      </c>
      <c r="N185" s="5" t="s">
        <v>27</v>
      </c>
      <c r="O185" s="5">
        <v>87287.0</v>
      </c>
      <c r="P185" s="5">
        <v>203.0</v>
      </c>
      <c r="Q185" s="5">
        <v>40039.0</v>
      </c>
      <c r="R185" s="5">
        <v>80040.0</v>
      </c>
      <c r="S185" s="5">
        <v>18.0</v>
      </c>
      <c r="T185" s="5">
        <v>1579.367346</v>
      </c>
      <c r="V185" s="21">
        <f t="shared" si="1"/>
        <v>18.09395839</v>
      </c>
      <c r="W185" s="21">
        <f t="shared" si="2"/>
        <v>39.44572407</v>
      </c>
      <c r="X185" s="21">
        <f t="shared" si="3"/>
        <v>8.866995074</v>
      </c>
      <c r="Y185" s="21">
        <f t="shared" si="4"/>
        <v>87.74263033</v>
      </c>
      <c r="Z185" s="21">
        <f t="shared" si="5"/>
        <v>7.780134709</v>
      </c>
      <c r="AA185" s="21">
        <f t="shared" si="6"/>
        <v>0.2325661324</v>
      </c>
    </row>
    <row r="186">
      <c r="A186" s="4" t="s">
        <v>1237</v>
      </c>
      <c r="B186" s="4" t="str">
        <f>IFERROR(__xludf.DUMMYFUNCTION("SPLIT(A186:A910, ""&gt;"")"),"OnAudience ")</f>
        <v>OnAudience </v>
      </c>
      <c r="C186" s="4" t="str">
        <f>IFERROR(__xludf.DUMMYFUNCTION("""COMPUTED_VALUE""")," Interest ")</f>
        <v> Interest </v>
      </c>
      <c r="D186" s="4" t="str">
        <f>IFERROR(__xludf.DUMMYFUNCTION("""COMPUTED_VALUE""")," Arts &amp; Entertainment ")</f>
        <v> Arts &amp; Entertainment </v>
      </c>
      <c r="E186" s="4" t="str">
        <f>IFERROR(__xludf.DUMMYFUNCTION("""COMPUTED_VALUE""")," Celebrity Fan ")</f>
        <v> Celebrity Fan </v>
      </c>
      <c r="F186" s="4" t="str">
        <f>IFERROR(__xludf.DUMMYFUNCTION("""COMPUTED_VALUE""")," Gossip")</f>
        <v> Gossip</v>
      </c>
      <c r="G186" s="4"/>
      <c r="H186" s="4"/>
      <c r="I186" s="5" t="s">
        <v>15</v>
      </c>
      <c r="J186" s="5" t="s">
        <v>16</v>
      </c>
      <c r="K186" s="5" t="s">
        <v>17</v>
      </c>
      <c r="L186" s="6" t="s">
        <v>297</v>
      </c>
      <c r="M186" s="5" t="s">
        <v>46</v>
      </c>
      <c r="N186" s="5" t="s">
        <v>27</v>
      </c>
      <c r="O186" s="5">
        <v>77703.0</v>
      </c>
      <c r="P186" s="5">
        <v>204.0</v>
      </c>
      <c r="Q186" s="5">
        <v>33478.0</v>
      </c>
      <c r="R186" s="5">
        <v>72874.0</v>
      </c>
      <c r="S186" s="5">
        <v>3.0</v>
      </c>
      <c r="T186" s="5">
        <v>1566.912406</v>
      </c>
      <c r="V186" s="21">
        <f t="shared" si="1"/>
        <v>20.16540424</v>
      </c>
      <c r="W186" s="21">
        <f t="shared" si="2"/>
        <v>46.80424177</v>
      </c>
      <c r="X186" s="21">
        <f t="shared" si="3"/>
        <v>1.470588235</v>
      </c>
      <c r="Y186" s="21">
        <f t="shared" si="4"/>
        <v>522.3041353</v>
      </c>
      <c r="Z186" s="21">
        <f t="shared" si="5"/>
        <v>7.680943167</v>
      </c>
      <c r="AA186" s="21">
        <f t="shared" si="6"/>
        <v>0.2625381259</v>
      </c>
    </row>
    <row r="187">
      <c r="A187" s="4" t="s">
        <v>1788</v>
      </c>
      <c r="B187" s="4" t="str">
        <f>IFERROR(__xludf.DUMMYFUNCTION("SPLIT(A187:A911, ""&gt;"")"),"Mobile - US ")</f>
        <v>Mobile - US </v>
      </c>
      <c r="C187" s="4" t="str">
        <f>IFERROR(__xludf.DUMMYFUNCTION("""COMPUTED_VALUE""")," Device Ownership ")</f>
        <v> Device Ownership </v>
      </c>
      <c r="D187" s="4" t="str">
        <f>IFERROR(__xludf.DUMMYFUNCTION("""COMPUTED_VALUE""")," Smartphones ")</f>
        <v> Smartphones </v>
      </c>
      <c r="E187" s="4" t="str">
        <f>IFERROR(__xludf.DUMMYFUNCTION("""COMPUTED_VALUE""")," ZTE")</f>
        <v> ZTE</v>
      </c>
      <c r="F187" s="4"/>
      <c r="G187" s="4"/>
      <c r="H187" s="4"/>
      <c r="I187" s="5" t="s">
        <v>15</v>
      </c>
      <c r="J187" s="5" t="s">
        <v>42</v>
      </c>
      <c r="K187" s="5" t="s">
        <v>84</v>
      </c>
      <c r="L187" s="6" t="s">
        <v>297</v>
      </c>
      <c r="M187" s="5" t="s">
        <v>46</v>
      </c>
      <c r="N187" s="5" t="s">
        <v>52</v>
      </c>
      <c r="O187" s="5">
        <v>74436.0</v>
      </c>
      <c r="P187" s="5">
        <v>175.0</v>
      </c>
      <c r="Q187" s="5">
        <v>30158.0</v>
      </c>
      <c r="R187" s="5">
        <v>69150.0</v>
      </c>
      <c r="S187" s="5">
        <v>21.0</v>
      </c>
      <c r="T187" s="5">
        <v>1558.549138</v>
      </c>
      <c r="V187" s="21">
        <f t="shared" si="1"/>
        <v>20.93810976</v>
      </c>
      <c r="W187" s="21">
        <f t="shared" si="2"/>
        <v>51.67945945</v>
      </c>
      <c r="X187" s="21">
        <f t="shared" si="3"/>
        <v>12</v>
      </c>
      <c r="Y187" s="21">
        <f t="shared" si="4"/>
        <v>74.21662562</v>
      </c>
      <c r="Z187" s="21">
        <f t="shared" si="5"/>
        <v>8.905995074</v>
      </c>
      <c r="AA187" s="21">
        <f t="shared" si="6"/>
        <v>0.2351012951</v>
      </c>
    </row>
    <row r="188">
      <c r="A188" s="4" t="s">
        <v>1789</v>
      </c>
      <c r="B188" s="4" t="str">
        <f>IFERROR(__xludf.DUMMYFUNCTION("SPLIT(A188:A912, ""&gt;"")"),"US ")</f>
        <v>US </v>
      </c>
      <c r="C188" s="4" t="str">
        <f>IFERROR(__xludf.DUMMYFUNCTION("""COMPUTED_VALUE""")," Brand Propensities ")</f>
        <v> Brand Propensities </v>
      </c>
      <c r="D188" s="4" t="str">
        <f>IFERROR(__xludf.DUMMYFUNCTION("""COMPUTED_VALUE""")," Health ")</f>
        <v> Health </v>
      </c>
      <c r="E188" s="4" t="str">
        <f>IFERROR(__xludf.DUMMYFUNCTION("""COMPUTED_VALUE""")," Beauty and Cosmetics ")</f>
        <v> Beauty and Cosmetics </v>
      </c>
      <c r="F188" s="4" t="str">
        <f>IFERROR(__xludf.DUMMYFUNCTION("""COMPUTED_VALUE""")," SkinCareRx Buyer Propensity")</f>
        <v> SkinCareRx Buyer Propensity</v>
      </c>
      <c r="G188" s="4"/>
      <c r="H188" s="4"/>
      <c r="I188" s="5" t="s">
        <v>15</v>
      </c>
      <c r="J188" s="5" t="s">
        <v>42</v>
      </c>
      <c r="K188" s="5" t="s">
        <v>39</v>
      </c>
      <c r="L188" s="6" t="s">
        <v>297</v>
      </c>
      <c r="M188" s="5" t="s">
        <v>50</v>
      </c>
      <c r="N188" s="5" t="s">
        <v>27</v>
      </c>
      <c r="O188" s="5">
        <v>435848.0</v>
      </c>
      <c r="P188" s="5">
        <v>1058.0</v>
      </c>
      <c r="Q188" s="5">
        <v>274912.0</v>
      </c>
      <c r="R188" s="5">
        <v>415601.0</v>
      </c>
      <c r="S188" s="5">
        <v>15.0</v>
      </c>
      <c r="T188" s="5">
        <v>1554.439959</v>
      </c>
      <c r="V188" s="21">
        <f t="shared" si="1"/>
        <v>3.566472621</v>
      </c>
      <c r="W188" s="21">
        <f t="shared" si="2"/>
        <v>5.654318324</v>
      </c>
      <c r="X188" s="21">
        <f t="shared" si="3"/>
        <v>1.417769376</v>
      </c>
      <c r="Y188" s="21">
        <f t="shared" si="4"/>
        <v>103.6293306</v>
      </c>
      <c r="Z188" s="21">
        <f t="shared" si="5"/>
        <v>1.469224914</v>
      </c>
      <c r="AA188" s="21">
        <f t="shared" si="6"/>
        <v>0.2427451772</v>
      </c>
    </row>
    <row r="189">
      <c r="A189" s="4" t="s">
        <v>1790</v>
      </c>
      <c r="B189" s="4" t="str">
        <f>IFERROR(__xludf.DUMMYFUNCTION("SPLIT(A189:A913, ""&gt;"")"),"Mobile - US ")</f>
        <v>Mobile - US </v>
      </c>
      <c r="C189" s="4" t="str">
        <f>IFERROR(__xludf.DUMMYFUNCTION("""COMPUTED_VALUE""")," Food ")</f>
        <v> Food </v>
      </c>
      <c r="D189" s="4" t="str">
        <f>IFERROR(__xludf.DUMMYFUNCTION("""COMPUTED_VALUE""")," Restaurant ")</f>
        <v> Restaurant </v>
      </c>
      <c r="E189" s="4" t="str">
        <f>IFERROR(__xludf.DUMMYFUNCTION("""COMPUTED_VALUE""")," Brand ")</f>
        <v> Brand </v>
      </c>
      <c r="F189" s="4" t="str">
        <f>IFERROR(__xludf.DUMMYFUNCTION("""COMPUTED_VALUE""")," Five Guys")</f>
        <v> Five Guys</v>
      </c>
      <c r="G189" s="4"/>
      <c r="H189" s="4"/>
      <c r="I189" s="5" t="s">
        <v>15</v>
      </c>
      <c r="J189" s="5" t="s">
        <v>42</v>
      </c>
      <c r="K189" s="5" t="s">
        <v>35</v>
      </c>
      <c r="L189" s="6" t="s">
        <v>297</v>
      </c>
      <c r="M189" s="5" t="s">
        <v>46</v>
      </c>
      <c r="N189" s="5" t="s">
        <v>27</v>
      </c>
      <c r="O189" s="5">
        <v>9210.0</v>
      </c>
      <c r="P189" s="5">
        <v>80.0</v>
      </c>
      <c r="Q189" s="5">
        <v>3798.0</v>
      </c>
      <c r="R189" s="5">
        <v>8619.0</v>
      </c>
      <c r="S189" s="5">
        <v>2.0</v>
      </c>
      <c r="T189" s="5">
        <v>1536.629068</v>
      </c>
      <c r="V189" s="21">
        <f t="shared" si="1"/>
        <v>166.843547</v>
      </c>
      <c r="W189" s="21">
        <f t="shared" si="2"/>
        <v>404.5890121</v>
      </c>
      <c r="X189" s="21">
        <f t="shared" si="3"/>
        <v>2.5</v>
      </c>
      <c r="Y189" s="21">
        <f t="shared" si="4"/>
        <v>768.314534</v>
      </c>
      <c r="Z189" s="21">
        <f t="shared" si="5"/>
        <v>19.20786335</v>
      </c>
      <c r="AA189" s="21">
        <f t="shared" si="6"/>
        <v>0.8686210641</v>
      </c>
    </row>
    <row r="190">
      <c r="A190" s="4" t="s">
        <v>1791</v>
      </c>
      <c r="B190" s="4" t="str">
        <f>IFERROR(__xludf.DUMMYFUNCTION("SPLIT(A190:A914, ""&gt;"")"),"US ")</f>
        <v>US </v>
      </c>
      <c r="C190" s="4" t="str">
        <f>IFERROR(__xludf.DUMMYFUNCTION("""COMPUTED_VALUE""")," Brand Propensities ")</f>
        <v> Brand Propensities </v>
      </c>
      <c r="D190" s="4" t="str">
        <f>IFERROR(__xludf.DUMMYFUNCTION("""COMPUTED_VALUE""")," Health ")</f>
        <v> Health </v>
      </c>
      <c r="E190" s="4" t="str">
        <f>IFERROR(__xludf.DUMMYFUNCTION("""COMPUTED_VALUE""")," Beauty and Cosmetics ")</f>
        <v> Beauty and Cosmetics </v>
      </c>
      <c r="F190" s="4" t="str">
        <f>IFERROR(__xludf.DUMMYFUNCTION("""COMPUTED_VALUE""")," Mary Kay Buyer Propensity")</f>
        <v> Mary Kay Buyer Propensity</v>
      </c>
      <c r="G190" s="4"/>
      <c r="H190" s="4"/>
      <c r="I190" s="5" t="s">
        <v>22</v>
      </c>
      <c r="J190" s="5" t="s">
        <v>31</v>
      </c>
      <c r="K190" s="5" t="s">
        <v>35</v>
      </c>
      <c r="L190" s="6" t="s">
        <v>297</v>
      </c>
      <c r="M190" s="5" t="s">
        <v>36</v>
      </c>
      <c r="N190" s="5" t="s">
        <v>27</v>
      </c>
      <c r="O190" s="5">
        <v>12088.0</v>
      </c>
      <c r="P190" s="5">
        <v>88.0</v>
      </c>
      <c r="Q190" s="5">
        <v>1124.0</v>
      </c>
      <c r="R190" s="5">
        <v>10003.0</v>
      </c>
      <c r="S190" s="5">
        <v>2.0</v>
      </c>
      <c r="T190" s="5">
        <v>1500.026152</v>
      </c>
      <c r="V190" s="21">
        <f t="shared" si="1"/>
        <v>124.0921701</v>
      </c>
      <c r="W190" s="21">
        <f t="shared" si="2"/>
        <v>1334.54284</v>
      </c>
      <c r="X190" s="21">
        <f t="shared" si="3"/>
        <v>2.272727273</v>
      </c>
      <c r="Y190" s="21">
        <f t="shared" si="4"/>
        <v>750.013076</v>
      </c>
      <c r="Z190" s="21">
        <f t="shared" si="5"/>
        <v>17.04575173</v>
      </c>
      <c r="AA190" s="21">
        <f t="shared" si="6"/>
        <v>0.7279947055</v>
      </c>
    </row>
    <row r="191">
      <c r="A191" s="4" t="s">
        <v>1792</v>
      </c>
      <c r="B191" s="4" t="str">
        <f>IFERROR(__xludf.DUMMYFUNCTION("SPLIT(A191:A915, ""&gt;"")"),"US Financial ")</f>
        <v>US Financial </v>
      </c>
      <c r="C191" s="4" t="str">
        <f>IFERROR(__xludf.DUMMYFUNCTION("""COMPUTED_VALUE""")," Estimated Discretionary Spending ")</f>
        <v> Estimated Discretionary Spending </v>
      </c>
      <c r="D191" s="4" t="str">
        <f>IFERROR(__xludf.DUMMYFUNCTION("""COMPUTED_VALUE""")," Greater than $2,500")</f>
        <v> Greater than $2,500</v>
      </c>
      <c r="E191" s="4"/>
      <c r="F191" s="4"/>
      <c r="G191" s="4"/>
      <c r="H191" s="4"/>
      <c r="I191" s="5" t="s">
        <v>22</v>
      </c>
      <c r="J191" s="5" t="s">
        <v>31</v>
      </c>
      <c r="K191" s="5" t="s">
        <v>35</v>
      </c>
      <c r="L191" s="6" t="s">
        <v>297</v>
      </c>
      <c r="M191" s="5" t="s">
        <v>19</v>
      </c>
      <c r="N191" s="5" t="s">
        <v>27</v>
      </c>
      <c r="O191" s="5">
        <v>126337.0</v>
      </c>
      <c r="P191" s="5">
        <v>325.0</v>
      </c>
      <c r="Q191" s="5">
        <v>51394.0</v>
      </c>
      <c r="R191" s="5">
        <v>117635.0</v>
      </c>
      <c r="S191" s="5">
        <v>5.0</v>
      </c>
      <c r="T191" s="5">
        <v>1487.088288</v>
      </c>
      <c r="V191" s="21">
        <f t="shared" si="1"/>
        <v>11.77080577</v>
      </c>
      <c r="W191" s="21">
        <f t="shared" si="2"/>
        <v>28.93505639</v>
      </c>
      <c r="X191" s="21">
        <f t="shared" si="3"/>
        <v>1.538461538</v>
      </c>
      <c r="Y191" s="21">
        <f t="shared" si="4"/>
        <v>297.4176576</v>
      </c>
      <c r="Z191" s="21">
        <f t="shared" si="5"/>
        <v>4.575656271</v>
      </c>
      <c r="AA191" s="21">
        <f t="shared" si="6"/>
        <v>0.2572484704</v>
      </c>
    </row>
    <row r="192">
      <c r="A192" s="4" t="s">
        <v>1793</v>
      </c>
      <c r="B192" s="4" t="str">
        <f>IFERROR(__xludf.DUMMYFUNCTION("SPLIT(A192:A916, ""&gt;"")"),"US ")</f>
        <v>US </v>
      </c>
      <c r="C192" s="4" t="str">
        <f>IFERROR(__xludf.DUMMYFUNCTION("""COMPUTED_VALUE""")," Interest Propensities ")</f>
        <v> Interest Propensities </v>
      </c>
      <c r="D192" s="4" t="str">
        <f>IFERROR(__xludf.DUMMYFUNCTION("""COMPUTED_VALUE""")," Insurance ")</f>
        <v> Insurance </v>
      </c>
      <c r="E192" s="4" t="str">
        <f>IFERROR(__xludf.DUMMYFUNCTION("""COMPUTED_VALUE""")," Northwestern Mutual")</f>
        <v> Northwestern Mutual</v>
      </c>
      <c r="F192" s="4"/>
      <c r="G192" s="4"/>
      <c r="H192" s="4"/>
      <c r="I192" s="5" t="s">
        <v>15</v>
      </c>
      <c r="J192" s="5" t="s">
        <v>23</v>
      </c>
      <c r="K192" s="5" t="s">
        <v>35</v>
      </c>
      <c r="L192" s="6" t="s">
        <v>297</v>
      </c>
      <c r="M192" s="5" t="s">
        <v>327</v>
      </c>
      <c r="N192" s="5" t="s">
        <v>27</v>
      </c>
      <c r="O192" s="5">
        <v>229908.0</v>
      </c>
      <c r="P192" s="5">
        <v>489.0</v>
      </c>
      <c r="Q192" s="5">
        <v>98259.0</v>
      </c>
      <c r="R192" s="5">
        <v>212073.0</v>
      </c>
      <c r="S192" s="5">
        <v>4.0</v>
      </c>
      <c r="T192" s="5">
        <v>1464.348944</v>
      </c>
      <c r="V192" s="21">
        <f t="shared" si="1"/>
        <v>6.369282252</v>
      </c>
      <c r="W192" s="21">
        <f t="shared" si="2"/>
        <v>14.9029498</v>
      </c>
      <c r="X192" s="21">
        <f t="shared" si="3"/>
        <v>0.81799591</v>
      </c>
      <c r="Y192" s="21">
        <f t="shared" si="4"/>
        <v>366.087236</v>
      </c>
      <c r="Z192" s="21">
        <f t="shared" si="5"/>
        <v>2.994578618</v>
      </c>
      <c r="AA192" s="21">
        <f t="shared" si="6"/>
        <v>0.2126937732</v>
      </c>
    </row>
    <row r="193">
      <c r="A193" s="4" t="s">
        <v>1244</v>
      </c>
      <c r="B193" s="4" t="str">
        <f>IFERROR(__xludf.DUMMYFUNCTION("SPLIT(A193:A917, ""&gt;"")"),"Transactional ")</f>
        <v>Transactional </v>
      </c>
      <c r="C193" s="4" t="str">
        <f>IFERROR(__xludf.DUMMYFUNCTION("""COMPUTED_VALUE""")," Q2 Graduation Gift Shoppers")</f>
        <v> Q2 Graduation Gift Shoppers</v>
      </c>
      <c r="D193" s="4"/>
      <c r="E193" s="4"/>
      <c r="F193" s="4"/>
      <c r="G193" s="4"/>
      <c r="H193" s="4"/>
      <c r="I193" s="5" t="s">
        <v>15</v>
      </c>
      <c r="J193" s="5" t="s">
        <v>23</v>
      </c>
      <c r="K193" s="5" t="s">
        <v>17</v>
      </c>
      <c r="L193" s="6" t="s">
        <v>297</v>
      </c>
      <c r="M193" s="5" t="s">
        <v>117</v>
      </c>
      <c r="N193" s="5" t="s">
        <v>27</v>
      </c>
      <c r="O193" s="5">
        <v>144088.0</v>
      </c>
      <c r="P193" s="5">
        <v>490.0</v>
      </c>
      <c r="Q193" s="5">
        <v>26416.0</v>
      </c>
      <c r="R193" s="5">
        <v>137369.0</v>
      </c>
      <c r="S193" s="5">
        <v>7.0</v>
      </c>
      <c r="T193" s="5">
        <v>1464.064235</v>
      </c>
      <c r="V193" s="21">
        <f t="shared" si="1"/>
        <v>10.1609033</v>
      </c>
      <c r="W193" s="21">
        <f t="shared" si="2"/>
        <v>55.42338867</v>
      </c>
      <c r="X193" s="21">
        <f t="shared" si="3"/>
        <v>1.428571429</v>
      </c>
      <c r="Y193" s="21">
        <f t="shared" si="4"/>
        <v>209.1520336</v>
      </c>
      <c r="Z193" s="21">
        <f t="shared" si="5"/>
        <v>2.987886194</v>
      </c>
      <c r="AA193" s="21">
        <f t="shared" si="6"/>
        <v>0.3400699572</v>
      </c>
    </row>
    <row r="194">
      <c r="A194" s="4" t="s">
        <v>1245</v>
      </c>
      <c r="B194" s="4" t="str">
        <f>IFERROR(__xludf.DUMMYFUNCTION("SPLIT(A194:A918, ""&gt;"")"),"OnAudience ")</f>
        <v>OnAudience </v>
      </c>
      <c r="C194" s="4" t="str">
        <f>IFERROR(__xludf.DUMMYFUNCTION("""COMPUTED_VALUE""")," Intent ")</f>
        <v> Intent </v>
      </c>
      <c r="D194" s="4" t="str">
        <f>IFERROR(__xludf.DUMMYFUNCTION("""COMPUTED_VALUE""")," Auto ")</f>
        <v> Auto </v>
      </c>
      <c r="E194" s="4" t="str">
        <f>IFERROR(__xludf.DUMMYFUNCTION("""COMPUTED_VALUE""")," Vehicle Parts &amp; Accessories")</f>
        <v> Vehicle Parts &amp; Accessories</v>
      </c>
      <c r="F194" s="4"/>
      <c r="G194" s="4"/>
      <c r="H194" s="4"/>
      <c r="I194" s="5" t="s">
        <v>22</v>
      </c>
      <c r="J194" s="5" t="s">
        <v>16</v>
      </c>
      <c r="K194" s="5" t="s">
        <v>32</v>
      </c>
      <c r="L194" s="6" t="s">
        <v>297</v>
      </c>
      <c r="M194" s="5" t="s">
        <v>46</v>
      </c>
      <c r="N194" s="5" t="s">
        <v>27</v>
      </c>
      <c r="O194" s="5">
        <v>37269.0</v>
      </c>
      <c r="P194" s="5">
        <v>106.0</v>
      </c>
      <c r="Q194" s="5">
        <v>11667.0</v>
      </c>
      <c r="R194" s="5">
        <v>33260.0</v>
      </c>
      <c r="S194" s="5">
        <v>6.0</v>
      </c>
      <c r="T194" s="5">
        <v>1453.075462</v>
      </c>
      <c r="V194" s="21">
        <f t="shared" si="1"/>
        <v>38.9888503</v>
      </c>
      <c r="W194" s="21">
        <f t="shared" si="2"/>
        <v>124.5457669</v>
      </c>
      <c r="X194" s="21">
        <f t="shared" si="3"/>
        <v>5.660377358</v>
      </c>
      <c r="Y194" s="21">
        <f t="shared" si="4"/>
        <v>242.1792437</v>
      </c>
      <c r="Z194" s="21">
        <f t="shared" si="5"/>
        <v>13.70825908</v>
      </c>
      <c r="AA194" s="21">
        <f t="shared" si="6"/>
        <v>0.2844186858</v>
      </c>
    </row>
    <row r="195">
      <c r="A195" s="4" t="s">
        <v>1246</v>
      </c>
      <c r="B195" s="4" t="str">
        <f>IFERROR(__xludf.DUMMYFUNCTION("SPLIT(A195:A919, ""&gt;"")"),"Lotame ")</f>
        <v>Lotame </v>
      </c>
      <c r="C195" s="4" t="str">
        <f>IFERROR(__xludf.DUMMYFUNCTION("""COMPUTED_VALUE""")," Offline CPG Purchasers ")</f>
        <v> Offline CPG Purchasers </v>
      </c>
      <c r="D195" s="4" t="str">
        <f>IFERROR(__xludf.DUMMYFUNCTION("""COMPUTED_VALUE""")," Product Segment ")</f>
        <v> Product Segment </v>
      </c>
      <c r="E195" s="4" t="str">
        <f>IFERROR(__xludf.DUMMYFUNCTION("""COMPUTED_VALUE""")," Home Supplies")</f>
        <v> Home Supplies</v>
      </c>
      <c r="F195" s="4"/>
      <c r="G195" s="4"/>
      <c r="H195" s="4"/>
      <c r="I195" s="5" t="s">
        <v>15</v>
      </c>
      <c r="J195" s="5" t="s">
        <v>23</v>
      </c>
      <c r="K195" s="5" t="s">
        <v>17</v>
      </c>
      <c r="L195" s="6" t="s">
        <v>297</v>
      </c>
      <c r="M195" s="5" t="s">
        <v>26</v>
      </c>
      <c r="N195" s="5" t="s">
        <v>27</v>
      </c>
      <c r="O195" s="5">
        <v>13326.0</v>
      </c>
      <c r="P195" s="5">
        <v>98.0</v>
      </c>
      <c r="Q195" s="5">
        <v>3568.0</v>
      </c>
      <c r="R195" s="5">
        <v>11388.0</v>
      </c>
      <c r="S195" s="5">
        <v>2.0</v>
      </c>
      <c r="T195" s="5">
        <v>1442.032183</v>
      </c>
      <c r="V195" s="21">
        <f t="shared" si="1"/>
        <v>108.2119303</v>
      </c>
      <c r="W195" s="21">
        <f t="shared" si="2"/>
        <v>404.157002</v>
      </c>
      <c r="X195" s="21">
        <f t="shared" si="3"/>
        <v>2.040816327</v>
      </c>
      <c r="Y195" s="21">
        <f t="shared" si="4"/>
        <v>721.0160915</v>
      </c>
      <c r="Z195" s="21">
        <f t="shared" si="5"/>
        <v>14.71461411</v>
      </c>
      <c r="AA195" s="21">
        <f t="shared" si="6"/>
        <v>0.7354044725</v>
      </c>
    </row>
    <row r="196">
      <c r="A196" s="4" t="s">
        <v>1247</v>
      </c>
      <c r="B196" s="4" t="str">
        <f>IFERROR(__xludf.DUMMYFUNCTION("SPLIT(A196:A920, ""&gt;"")"),"Media and Entertainment ")</f>
        <v>Media and Entertainment </v>
      </c>
      <c r="C196" s="4" t="str">
        <f>IFERROR(__xludf.DUMMYFUNCTION("""COMPUTED_VALUE""")," Consumer Entertainment Technology")</f>
        <v> Consumer Entertainment Technology</v>
      </c>
      <c r="D196" s="4"/>
      <c r="E196" s="4"/>
      <c r="F196" s="4"/>
      <c r="G196" s="4"/>
      <c r="H196" s="4"/>
      <c r="I196" s="5" t="s">
        <v>15</v>
      </c>
      <c r="J196" s="5" t="s">
        <v>31</v>
      </c>
      <c r="K196" s="5" t="s">
        <v>78</v>
      </c>
      <c r="L196" s="6" t="s">
        <v>332</v>
      </c>
      <c r="M196" s="5" t="s">
        <v>19</v>
      </c>
      <c r="N196" s="5" t="s">
        <v>27</v>
      </c>
      <c r="O196" s="5">
        <v>10942.0</v>
      </c>
      <c r="P196" s="5">
        <v>66.0</v>
      </c>
      <c r="Q196" s="5">
        <v>4578.0</v>
      </c>
      <c r="R196" s="5">
        <v>9155.0</v>
      </c>
      <c r="S196" s="5">
        <v>3.0</v>
      </c>
      <c r="T196" s="5">
        <v>1595.752624</v>
      </c>
      <c r="V196" s="21">
        <f t="shared" si="1"/>
        <v>145.8373811</v>
      </c>
      <c r="W196" s="21">
        <f t="shared" si="2"/>
        <v>348.5698174</v>
      </c>
      <c r="X196" s="21">
        <f t="shared" si="3"/>
        <v>4.545454545</v>
      </c>
      <c r="Y196" s="21">
        <f t="shared" si="4"/>
        <v>531.9175413</v>
      </c>
      <c r="Z196" s="21">
        <f t="shared" si="5"/>
        <v>24.17807006</v>
      </c>
      <c r="AA196" s="21">
        <f t="shared" si="6"/>
        <v>0.6031804058</v>
      </c>
    </row>
    <row r="197">
      <c r="A197" s="4" t="s">
        <v>1248</v>
      </c>
      <c r="B197" s="4" t="str">
        <f>IFERROR(__xludf.DUMMYFUNCTION("SPLIT(A197:A921, ""&gt;"")"),"Online Behavior")</f>
        <v>Online Behavior</v>
      </c>
      <c r="C197" s="4" t="str">
        <f>IFERROR(__xludf.DUMMYFUNCTION("""COMPUTED_VALUE"""),"United States")</f>
        <v>United States</v>
      </c>
      <c r="D197" s="4" t="str">
        <f>IFERROR(__xludf.DUMMYFUNCTION("""COMPUTED_VALUE"""),"Autos and Vehicles ")</f>
        <v>Autos and Vehicles </v>
      </c>
      <c r="E197" s="4" t="str">
        <f>IFERROR(__xludf.DUMMYFUNCTION("""COMPUTED_VALUE""")," Brands")</f>
        <v> Brands</v>
      </c>
      <c r="F197" s="4" t="str">
        <f>IFERROR(__xludf.DUMMYFUNCTION("""COMPUTED_VALUE"""),"Cadillac")</f>
        <v>Cadillac</v>
      </c>
      <c r="G197" s="4"/>
      <c r="H197" s="4"/>
      <c r="I197" s="5" t="s">
        <v>22</v>
      </c>
      <c r="J197" s="5" t="s">
        <v>16</v>
      </c>
      <c r="K197" s="5" t="s">
        <v>150</v>
      </c>
      <c r="L197" s="6" t="s">
        <v>334</v>
      </c>
      <c r="M197" s="5" t="s">
        <v>19</v>
      </c>
      <c r="N197" s="5" t="s">
        <v>27</v>
      </c>
      <c r="O197" s="5">
        <v>14011.0</v>
      </c>
      <c r="P197" s="5">
        <v>40.0</v>
      </c>
      <c r="Q197" s="5">
        <v>5060.0</v>
      </c>
      <c r="R197" s="5">
        <v>12459.0</v>
      </c>
      <c r="S197" s="5">
        <v>5.0</v>
      </c>
      <c r="T197" s="5">
        <v>5632.087973</v>
      </c>
      <c r="V197" s="21">
        <f t="shared" si="1"/>
        <v>401.9761597</v>
      </c>
      <c r="W197" s="21">
        <f t="shared" si="2"/>
        <v>1113.060864</v>
      </c>
      <c r="X197" s="21">
        <f t="shared" si="3"/>
        <v>12.5</v>
      </c>
      <c r="Y197" s="21">
        <f t="shared" si="4"/>
        <v>1126.417595</v>
      </c>
      <c r="Z197" s="21">
        <f t="shared" si="5"/>
        <v>140.8021993</v>
      </c>
      <c r="AA197" s="21">
        <f t="shared" si="6"/>
        <v>0.2854899722</v>
      </c>
    </row>
    <row r="198">
      <c r="A198" s="4" t="s">
        <v>1249</v>
      </c>
      <c r="B198" s="4" t="str">
        <f>IFERROR(__xludf.DUMMYFUNCTION("SPLIT(A198:A922, ""&gt;"")"),"Lotame ")</f>
        <v>Lotame </v>
      </c>
      <c r="C198" s="4" t="str">
        <f>IFERROR(__xludf.DUMMYFUNCTION("""COMPUTED_VALUE""")," Travel ")</f>
        <v> Travel </v>
      </c>
      <c r="D198" s="4" t="str">
        <f>IFERROR(__xludf.DUMMYFUNCTION("""COMPUTED_VALUE""")," International Travel")</f>
        <v> International Travel</v>
      </c>
      <c r="E198" s="4"/>
      <c r="F198" s="4"/>
      <c r="G198" s="4"/>
      <c r="H198" s="4"/>
      <c r="I198" s="5" t="s">
        <v>15</v>
      </c>
      <c r="J198" s="5" t="s">
        <v>42</v>
      </c>
      <c r="K198" s="5" t="s">
        <v>29</v>
      </c>
      <c r="L198" s="6" t="s">
        <v>336</v>
      </c>
      <c r="M198" s="5" t="s">
        <v>19</v>
      </c>
      <c r="N198" s="5" t="s">
        <v>27</v>
      </c>
      <c r="O198" s="5">
        <v>13464.0</v>
      </c>
      <c r="P198" s="5">
        <v>84.0</v>
      </c>
      <c r="Q198" s="5">
        <v>1698.0</v>
      </c>
      <c r="R198" s="5">
        <v>11234.0</v>
      </c>
      <c r="S198" s="5">
        <v>1.0</v>
      </c>
      <c r="T198" s="5">
        <v>1466.285104</v>
      </c>
      <c r="V198" s="21">
        <f t="shared" si="1"/>
        <v>108.9041224</v>
      </c>
      <c r="W198" s="21">
        <f t="shared" si="2"/>
        <v>863.5365748</v>
      </c>
      <c r="X198" s="21">
        <f t="shared" si="3"/>
        <v>1.19047619</v>
      </c>
      <c r="Y198" s="21">
        <f t="shared" si="4"/>
        <v>1466.285104</v>
      </c>
      <c r="Z198" s="21">
        <f t="shared" si="5"/>
        <v>17.45577505</v>
      </c>
      <c r="AA198" s="21">
        <f t="shared" si="6"/>
        <v>0.623885918</v>
      </c>
    </row>
    <row r="199">
      <c r="A199" s="4" t="s">
        <v>1250</v>
      </c>
      <c r="B199" s="4" t="str">
        <f>IFERROR(__xludf.DUMMYFUNCTION("SPLIT(A199:A923, ""&gt;"")"),"Online Behavior")</f>
        <v>Online Behavior</v>
      </c>
      <c r="C199" s="4" t="str">
        <f>IFERROR(__xludf.DUMMYFUNCTION("""COMPUTED_VALUE"""),"United States")</f>
        <v>United States</v>
      </c>
      <c r="D199" s="4" t="str">
        <f>IFERROR(__xludf.DUMMYFUNCTION("""COMPUTED_VALUE"""),"Validated Demographic ")</f>
        <v>Validated Demographic </v>
      </c>
      <c r="E199" s="4" t="str">
        <f>IFERROR(__xludf.DUMMYFUNCTION("""COMPUTED_VALUE""")," Gender and Age Combined")</f>
        <v> Gender and Age Combined</v>
      </c>
      <c r="F199" s="4" t="str">
        <f>IFERROR(__xludf.DUMMYFUNCTION("""COMPUTED_VALUE"""),"Females 35-44")</f>
        <v>Females 35-44</v>
      </c>
      <c r="G199" s="4"/>
      <c r="H199" s="4"/>
      <c r="I199" s="5" t="s">
        <v>15</v>
      </c>
      <c r="J199" s="5" t="s">
        <v>31</v>
      </c>
      <c r="K199" s="5" t="s">
        <v>84</v>
      </c>
      <c r="L199" s="6" t="s">
        <v>338</v>
      </c>
      <c r="M199" s="5" t="s">
        <v>26</v>
      </c>
      <c r="N199" s="5" t="s">
        <v>27</v>
      </c>
      <c r="O199" s="5">
        <v>121991.0</v>
      </c>
      <c r="P199" s="5">
        <v>369.0</v>
      </c>
      <c r="Q199" s="5">
        <v>43079.0</v>
      </c>
      <c r="R199" s="5">
        <v>99312.0</v>
      </c>
      <c r="S199" s="5">
        <v>4.0</v>
      </c>
      <c r="T199" s="5">
        <v>3993.214585</v>
      </c>
      <c r="V199" s="21">
        <f t="shared" si="1"/>
        <v>32.73368187</v>
      </c>
      <c r="W199" s="21">
        <f t="shared" si="2"/>
        <v>92.69515506</v>
      </c>
      <c r="X199" s="21">
        <f t="shared" si="3"/>
        <v>1.08401084</v>
      </c>
      <c r="Y199" s="21">
        <f t="shared" si="4"/>
        <v>998.3036463</v>
      </c>
      <c r="Z199" s="21">
        <f t="shared" si="5"/>
        <v>10.82171974</v>
      </c>
      <c r="AA199" s="21">
        <f t="shared" si="6"/>
        <v>0.3024813306</v>
      </c>
    </row>
    <row r="200">
      <c r="A200" s="4" t="s">
        <v>1251</v>
      </c>
      <c r="B200" s="4" t="str">
        <f>IFERROR(__xludf.DUMMYFUNCTION("SPLIT(A200:A924, ""&gt;"")"),"Online Behavior")</f>
        <v>Online Behavior</v>
      </c>
      <c r="C200" s="4" t="str">
        <f>IFERROR(__xludf.DUMMYFUNCTION("""COMPUTED_VALUE"""),"United States")</f>
        <v>United States</v>
      </c>
      <c r="D200" s="4" t="str">
        <f>IFERROR(__xludf.DUMMYFUNCTION("""COMPUTED_VALUE"""),"B2B ")</f>
        <v>B2B </v>
      </c>
      <c r="E200" s="4" t="str">
        <f>IFERROR(__xludf.DUMMYFUNCTION("""COMPUTED_VALUE""")," Occupation")</f>
        <v> Occupation</v>
      </c>
      <c r="F200" s="4" t="str">
        <f>IFERROR(__xludf.DUMMYFUNCTION("""COMPUTED_VALUE"""),"SystemsAnalyst")</f>
        <v>SystemsAnalyst</v>
      </c>
      <c r="G200" s="4"/>
      <c r="H200" s="4"/>
      <c r="I200" s="5" t="s">
        <v>22</v>
      </c>
      <c r="J200" s="5" t="s">
        <v>31</v>
      </c>
      <c r="K200" s="5" t="s">
        <v>35</v>
      </c>
      <c r="L200" s="6" t="s">
        <v>338</v>
      </c>
      <c r="M200" s="5" t="s">
        <v>19</v>
      </c>
      <c r="N200" s="5" t="s">
        <v>27</v>
      </c>
      <c r="O200" s="5">
        <v>95289.0</v>
      </c>
      <c r="P200" s="5">
        <v>199.0</v>
      </c>
      <c r="Q200" s="5">
        <v>19527.0</v>
      </c>
      <c r="R200" s="5">
        <v>82800.0</v>
      </c>
      <c r="S200" s="5">
        <v>5.0</v>
      </c>
      <c r="T200" s="5">
        <v>3223.535948</v>
      </c>
      <c r="V200" s="21">
        <f t="shared" si="1"/>
        <v>33.82904583</v>
      </c>
      <c r="W200" s="21">
        <f t="shared" si="2"/>
        <v>165.0809622</v>
      </c>
      <c r="X200" s="21">
        <f t="shared" si="3"/>
        <v>2.512562814</v>
      </c>
      <c r="Y200" s="21">
        <f t="shared" si="4"/>
        <v>644.7071896</v>
      </c>
      <c r="Z200" s="21">
        <f t="shared" si="5"/>
        <v>16.19867311</v>
      </c>
      <c r="AA200" s="21">
        <f t="shared" si="6"/>
        <v>0.2088383759</v>
      </c>
    </row>
    <row r="201">
      <c r="A201" s="4" t="s">
        <v>1252</v>
      </c>
      <c r="B201" s="4" t="str">
        <f>IFERROR(__xludf.DUMMYFUNCTION("SPLIT(A201:A925, ""&gt;"")"),"OnAudience ")</f>
        <v>OnAudience </v>
      </c>
      <c r="C201" s="4" t="str">
        <f>IFERROR(__xludf.DUMMYFUNCTION("""COMPUTED_VALUE""")," Interest ")</f>
        <v> Interest </v>
      </c>
      <c r="D201" s="4" t="str">
        <f>IFERROR(__xludf.DUMMYFUNCTION("""COMPUTED_VALUE""")," Personal Finance")</f>
        <v> Personal Finance</v>
      </c>
      <c r="E201" s="4"/>
      <c r="F201" s="4"/>
      <c r="G201" s="4"/>
      <c r="H201" s="4"/>
      <c r="I201" s="5" t="s">
        <v>22</v>
      </c>
      <c r="J201" s="5" t="s">
        <v>16</v>
      </c>
      <c r="K201" s="5" t="s">
        <v>35</v>
      </c>
      <c r="L201" s="6" t="s">
        <v>341</v>
      </c>
      <c r="M201" s="5" t="s">
        <v>19</v>
      </c>
      <c r="N201" s="5" t="s">
        <v>27</v>
      </c>
      <c r="O201" s="5">
        <v>80408.0</v>
      </c>
      <c r="P201" s="5">
        <v>199.0</v>
      </c>
      <c r="Q201" s="5">
        <v>13127.0</v>
      </c>
      <c r="R201" s="5">
        <v>67027.0</v>
      </c>
      <c r="S201" s="5">
        <v>9.0</v>
      </c>
      <c r="T201" s="5">
        <v>1788.111618</v>
      </c>
      <c r="V201" s="21">
        <f t="shared" si="1"/>
        <v>22.23798152</v>
      </c>
      <c r="W201" s="21">
        <f t="shared" si="2"/>
        <v>136.2163189</v>
      </c>
      <c r="X201" s="21">
        <f t="shared" si="3"/>
        <v>4.522613065</v>
      </c>
      <c r="Y201" s="21">
        <f t="shared" si="4"/>
        <v>198.6790687</v>
      </c>
      <c r="Z201" s="21">
        <f t="shared" si="5"/>
        <v>8.985485518</v>
      </c>
      <c r="AA201" s="21">
        <f t="shared" si="6"/>
        <v>0.2474878122</v>
      </c>
    </row>
    <row r="202">
      <c r="A202" s="4" t="s">
        <v>1794</v>
      </c>
      <c r="B202" s="4" t="str">
        <f>IFERROR(__xludf.DUMMYFUNCTION("SPLIT(A202:A926, ""&gt;"")"),"Mobile - US ")</f>
        <v>Mobile - US </v>
      </c>
      <c r="C202" s="4" t="str">
        <f>IFERROR(__xludf.DUMMYFUNCTION("""COMPUTED_VALUE""")," Demographics ")</f>
        <v> Demographics </v>
      </c>
      <c r="D202" s="4" t="str">
        <f>IFERROR(__xludf.DUMMYFUNCTION("""COMPUTED_VALUE""")," Education ")</f>
        <v> Education </v>
      </c>
      <c r="E202" s="4" t="str">
        <f>IFERROR(__xludf.DUMMYFUNCTION("""COMPUTED_VALUE""")," Lowest Education Achievement")</f>
        <v> Lowest Education Achievement</v>
      </c>
      <c r="F202" s="4"/>
      <c r="G202" s="4"/>
      <c r="H202" s="4"/>
      <c r="I202" s="5" t="s">
        <v>22</v>
      </c>
      <c r="J202" s="5" t="s">
        <v>42</v>
      </c>
      <c r="K202" s="5" t="s">
        <v>55</v>
      </c>
      <c r="L202" s="6" t="s">
        <v>341</v>
      </c>
      <c r="M202" s="5" t="s">
        <v>46</v>
      </c>
      <c r="N202" s="5" t="s">
        <v>27</v>
      </c>
      <c r="O202" s="5">
        <v>82916.0</v>
      </c>
      <c r="P202" s="5">
        <v>199.0</v>
      </c>
      <c r="Q202" s="5">
        <v>24951.0</v>
      </c>
      <c r="R202" s="5">
        <v>77333.0</v>
      </c>
      <c r="S202" s="5">
        <v>12.0</v>
      </c>
      <c r="T202" s="5">
        <v>1584.821247</v>
      </c>
      <c r="V202" s="21">
        <f t="shared" si="1"/>
        <v>19.11357575</v>
      </c>
      <c r="W202" s="21">
        <f t="shared" si="2"/>
        <v>63.51734387</v>
      </c>
      <c r="X202" s="21">
        <f t="shared" si="3"/>
        <v>6.030150754</v>
      </c>
      <c r="Y202" s="21">
        <f t="shared" si="4"/>
        <v>132.0684373</v>
      </c>
      <c r="Z202" s="21">
        <f t="shared" si="5"/>
        <v>7.963925864</v>
      </c>
      <c r="AA202" s="21">
        <f t="shared" si="6"/>
        <v>0.2400019297</v>
      </c>
    </row>
    <row r="203">
      <c r="A203" s="4" t="s">
        <v>1795</v>
      </c>
      <c r="B203" s="4" t="str">
        <f>IFERROR(__xludf.DUMMYFUNCTION("SPLIT(A203:A927, ""&gt;"")"),"Mobile - US ")</f>
        <v>Mobile - US </v>
      </c>
      <c r="C203" s="4" t="str">
        <f>IFERROR(__xludf.DUMMYFUNCTION("""COMPUTED_VALUE""")," Food ")</f>
        <v> Food </v>
      </c>
      <c r="D203" s="4" t="str">
        <f>IFERROR(__xludf.DUMMYFUNCTION("""COMPUTED_VALUE""")," Restaurant ")</f>
        <v> Restaurant </v>
      </c>
      <c r="E203" s="4" t="str">
        <f>IFERROR(__xludf.DUMMYFUNCTION("""COMPUTED_VALUE""")," Brand ")</f>
        <v> Brand </v>
      </c>
      <c r="F203" s="4" t="str">
        <f>IFERROR(__xludf.DUMMYFUNCTION("""COMPUTED_VALUE""")," Buffalo Wild Wings")</f>
        <v> Buffalo Wild Wings</v>
      </c>
      <c r="G203" s="4"/>
      <c r="H203" s="4"/>
      <c r="I203" s="5" t="s">
        <v>15</v>
      </c>
      <c r="J203" s="5" t="s">
        <v>16</v>
      </c>
      <c r="K203" s="5" t="s">
        <v>29</v>
      </c>
      <c r="L203" s="6" t="s">
        <v>344</v>
      </c>
      <c r="M203" s="5" t="s">
        <v>19</v>
      </c>
      <c r="N203" s="5" t="s">
        <v>52</v>
      </c>
      <c r="O203" s="5">
        <v>16354.0</v>
      </c>
      <c r="P203" s="5">
        <v>40.0</v>
      </c>
      <c r="Q203" s="5">
        <v>8061.0</v>
      </c>
      <c r="R203" s="5">
        <v>15667.0</v>
      </c>
      <c r="S203" s="5">
        <v>4.0</v>
      </c>
      <c r="T203" s="5">
        <v>1610.319977</v>
      </c>
      <c r="V203" s="21">
        <f t="shared" si="1"/>
        <v>98.46642882</v>
      </c>
      <c r="W203" s="21">
        <f t="shared" si="2"/>
        <v>199.7667755</v>
      </c>
      <c r="X203" s="21">
        <f t="shared" si="3"/>
        <v>10</v>
      </c>
      <c r="Y203" s="21">
        <f t="shared" si="4"/>
        <v>402.5799943</v>
      </c>
      <c r="Z203" s="21">
        <f t="shared" si="5"/>
        <v>40.25799943</v>
      </c>
      <c r="AA203" s="21">
        <f t="shared" si="6"/>
        <v>0.2445884799</v>
      </c>
    </row>
    <row r="204">
      <c r="A204" s="4" t="s">
        <v>1796</v>
      </c>
      <c r="B204" s="4" t="str">
        <f>IFERROR(__xludf.DUMMYFUNCTION("SPLIT(A204:A928, ""&gt;"")"),"US Interest ")</f>
        <v>US Interest </v>
      </c>
      <c r="C204" s="4" t="str">
        <f>IFERROR(__xludf.DUMMYFUNCTION("""COMPUTED_VALUE""")," Cooking ")</f>
        <v> Cooking </v>
      </c>
      <c r="D204" s="4" t="str">
        <f>IFERROR(__xludf.DUMMYFUNCTION("""COMPUTED_VALUE""")," General")</f>
        <v> General</v>
      </c>
      <c r="E204" s="4"/>
      <c r="F204" s="4"/>
      <c r="G204" s="4"/>
      <c r="H204" s="4"/>
      <c r="I204" s="5" t="s">
        <v>22</v>
      </c>
      <c r="J204" s="5" t="s">
        <v>31</v>
      </c>
      <c r="K204" s="5" t="s">
        <v>35</v>
      </c>
      <c r="L204" s="6" t="s">
        <v>346</v>
      </c>
      <c r="M204" s="5" t="s">
        <v>33</v>
      </c>
      <c r="N204" s="5" t="s">
        <v>27</v>
      </c>
      <c r="O204" s="5">
        <v>9920.0</v>
      </c>
      <c r="P204" s="5">
        <v>20.0</v>
      </c>
      <c r="Q204" s="5">
        <v>6702.0</v>
      </c>
      <c r="R204" s="5">
        <v>9096.0</v>
      </c>
      <c r="S204" s="5">
        <v>10.0</v>
      </c>
      <c r="T204" s="5">
        <v>1453.11439</v>
      </c>
      <c r="V204" s="21">
        <f t="shared" si="1"/>
        <v>146.4833054</v>
      </c>
      <c r="W204" s="21">
        <f t="shared" si="2"/>
        <v>216.818023</v>
      </c>
      <c r="X204" s="21">
        <f t="shared" si="3"/>
        <v>50</v>
      </c>
      <c r="Y204" s="21">
        <f t="shared" si="4"/>
        <v>145.311439</v>
      </c>
      <c r="Z204" s="21">
        <f t="shared" si="5"/>
        <v>72.6557195</v>
      </c>
      <c r="AA204" s="21">
        <f t="shared" si="6"/>
        <v>0.2016129032</v>
      </c>
    </row>
    <row r="205">
      <c r="A205" s="4" t="s">
        <v>1256</v>
      </c>
      <c r="B205" s="4" t="str">
        <f>IFERROR(__xludf.DUMMYFUNCTION("SPLIT(A205:A929, ""&gt;"")"),"Travel and Tourism ")</f>
        <v>Travel and Tourism </v>
      </c>
      <c r="C205" s="4" t="str">
        <f>IFERROR(__xludf.DUMMYFUNCTION("""COMPUTED_VALUE""")," Interest (Affinity) ")</f>
        <v> Interest (Affinity) </v>
      </c>
      <c r="D205" s="4" t="str">
        <f>IFERROR(__xludf.DUMMYFUNCTION("""COMPUTED_VALUE""")," Destinations ")</f>
        <v> Destinations </v>
      </c>
      <c r="E205" s="4" t="str">
        <f>IFERROR(__xludf.DUMMYFUNCTION("""COMPUTED_VALUE""")," Latin America")</f>
        <v> Latin America</v>
      </c>
      <c r="F205" s="4"/>
      <c r="G205" s="4"/>
      <c r="H205" s="4"/>
      <c r="I205" s="5" t="s">
        <v>22</v>
      </c>
      <c r="J205" s="5" t="s">
        <v>42</v>
      </c>
      <c r="K205" s="5" t="s">
        <v>24</v>
      </c>
      <c r="L205" s="6" t="s">
        <v>348</v>
      </c>
      <c r="M205" s="5" t="s">
        <v>36</v>
      </c>
      <c r="N205" s="5" t="s">
        <v>27</v>
      </c>
      <c r="O205" s="5">
        <v>31243.0</v>
      </c>
      <c r="P205" s="5">
        <v>100.0</v>
      </c>
      <c r="Q205" s="5">
        <v>16326.0</v>
      </c>
      <c r="R205" s="5">
        <v>25991.0</v>
      </c>
      <c r="S205" s="5">
        <v>21.0</v>
      </c>
      <c r="T205" s="5">
        <v>1452.59056</v>
      </c>
      <c r="V205" s="21">
        <f t="shared" si="1"/>
        <v>46.49331242</v>
      </c>
      <c r="W205" s="21">
        <f t="shared" si="2"/>
        <v>88.97406346</v>
      </c>
      <c r="X205" s="21">
        <f t="shared" si="3"/>
        <v>21</v>
      </c>
      <c r="Y205" s="21">
        <f t="shared" si="4"/>
        <v>69.17097905</v>
      </c>
      <c r="Z205" s="21">
        <f t="shared" si="5"/>
        <v>14.5259056</v>
      </c>
      <c r="AA205" s="21">
        <f t="shared" si="6"/>
        <v>0.3200716961</v>
      </c>
    </row>
    <row r="206">
      <c r="A206" s="4" t="s">
        <v>1257</v>
      </c>
      <c r="B206" s="4" t="str">
        <f>IFERROR(__xludf.DUMMYFUNCTION("SPLIT(A206:A930, ""&gt;"")"),"Online Behavior")</f>
        <v>Online Behavior</v>
      </c>
      <c r="C206" s="4" t="str">
        <f>IFERROR(__xludf.DUMMYFUNCTION("""COMPUTED_VALUE"""),"United States")</f>
        <v>United States</v>
      </c>
      <c r="D206" s="4" t="str">
        <f>IFERROR(__xludf.DUMMYFUNCTION("""COMPUTED_VALUE"""),"Intent ")</f>
        <v>Intent </v>
      </c>
      <c r="E206" s="4" t="str">
        <f>IFERROR(__xludf.DUMMYFUNCTION("""COMPUTED_VALUE""")," Shopping")</f>
        <v> Shopping</v>
      </c>
      <c r="F206" s="4" t="str">
        <f>IFERROR(__xludf.DUMMYFUNCTION("""COMPUTED_VALUE"""),"Consumer Electronics ")</f>
        <v>Consumer Electronics </v>
      </c>
      <c r="G206" s="4" t="str">
        <f>IFERROR(__xludf.DUMMYFUNCTION("""COMPUTED_VALUE""")," Video Game Consoles")</f>
        <v> Video Game Consoles</v>
      </c>
      <c r="H206" s="4"/>
      <c r="I206" s="5" t="s">
        <v>15</v>
      </c>
      <c r="J206" s="5" t="s">
        <v>42</v>
      </c>
      <c r="K206" s="5" t="s">
        <v>35</v>
      </c>
      <c r="L206" s="6" t="s">
        <v>350</v>
      </c>
      <c r="M206" s="5" t="s">
        <v>36</v>
      </c>
      <c r="N206" s="5" t="s">
        <v>20</v>
      </c>
      <c r="O206" s="5">
        <v>39314.0</v>
      </c>
      <c r="P206" s="5">
        <v>100.0</v>
      </c>
      <c r="Q206" s="5">
        <v>27671.0</v>
      </c>
      <c r="R206" s="5">
        <v>35488.0</v>
      </c>
      <c r="S206" s="5">
        <v>8.0</v>
      </c>
      <c r="T206" s="5">
        <v>5530.800458</v>
      </c>
      <c r="V206" s="21">
        <f t="shared" si="1"/>
        <v>140.6827201</v>
      </c>
      <c r="W206" s="21">
        <f t="shared" si="2"/>
        <v>199.8771442</v>
      </c>
      <c r="X206" s="21">
        <f t="shared" si="3"/>
        <v>8</v>
      </c>
      <c r="Y206" s="21">
        <f t="shared" si="4"/>
        <v>691.3500573</v>
      </c>
      <c r="Z206" s="21">
        <f t="shared" si="5"/>
        <v>55.30800458</v>
      </c>
      <c r="AA206" s="21">
        <f t="shared" si="6"/>
        <v>0.2543623137</v>
      </c>
    </row>
    <row r="207">
      <c r="A207" s="4" t="s">
        <v>1258</v>
      </c>
      <c r="B207" s="4" t="str">
        <f>IFERROR(__xludf.DUMMYFUNCTION("SPLIT(A207:A931, ""&gt;"")"),"Online Behavior")</f>
        <v>Online Behavior</v>
      </c>
      <c r="C207" s="4" t="str">
        <f>IFERROR(__xludf.DUMMYFUNCTION("""COMPUTED_VALUE"""),"United States")</f>
        <v>United States</v>
      </c>
      <c r="D207" s="4" t="str">
        <f>IFERROR(__xludf.DUMMYFUNCTION("""COMPUTED_VALUE"""),"Intent ")</f>
        <v>Intent </v>
      </c>
      <c r="E207" s="4" t="str">
        <f>IFERROR(__xludf.DUMMYFUNCTION("""COMPUTED_VALUE""")," Auto Buyers ")</f>
        <v> Auto Buyers </v>
      </c>
      <c r="F207" s="4" t="str">
        <f>IFERROR(__xludf.DUMMYFUNCTION("""COMPUTED_VALUE""")," Category")</f>
        <v> Category</v>
      </c>
      <c r="G207" s="4" t="str">
        <f>IFERROR(__xludf.DUMMYFUNCTION("""COMPUTED_VALUE"""),"Motorcycle")</f>
        <v>Motorcycle</v>
      </c>
      <c r="H207" s="4"/>
      <c r="I207" s="5" t="s">
        <v>22</v>
      </c>
      <c r="J207" s="5" t="s">
        <v>42</v>
      </c>
      <c r="K207" s="5" t="s">
        <v>17</v>
      </c>
      <c r="L207" s="6" t="s">
        <v>352</v>
      </c>
      <c r="M207" s="5" t="s">
        <v>33</v>
      </c>
      <c r="N207" s="5" t="s">
        <v>27</v>
      </c>
      <c r="O207" s="5">
        <v>15252.0</v>
      </c>
      <c r="P207" s="5">
        <v>55.0</v>
      </c>
      <c r="Q207" s="5">
        <v>2152.0</v>
      </c>
      <c r="R207" s="5">
        <v>3482.0</v>
      </c>
      <c r="S207" s="5">
        <v>7.0</v>
      </c>
      <c r="T207" s="5">
        <v>6211.200147</v>
      </c>
      <c r="V207" s="21">
        <f t="shared" si="1"/>
        <v>407.2384046</v>
      </c>
      <c r="W207" s="21">
        <f t="shared" si="2"/>
        <v>2886.245421</v>
      </c>
      <c r="X207" s="21">
        <f t="shared" si="3"/>
        <v>12.72727273</v>
      </c>
      <c r="Y207" s="21">
        <f t="shared" si="4"/>
        <v>887.3143067</v>
      </c>
      <c r="Z207" s="21">
        <f t="shared" si="5"/>
        <v>112.9309118</v>
      </c>
      <c r="AA207" s="21">
        <f t="shared" si="6"/>
        <v>0.3606084448</v>
      </c>
    </row>
    <row r="208">
      <c r="A208" s="4" t="s">
        <v>1797</v>
      </c>
      <c r="B208" s="4" t="str">
        <f>IFERROR(__xludf.DUMMYFUNCTION("SPLIT(A208:A932, ""&gt;"")"),"US Financial ")</f>
        <v>US Financial </v>
      </c>
      <c r="C208" s="4" t="str">
        <f>IFERROR(__xludf.DUMMYFUNCTION("""COMPUTED_VALUE""")," Credit Card Type ")</f>
        <v> Credit Card Type </v>
      </c>
      <c r="D208" s="4" t="str">
        <f>IFERROR(__xludf.DUMMYFUNCTION("""COMPUTED_VALUE""")," Credit Card Holder - Unknown Type")</f>
        <v> Credit Card Holder - Unknown Type</v>
      </c>
      <c r="E208" s="4"/>
      <c r="F208" s="4"/>
      <c r="G208" s="4"/>
      <c r="H208" s="4"/>
      <c r="I208" s="5" t="s">
        <v>61</v>
      </c>
      <c r="J208" s="5" t="s">
        <v>42</v>
      </c>
      <c r="K208" s="5" t="s">
        <v>304</v>
      </c>
      <c r="L208" s="6" t="s">
        <v>352</v>
      </c>
      <c r="M208" s="5" t="s">
        <v>19</v>
      </c>
      <c r="N208" s="5" t="s">
        <v>27</v>
      </c>
      <c r="O208" s="5">
        <v>7394.0</v>
      </c>
      <c r="P208" s="5">
        <v>20.0</v>
      </c>
      <c r="Q208" s="5">
        <v>3441.0</v>
      </c>
      <c r="R208" s="5">
        <v>6663.0</v>
      </c>
      <c r="S208" s="5">
        <v>1.0</v>
      </c>
      <c r="T208" s="5">
        <v>1624.840774</v>
      </c>
      <c r="V208" s="21">
        <f t="shared" si="1"/>
        <v>219.7512543</v>
      </c>
      <c r="W208" s="21">
        <f t="shared" si="2"/>
        <v>472.2001668</v>
      </c>
      <c r="X208" s="21">
        <f t="shared" si="3"/>
        <v>5</v>
      </c>
      <c r="Y208" s="21">
        <f t="shared" si="4"/>
        <v>1624.840774</v>
      </c>
      <c r="Z208" s="21">
        <f t="shared" si="5"/>
        <v>81.2420387</v>
      </c>
      <c r="AA208" s="21">
        <f t="shared" si="6"/>
        <v>0.2704895862</v>
      </c>
    </row>
    <row r="209">
      <c r="A209" s="4" t="s">
        <v>1798</v>
      </c>
      <c r="B209" s="4" t="str">
        <f>IFERROR(__xludf.DUMMYFUNCTION("SPLIT(A209:A933, ""&gt;"")"),"US ")</f>
        <v>US </v>
      </c>
      <c r="C209" s="4" t="str">
        <f>IFERROR(__xludf.DUMMYFUNCTION("""COMPUTED_VALUE""")," Brand Propensities ")</f>
        <v> Brand Propensities </v>
      </c>
      <c r="D209" s="4" t="str">
        <f>IFERROR(__xludf.DUMMYFUNCTION("""COMPUTED_VALUE""")," Travel ")</f>
        <v> Travel </v>
      </c>
      <c r="E209" s="4" t="str">
        <f>IFERROR(__xludf.DUMMYFUNCTION("""COMPUTED_VALUE""")," Booking.com Buyer Propensity")</f>
        <v> Booking.com Buyer Propensity</v>
      </c>
      <c r="F209" s="4"/>
      <c r="G209" s="4"/>
      <c r="H209" s="4"/>
      <c r="I209" s="5" t="s">
        <v>22</v>
      </c>
      <c r="J209" s="5" t="s">
        <v>16</v>
      </c>
      <c r="K209" s="5" t="s">
        <v>55</v>
      </c>
      <c r="L209" s="6" t="s">
        <v>352</v>
      </c>
      <c r="M209" s="5" t="s">
        <v>19</v>
      </c>
      <c r="N209" s="5" t="s">
        <v>27</v>
      </c>
      <c r="O209" s="5">
        <v>22259.0</v>
      </c>
      <c r="P209" s="5">
        <v>120.0</v>
      </c>
      <c r="Q209" s="5">
        <v>12405.0</v>
      </c>
      <c r="R209" s="5">
        <v>17609.0</v>
      </c>
      <c r="S209" s="5">
        <v>14.0</v>
      </c>
      <c r="T209" s="5">
        <v>1611.340211</v>
      </c>
      <c r="V209" s="21">
        <f t="shared" si="1"/>
        <v>72.39050321</v>
      </c>
      <c r="W209" s="21">
        <f t="shared" si="2"/>
        <v>129.8944144</v>
      </c>
      <c r="X209" s="21">
        <f t="shared" si="3"/>
        <v>11.66666667</v>
      </c>
      <c r="Y209" s="21">
        <f t="shared" si="4"/>
        <v>115.0957294</v>
      </c>
      <c r="Z209" s="21">
        <f t="shared" si="5"/>
        <v>13.42783509</v>
      </c>
      <c r="AA209" s="21">
        <f t="shared" si="6"/>
        <v>0.5391077766</v>
      </c>
    </row>
    <row r="210">
      <c r="A210" s="4" t="s">
        <v>1799</v>
      </c>
      <c r="B210" s="4" t="str">
        <f>IFERROR(__xludf.DUMMYFUNCTION("SPLIT(A210:A934, ""&gt;"")"),"US Financial ")</f>
        <v>US Financial </v>
      </c>
      <c r="C210" s="4" t="str">
        <f>IFERROR(__xludf.DUMMYFUNCTION("""COMPUTED_VALUE""")," Estimated Disposable Income ")</f>
        <v> Estimated Disposable Income </v>
      </c>
      <c r="D210" s="4" t="str">
        <f>IFERROR(__xludf.DUMMYFUNCTION("""COMPUTED_VALUE""")," $0 - $99,999")</f>
        <v> $0 - $99,999</v>
      </c>
      <c r="E210" s="4"/>
      <c r="F210" s="4"/>
      <c r="G210" s="4"/>
      <c r="H210" s="4"/>
      <c r="I210" s="5" t="s">
        <v>15</v>
      </c>
      <c r="J210" s="5" t="s">
        <v>16</v>
      </c>
      <c r="K210" s="5" t="s">
        <v>356</v>
      </c>
      <c r="L210" s="6" t="s">
        <v>352</v>
      </c>
      <c r="M210" s="5" t="s">
        <v>48</v>
      </c>
      <c r="N210" s="5" t="s">
        <v>52</v>
      </c>
      <c r="O210" s="5">
        <v>21143.0</v>
      </c>
      <c r="P210" s="5">
        <v>56.0</v>
      </c>
      <c r="Q210" s="5">
        <v>3798.0</v>
      </c>
      <c r="R210" s="5">
        <v>19588.0</v>
      </c>
      <c r="S210" s="5">
        <v>3.0</v>
      </c>
      <c r="T210" s="5">
        <v>1500.41822</v>
      </c>
      <c r="V210" s="21">
        <f t="shared" si="1"/>
        <v>70.96524713</v>
      </c>
      <c r="W210" s="21">
        <f t="shared" si="2"/>
        <v>395.0548236</v>
      </c>
      <c r="X210" s="21">
        <f t="shared" si="3"/>
        <v>5.357142857</v>
      </c>
      <c r="Y210" s="21">
        <f t="shared" si="4"/>
        <v>500.1394067</v>
      </c>
      <c r="Z210" s="21">
        <f t="shared" si="5"/>
        <v>26.7931825</v>
      </c>
      <c r="AA210" s="21">
        <f t="shared" si="6"/>
        <v>0.2648630752</v>
      </c>
    </row>
    <row r="211">
      <c r="A211" s="4" t="s">
        <v>357</v>
      </c>
      <c r="B211" s="4" t="str">
        <f>IFERROR(__xludf.DUMMYFUNCTION("SPLIT(A211:A935, ""&gt;"")"),"Online Behavior")</f>
        <v>Online Behavior</v>
      </c>
      <c r="C211" s="4" t="str">
        <f>IFERROR(__xludf.DUMMYFUNCTION("""COMPUTED_VALUE"""),"United States")</f>
        <v>United States</v>
      </c>
      <c r="D211" s="4" t="str">
        <f>IFERROR(__xludf.DUMMYFUNCTION("""COMPUTED_VALUE"""),"Autos and Vehicles")</f>
        <v>Autos and Vehicles</v>
      </c>
      <c r="E211" s="4" t="str">
        <f>IFERROR(__xludf.DUMMYFUNCTION("""COMPUTED_VALUE"""),"Boats and Watercraft")</f>
        <v>Boats and Watercraft</v>
      </c>
      <c r="F211" s="4"/>
      <c r="G211" s="4"/>
      <c r="H211" s="4"/>
      <c r="I211" s="5" t="s">
        <v>22</v>
      </c>
      <c r="J211" s="5" t="s">
        <v>16</v>
      </c>
      <c r="K211" s="5" t="s">
        <v>35</v>
      </c>
      <c r="L211" s="6" t="s">
        <v>358</v>
      </c>
      <c r="M211" s="5" t="s">
        <v>48</v>
      </c>
      <c r="N211" s="5" t="s">
        <v>27</v>
      </c>
      <c r="O211" s="5">
        <v>111624.0</v>
      </c>
      <c r="P211" s="5">
        <v>590.0</v>
      </c>
      <c r="Q211" s="5">
        <v>40343.0</v>
      </c>
      <c r="R211" s="5">
        <v>101306.0</v>
      </c>
      <c r="S211" s="5">
        <v>21.0</v>
      </c>
      <c r="T211" s="5">
        <v>6510.446656</v>
      </c>
      <c r="V211" s="21">
        <f t="shared" si="1"/>
        <v>58.32479266</v>
      </c>
      <c r="W211" s="21">
        <f t="shared" si="2"/>
        <v>161.3773556</v>
      </c>
      <c r="X211" s="21">
        <f t="shared" si="3"/>
        <v>3.559322034</v>
      </c>
      <c r="Y211" s="21">
        <f t="shared" si="4"/>
        <v>310.0212693</v>
      </c>
      <c r="Z211" s="21">
        <f t="shared" si="5"/>
        <v>11.03465535</v>
      </c>
      <c r="AA211" s="21">
        <f t="shared" si="6"/>
        <v>0.5285601663</v>
      </c>
    </row>
    <row r="212">
      <c r="A212" s="4" t="s">
        <v>1262</v>
      </c>
      <c r="B212" s="4" t="str">
        <f>IFERROR(__xludf.DUMMYFUNCTION("SPLIT(A212:A936, ""&gt;"")"),"Online Behavior")</f>
        <v>Online Behavior</v>
      </c>
      <c r="C212" s="4" t="str">
        <f>IFERROR(__xludf.DUMMYFUNCTION("""COMPUTED_VALUE"""),"United States")</f>
        <v>United States</v>
      </c>
      <c r="D212" s="4" t="str">
        <f>IFERROR(__xludf.DUMMYFUNCTION("""COMPUTED_VALUE"""),"Beauty and Fitness")</f>
        <v>Beauty and Fitness</v>
      </c>
      <c r="E212" s="4" t="str">
        <f>IFERROR(__xludf.DUMMYFUNCTION("""COMPUTED_VALUE"""),"Fitness ")</f>
        <v>Fitness </v>
      </c>
      <c r="F212" s="4" t="str">
        <f>IFERROR(__xludf.DUMMYFUNCTION("""COMPUTED_VALUE""")," Yoga and Pilates")</f>
        <v> Yoga and Pilates</v>
      </c>
      <c r="G212" s="4"/>
      <c r="H212" s="4"/>
      <c r="I212" s="5" t="s">
        <v>15</v>
      </c>
      <c r="J212" s="5" t="s">
        <v>42</v>
      </c>
      <c r="K212" s="5" t="s">
        <v>78</v>
      </c>
      <c r="L212" s="6" t="s">
        <v>358</v>
      </c>
      <c r="M212" s="5" t="s">
        <v>26</v>
      </c>
      <c r="N212" s="5" t="s">
        <v>52</v>
      </c>
      <c r="O212" s="5">
        <v>95644.0</v>
      </c>
      <c r="P212" s="5">
        <v>240.0</v>
      </c>
      <c r="Q212" s="5">
        <v>13294.0</v>
      </c>
      <c r="R212" s="5">
        <v>86775.0</v>
      </c>
      <c r="S212" s="5">
        <v>9.0</v>
      </c>
      <c r="T212" s="5">
        <v>5587.763675</v>
      </c>
      <c r="V212" s="21">
        <f t="shared" si="1"/>
        <v>58.4225218</v>
      </c>
      <c r="W212" s="21">
        <f t="shared" si="2"/>
        <v>420.3222262</v>
      </c>
      <c r="X212" s="21">
        <f t="shared" si="3"/>
        <v>3.75</v>
      </c>
      <c r="Y212" s="21">
        <f t="shared" si="4"/>
        <v>620.8626306</v>
      </c>
      <c r="Z212" s="21">
        <f t="shared" si="5"/>
        <v>23.28234865</v>
      </c>
      <c r="AA212" s="21">
        <f t="shared" si="6"/>
        <v>0.2509305341</v>
      </c>
    </row>
    <row r="213">
      <c r="A213" s="4" t="s">
        <v>1800</v>
      </c>
      <c r="B213" s="4" t="str">
        <f>IFERROR(__xludf.DUMMYFUNCTION("SPLIT(A213:A937, ""&gt;"")"),"US ")</f>
        <v>US </v>
      </c>
      <c r="C213" s="4" t="str">
        <f>IFERROR(__xludf.DUMMYFUNCTION("""COMPUTED_VALUE""")," Reach ")</f>
        <v> Reach </v>
      </c>
      <c r="D213" s="4" t="str">
        <f>IFERROR(__xludf.DUMMYFUNCTION("""COMPUTED_VALUE""")," Propensity Models ")</f>
        <v> Propensity Models </v>
      </c>
      <c r="E213" s="4" t="str">
        <f>IFERROR(__xludf.DUMMYFUNCTION("""COMPUTED_VALUE""")," Hobbies and Interest ")</f>
        <v> Hobbies and Interest </v>
      </c>
      <c r="F213" s="4" t="str">
        <f>IFERROR(__xludf.DUMMYFUNCTION("""COMPUTED_VALUE""")," Sports ")</f>
        <v> Sports </v>
      </c>
      <c r="G213" s="4" t="str">
        <f>IFERROR(__xludf.DUMMYFUNCTION("""COMPUTED_VALUE""")," Fitness Enthusiasts")</f>
        <v> Fitness Enthusiasts</v>
      </c>
      <c r="H213" s="4"/>
      <c r="I213" s="5" t="s">
        <v>15</v>
      </c>
      <c r="J213" s="5" t="s">
        <v>42</v>
      </c>
      <c r="K213" s="5" t="s">
        <v>35</v>
      </c>
      <c r="L213" s="6" t="s">
        <v>358</v>
      </c>
      <c r="M213" s="5" t="s">
        <v>19</v>
      </c>
      <c r="N213" s="5" t="s">
        <v>52</v>
      </c>
      <c r="O213" s="5">
        <v>65238.0</v>
      </c>
      <c r="P213" s="5">
        <v>240.0</v>
      </c>
      <c r="Q213" s="5">
        <v>23741.0</v>
      </c>
      <c r="R213" s="5">
        <v>59893.0</v>
      </c>
      <c r="S213" s="5">
        <v>15.0</v>
      </c>
      <c r="T213" s="5">
        <v>3132.519209</v>
      </c>
      <c r="V213" s="21">
        <f t="shared" si="1"/>
        <v>48.0167879</v>
      </c>
      <c r="W213" s="21">
        <f t="shared" si="2"/>
        <v>131.9455461</v>
      </c>
      <c r="X213" s="21">
        <f t="shared" si="3"/>
        <v>6.25</v>
      </c>
      <c r="Y213" s="21">
        <f t="shared" si="4"/>
        <v>208.8346139</v>
      </c>
      <c r="Z213" s="21">
        <f t="shared" si="5"/>
        <v>13.05216337</v>
      </c>
      <c r="AA213" s="21">
        <f t="shared" si="6"/>
        <v>0.3678837487</v>
      </c>
    </row>
    <row r="214">
      <c r="A214" s="4" t="s">
        <v>361</v>
      </c>
      <c r="B214" s="4" t="str">
        <f>IFERROR(__xludf.DUMMYFUNCTION("SPLIT(A214:A938, ""&gt;"")"),"Online Behavior")</f>
        <v>Online Behavior</v>
      </c>
      <c r="C214" s="4" t="str">
        <f>IFERROR(__xludf.DUMMYFUNCTION("""COMPUTED_VALUE"""),"United States")</f>
        <v>United States</v>
      </c>
      <c r="D214" s="4" t="str">
        <f>IFERROR(__xludf.DUMMYFUNCTION("""COMPUTED_VALUE"""),"News")</f>
        <v>News</v>
      </c>
      <c r="E214" s="4" t="str">
        <f>IFERROR(__xludf.DUMMYFUNCTION("""COMPUTED_VALUE"""),"Technology News")</f>
        <v>Technology News</v>
      </c>
      <c r="F214" s="4"/>
      <c r="G214" s="4"/>
      <c r="H214" s="4"/>
      <c r="I214" s="5" t="s">
        <v>61</v>
      </c>
      <c r="J214" s="5" t="s">
        <v>42</v>
      </c>
      <c r="K214" s="5" t="s">
        <v>55</v>
      </c>
      <c r="L214" s="6" t="s">
        <v>362</v>
      </c>
      <c r="M214" s="5" t="s">
        <v>46</v>
      </c>
      <c r="N214" s="5" t="s">
        <v>27</v>
      </c>
      <c r="O214" s="5">
        <v>115412.0</v>
      </c>
      <c r="P214" s="5">
        <v>490.0</v>
      </c>
      <c r="Q214" s="5">
        <v>71564.0</v>
      </c>
      <c r="R214" s="5">
        <v>81785.0</v>
      </c>
      <c r="S214" s="5">
        <v>21.0</v>
      </c>
      <c r="T214" s="5">
        <v>6861.53638</v>
      </c>
      <c r="V214" s="21">
        <f t="shared" si="1"/>
        <v>59.45253856</v>
      </c>
      <c r="W214" s="21">
        <f t="shared" si="2"/>
        <v>95.87972137</v>
      </c>
      <c r="X214" s="21">
        <f t="shared" si="3"/>
        <v>4.285714286</v>
      </c>
      <c r="Y214" s="21">
        <f t="shared" si="4"/>
        <v>326.7398276</v>
      </c>
      <c r="Z214" s="21">
        <f t="shared" si="5"/>
        <v>14.00313547</v>
      </c>
      <c r="AA214" s="21">
        <f t="shared" si="6"/>
        <v>0.424565903</v>
      </c>
    </row>
    <row r="215">
      <c r="A215" s="4" t="s">
        <v>1264</v>
      </c>
      <c r="B215" s="4" t="str">
        <f>IFERROR(__xludf.DUMMYFUNCTION("SPLIT(A215:A939, ""&gt;"")"),"OnAudience ")</f>
        <v>OnAudience </v>
      </c>
      <c r="C215" s="4" t="str">
        <f>IFERROR(__xludf.DUMMYFUNCTION("""COMPUTED_VALUE""")," Interest ")</f>
        <v> Interest </v>
      </c>
      <c r="D215" s="4" t="str">
        <f>IFERROR(__xludf.DUMMYFUNCTION("""COMPUTED_VALUE""")," Sports")</f>
        <v> Sports</v>
      </c>
      <c r="E215" s="4"/>
      <c r="F215" s="4"/>
      <c r="G215" s="4"/>
      <c r="H215" s="4"/>
      <c r="I215" s="5" t="s">
        <v>15</v>
      </c>
      <c r="J215" s="5" t="s">
        <v>31</v>
      </c>
      <c r="K215" s="5" t="s">
        <v>35</v>
      </c>
      <c r="L215" s="6" t="s">
        <v>362</v>
      </c>
      <c r="M215" s="5" t="s">
        <v>19</v>
      </c>
      <c r="N215" s="5" t="s">
        <v>27</v>
      </c>
      <c r="O215" s="5">
        <v>11375.0</v>
      </c>
      <c r="P215" s="5">
        <v>87.0</v>
      </c>
      <c r="Q215" s="5">
        <v>7171.0</v>
      </c>
      <c r="R215" s="5">
        <v>8151.0</v>
      </c>
      <c r="S215" s="5">
        <v>4.0</v>
      </c>
      <c r="T215" s="5">
        <v>1763.784061</v>
      </c>
      <c r="V215" s="21">
        <f t="shared" si="1"/>
        <v>155.0579394</v>
      </c>
      <c r="W215" s="21">
        <f t="shared" si="2"/>
        <v>245.9606834</v>
      </c>
      <c r="X215" s="21">
        <f t="shared" si="3"/>
        <v>4.597701149</v>
      </c>
      <c r="Y215" s="21">
        <f t="shared" si="4"/>
        <v>440.9460153</v>
      </c>
      <c r="Z215" s="21">
        <f t="shared" si="5"/>
        <v>20.27338001</v>
      </c>
      <c r="AA215" s="21">
        <f t="shared" si="6"/>
        <v>0.7648351648</v>
      </c>
    </row>
    <row r="216">
      <c r="A216" s="4" t="s">
        <v>364</v>
      </c>
      <c r="B216" s="4" t="str">
        <f>IFERROR(__xludf.DUMMYFUNCTION("SPLIT(A216:A940, ""&gt;"")"),"Online Behavior")</f>
        <v>Online Behavior</v>
      </c>
      <c r="C216" s="4" t="str">
        <f>IFERROR(__xludf.DUMMYFUNCTION("""COMPUTED_VALUE"""),"United States")</f>
        <v>United States</v>
      </c>
      <c r="D216" s="4" t="str">
        <f>IFERROR(__xludf.DUMMYFUNCTION("""COMPUTED_VALUE"""),"Travel")</f>
        <v>Travel</v>
      </c>
      <c r="E216" s="4" t="str">
        <f>IFERROR(__xludf.DUMMYFUNCTION("""COMPUTED_VALUE"""),"Air Travel")</f>
        <v>Air Travel</v>
      </c>
      <c r="F216" s="4"/>
      <c r="G216" s="4"/>
      <c r="H216" s="4"/>
      <c r="I216" s="5" t="s">
        <v>15</v>
      </c>
      <c r="J216" s="5" t="s">
        <v>31</v>
      </c>
      <c r="K216" s="5" t="s">
        <v>35</v>
      </c>
      <c r="L216" s="6" t="s">
        <v>365</v>
      </c>
      <c r="M216" s="5" t="s">
        <v>19</v>
      </c>
      <c r="N216" s="5" t="s">
        <v>52</v>
      </c>
      <c r="O216" s="5">
        <v>27394.0</v>
      </c>
      <c r="P216" s="5">
        <v>74.0</v>
      </c>
      <c r="Q216" s="5">
        <v>16144.0</v>
      </c>
      <c r="R216" s="5">
        <v>24752.0</v>
      </c>
      <c r="S216" s="5">
        <v>78.0</v>
      </c>
      <c r="T216" s="5">
        <v>7264.58761</v>
      </c>
      <c r="V216" s="21">
        <f t="shared" si="1"/>
        <v>265.1890053</v>
      </c>
      <c r="W216" s="21">
        <f t="shared" si="2"/>
        <v>449.986844</v>
      </c>
      <c r="X216" s="21">
        <f t="shared" si="3"/>
        <v>105.4054054</v>
      </c>
      <c r="Y216" s="21">
        <f t="shared" si="4"/>
        <v>93.13573859</v>
      </c>
      <c r="Z216" s="21">
        <f t="shared" si="5"/>
        <v>98.17010284</v>
      </c>
      <c r="AA216" s="21">
        <f t="shared" si="6"/>
        <v>0.2701321457</v>
      </c>
    </row>
    <row r="217">
      <c r="A217" s="4" t="s">
        <v>366</v>
      </c>
      <c r="B217" s="4" t="str">
        <f>IFERROR(__xludf.DUMMYFUNCTION("SPLIT(A217:A941, ""&gt;"")"),"Online Behavior")</f>
        <v>Online Behavior</v>
      </c>
      <c r="C217" s="4" t="str">
        <f>IFERROR(__xludf.DUMMYFUNCTION("""COMPUTED_VALUE"""),"United States")</f>
        <v>United States</v>
      </c>
      <c r="D217" s="4" t="str">
        <f>IFERROR(__xludf.DUMMYFUNCTION("""COMPUTED_VALUE"""),"Beauty and Fitness")</f>
        <v>Beauty and Fitness</v>
      </c>
      <c r="E217" s="4" t="str">
        <f>IFERROR(__xludf.DUMMYFUNCTION("""COMPUTED_VALUE"""),"Body Art")</f>
        <v>Body Art</v>
      </c>
      <c r="F217" s="4"/>
      <c r="G217" s="4"/>
      <c r="H217" s="4"/>
      <c r="I217" s="5" t="s">
        <v>22</v>
      </c>
      <c r="J217" s="5" t="s">
        <v>42</v>
      </c>
      <c r="K217" s="5" t="s">
        <v>39</v>
      </c>
      <c r="L217" s="6" t="s">
        <v>365</v>
      </c>
      <c r="M217" s="5" t="s">
        <v>19</v>
      </c>
      <c r="N217" s="5" t="s">
        <v>27</v>
      </c>
      <c r="O217" s="5">
        <v>22690.0</v>
      </c>
      <c r="P217" s="5">
        <v>68.0</v>
      </c>
      <c r="Q217" s="5">
        <v>10212.0</v>
      </c>
      <c r="R217" s="5">
        <v>19934.0</v>
      </c>
      <c r="S217" s="5">
        <v>19.0</v>
      </c>
      <c r="T217" s="5">
        <v>7210.686506</v>
      </c>
      <c r="V217" s="21">
        <f t="shared" si="1"/>
        <v>317.7913841</v>
      </c>
      <c r="W217" s="21">
        <f t="shared" si="2"/>
        <v>706.0993445</v>
      </c>
      <c r="X217" s="21">
        <f t="shared" si="3"/>
        <v>27.94117647</v>
      </c>
      <c r="Y217" s="21">
        <f t="shared" si="4"/>
        <v>379.5098161</v>
      </c>
      <c r="Z217" s="21">
        <f t="shared" si="5"/>
        <v>106.0395074</v>
      </c>
      <c r="AA217" s="21">
        <f t="shared" si="6"/>
        <v>0.2996914941</v>
      </c>
    </row>
    <row r="218">
      <c r="A218" s="4" t="s">
        <v>367</v>
      </c>
      <c r="B218" s="4" t="str">
        <f>IFERROR(__xludf.DUMMYFUNCTION("SPLIT(A218:A942, ""&gt;"")"),"Online Behavior")</f>
        <v>Online Behavior</v>
      </c>
      <c r="C218" s="4" t="str">
        <f>IFERROR(__xludf.DUMMYFUNCTION("""COMPUTED_VALUE"""),"United States")</f>
        <v>United States</v>
      </c>
      <c r="D218" s="4" t="str">
        <f>IFERROR(__xludf.DUMMYFUNCTION("""COMPUTED_VALUE"""),"Home and Garden")</f>
        <v>Home and Garden</v>
      </c>
      <c r="E218" s="4" t="str">
        <f>IFERROR(__xludf.DUMMYFUNCTION("""COMPUTED_VALUE"""),"Home Improvement")</f>
        <v>Home Improvement</v>
      </c>
      <c r="F218" s="4"/>
      <c r="G218" s="4"/>
      <c r="H218" s="4"/>
      <c r="I218" s="5" t="s">
        <v>22</v>
      </c>
      <c r="J218" s="5" t="s">
        <v>42</v>
      </c>
      <c r="K218" s="5" t="s">
        <v>78</v>
      </c>
      <c r="L218" s="6" t="s">
        <v>365</v>
      </c>
      <c r="M218" s="5" t="s">
        <v>36</v>
      </c>
      <c r="N218" s="5" t="s">
        <v>27</v>
      </c>
      <c r="O218" s="5">
        <v>76049.0</v>
      </c>
      <c r="P218" s="5">
        <v>199.0</v>
      </c>
      <c r="Q218" s="5">
        <v>34921.0</v>
      </c>
      <c r="R218" s="5">
        <v>69138.0</v>
      </c>
      <c r="S218" s="5">
        <v>8.0</v>
      </c>
      <c r="T218" s="5">
        <v>6942.800458</v>
      </c>
      <c r="V218" s="21">
        <f t="shared" si="1"/>
        <v>91.29377714</v>
      </c>
      <c r="W218" s="21">
        <f t="shared" si="2"/>
        <v>198.8144801</v>
      </c>
      <c r="X218" s="21">
        <f t="shared" si="3"/>
        <v>4.020100503</v>
      </c>
      <c r="Y218" s="21">
        <f t="shared" si="4"/>
        <v>867.8500573</v>
      </c>
      <c r="Z218" s="21">
        <f t="shared" si="5"/>
        <v>34.88844451</v>
      </c>
      <c r="AA218" s="21">
        <f t="shared" si="6"/>
        <v>0.2616733948</v>
      </c>
    </row>
    <row r="219">
      <c r="A219" s="4" t="s">
        <v>368</v>
      </c>
      <c r="B219" s="4" t="str">
        <f>IFERROR(__xludf.DUMMYFUNCTION("SPLIT(A219:A943, ""&gt;"")"),"Online Behavior")</f>
        <v>Online Behavior</v>
      </c>
      <c r="C219" s="4" t="str">
        <f>IFERROR(__xludf.DUMMYFUNCTION("""COMPUTED_VALUE"""),"United States")</f>
        <v>United States</v>
      </c>
      <c r="D219" s="4" t="str">
        <f>IFERROR(__xludf.DUMMYFUNCTION("""COMPUTED_VALUE"""),"News")</f>
        <v>News</v>
      </c>
      <c r="E219" s="4" t="str">
        <f>IFERROR(__xludf.DUMMYFUNCTION("""COMPUTED_VALUE"""),"Business News")</f>
        <v>Business News</v>
      </c>
      <c r="F219" s="4"/>
      <c r="G219" s="4"/>
      <c r="H219" s="4"/>
      <c r="I219" s="5" t="s">
        <v>22</v>
      </c>
      <c r="J219" s="5" t="s">
        <v>16</v>
      </c>
      <c r="K219" s="5" t="s">
        <v>173</v>
      </c>
      <c r="L219" s="6" t="s">
        <v>365</v>
      </c>
      <c r="M219" s="5" t="s">
        <v>48</v>
      </c>
      <c r="N219" s="5" t="s">
        <v>27</v>
      </c>
      <c r="O219" s="5">
        <v>44505.0</v>
      </c>
      <c r="P219" s="5">
        <v>125.0</v>
      </c>
      <c r="Q219" s="5">
        <v>18993.0</v>
      </c>
      <c r="R219" s="5">
        <v>39522.0</v>
      </c>
      <c r="S219" s="5">
        <v>16.0</v>
      </c>
      <c r="T219" s="5">
        <v>6766.475368</v>
      </c>
      <c r="V219" s="21">
        <f t="shared" si="1"/>
        <v>152.0385433</v>
      </c>
      <c r="W219" s="21">
        <f t="shared" si="2"/>
        <v>356.2615368</v>
      </c>
      <c r="X219" s="21">
        <f t="shared" si="3"/>
        <v>12.8</v>
      </c>
      <c r="Y219" s="21">
        <f t="shared" si="4"/>
        <v>422.9047105</v>
      </c>
      <c r="Z219" s="21">
        <f t="shared" si="5"/>
        <v>54.13180294</v>
      </c>
      <c r="AA219" s="21">
        <f t="shared" si="6"/>
        <v>0.2808673183</v>
      </c>
    </row>
    <row r="220">
      <c r="A220" s="4" t="s">
        <v>1266</v>
      </c>
      <c r="B220" s="4" t="str">
        <f>IFERROR(__xludf.DUMMYFUNCTION("SPLIT(A220:A944, ""&gt;"")"),"Online Behavior")</f>
        <v>Online Behavior</v>
      </c>
      <c r="C220" s="4" t="str">
        <f>IFERROR(__xludf.DUMMYFUNCTION("""COMPUTED_VALUE"""),"United States")</f>
        <v>United States</v>
      </c>
      <c r="D220" s="4" t="str">
        <f>IFERROR(__xludf.DUMMYFUNCTION("""COMPUTED_VALUE"""),"Intent ")</f>
        <v>Intent </v>
      </c>
      <c r="E220" s="4" t="str">
        <f>IFERROR(__xludf.DUMMYFUNCTION("""COMPUTED_VALUE""")," Auto Buyers ")</f>
        <v> Auto Buyers </v>
      </c>
      <c r="F220" s="4" t="str">
        <f>IFERROR(__xludf.DUMMYFUNCTION("""COMPUTED_VALUE""")," Car Make")</f>
        <v> Car Make</v>
      </c>
      <c r="G220" s="4" t="str">
        <f>IFERROR(__xludf.DUMMYFUNCTION("""COMPUTED_VALUE"""),"Opel")</f>
        <v>Opel</v>
      </c>
      <c r="H220" s="4"/>
      <c r="I220" s="5" t="s">
        <v>15</v>
      </c>
      <c r="J220" s="5" t="s">
        <v>16</v>
      </c>
      <c r="K220" s="5" t="s">
        <v>78</v>
      </c>
      <c r="L220" s="6" t="s">
        <v>365</v>
      </c>
      <c r="M220" s="5" t="s">
        <v>19</v>
      </c>
      <c r="N220" s="5" t="s">
        <v>27</v>
      </c>
      <c r="O220" s="5">
        <v>286998.0</v>
      </c>
      <c r="P220" s="5">
        <v>815.0</v>
      </c>
      <c r="Q220" s="5">
        <v>61586.0</v>
      </c>
      <c r="R220" s="5">
        <v>247500.0</v>
      </c>
      <c r="S220" s="5">
        <v>13.0</v>
      </c>
      <c r="T220" s="5">
        <v>6395.550624</v>
      </c>
      <c r="V220" s="21">
        <f t="shared" si="1"/>
        <v>22.28430381</v>
      </c>
      <c r="W220" s="21">
        <f t="shared" si="2"/>
        <v>103.8474755</v>
      </c>
      <c r="X220" s="21">
        <f t="shared" si="3"/>
        <v>1.595092025</v>
      </c>
      <c r="Y220" s="21">
        <f t="shared" si="4"/>
        <v>491.9654326</v>
      </c>
      <c r="Z220" s="21">
        <f t="shared" si="5"/>
        <v>7.847301379</v>
      </c>
      <c r="AA220" s="21">
        <f t="shared" si="6"/>
        <v>0.2839741043</v>
      </c>
    </row>
    <row r="221">
      <c r="A221" s="4" t="s">
        <v>370</v>
      </c>
      <c r="B221" s="4" t="str">
        <f>IFERROR(__xludf.DUMMYFUNCTION("SPLIT(A221:A945, ""&gt;"")"),"Online Behavior")</f>
        <v>Online Behavior</v>
      </c>
      <c r="C221" s="4" t="str">
        <f>IFERROR(__xludf.DUMMYFUNCTION("""COMPUTED_VALUE"""),"United States")</f>
        <v>United States</v>
      </c>
      <c r="D221" s="4" t="str">
        <f>IFERROR(__xludf.DUMMYFUNCTION("""COMPUTED_VALUE"""),"The Changing Consumer")</f>
        <v>The Changing Consumer</v>
      </c>
      <c r="E221" s="4" t="str">
        <f>IFERROR(__xludf.DUMMYFUNCTION("""COMPUTED_VALUE"""),"Active Facebook Users")</f>
        <v>Active Facebook Users</v>
      </c>
      <c r="F221" s="4"/>
      <c r="G221" s="4"/>
      <c r="H221" s="4"/>
      <c r="I221" s="5" t="s">
        <v>15</v>
      </c>
      <c r="J221" s="5" t="s">
        <v>23</v>
      </c>
      <c r="K221" s="5" t="s">
        <v>29</v>
      </c>
      <c r="L221" s="6" t="s">
        <v>365</v>
      </c>
      <c r="M221" s="5" t="s">
        <v>19</v>
      </c>
      <c r="N221" s="5" t="s">
        <v>52</v>
      </c>
      <c r="O221" s="5">
        <v>127090.0</v>
      </c>
      <c r="P221" s="5">
        <v>299.0</v>
      </c>
      <c r="Q221" s="5">
        <v>30178.0</v>
      </c>
      <c r="R221" s="5">
        <v>113438.0</v>
      </c>
      <c r="S221" s="5">
        <v>24.0</v>
      </c>
      <c r="T221" s="5">
        <v>5808.911254</v>
      </c>
      <c r="V221" s="21">
        <f t="shared" si="1"/>
        <v>45.70706786</v>
      </c>
      <c r="W221" s="21">
        <f t="shared" si="2"/>
        <v>192.488278</v>
      </c>
      <c r="X221" s="21">
        <f t="shared" si="3"/>
        <v>8.026755853</v>
      </c>
      <c r="Y221" s="21">
        <f t="shared" si="4"/>
        <v>242.0379689</v>
      </c>
      <c r="Z221" s="21">
        <f t="shared" si="5"/>
        <v>19.42779684</v>
      </c>
      <c r="AA221" s="21">
        <f t="shared" si="6"/>
        <v>0.2352663467</v>
      </c>
    </row>
    <row r="222">
      <c r="A222" s="4" t="s">
        <v>1268</v>
      </c>
      <c r="B222" s="4" t="str">
        <f>IFERROR(__xludf.DUMMYFUNCTION("SPLIT(A222:A946, ""&gt;"")"),"Online Behavior")</f>
        <v>Online Behavior</v>
      </c>
      <c r="C222" s="4" t="str">
        <f>IFERROR(__xludf.DUMMYFUNCTION("""COMPUTED_VALUE"""),"United States")</f>
        <v>United States</v>
      </c>
      <c r="D222" s="4" t="str">
        <f>IFERROR(__xludf.DUMMYFUNCTION("""COMPUTED_VALUE"""),"Validated Demographic ")</f>
        <v>Validated Demographic </v>
      </c>
      <c r="E222" s="4" t="str">
        <f>IFERROR(__xludf.DUMMYFUNCTION("""COMPUTED_VALUE""")," Gender and Age Combined")</f>
        <v> Gender and Age Combined</v>
      </c>
      <c r="F222" s="4" t="str">
        <f>IFERROR(__xludf.DUMMYFUNCTION("""COMPUTED_VALUE"""),"Females 65 or older")</f>
        <v>Females 65 or older</v>
      </c>
      <c r="G222" s="4"/>
      <c r="H222" s="4"/>
      <c r="I222" s="5" t="s">
        <v>22</v>
      </c>
      <c r="J222" s="5" t="s">
        <v>23</v>
      </c>
      <c r="K222" s="5" t="s">
        <v>35</v>
      </c>
      <c r="L222" s="6" t="s">
        <v>365</v>
      </c>
      <c r="M222" s="5" t="s">
        <v>19</v>
      </c>
      <c r="N222" s="5" t="s">
        <v>27</v>
      </c>
      <c r="O222" s="5">
        <v>232470.0</v>
      </c>
      <c r="P222" s="5">
        <v>504.0</v>
      </c>
      <c r="Q222" s="5">
        <v>40870.0</v>
      </c>
      <c r="R222" s="5">
        <v>195447.0</v>
      </c>
      <c r="S222" s="5">
        <v>36.0</v>
      </c>
      <c r="T222" s="5">
        <v>5401.365085</v>
      </c>
      <c r="V222" s="21">
        <f t="shared" si="1"/>
        <v>23.23467581</v>
      </c>
      <c r="W222" s="21">
        <f t="shared" si="2"/>
        <v>132.1596546</v>
      </c>
      <c r="X222" s="21">
        <f t="shared" si="3"/>
        <v>7.142857143</v>
      </c>
      <c r="Y222" s="21">
        <f t="shared" si="4"/>
        <v>150.037919</v>
      </c>
      <c r="Z222" s="21">
        <f t="shared" si="5"/>
        <v>10.71699422</v>
      </c>
      <c r="AA222" s="21">
        <f t="shared" si="6"/>
        <v>0.216802168</v>
      </c>
    </row>
    <row r="223">
      <c r="A223" s="4" t="s">
        <v>1801</v>
      </c>
      <c r="B223" s="4" t="str">
        <f>IFERROR(__xludf.DUMMYFUNCTION("SPLIT(A223:A947, ""&gt;"")"),"US ")</f>
        <v>US </v>
      </c>
      <c r="C223" s="4" t="str">
        <f>IFERROR(__xludf.DUMMYFUNCTION("""COMPUTED_VALUE""")," B2B ")</f>
        <v> B2B </v>
      </c>
      <c r="D223" s="4" t="str">
        <f>IFERROR(__xludf.DUMMYFUNCTION("""COMPUTED_VALUE""")," B2B Decision Maker Responsibilities ")</f>
        <v> B2B Decision Maker Responsibilities </v>
      </c>
      <c r="E223" s="4" t="str">
        <f>IFERROR(__xludf.DUMMYFUNCTION("""COMPUTED_VALUE""")," Computer Hardware")</f>
        <v> Computer Hardware</v>
      </c>
      <c r="F223" s="4"/>
      <c r="G223" s="4"/>
      <c r="H223" s="4"/>
      <c r="I223" s="5" t="s">
        <v>22</v>
      </c>
      <c r="J223" s="5" t="s">
        <v>42</v>
      </c>
      <c r="K223" s="5" t="s">
        <v>29</v>
      </c>
      <c r="L223" s="6" t="s">
        <v>365</v>
      </c>
      <c r="M223" s="5" t="s">
        <v>191</v>
      </c>
      <c r="N223" s="5" t="s">
        <v>27</v>
      </c>
      <c r="O223" s="5">
        <v>51056.0</v>
      </c>
      <c r="P223" s="5">
        <v>120.0</v>
      </c>
      <c r="Q223" s="5">
        <v>24672.0</v>
      </c>
      <c r="R223" s="5">
        <v>45563.0</v>
      </c>
      <c r="S223" s="5">
        <v>4.0</v>
      </c>
      <c r="T223" s="5">
        <v>2215.631845</v>
      </c>
      <c r="V223" s="21">
        <f t="shared" si="1"/>
        <v>43.39611103</v>
      </c>
      <c r="W223" s="21">
        <f t="shared" si="2"/>
        <v>89.80349566</v>
      </c>
      <c r="X223" s="21">
        <f t="shared" si="3"/>
        <v>3.333333333</v>
      </c>
      <c r="Y223" s="21">
        <f t="shared" si="4"/>
        <v>553.9079613</v>
      </c>
      <c r="Z223" s="21">
        <f t="shared" si="5"/>
        <v>18.46359871</v>
      </c>
      <c r="AA223" s="21">
        <f t="shared" si="6"/>
        <v>0.2350360389</v>
      </c>
    </row>
    <row r="224">
      <c r="A224" s="4" t="s">
        <v>1802</v>
      </c>
      <c r="B224" s="4" t="str">
        <f>IFERROR(__xludf.DUMMYFUNCTION("SPLIT(A224:A948, ""&gt;"")"),"US ")</f>
        <v>US </v>
      </c>
      <c r="C224" s="4" t="str">
        <f>IFERROR(__xludf.DUMMYFUNCTION("""COMPUTED_VALUE""")," Brand Propensities ")</f>
        <v> Brand Propensities </v>
      </c>
      <c r="D224" s="4" t="str">
        <f>IFERROR(__xludf.DUMMYFUNCTION("""COMPUTED_VALUE""")," Media and Entertainment ")</f>
        <v> Media and Entertainment </v>
      </c>
      <c r="E224" s="4" t="str">
        <f>IFERROR(__xludf.DUMMYFUNCTION("""COMPUTED_VALUE""")," Regal Cinemas Buyer Propensity")</f>
        <v> Regal Cinemas Buyer Propensity</v>
      </c>
      <c r="F224" s="4"/>
      <c r="G224" s="4"/>
      <c r="H224" s="4"/>
      <c r="I224" s="5" t="s">
        <v>22</v>
      </c>
      <c r="J224" s="5" t="s">
        <v>42</v>
      </c>
      <c r="K224" s="5" t="s">
        <v>84</v>
      </c>
      <c r="L224" s="6" t="s">
        <v>365</v>
      </c>
      <c r="M224" s="5" t="s">
        <v>19</v>
      </c>
      <c r="N224" s="5" t="s">
        <v>27</v>
      </c>
      <c r="O224" s="5">
        <v>52582.0</v>
      </c>
      <c r="P224" s="5">
        <v>140.0</v>
      </c>
      <c r="Q224" s="5">
        <v>22065.0</v>
      </c>
      <c r="R224" s="5">
        <v>46126.0</v>
      </c>
      <c r="S224" s="5">
        <v>10.0</v>
      </c>
      <c r="T224" s="5">
        <v>1631.741712</v>
      </c>
      <c r="V224" s="21">
        <f t="shared" si="1"/>
        <v>31.03232498</v>
      </c>
      <c r="W224" s="21">
        <f t="shared" si="2"/>
        <v>73.9515845</v>
      </c>
      <c r="X224" s="21">
        <f t="shared" si="3"/>
        <v>7.142857143</v>
      </c>
      <c r="Y224" s="21">
        <f t="shared" si="4"/>
        <v>163.1741712</v>
      </c>
      <c r="Z224" s="21">
        <f t="shared" si="5"/>
        <v>11.65529794</v>
      </c>
      <c r="AA224" s="21">
        <f t="shared" si="6"/>
        <v>0.2662508083</v>
      </c>
    </row>
    <row r="225">
      <c r="A225" s="4" t="s">
        <v>1803</v>
      </c>
      <c r="B225" s="4" t="str">
        <f>IFERROR(__xludf.DUMMYFUNCTION("SPLIT(A225:A949, ""&gt;"")"),"US ")</f>
        <v>US </v>
      </c>
      <c r="C225" s="4" t="str">
        <f>IFERROR(__xludf.DUMMYFUNCTION("""COMPUTED_VALUE""")," Premium Entertainment and Pastimes ")</f>
        <v> Premium Entertainment and Pastimes </v>
      </c>
      <c r="D225" s="4" t="str">
        <f>IFERROR(__xludf.DUMMYFUNCTION("""COMPUTED_VALUE""")," Premium Magazine Enthusiasts")</f>
        <v> Premium Magazine Enthusiasts</v>
      </c>
      <c r="E225" s="4"/>
      <c r="F225" s="4"/>
      <c r="G225" s="4"/>
      <c r="H225" s="4"/>
      <c r="I225" s="5" t="s">
        <v>15</v>
      </c>
      <c r="J225" s="5" t="s">
        <v>16</v>
      </c>
      <c r="K225" s="5" t="s">
        <v>35</v>
      </c>
      <c r="L225" s="6" t="s">
        <v>365</v>
      </c>
      <c r="M225" s="5" t="s">
        <v>26</v>
      </c>
      <c r="N225" s="5" t="s">
        <v>27</v>
      </c>
      <c r="O225" s="5">
        <v>109567.0</v>
      </c>
      <c r="P225" s="5">
        <v>345.0</v>
      </c>
      <c r="Q225" s="5">
        <v>57620.0</v>
      </c>
      <c r="R225" s="5">
        <v>97903.0</v>
      </c>
      <c r="S225" s="5">
        <v>5.0</v>
      </c>
      <c r="T225" s="5">
        <v>1616.714722</v>
      </c>
      <c r="V225" s="21">
        <f t="shared" si="1"/>
        <v>14.75548954</v>
      </c>
      <c r="W225" s="21">
        <f t="shared" si="2"/>
        <v>28.05822149</v>
      </c>
      <c r="X225" s="21">
        <f t="shared" si="3"/>
        <v>1.449275362</v>
      </c>
      <c r="Y225" s="21">
        <f t="shared" si="4"/>
        <v>323.3429444</v>
      </c>
      <c r="Z225" s="21">
        <f t="shared" si="5"/>
        <v>4.686129629</v>
      </c>
      <c r="AA225" s="21">
        <f t="shared" si="6"/>
        <v>0.3148758294</v>
      </c>
    </row>
    <row r="226">
      <c r="A226" s="4" t="s">
        <v>1804</v>
      </c>
      <c r="B226" s="4" t="str">
        <f>IFERROR(__xludf.DUMMYFUNCTION("SPLIT(A226:A950, ""&gt;"")"),"Mobile - US ")</f>
        <v>Mobile - US </v>
      </c>
      <c r="C226" s="4" t="str">
        <f>IFERROR(__xludf.DUMMYFUNCTION("""COMPUTED_VALUE""")," Device Ownership ")</f>
        <v> Device Ownership </v>
      </c>
      <c r="D226" s="4" t="str">
        <f>IFERROR(__xludf.DUMMYFUNCTION("""COMPUTED_VALUE""")," Smartphones ")</f>
        <v> Smartphones </v>
      </c>
      <c r="E226" s="4" t="str">
        <f>IFERROR(__xludf.DUMMYFUNCTION("""COMPUTED_VALUE""")," iOS (Apple) ")</f>
        <v> iOS (Apple) </v>
      </c>
      <c r="F226" s="4" t="str">
        <f>IFERROR(__xludf.DUMMYFUNCTION("""COMPUTED_VALUE""")," iPhone X")</f>
        <v> iPhone X</v>
      </c>
      <c r="G226" s="4"/>
      <c r="H226" s="4"/>
      <c r="I226" s="5" t="s">
        <v>15</v>
      </c>
      <c r="J226" s="5" t="s">
        <v>31</v>
      </c>
      <c r="K226" s="5" t="s">
        <v>24</v>
      </c>
      <c r="L226" s="6" t="s">
        <v>365</v>
      </c>
      <c r="M226" s="5" t="s">
        <v>80</v>
      </c>
      <c r="N226" s="5" t="s">
        <v>52</v>
      </c>
      <c r="O226" s="5">
        <v>74426.0</v>
      </c>
      <c r="P226" s="5">
        <v>150.0</v>
      </c>
      <c r="Q226" s="5">
        <v>39257.0</v>
      </c>
      <c r="R226" s="5">
        <v>67151.0</v>
      </c>
      <c r="S226" s="5">
        <v>15.0</v>
      </c>
      <c r="T226" s="5">
        <v>1519.596552</v>
      </c>
      <c r="V226" s="21">
        <f t="shared" si="1"/>
        <v>20.41754967</v>
      </c>
      <c r="W226" s="21">
        <f t="shared" si="2"/>
        <v>38.70893222</v>
      </c>
      <c r="X226" s="21">
        <f t="shared" si="3"/>
        <v>10</v>
      </c>
      <c r="Y226" s="21">
        <f t="shared" si="4"/>
        <v>101.3064368</v>
      </c>
      <c r="Z226" s="21">
        <f t="shared" si="5"/>
        <v>10.13064368</v>
      </c>
      <c r="AA226" s="21">
        <f t="shared" si="6"/>
        <v>0.2015424717</v>
      </c>
    </row>
    <row r="227">
      <c r="A227" s="4" t="s">
        <v>1805</v>
      </c>
      <c r="B227" s="4" t="str">
        <f>IFERROR(__xludf.DUMMYFUNCTION("SPLIT(A227:A951, ""&gt;"")"),"Mobile - US ")</f>
        <v>Mobile - US </v>
      </c>
      <c r="C227" s="4" t="str">
        <f>IFERROR(__xludf.DUMMYFUNCTION("""COMPUTED_VALUE""")," Device Ownership ")</f>
        <v> Device Ownership </v>
      </c>
      <c r="D227" s="4" t="str">
        <f>IFERROR(__xludf.DUMMYFUNCTION("""COMPUTED_VALUE""")," Smartphones ")</f>
        <v> Smartphones </v>
      </c>
      <c r="E227" s="4" t="str">
        <f>IFERROR(__xludf.DUMMYFUNCTION("""COMPUTED_VALUE""")," iOS (Apple) ")</f>
        <v> iOS (Apple) </v>
      </c>
      <c r="F227" s="4" t="str">
        <f>IFERROR(__xludf.DUMMYFUNCTION("""COMPUTED_VALUE""")," iPhone 11")</f>
        <v> iPhone 11</v>
      </c>
      <c r="G227" s="4"/>
      <c r="H227" s="4"/>
      <c r="I227" s="5" t="s">
        <v>22</v>
      </c>
      <c r="J227" s="5" t="s">
        <v>42</v>
      </c>
      <c r="K227" s="5" t="s">
        <v>78</v>
      </c>
      <c r="L227" s="6" t="s">
        <v>365</v>
      </c>
      <c r="M227" s="5" t="s">
        <v>19</v>
      </c>
      <c r="N227" s="5" t="s">
        <v>27</v>
      </c>
      <c r="O227" s="5">
        <v>22163.0</v>
      </c>
      <c r="P227" s="5">
        <v>55.0</v>
      </c>
      <c r="Q227" s="5">
        <v>2368.0</v>
      </c>
      <c r="R227" s="5">
        <v>8130.0</v>
      </c>
      <c r="S227" s="5">
        <v>3.0</v>
      </c>
      <c r="T227" s="5">
        <v>1493.779328</v>
      </c>
      <c r="V227" s="21">
        <f t="shared" si="1"/>
        <v>67.39968993</v>
      </c>
      <c r="W227" s="21">
        <f t="shared" si="2"/>
        <v>630.818973</v>
      </c>
      <c r="X227" s="21">
        <f t="shared" si="3"/>
        <v>5.454545455</v>
      </c>
      <c r="Y227" s="21">
        <f t="shared" si="4"/>
        <v>497.9264427</v>
      </c>
      <c r="Z227" s="21">
        <f t="shared" si="5"/>
        <v>27.15962415</v>
      </c>
      <c r="AA227" s="21">
        <f t="shared" si="6"/>
        <v>0.24816135</v>
      </c>
    </row>
    <row r="228">
      <c r="A228" s="4" t="s">
        <v>377</v>
      </c>
      <c r="B228" s="4" t="str">
        <f>IFERROR(__xludf.DUMMYFUNCTION("SPLIT(A228:A952, ""&gt;"")"),"Online Behavior")</f>
        <v>Online Behavior</v>
      </c>
      <c r="C228" s="4" t="str">
        <f>IFERROR(__xludf.DUMMYFUNCTION("""COMPUTED_VALUE"""),"United States")</f>
        <v>United States</v>
      </c>
      <c r="D228" s="4" t="str">
        <f>IFERROR(__xludf.DUMMYFUNCTION("""COMPUTED_VALUE"""),"Games")</f>
        <v>Games</v>
      </c>
      <c r="E228" s="4" t="str">
        <f>IFERROR(__xludf.DUMMYFUNCTION("""COMPUTED_VALUE"""),"Family-Oriented Games and Activities")</f>
        <v>Family-Oriented Games and Activities</v>
      </c>
      <c r="F228" s="4"/>
      <c r="G228" s="4"/>
      <c r="H228" s="4"/>
      <c r="I228" s="5" t="s">
        <v>15</v>
      </c>
      <c r="J228" s="5" t="s">
        <v>31</v>
      </c>
      <c r="K228" s="5" t="s">
        <v>17</v>
      </c>
      <c r="L228" s="6" t="s">
        <v>378</v>
      </c>
      <c r="M228" s="5" t="s">
        <v>46</v>
      </c>
      <c r="N228" s="5" t="s">
        <v>52</v>
      </c>
      <c r="O228" s="5">
        <v>25021.0</v>
      </c>
      <c r="P228" s="5">
        <v>50.0</v>
      </c>
      <c r="Q228" s="5">
        <v>11084.0</v>
      </c>
      <c r="R228" s="5">
        <v>18079.0</v>
      </c>
      <c r="S228" s="5">
        <v>9.0</v>
      </c>
      <c r="T228" s="5">
        <v>4961.478884</v>
      </c>
      <c r="V228" s="21">
        <f t="shared" si="1"/>
        <v>198.2925896</v>
      </c>
      <c r="W228" s="21">
        <f t="shared" si="2"/>
        <v>447.6253053</v>
      </c>
      <c r="X228" s="21">
        <f t="shared" si="3"/>
        <v>18</v>
      </c>
      <c r="Y228" s="21">
        <f t="shared" si="4"/>
        <v>551.2754316</v>
      </c>
      <c r="Z228" s="21">
        <f t="shared" si="5"/>
        <v>99.22957768</v>
      </c>
      <c r="AA228" s="21">
        <f t="shared" si="6"/>
        <v>0.199832141</v>
      </c>
    </row>
    <row r="229">
      <c r="A229" s="4" t="s">
        <v>1274</v>
      </c>
      <c r="B229" s="4" t="str">
        <f>IFERROR(__xludf.DUMMYFUNCTION("SPLIT(A229:A953, ""&gt;"")"),"Online Behavior")</f>
        <v>Online Behavior</v>
      </c>
      <c r="C229" s="4" t="str">
        <f>IFERROR(__xludf.DUMMYFUNCTION("""COMPUTED_VALUE"""),"United States")</f>
        <v>United States</v>
      </c>
      <c r="D229" s="4" t="str">
        <f>IFERROR(__xludf.DUMMYFUNCTION("""COMPUTED_VALUE"""),"Intent ")</f>
        <v>Intent </v>
      </c>
      <c r="E229" s="4" t="str">
        <f>IFERROR(__xludf.DUMMYFUNCTION("""COMPUTED_VALUE""")," Shopping")</f>
        <v> Shopping</v>
      </c>
      <c r="F229" s="4" t="str">
        <f>IFERROR(__xludf.DUMMYFUNCTION("""COMPUTED_VALUE"""),"Sports and Outdoors")</f>
        <v>Sports and Outdoors</v>
      </c>
      <c r="G229" s="4"/>
      <c r="H229" s="4"/>
      <c r="I229" s="5" t="s">
        <v>22</v>
      </c>
      <c r="J229" s="5" t="s">
        <v>16</v>
      </c>
      <c r="K229" s="5" t="s">
        <v>78</v>
      </c>
      <c r="L229" s="6" t="s">
        <v>378</v>
      </c>
      <c r="M229" s="5" t="s">
        <v>36</v>
      </c>
      <c r="N229" s="5" t="s">
        <v>27</v>
      </c>
      <c r="O229" s="5">
        <v>26304.0</v>
      </c>
      <c r="P229" s="5">
        <v>75.0</v>
      </c>
      <c r="Q229" s="5">
        <v>12354.0</v>
      </c>
      <c r="R229" s="5">
        <v>17500.0</v>
      </c>
      <c r="S229" s="5">
        <v>11.0</v>
      </c>
      <c r="T229" s="5">
        <v>4727.813916</v>
      </c>
      <c r="V229" s="21">
        <f t="shared" si="1"/>
        <v>179.7374512</v>
      </c>
      <c r="W229" s="21">
        <f t="shared" si="2"/>
        <v>382.6949908</v>
      </c>
      <c r="X229" s="21">
        <f t="shared" si="3"/>
        <v>14.66666667</v>
      </c>
      <c r="Y229" s="21">
        <f t="shared" si="4"/>
        <v>429.8012651</v>
      </c>
      <c r="Z229" s="21">
        <f t="shared" si="5"/>
        <v>63.03751888</v>
      </c>
      <c r="AA229" s="21">
        <f t="shared" si="6"/>
        <v>0.2851277372</v>
      </c>
    </row>
    <row r="230">
      <c r="A230" s="4" t="s">
        <v>1806</v>
      </c>
      <c r="B230" s="4" t="str">
        <f>IFERROR(__xludf.DUMMYFUNCTION("SPLIT(A230:A954, ""&gt;"")"),"US ")</f>
        <v>US </v>
      </c>
      <c r="C230" s="4" t="str">
        <f>IFERROR(__xludf.DUMMYFUNCTION("""COMPUTED_VALUE""")," Reach ")</f>
        <v> Reach </v>
      </c>
      <c r="D230" s="4" t="str">
        <f>IFERROR(__xludf.DUMMYFUNCTION("""COMPUTED_VALUE""")," Propensity Models ")</f>
        <v> Propensity Models </v>
      </c>
      <c r="E230" s="4" t="str">
        <f>IFERROR(__xludf.DUMMYFUNCTION("""COMPUTED_VALUE""")," Lifestyle ")</f>
        <v> Lifestyle </v>
      </c>
      <c r="F230" s="4" t="str">
        <f>IFERROR(__xludf.DUMMYFUNCTION("""COMPUTED_VALUE""")," Loyalty Programs ")</f>
        <v> Loyalty Programs </v>
      </c>
      <c r="G230" s="4" t="str">
        <f>IFERROR(__xludf.DUMMYFUNCTION("""COMPUTED_VALUE""")," Loyalty Card User")</f>
        <v> Loyalty Card User</v>
      </c>
      <c r="H230" s="4"/>
      <c r="I230" s="5" t="s">
        <v>15</v>
      </c>
      <c r="J230" s="5" t="s">
        <v>23</v>
      </c>
      <c r="K230" s="5" t="s">
        <v>78</v>
      </c>
      <c r="L230" s="6" t="s">
        <v>378</v>
      </c>
      <c r="M230" s="5" t="s">
        <v>26</v>
      </c>
      <c r="N230" s="5" t="s">
        <v>27</v>
      </c>
      <c r="O230" s="5">
        <v>13100.0</v>
      </c>
      <c r="P230" s="5">
        <v>80.0</v>
      </c>
      <c r="Q230" s="5">
        <v>6507.0</v>
      </c>
      <c r="R230" s="5">
        <v>10895.0</v>
      </c>
      <c r="S230" s="5">
        <v>5.0</v>
      </c>
      <c r="T230" s="5">
        <v>3411.590029</v>
      </c>
      <c r="V230" s="21">
        <f t="shared" si="1"/>
        <v>260.4267198</v>
      </c>
      <c r="W230" s="21">
        <f t="shared" si="2"/>
        <v>524.2953787</v>
      </c>
      <c r="X230" s="21">
        <f t="shared" si="3"/>
        <v>6.25</v>
      </c>
      <c r="Y230" s="21">
        <f t="shared" si="4"/>
        <v>682.3180058</v>
      </c>
      <c r="Z230" s="21">
        <f t="shared" si="5"/>
        <v>42.64487536</v>
      </c>
      <c r="AA230" s="21">
        <f t="shared" si="6"/>
        <v>0.6106870229</v>
      </c>
    </row>
    <row r="231">
      <c r="A231" s="4" t="s">
        <v>1276</v>
      </c>
      <c r="B231" s="4" t="str">
        <f>IFERROR(__xludf.DUMMYFUNCTION("SPLIT(A231:A955, ""&gt;"")"),"Online Behavior")</f>
        <v>Online Behavior</v>
      </c>
      <c r="C231" s="4" t="str">
        <f>IFERROR(__xludf.DUMMYFUNCTION("""COMPUTED_VALUE"""),"United States")</f>
        <v>United States</v>
      </c>
      <c r="D231" s="4" t="str">
        <f>IFERROR(__xludf.DUMMYFUNCTION("""COMPUTED_VALUE"""),"Intent ")</f>
        <v>Intent </v>
      </c>
      <c r="E231" s="4" t="str">
        <f>IFERROR(__xludf.DUMMYFUNCTION("""COMPUTED_VALUE""")," Shopping")</f>
        <v> Shopping</v>
      </c>
      <c r="F231" s="4" t="str">
        <f>IFERROR(__xludf.DUMMYFUNCTION("""COMPUTED_VALUE"""),"Consumer Electronics ")</f>
        <v>Consumer Electronics </v>
      </c>
      <c r="G231" s="4" t="str">
        <f>IFERROR(__xludf.DUMMYFUNCTION("""COMPUTED_VALUE""")," Tablets")</f>
        <v> Tablets</v>
      </c>
      <c r="H231" s="4"/>
      <c r="I231" s="5" t="s">
        <v>22</v>
      </c>
      <c r="J231" s="5" t="s">
        <v>16</v>
      </c>
      <c r="K231" s="5" t="s">
        <v>39</v>
      </c>
      <c r="L231" s="6" t="s">
        <v>382</v>
      </c>
      <c r="M231" s="5" t="s">
        <v>19</v>
      </c>
      <c r="N231" s="5" t="s">
        <v>27</v>
      </c>
      <c r="O231" s="5">
        <v>9533.0</v>
      </c>
      <c r="P231" s="5">
        <v>66.0</v>
      </c>
      <c r="Q231" s="5">
        <v>6548.0</v>
      </c>
      <c r="R231" s="5">
        <v>9042.0</v>
      </c>
      <c r="S231" s="5">
        <v>16.0</v>
      </c>
      <c r="T231" s="5">
        <v>5574.543505</v>
      </c>
      <c r="V231" s="21">
        <f t="shared" si="1"/>
        <v>584.762772</v>
      </c>
      <c r="W231" s="21">
        <f t="shared" si="2"/>
        <v>851.335294</v>
      </c>
      <c r="X231" s="21">
        <f t="shared" si="3"/>
        <v>24.24242424</v>
      </c>
      <c r="Y231" s="21">
        <f t="shared" si="4"/>
        <v>348.4089691</v>
      </c>
      <c r="Z231" s="21">
        <f t="shared" si="5"/>
        <v>84.46278038</v>
      </c>
      <c r="AA231" s="21">
        <f t="shared" si="6"/>
        <v>0.6923318997</v>
      </c>
    </row>
    <row r="232">
      <c r="A232" s="4" t="s">
        <v>1277</v>
      </c>
      <c r="B232" s="4" t="str">
        <f>IFERROR(__xludf.DUMMYFUNCTION("SPLIT(A232:A956, ""&gt;"")"),"Online Behavior")</f>
        <v>Online Behavior</v>
      </c>
      <c r="C232" s="4" t="str">
        <f>IFERROR(__xludf.DUMMYFUNCTION("""COMPUTED_VALUE"""),"United States")</f>
        <v>United States</v>
      </c>
      <c r="D232" s="4" t="str">
        <f>IFERROR(__xludf.DUMMYFUNCTION("""COMPUTED_VALUE"""),"Intent ")</f>
        <v>Intent </v>
      </c>
      <c r="E232" s="4" t="str">
        <f>IFERROR(__xludf.DUMMYFUNCTION("""COMPUTED_VALUE""")," Auto Buyers ")</f>
        <v> Auto Buyers </v>
      </c>
      <c r="F232" s="4" t="str">
        <f>IFERROR(__xludf.DUMMYFUNCTION("""COMPUTED_VALUE""")," Car Make")</f>
        <v> Car Make</v>
      </c>
      <c r="G232" s="4" t="str">
        <f>IFERROR(__xludf.DUMMYFUNCTION("""COMPUTED_VALUE"""),"BMW")</f>
        <v>BMW</v>
      </c>
      <c r="H232" s="4"/>
      <c r="I232" s="5" t="s">
        <v>15</v>
      </c>
      <c r="J232" s="5" t="s">
        <v>23</v>
      </c>
      <c r="K232" s="5" t="s">
        <v>95</v>
      </c>
      <c r="L232" s="6" t="s">
        <v>384</v>
      </c>
      <c r="M232" s="5" t="s">
        <v>46</v>
      </c>
      <c r="N232" s="5" t="s">
        <v>27</v>
      </c>
      <c r="O232" s="5">
        <v>12092.0</v>
      </c>
      <c r="P232" s="5">
        <v>30.0</v>
      </c>
      <c r="Q232" s="5">
        <v>2042.0</v>
      </c>
      <c r="R232" s="5">
        <v>10315.0</v>
      </c>
      <c r="S232" s="5">
        <v>8.0</v>
      </c>
      <c r="T232" s="5">
        <v>6245.134793</v>
      </c>
      <c r="V232" s="21">
        <f t="shared" si="1"/>
        <v>516.468309</v>
      </c>
      <c r="W232" s="21">
        <f t="shared" si="2"/>
        <v>3058.34221</v>
      </c>
      <c r="X232" s="21">
        <f t="shared" si="3"/>
        <v>26.66666667</v>
      </c>
      <c r="Y232" s="21">
        <f t="shared" si="4"/>
        <v>780.6418491</v>
      </c>
      <c r="Z232" s="21">
        <f t="shared" si="5"/>
        <v>208.1711598</v>
      </c>
      <c r="AA232" s="21">
        <f t="shared" si="6"/>
        <v>0.248097916</v>
      </c>
    </row>
    <row r="233">
      <c r="A233" s="4" t="s">
        <v>1278</v>
      </c>
      <c r="B233" s="4" t="str">
        <f>IFERROR(__xludf.DUMMYFUNCTION("SPLIT(A233:A957, ""&gt;"")"),"Online Behavior")</f>
        <v>Online Behavior</v>
      </c>
      <c r="C233" s="4" t="str">
        <f>IFERROR(__xludf.DUMMYFUNCTION("""COMPUTED_VALUE"""),"United States")</f>
        <v>United States</v>
      </c>
      <c r="D233" s="4" t="str">
        <f>IFERROR(__xludf.DUMMYFUNCTION("""COMPUTED_VALUE"""),"Travel")</f>
        <v>Travel</v>
      </c>
      <c r="E233" s="4" t="str">
        <f>IFERROR(__xludf.DUMMYFUNCTION("""COMPUTED_VALUE"""),"Tourist Destinations ")</f>
        <v>Tourist Destinations </v>
      </c>
      <c r="F233" s="4" t="str">
        <f>IFERROR(__xludf.DUMMYFUNCTION("""COMPUTED_VALUE""")," Lakes and Rivers")</f>
        <v> Lakes and Rivers</v>
      </c>
      <c r="G233" s="4"/>
      <c r="H233" s="4"/>
      <c r="I233" s="5" t="s">
        <v>15</v>
      </c>
      <c r="J233" s="5" t="s">
        <v>16</v>
      </c>
      <c r="K233" s="5" t="s">
        <v>35</v>
      </c>
      <c r="L233" s="6" t="s">
        <v>386</v>
      </c>
      <c r="M233" s="5" t="s">
        <v>117</v>
      </c>
      <c r="N233" s="5" t="s">
        <v>27</v>
      </c>
      <c r="O233" s="5">
        <v>12710.0</v>
      </c>
      <c r="P233" s="5">
        <v>10.0</v>
      </c>
      <c r="Q233" s="5">
        <v>8159.0</v>
      </c>
      <c r="R233" s="5">
        <v>11984.0</v>
      </c>
      <c r="S233" s="5">
        <v>11.0</v>
      </c>
      <c r="T233" s="5">
        <v>7851.397478</v>
      </c>
      <c r="V233" s="21">
        <f t="shared" si="1"/>
        <v>617.7338692</v>
      </c>
      <c r="W233" s="21">
        <f t="shared" si="2"/>
        <v>962.2989923</v>
      </c>
      <c r="X233" s="21">
        <f t="shared" si="3"/>
        <v>110</v>
      </c>
      <c r="Y233" s="21">
        <f t="shared" si="4"/>
        <v>713.7634071</v>
      </c>
      <c r="Z233" s="21">
        <f t="shared" si="5"/>
        <v>785.1397478</v>
      </c>
      <c r="AA233" s="21">
        <f t="shared" si="6"/>
        <v>0.07867820614</v>
      </c>
    </row>
    <row r="234">
      <c r="A234" s="4" t="s">
        <v>387</v>
      </c>
      <c r="B234" s="4" t="str">
        <f>IFERROR(__xludf.DUMMYFUNCTION("SPLIT(A234:A958, ""&gt;"")"),"Online Behavior")</f>
        <v>Online Behavior</v>
      </c>
      <c r="C234" s="4" t="str">
        <f>IFERROR(__xludf.DUMMYFUNCTION("""COMPUTED_VALUE"""),"United States")</f>
        <v>United States</v>
      </c>
      <c r="D234" s="4" t="str">
        <f>IFERROR(__xludf.DUMMYFUNCTION("""COMPUTED_VALUE"""),"Online Communities")</f>
        <v>Online Communities</v>
      </c>
      <c r="E234" s="4" t="str">
        <f>IFERROR(__xludf.DUMMYFUNCTION("""COMPUTED_VALUE"""),"Social Networks")</f>
        <v>Social Networks</v>
      </c>
      <c r="F234" s="4"/>
      <c r="G234" s="4"/>
      <c r="H234" s="4"/>
      <c r="I234" s="5" t="s">
        <v>22</v>
      </c>
      <c r="J234" s="5" t="s">
        <v>42</v>
      </c>
      <c r="K234" s="5" t="s">
        <v>35</v>
      </c>
      <c r="L234" s="6" t="s">
        <v>386</v>
      </c>
      <c r="M234" s="5" t="s">
        <v>19</v>
      </c>
      <c r="N234" s="5" t="s">
        <v>27</v>
      </c>
      <c r="O234" s="5">
        <v>9463.0</v>
      </c>
      <c r="P234" s="5">
        <v>56.0</v>
      </c>
      <c r="Q234" s="5">
        <v>1518.0</v>
      </c>
      <c r="R234" s="5">
        <v>8191.0</v>
      </c>
      <c r="S234" s="5">
        <v>4.0</v>
      </c>
      <c r="T234" s="5">
        <v>6879.601707</v>
      </c>
      <c r="V234" s="21">
        <f t="shared" si="1"/>
        <v>727.0000747</v>
      </c>
      <c r="W234" s="21">
        <f t="shared" si="2"/>
        <v>4532.016935</v>
      </c>
      <c r="X234" s="21">
        <f t="shared" si="3"/>
        <v>7.142857143</v>
      </c>
      <c r="Y234" s="21">
        <f t="shared" si="4"/>
        <v>1719.900427</v>
      </c>
      <c r="Z234" s="21">
        <f t="shared" si="5"/>
        <v>122.8500305</v>
      </c>
      <c r="AA234" s="21">
        <f t="shared" si="6"/>
        <v>0.5917785058</v>
      </c>
    </row>
    <row r="235">
      <c r="A235" s="4" t="s">
        <v>388</v>
      </c>
      <c r="B235" s="4" t="str">
        <f>IFERROR(__xludf.DUMMYFUNCTION("SPLIT(A235:A959, ""&gt;"")"),"Online Behavior")</f>
        <v>Online Behavior</v>
      </c>
      <c r="C235" s="4" t="str">
        <f>IFERROR(__xludf.DUMMYFUNCTION("""COMPUTED_VALUE"""),"United States")</f>
        <v>United States</v>
      </c>
      <c r="D235" s="4" t="str">
        <f>IFERROR(__xludf.DUMMYFUNCTION("""COMPUTED_VALUE"""),"Online Communities")</f>
        <v>Online Communities</v>
      </c>
      <c r="E235" s="4" t="str">
        <f>IFERROR(__xludf.DUMMYFUNCTION("""COMPUTED_VALUE"""),"Photo and Video Sharing")</f>
        <v>Photo and Video Sharing</v>
      </c>
      <c r="F235" s="4"/>
      <c r="G235" s="4"/>
      <c r="H235" s="4"/>
      <c r="I235" s="5" t="s">
        <v>15</v>
      </c>
      <c r="J235" s="5" t="s">
        <v>16</v>
      </c>
      <c r="K235" s="5" t="s">
        <v>35</v>
      </c>
      <c r="L235" s="6" t="s">
        <v>386</v>
      </c>
      <c r="M235" s="5" t="s">
        <v>26</v>
      </c>
      <c r="N235" s="5" t="s">
        <v>27</v>
      </c>
      <c r="O235" s="5">
        <v>12136.0</v>
      </c>
      <c r="P235" s="5">
        <v>97.0</v>
      </c>
      <c r="Q235" s="5">
        <v>2089.0</v>
      </c>
      <c r="R235" s="5">
        <v>11500.0</v>
      </c>
      <c r="S235" s="5">
        <v>3.0</v>
      </c>
      <c r="T235" s="5">
        <v>5224.932463</v>
      </c>
      <c r="V235" s="21">
        <f t="shared" si="1"/>
        <v>430.5316795</v>
      </c>
      <c r="W235" s="21">
        <f t="shared" si="2"/>
        <v>2501.164415</v>
      </c>
      <c r="X235" s="21">
        <f t="shared" si="3"/>
        <v>3.092783505</v>
      </c>
      <c r="Y235" s="21">
        <f t="shared" si="4"/>
        <v>1741.644154</v>
      </c>
      <c r="Z235" s="21">
        <f t="shared" si="5"/>
        <v>53.86528312</v>
      </c>
      <c r="AA235" s="21">
        <f t="shared" si="6"/>
        <v>0.7992748846</v>
      </c>
    </row>
    <row r="236">
      <c r="A236" s="4" t="s">
        <v>389</v>
      </c>
      <c r="B236" s="4" t="str">
        <f>IFERROR(__xludf.DUMMYFUNCTION("SPLIT(A236:A960, ""&gt;"")"),"Online Behavior")</f>
        <v>Online Behavior</v>
      </c>
      <c r="C236" s="4" t="str">
        <f>IFERROR(__xludf.DUMMYFUNCTION("""COMPUTED_VALUE"""),"United States")</f>
        <v>United States</v>
      </c>
      <c r="D236" s="4" t="str">
        <f>IFERROR(__xludf.DUMMYFUNCTION("""COMPUTED_VALUE"""),"Internet and Telecom")</f>
        <v>Internet and Telecom</v>
      </c>
      <c r="E236" s="4" t="str">
        <f>IFERROR(__xludf.DUMMYFUNCTION("""COMPUTED_VALUE"""),"Mobile and Wireless")</f>
        <v>Mobile and Wireless</v>
      </c>
      <c r="F236" s="4"/>
      <c r="G236" s="4"/>
      <c r="H236" s="4"/>
      <c r="I236" s="5" t="s">
        <v>22</v>
      </c>
      <c r="J236" s="5" t="s">
        <v>31</v>
      </c>
      <c r="K236" s="5" t="s">
        <v>39</v>
      </c>
      <c r="L236" s="6" t="s">
        <v>390</v>
      </c>
      <c r="M236" s="5" t="s">
        <v>19</v>
      </c>
      <c r="N236" s="5" t="s">
        <v>27</v>
      </c>
      <c r="O236" s="5">
        <v>15326.0</v>
      </c>
      <c r="P236" s="5">
        <v>68.0</v>
      </c>
      <c r="Q236" s="5">
        <v>7941.0</v>
      </c>
      <c r="R236" s="5">
        <v>14331.0</v>
      </c>
      <c r="S236" s="5">
        <v>8.0</v>
      </c>
      <c r="T236" s="5">
        <v>6943.515824</v>
      </c>
      <c r="V236" s="21">
        <f t="shared" si="1"/>
        <v>453.0546668</v>
      </c>
      <c r="W236" s="21">
        <f t="shared" si="2"/>
        <v>874.3880902</v>
      </c>
      <c r="X236" s="21">
        <f t="shared" si="3"/>
        <v>11.76470588</v>
      </c>
      <c r="Y236" s="21">
        <f t="shared" si="4"/>
        <v>867.939478</v>
      </c>
      <c r="Z236" s="21">
        <f t="shared" si="5"/>
        <v>102.1105268</v>
      </c>
      <c r="AA236" s="21">
        <f t="shared" si="6"/>
        <v>0.4436904607</v>
      </c>
    </row>
    <row r="237">
      <c r="A237" s="4" t="s">
        <v>1279</v>
      </c>
      <c r="B237" s="4" t="str">
        <f>IFERROR(__xludf.DUMMYFUNCTION("SPLIT(A237:A961, ""&gt;"")"),"Online Behavior")</f>
        <v>Online Behavior</v>
      </c>
      <c r="C237" s="4" t="str">
        <f>IFERROR(__xludf.DUMMYFUNCTION("""COMPUTED_VALUE"""),"United States")</f>
        <v>United States</v>
      </c>
      <c r="D237" s="4" t="str">
        <f>IFERROR(__xludf.DUMMYFUNCTION("""COMPUTED_VALUE"""),"Beauty and Fitness")</f>
        <v>Beauty and Fitness</v>
      </c>
      <c r="E237" s="4" t="str">
        <f>IFERROR(__xludf.DUMMYFUNCTION("""COMPUTED_VALUE"""),"Fashion and Style ")</f>
        <v>Fashion and Style </v>
      </c>
      <c r="F237" s="4" t="str">
        <f>IFERROR(__xludf.DUMMYFUNCTION("""COMPUTED_VALUE""")," Fashion Modeling")</f>
        <v> Fashion Modeling</v>
      </c>
      <c r="G237" s="4"/>
      <c r="H237" s="4"/>
      <c r="I237" s="5" t="s">
        <v>22</v>
      </c>
      <c r="J237" s="5" t="s">
        <v>31</v>
      </c>
      <c r="K237" s="5" t="s">
        <v>35</v>
      </c>
      <c r="L237" s="6" t="s">
        <v>390</v>
      </c>
      <c r="M237" s="5" t="s">
        <v>19</v>
      </c>
      <c r="N237" s="5" t="s">
        <v>27</v>
      </c>
      <c r="O237" s="5">
        <v>18095.0</v>
      </c>
      <c r="P237" s="5">
        <v>50.0</v>
      </c>
      <c r="Q237" s="5">
        <v>10021.0</v>
      </c>
      <c r="R237" s="5">
        <v>16755.0</v>
      </c>
      <c r="S237" s="5">
        <v>24.0</v>
      </c>
      <c r="T237" s="5">
        <v>6768.758768</v>
      </c>
      <c r="V237" s="21">
        <f t="shared" si="1"/>
        <v>374.0679065</v>
      </c>
      <c r="W237" s="21">
        <f t="shared" si="2"/>
        <v>675.4574162</v>
      </c>
      <c r="X237" s="21">
        <f t="shared" si="3"/>
        <v>48</v>
      </c>
      <c r="Y237" s="21">
        <f t="shared" si="4"/>
        <v>282.0316153</v>
      </c>
      <c r="Z237" s="21">
        <f t="shared" si="5"/>
        <v>135.3751754</v>
      </c>
      <c r="AA237" s="21">
        <f t="shared" si="6"/>
        <v>0.2763194253</v>
      </c>
    </row>
    <row r="238">
      <c r="A238" s="4" t="s">
        <v>392</v>
      </c>
      <c r="B238" s="4" t="str">
        <f>IFERROR(__xludf.DUMMYFUNCTION("SPLIT(A238:A962, ""&gt;"")"),"Online Behavior")</f>
        <v>Online Behavior</v>
      </c>
      <c r="C238" s="4" t="str">
        <f>IFERROR(__xludf.DUMMYFUNCTION("""COMPUTED_VALUE"""),"United States")</f>
        <v>United States</v>
      </c>
      <c r="D238" s="4" t="str">
        <f>IFERROR(__xludf.DUMMYFUNCTION("""COMPUTED_VALUE"""),"Games")</f>
        <v>Games</v>
      </c>
      <c r="E238" s="4" t="str">
        <f>IFERROR(__xludf.DUMMYFUNCTION("""COMPUTED_VALUE"""),"Educational Games")</f>
        <v>Educational Games</v>
      </c>
      <c r="F238" s="4"/>
      <c r="G238" s="4"/>
      <c r="H238" s="4"/>
      <c r="I238" s="5" t="s">
        <v>61</v>
      </c>
      <c r="J238" s="5" t="s">
        <v>23</v>
      </c>
      <c r="K238" s="5" t="s">
        <v>55</v>
      </c>
      <c r="L238" s="6" t="s">
        <v>390</v>
      </c>
      <c r="M238" s="5" t="s">
        <v>19</v>
      </c>
      <c r="N238" s="5" t="s">
        <v>27</v>
      </c>
      <c r="O238" s="5">
        <v>119280.0</v>
      </c>
      <c r="P238" s="5">
        <v>400.0</v>
      </c>
      <c r="Q238" s="5">
        <v>55665.0</v>
      </c>
      <c r="R238" s="5">
        <v>112913.0</v>
      </c>
      <c r="S238" s="5">
        <v>23.0</v>
      </c>
      <c r="T238" s="5">
        <v>6492.676343</v>
      </c>
      <c r="V238" s="21">
        <f t="shared" si="1"/>
        <v>54.43222957</v>
      </c>
      <c r="W238" s="21">
        <f t="shared" si="2"/>
        <v>116.6383965</v>
      </c>
      <c r="X238" s="21">
        <f t="shared" si="3"/>
        <v>5.75</v>
      </c>
      <c r="Y238" s="21">
        <f t="shared" si="4"/>
        <v>282.2902758</v>
      </c>
      <c r="Z238" s="21">
        <f t="shared" si="5"/>
        <v>16.23169086</v>
      </c>
      <c r="AA238" s="21">
        <f t="shared" si="6"/>
        <v>0.3353454058</v>
      </c>
    </row>
    <row r="239">
      <c r="A239" s="4" t="s">
        <v>393</v>
      </c>
      <c r="B239" s="4" t="str">
        <f>IFERROR(__xludf.DUMMYFUNCTION("SPLIT(A239:A963, ""&gt;"")"),"Online Behavior")</f>
        <v>Online Behavior</v>
      </c>
      <c r="C239" s="4" t="str">
        <f>IFERROR(__xludf.DUMMYFUNCTION("""COMPUTED_VALUE"""),"United States")</f>
        <v>United States</v>
      </c>
      <c r="D239" s="4" t="str">
        <f>IFERROR(__xludf.DUMMYFUNCTION("""COMPUTED_VALUE"""),"Sports")</f>
        <v>Sports</v>
      </c>
      <c r="E239" s="4" t="str">
        <f>IFERROR(__xludf.DUMMYFUNCTION("""COMPUTED_VALUE"""),"Motor Sports")</f>
        <v>Motor Sports</v>
      </c>
      <c r="F239" s="4"/>
      <c r="G239" s="4"/>
      <c r="H239" s="4"/>
      <c r="I239" s="5" t="s">
        <v>22</v>
      </c>
      <c r="J239" s="5" t="s">
        <v>31</v>
      </c>
      <c r="K239" s="5" t="s">
        <v>150</v>
      </c>
      <c r="L239" s="6" t="s">
        <v>390</v>
      </c>
      <c r="M239" s="5" t="s">
        <v>46</v>
      </c>
      <c r="N239" s="5" t="s">
        <v>27</v>
      </c>
      <c r="O239" s="5">
        <v>8204.0</v>
      </c>
      <c r="P239" s="5">
        <v>20.0</v>
      </c>
      <c r="Q239" s="5">
        <v>1348.0</v>
      </c>
      <c r="R239" s="5">
        <v>7832.0</v>
      </c>
      <c r="S239" s="5">
        <v>1.0</v>
      </c>
      <c r="T239" s="5">
        <v>5973.379892</v>
      </c>
      <c r="V239" s="21">
        <f t="shared" si="1"/>
        <v>728.1057889</v>
      </c>
      <c r="W239" s="21">
        <f t="shared" si="2"/>
        <v>4431.290721</v>
      </c>
      <c r="X239" s="21">
        <f t="shared" si="3"/>
        <v>5</v>
      </c>
      <c r="Y239" s="21">
        <f t="shared" si="4"/>
        <v>5973.379892</v>
      </c>
      <c r="Z239" s="21">
        <f t="shared" si="5"/>
        <v>298.6689946</v>
      </c>
      <c r="AA239" s="21">
        <f t="shared" si="6"/>
        <v>0.2437835202</v>
      </c>
    </row>
    <row r="240">
      <c r="A240" s="4" t="s">
        <v>1280</v>
      </c>
      <c r="B240" s="4" t="str">
        <f>IFERROR(__xludf.DUMMYFUNCTION("SPLIT(A240:A964, ""&gt;"")"),"Online Behavior")</f>
        <v>Online Behavior</v>
      </c>
      <c r="C240" s="4" t="str">
        <f>IFERROR(__xludf.DUMMYFUNCTION("""COMPUTED_VALUE"""),"United States")</f>
        <v>United States</v>
      </c>
      <c r="D240" s="4" t="str">
        <f>IFERROR(__xludf.DUMMYFUNCTION("""COMPUTED_VALUE"""),"Autos and Vehicles ")</f>
        <v>Autos and Vehicles </v>
      </c>
      <c r="E240" s="4" t="str">
        <f>IFERROR(__xludf.DUMMYFUNCTION("""COMPUTED_VALUE""")," Brands")</f>
        <v> Brands</v>
      </c>
      <c r="F240" s="4" t="str">
        <f>IFERROR(__xludf.DUMMYFUNCTION("""COMPUTED_VALUE"""),"BMW")</f>
        <v>BMW</v>
      </c>
      <c r="G240" s="4"/>
      <c r="H240" s="4"/>
      <c r="I240" s="5" t="s">
        <v>61</v>
      </c>
      <c r="J240" s="5" t="s">
        <v>31</v>
      </c>
      <c r="K240" s="5" t="s">
        <v>95</v>
      </c>
      <c r="L240" s="6" t="s">
        <v>390</v>
      </c>
      <c r="M240" s="5" t="s">
        <v>161</v>
      </c>
      <c r="N240" s="5" t="s">
        <v>27</v>
      </c>
      <c r="O240" s="5">
        <v>88022.0</v>
      </c>
      <c r="P240" s="5">
        <v>370.0</v>
      </c>
      <c r="Q240" s="5">
        <v>45972.0</v>
      </c>
      <c r="R240" s="5">
        <v>83922.0</v>
      </c>
      <c r="S240" s="5">
        <v>11.0</v>
      </c>
      <c r="T240" s="5">
        <v>5669.14476</v>
      </c>
      <c r="V240" s="21">
        <f t="shared" si="1"/>
        <v>64.40599805</v>
      </c>
      <c r="W240" s="21">
        <f t="shared" si="2"/>
        <v>123.3173401</v>
      </c>
      <c r="X240" s="21">
        <f t="shared" si="3"/>
        <v>2.972972973</v>
      </c>
      <c r="Y240" s="21">
        <f t="shared" si="4"/>
        <v>515.3767964</v>
      </c>
      <c r="Z240" s="21">
        <f t="shared" si="5"/>
        <v>15.32201286</v>
      </c>
      <c r="AA240" s="21">
        <f t="shared" si="6"/>
        <v>0.4203494581</v>
      </c>
    </row>
    <row r="241">
      <c r="A241" s="4" t="s">
        <v>1281</v>
      </c>
      <c r="B241" s="4" t="str">
        <f>IFERROR(__xludf.DUMMYFUNCTION("SPLIT(A241:A965, ""&gt;"")"),"Online Behavior")</f>
        <v>Online Behavior</v>
      </c>
      <c r="C241" s="4" t="str">
        <f>IFERROR(__xludf.DUMMYFUNCTION("""COMPUTED_VALUE"""),"United States")</f>
        <v>United States</v>
      </c>
      <c r="D241" s="4" t="str">
        <f>IFERROR(__xludf.DUMMYFUNCTION("""COMPUTED_VALUE"""),"Food and Drink")</f>
        <v>Food and Drink</v>
      </c>
      <c r="E241" s="4" t="str">
        <f>IFERROR(__xludf.DUMMYFUNCTION("""COMPUTED_VALUE"""),"Beverages ")</f>
        <v>Beverages </v>
      </c>
      <c r="F241" s="4" t="str">
        <f>IFERROR(__xludf.DUMMYFUNCTION("""COMPUTED_VALUE""")," Bottled Water")</f>
        <v> Bottled Water</v>
      </c>
      <c r="G241" s="4"/>
      <c r="H241" s="4"/>
      <c r="I241" s="5" t="s">
        <v>22</v>
      </c>
      <c r="J241" s="5" t="s">
        <v>31</v>
      </c>
      <c r="K241" s="5" t="s">
        <v>78</v>
      </c>
      <c r="L241" s="6" t="s">
        <v>390</v>
      </c>
      <c r="M241" s="5" t="s">
        <v>19</v>
      </c>
      <c r="N241" s="5" t="s">
        <v>27</v>
      </c>
      <c r="O241" s="5">
        <v>12879.0</v>
      </c>
      <c r="P241" s="5">
        <v>71.0</v>
      </c>
      <c r="Q241" s="5">
        <v>7225.0</v>
      </c>
      <c r="R241" s="5">
        <v>12173.0</v>
      </c>
      <c r="S241" s="5">
        <v>9.0</v>
      </c>
      <c r="T241" s="5">
        <v>5099.28249</v>
      </c>
      <c r="V241" s="21">
        <f t="shared" si="1"/>
        <v>395.9377661</v>
      </c>
      <c r="W241" s="21">
        <f t="shared" si="2"/>
        <v>705.7830436</v>
      </c>
      <c r="X241" s="21">
        <f t="shared" si="3"/>
        <v>12.67605634</v>
      </c>
      <c r="Y241" s="21">
        <f t="shared" si="4"/>
        <v>566.5869433</v>
      </c>
      <c r="Z241" s="21">
        <f t="shared" si="5"/>
        <v>71.82088014</v>
      </c>
      <c r="AA241" s="21">
        <f t="shared" si="6"/>
        <v>0.5512850377</v>
      </c>
    </row>
    <row r="242">
      <c r="A242" s="4" t="s">
        <v>1807</v>
      </c>
      <c r="B242" s="4" t="str">
        <f>IFERROR(__xludf.DUMMYFUNCTION("SPLIT(A242:A966, ""&gt;"")"),"US ")</f>
        <v>US </v>
      </c>
      <c r="C242" s="4" t="str">
        <f>IFERROR(__xludf.DUMMYFUNCTION("""COMPUTED_VALUE""")," Reach ")</f>
        <v> Reach </v>
      </c>
      <c r="D242" s="4" t="str">
        <f>IFERROR(__xludf.DUMMYFUNCTION("""COMPUTED_VALUE""")," Sociodemographic ")</f>
        <v> Sociodemographic </v>
      </c>
      <c r="E242" s="4" t="str">
        <f>IFERROR(__xludf.DUMMYFUNCTION("""COMPUTED_VALUE""")," Age ")</f>
        <v> Age </v>
      </c>
      <c r="F242" s="4" t="str">
        <f>IFERROR(__xludf.DUMMYFUNCTION("""COMPUTED_VALUE""")," 45-49")</f>
        <v> 45-49</v>
      </c>
      <c r="G242" s="4"/>
      <c r="H242" s="4"/>
      <c r="I242" s="5" t="s">
        <v>15</v>
      </c>
      <c r="J242" s="5" t="s">
        <v>16</v>
      </c>
      <c r="K242" s="5" t="s">
        <v>39</v>
      </c>
      <c r="L242" s="6" t="s">
        <v>390</v>
      </c>
      <c r="M242" s="5" t="s">
        <v>19</v>
      </c>
      <c r="N242" s="5" t="s">
        <v>52</v>
      </c>
      <c r="O242" s="5">
        <v>69239.0</v>
      </c>
      <c r="P242" s="5">
        <v>160.0</v>
      </c>
      <c r="Q242" s="5">
        <v>23112.0</v>
      </c>
      <c r="R242" s="5">
        <v>65390.0</v>
      </c>
      <c r="S242" s="5">
        <v>1.0</v>
      </c>
      <c r="T242" s="5">
        <v>4514.952724</v>
      </c>
      <c r="V242" s="21">
        <f t="shared" si="1"/>
        <v>65.20823126</v>
      </c>
      <c r="W242" s="21">
        <f t="shared" si="2"/>
        <v>195.3510178</v>
      </c>
      <c r="X242" s="21">
        <f t="shared" si="3"/>
        <v>0.625</v>
      </c>
      <c r="Y242" s="21">
        <f t="shared" si="4"/>
        <v>4514.952724</v>
      </c>
      <c r="Z242" s="21">
        <f t="shared" si="5"/>
        <v>28.21845453</v>
      </c>
      <c r="AA242" s="21">
        <f t="shared" si="6"/>
        <v>0.2310836378</v>
      </c>
    </row>
    <row r="243">
      <c r="A243" s="4" t="s">
        <v>1808</v>
      </c>
      <c r="B243" s="4" t="str">
        <f>IFERROR(__xludf.DUMMYFUNCTION("SPLIT(A243:A967, ""&gt;"")"),"Real Estate ")</f>
        <v>Real Estate </v>
      </c>
      <c r="C243" s="4" t="str">
        <f>IFERROR(__xludf.DUMMYFUNCTION("""COMPUTED_VALUE""")," Sale Activity ")</f>
        <v> Sale Activity </v>
      </c>
      <c r="D243" s="4" t="str">
        <f>IFERROR(__xludf.DUMMYFUNCTION("""COMPUTED_VALUE""")," Just Sold")</f>
        <v> Just Sold</v>
      </c>
      <c r="E243" s="4"/>
      <c r="F243" s="4"/>
      <c r="G243" s="4"/>
      <c r="H243" s="4"/>
      <c r="I243" s="5" t="s">
        <v>22</v>
      </c>
      <c r="J243" s="5" t="s">
        <v>31</v>
      </c>
      <c r="K243" s="5" t="s">
        <v>398</v>
      </c>
      <c r="L243" s="6" t="s">
        <v>390</v>
      </c>
      <c r="M243" s="5" t="s">
        <v>19</v>
      </c>
      <c r="N243" s="5" t="s">
        <v>27</v>
      </c>
      <c r="O243" s="5">
        <v>111884.0</v>
      </c>
      <c r="P243" s="5">
        <v>220.0</v>
      </c>
      <c r="Q243" s="5">
        <v>53017.0</v>
      </c>
      <c r="R243" s="5">
        <v>106432.0</v>
      </c>
      <c r="S243" s="5">
        <v>7.0</v>
      </c>
      <c r="T243" s="5">
        <v>1786.105122</v>
      </c>
      <c r="V243" s="21">
        <f t="shared" si="1"/>
        <v>15.9639012</v>
      </c>
      <c r="W243" s="21">
        <f t="shared" si="2"/>
        <v>33.68929064</v>
      </c>
      <c r="X243" s="21">
        <f t="shared" si="3"/>
        <v>3.181818182</v>
      </c>
      <c r="Y243" s="21">
        <f t="shared" si="4"/>
        <v>255.1578746</v>
      </c>
      <c r="Z243" s="21">
        <f t="shared" si="5"/>
        <v>8.118659645</v>
      </c>
      <c r="AA243" s="21">
        <f t="shared" si="6"/>
        <v>0.1966322262</v>
      </c>
    </row>
    <row r="244">
      <c r="A244" s="4" t="s">
        <v>1809</v>
      </c>
      <c r="B244" s="4" t="str">
        <f>IFERROR(__xludf.DUMMYFUNCTION("SPLIT(A244:A968, ""&gt;"")"),"US ")</f>
        <v>US </v>
      </c>
      <c r="C244" s="4" t="str">
        <f>IFERROR(__xludf.DUMMYFUNCTION("""COMPUTED_VALUE""")," Sociodemographic ")</f>
        <v> Sociodemographic </v>
      </c>
      <c r="D244" s="4" t="str">
        <f>IFERROR(__xludf.DUMMYFUNCTION("""COMPUTED_VALUE""")," ConneXions Lifestage ")</f>
        <v> ConneXions Lifestage </v>
      </c>
      <c r="E244" s="4" t="str">
        <f>IFERROR(__xludf.DUMMYFUNCTION("""COMPUTED_VALUE""")," F1 Early Adopting Elite")</f>
        <v> F1 Early Adopting Elite</v>
      </c>
      <c r="F244" s="4"/>
      <c r="G244" s="4"/>
      <c r="H244" s="4"/>
      <c r="I244" s="5" t="s">
        <v>22</v>
      </c>
      <c r="J244" s="5" t="s">
        <v>23</v>
      </c>
      <c r="K244" s="5" t="s">
        <v>78</v>
      </c>
      <c r="L244" s="6" t="s">
        <v>390</v>
      </c>
      <c r="M244" s="5" t="s">
        <v>19</v>
      </c>
      <c r="N244" s="5" t="s">
        <v>27</v>
      </c>
      <c r="O244" s="5">
        <v>20899.0</v>
      </c>
      <c r="P244" s="5">
        <v>20.0</v>
      </c>
      <c r="Q244" s="5">
        <v>11394.0</v>
      </c>
      <c r="R244" s="5">
        <v>19576.0</v>
      </c>
      <c r="S244" s="5">
        <v>19.0</v>
      </c>
      <c r="T244" s="5">
        <v>1649.459852</v>
      </c>
      <c r="V244" s="21">
        <f t="shared" si="1"/>
        <v>78.92530035</v>
      </c>
      <c r="W244" s="21">
        <f t="shared" si="2"/>
        <v>144.7656532</v>
      </c>
      <c r="X244" s="21">
        <f t="shared" si="3"/>
        <v>95</v>
      </c>
      <c r="Y244" s="21">
        <f t="shared" si="4"/>
        <v>86.81367642</v>
      </c>
      <c r="Z244" s="21">
        <f t="shared" si="5"/>
        <v>82.4729926</v>
      </c>
      <c r="AA244" s="21">
        <f t="shared" si="6"/>
        <v>0.09569835877</v>
      </c>
    </row>
    <row r="245">
      <c r="A245" s="4" t="s">
        <v>1285</v>
      </c>
      <c r="B245" s="4" t="str">
        <f>IFERROR(__xludf.DUMMYFUNCTION("SPLIT(A245:A969, ""&gt;"")"),"OnAudience ")</f>
        <v>OnAudience </v>
      </c>
      <c r="C245" s="4" t="str">
        <f>IFERROR(__xludf.DUMMYFUNCTION("""COMPUTED_VALUE""")," Interest ")</f>
        <v> Interest </v>
      </c>
      <c r="D245" s="4" t="str">
        <f>IFERROR(__xludf.DUMMYFUNCTION("""COMPUTED_VALUE""")," Arts &amp; Entertainment ")</f>
        <v> Arts &amp; Entertainment </v>
      </c>
      <c r="E245" s="4" t="str">
        <f>IFERROR(__xludf.DUMMYFUNCTION("""COMPUTED_VALUE""")," Television")</f>
        <v> Television</v>
      </c>
      <c r="F245" s="4"/>
      <c r="G245" s="4"/>
      <c r="H245" s="4"/>
      <c r="I245" s="5" t="s">
        <v>15</v>
      </c>
      <c r="J245" s="5" t="s">
        <v>42</v>
      </c>
      <c r="K245" s="5" t="s">
        <v>121</v>
      </c>
      <c r="L245" s="6" t="s">
        <v>390</v>
      </c>
      <c r="M245" s="5" t="s">
        <v>19</v>
      </c>
      <c r="N245" s="5" t="s">
        <v>52</v>
      </c>
      <c r="O245" s="5">
        <v>22800.0</v>
      </c>
      <c r="P245" s="5">
        <v>79.0</v>
      </c>
      <c r="Q245" s="5">
        <v>8298.0</v>
      </c>
      <c r="R245" s="5">
        <v>21161.0</v>
      </c>
      <c r="S245" s="5">
        <v>24.0</v>
      </c>
      <c r="T245" s="5">
        <v>1620.1655</v>
      </c>
      <c r="V245" s="21">
        <f t="shared" si="1"/>
        <v>71.05989035</v>
      </c>
      <c r="W245" s="21">
        <f t="shared" si="2"/>
        <v>195.2477103</v>
      </c>
      <c r="X245" s="21">
        <f t="shared" si="3"/>
        <v>30.37974684</v>
      </c>
      <c r="Y245" s="21">
        <f t="shared" si="4"/>
        <v>67.50689583</v>
      </c>
      <c r="Z245" s="21">
        <f t="shared" si="5"/>
        <v>20.50842405</v>
      </c>
      <c r="AA245" s="21">
        <f t="shared" si="6"/>
        <v>0.3464912281</v>
      </c>
    </row>
    <row r="246">
      <c r="A246" s="4" t="s">
        <v>1810</v>
      </c>
      <c r="B246" s="4" t="str">
        <f>IFERROR(__xludf.DUMMYFUNCTION("SPLIT(A246:A970, ""&gt;"")"),"US Interest ")</f>
        <v>US Interest </v>
      </c>
      <c r="C246" s="4" t="str">
        <f>IFERROR(__xludf.DUMMYFUNCTION("""COMPUTED_VALUE""")," Consumer Electronics")</f>
        <v> Consumer Electronics</v>
      </c>
      <c r="D246" s="4"/>
      <c r="E246" s="4"/>
      <c r="F246" s="4"/>
      <c r="G246" s="4"/>
      <c r="H246" s="4"/>
      <c r="I246" s="5" t="s">
        <v>22</v>
      </c>
      <c r="J246" s="5" t="s">
        <v>31</v>
      </c>
      <c r="K246" s="5" t="s">
        <v>78</v>
      </c>
      <c r="L246" s="6" t="s">
        <v>390</v>
      </c>
      <c r="M246" s="5" t="s">
        <v>19</v>
      </c>
      <c r="N246" s="5" t="s">
        <v>27</v>
      </c>
      <c r="O246" s="5">
        <v>15441.0</v>
      </c>
      <c r="P246" s="5">
        <v>48.0</v>
      </c>
      <c r="Q246" s="5">
        <v>7626.0</v>
      </c>
      <c r="R246" s="5">
        <v>14456.0</v>
      </c>
      <c r="S246" s="5">
        <v>19.0</v>
      </c>
      <c r="T246" s="5">
        <v>1614.309013</v>
      </c>
      <c r="V246" s="21">
        <f t="shared" si="1"/>
        <v>104.5469214</v>
      </c>
      <c r="W246" s="21">
        <f t="shared" si="2"/>
        <v>211.6848955</v>
      </c>
      <c r="X246" s="21">
        <f t="shared" si="3"/>
        <v>39.58333333</v>
      </c>
      <c r="Y246" s="21">
        <f t="shared" si="4"/>
        <v>84.96363226</v>
      </c>
      <c r="Z246" s="21">
        <f t="shared" si="5"/>
        <v>33.63143777</v>
      </c>
      <c r="AA246" s="21">
        <f t="shared" si="6"/>
        <v>0.3108606956</v>
      </c>
    </row>
    <row r="247">
      <c r="A247" s="4" t="s">
        <v>1811</v>
      </c>
      <c r="B247" s="4" t="str">
        <f>IFERROR(__xludf.DUMMYFUNCTION("SPLIT(A247:A971, ""&gt;"")"),"US ")</f>
        <v>US </v>
      </c>
      <c r="C247" s="4" t="str">
        <f>IFERROR(__xludf.DUMMYFUNCTION("""COMPUTED_VALUE""")," Interest Propensities ")</f>
        <v> Interest Propensities </v>
      </c>
      <c r="D247" s="4" t="str">
        <f>IFERROR(__xludf.DUMMYFUNCTION("""COMPUTED_VALUE""")," Insurance ")</f>
        <v> Insurance </v>
      </c>
      <c r="E247" s="4" t="str">
        <f>IFERROR(__xludf.DUMMYFUNCTION("""COMPUTED_VALUE""")," Unitedhealth Group")</f>
        <v> Unitedhealth Group</v>
      </c>
      <c r="F247" s="4"/>
      <c r="G247" s="4"/>
      <c r="H247" s="4"/>
      <c r="I247" s="5" t="s">
        <v>22</v>
      </c>
      <c r="J247" s="5" t="s">
        <v>23</v>
      </c>
      <c r="K247" s="5" t="s">
        <v>78</v>
      </c>
      <c r="L247" s="6" t="s">
        <v>390</v>
      </c>
      <c r="M247" s="5" t="s">
        <v>19</v>
      </c>
      <c r="N247" s="5" t="s">
        <v>27</v>
      </c>
      <c r="O247" s="5">
        <v>33069.0</v>
      </c>
      <c r="P247" s="5">
        <v>140.0</v>
      </c>
      <c r="Q247" s="5">
        <v>17744.0</v>
      </c>
      <c r="R247" s="5">
        <v>31192.0</v>
      </c>
      <c r="S247" s="5">
        <v>14.0</v>
      </c>
      <c r="T247" s="5">
        <v>1543.310611</v>
      </c>
      <c r="V247" s="21">
        <f t="shared" si="1"/>
        <v>46.66940673</v>
      </c>
      <c r="W247" s="21">
        <f t="shared" si="2"/>
        <v>86.97647718</v>
      </c>
      <c r="X247" s="21">
        <f t="shared" si="3"/>
        <v>10</v>
      </c>
      <c r="Y247" s="21">
        <f t="shared" si="4"/>
        <v>110.2364722</v>
      </c>
      <c r="Z247" s="21">
        <f t="shared" si="5"/>
        <v>11.02364722</v>
      </c>
      <c r="AA247" s="21">
        <f t="shared" si="6"/>
        <v>0.4233572228</v>
      </c>
    </row>
    <row r="248">
      <c r="A248" s="4" t="s">
        <v>1812</v>
      </c>
      <c r="B248" s="4" t="str">
        <f>IFERROR(__xludf.DUMMYFUNCTION("SPLIT(A248:A972, ""&gt;"")"),"US ")</f>
        <v>US </v>
      </c>
      <c r="C248" s="4" t="str">
        <f>IFERROR(__xludf.DUMMYFUNCTION("""COMPUTED_VALUE""")," B2B ")</f>
        <v> B2B </v>
      </c>
      <c r="D248" s="4" t="str">
        <f>IFERROR(__xludf.DUMMYFUNCTION("""COMPUTED_VALUE""")," B2B Decision Maker Responsibilities ")</f>
        <v> B2B Decision Maker Responsibilities </v>
      </c>
      <c r="E248" s="4" t="str">
        <f>IFERROR(__xludf.DUMMYFUNCTION("""COMPUTED_VALUE""")," Marketing or Market Research")</f>
        <v> Marketing or Market Research</v>
      </c>
      <c r="F248" s="4"/>
      <c r="G248" s="4"/>
      <c r="H248" s="4"/>
      <c r="I248" s="5" t="s">
        <v>22</v>
      </c>
      <c r="J248" s="5" t="s">
        <v>31</v>
      </c>
      <c r="K248" s="5" t="s">
        <v>84</v>
      </c>
      <c r="L248" s="6" t="s">
        <v>404</v>
      </c>
      <c r="M248" s="5" t="s">
        <v>19</v>
      </c>
      <c r="N248" s="5" t="s">
        <v>27</v>
      </c>
      <c r="O248" s="5">
        <v>54134.0</v>
      </c>
      <c r="P248" s="5">
        <v>155.0</v>
      </c>
      <c r="Q248" s="5">
        <v>37418.0</v>
      </c>
      <c r="R248" s="5">
        <v>51299.0</v>
      </c>
      <c r="S248" s="5">
        <v>4.0</v>
      </c>
      <c r="T248" s="5">
        <v>1502.01775</v>
      </c>
      <c r="V248" s="21">
        <f t="shared" si="1"/>
        <v>27.74629161</v>
      </c>
      <c r="W248" s="21">
        <f t="shared" si="2"/>
        <v>40.14158293</v>
      </c>
      <c r="X248" s="21">
        <f t="shared" si="3"/>
        <v>2.580645161</v>
      </c>
      <c r="Y248" s="21">
        <f t="shared" si="4"/>
        <v>375.5044375</v>
      </c>
      <c r="Z248" s="21">
        <f t="shared" si="5"/>
        <v>9.690437097</v>
      </c>
      <c r="AA248" s="21">
        <f t="shared" si="6"/>
        <v>0.2863265231</v>
      </c>
    </row>
    <row r="249">
      <c r="A249" s="4" t="s">
        <v>405</v>
      </c>
      <c r="B249" s="4" t="str">
        <f>IFERROR(__xludf.DUMMYFUNCTION("SPLIT(A249:A973, ""&gt;"")"),"Online Behavior")</f>
        <v>Online Behavior</v>
      </c>
      <c r="C249" s="4" t="str">
        <f>IFERROR(__xludf.DUMMYFUNCTION("""COMPUTED_VALUE"""),"United States")</f>
        <v>United States</v>
      </c>
      <c r="D249" s="4" t="str">
        <f>IFERROR(__xludf.DUMMYFUNCTION("""COMPUTED_VALUE"""),"Arts and Entertainment")</f>
        <v>Arts and Entertainment</v>
      </c>
      <c r="E249" s="4" t="str">
        <f>IFERROR(__xludf.DUMMYFUNCTION("""COMPUTED_VALUE"""),"Comics and Animation")</f>
        <v>Comics and Animation</v>
      </c>
      <c r="F249" s="4"/>
      <c r="G249" s="4"/>
      <c r="H249" s="4"/>
      <c r="I249" s="5" t="s">
        <v>15</v>
      </c>
      <c r="J249" s="5" t="s">
        <v>16</v>
      </c>
      <c r="K249" s="5" t="s">
        <v>173</v>
      </c>
      <c r="L249" s="6" t="s">
        <v>406</v>
      </c>
      <c r="M249" s="5" t="s">
        <v>19</v>
      </c>
      <c r="N249" s="5" t="s">
        <v>27</v>
      </c>
      <c r="O249" s="5">
        <v>7583.0</v>
      </c>
      <c r="P249" s="5">
        <v>45.0</v>
      </c>
      <c r="Q249" s="5">
        <v>4608.0</v>
      </c>
      <c r="R249" s="5">
        <v>5881.0</v>
      </c>
      <c r="S249" s="5">
        <v>1.0</v>
      </c>
      <c r="T249" s="5">
        <v>5033.482578</v>
      </c>
      <c r="V249" s="21">
        <f t="shared" si="1"/>
        <v>663.7851217</v>
      </c>
      <c r="W249" s="21">
        <f t="shared" si="2"/>
        <v>1092.335629</v>
      </c>
      <c r="X249" s="21">
        <f t="shared" si="3"/>
        <v>2.222222222</v>
      </c>
      <c r="Y249" s="21">
        <f t="shared" si="4"/>
        <v>5033.482578</v>
      </c>
      <c r="Z249" s="21">
        <f t="shared" si="5"/>
        <v>111.8551684</v>
      </c>
      <c r="AA249" s="21">
        <f t="shared" si="6"/>
        <v>0.5934326784</v>
      </c>
    </row>
    <row r="250">
      <c r="A250" s="4" t="s">
        <v>1813</v>
      </c>
      <c r="B250" s="4" t="str">
        <f>IFERROR(__xludf.DUMMYFUNCTION("SPLIT(A250:A974, ""&gt;"")"),"US ")</f>
        <v>US </v>
      </c>
      <c r="C250" s="4" t="str">
        <f>IFERROR(__xludf.DUMMYFUNCTION("""COMPUTED_VALUE""")," Interest Propensities ")</f>
        <v> Interest Propensities </v>
      </c>
      <c r="D250" s="4" t="str">
        <f>IFERROR(__xludf.DUMMYFUNCTION("""COMPUTED_VALUE""")," Insurance ")</f>
        <v> Insurance </v>
      </c>
      <c r="E250" s="4" t="str">
        <f>IFERROR(__xludf.DUMMYFUNCTION("""COMPUTED_VALUE""")," Aetna Group")</f>
        <v> Aetna Group</v>
      </c>
      <c r="F250" s="4"/>
      <c r="G250" s="4"/>
      <c r="H250" s="4"/>
      <c r="I250" s="5" t="s">
        <v>15</v>
      </c>
      <c r="J250" s="5" t="s">
        <v>42</v>
      </c>
      <c r="K250" s="5" t="s">
        <v>39</v>
      </c>
      <c r="L250" s="6" t="s">
        <v>408</v>
      </c>
      <c r="M250" s="5" t="s">
        <v>19</v>
      </c>
      <c r="N250" s="5" t="s">
        <v>20</v>
      </c>
      <c r="O250" s="5">
        <v>12436.0</v>
      </c>
      <c r="P250" s="5">
        <v>84.0</v>
      </c>
      <c r="Q250" s="5">
        <v>7055.0</v>
      </c>
      <c r="R250" s="5">
        <v>11497.0</v>
      </c>
      <c r="S250" s="5">
        <v>9.0</v>
      </c>
      <c r="T250" s="5">
        <v>1720.870126</v>
      </c>
      <c r="V250" s="21">
        <f t="shared" si="1"/>
        <v>138.378106</v>
      </c>
      <c r="W250" s="21">
        <f t="shared" si="2"/>
        <v>243.922059</v>
      </c>
      <c r="X250" s="21">
        <f t="shared" si="3"/>
        <v>10.71428571</v>
      </c>
      <c r="Y250" s="21">
        <f t="shared" si="4"/>
        <v>191.2077918</v>
      </c>
      <c r="Z250" s="21">
        <f t="shared" si="5"/>
        <v>20.48654912</v>
      </c>
      <c r="AA250" s="21">
        <f t="shared" si="6"/>
        <v>0.6754583467</v>
      </c>
    </row>
    <row r="251">
      <c r="A251" s="4" t="s">
        <v>1291</v>
      </c>
      <c r="B251" s="4" t="str">
        <f>IFERROR(__xludf.DUMMYFUNCTION("SPLIT(A251:A975, ""&gt;"")"),"Online Behavior")</f>
        <v>Online Behavior</v>
      </c>
      <c r="C251" s="4" t="str">
        <f>IFERROR(__xludf.DUMMYFUNCTION("""COMPUTED_VALUE"""),"United States")</f>
        <v>United States</v>
      </c>
      <c r="D251" s="4" t="str">
        <f>IFERROR(__xludf.DUMMYFUNCTION("""COMPUTED_VALUE"""),"Finance ")</f>
        <v>Finance </v>
      </c>
      <c r="E251" s="4" t="str">
        <f>IFERROR(__xludf.DUMMYFUNCTION("""COMPUTED_VALUE""")," Insurance")</f>
        <v> Insurance</v>
      </c>
      <c r="F251" s="4" t="str">
        <f>IFERROR(__xludf.DUMMYFUNCTION("""COMPUTED_VALUE"""),"Insurance")</f>
        <v>Insurance</v>
      </c>
      <c r="G251" s="4"/>
      <c r="H251" s="4"/>
      <c r="I251" s="5" t="s">
        <v>22</v>
      </c>
      <c r="J251" s="5" t="s">
        <v>31</v>
      </c>
      <c r="K251" s="5" t="s">
        <v>35</v>
      </c>
      <c r="L251" s="6" t="s">
        <v>410</v>
      </c>
      <c r="M251" s="5" t="s">
        <v>36</v>
      </c>
      <c r="N251" s="5" t="s">
        <v>27</v>
      </c>
      <c r="O251" s="5">
        <v>122086.0</v>
      </c>
      <c r="P251" s="5">
        <v>299.0</v>
      </c>
      <c r="Q251" s="5">
        <v>82898.0</v>
      </c>
      <c r="R251" s="5">
        <v>116235.0</v>
      </c>
      <c r="S251" s="5">
        <v>16.0</v>
      </c>
      <c r="T251" s="5">
        <v>7663.695294</v>
      </c>
      <c r="V251" s="21">
        <f t="shared" si="1"/>
        <v>62.77292477</v>
      </c>
      <c r="W251" s="21">
        <f t="shared" si="2"/>
        <v>92.44728816</v>
      </c>
      <c r="X251" s="21">
        <f t="shared" si="3"/>
        <v>5.351170569</v>
      </c>
      <c r="Y251" s="21">
        <f t="shared" si="4"/>
        <v>478.9809559</v>
      </c>
      <c r="Z251" s="21">
        <f t="shared" si="5"/>
        <v>25.63108794</v>
      </c>
      <c r="AA251" s="21">
        <f t="shared" si="6"/>
        <v>0.2449093262</v>
      </c>
    </row>
    <row r="252">
      <c r="A252" s="4" t="s">
        <v>1292</v>
      </c>
      <c r="B252" s="4" t="str">
        <f>IFERROR(__xludf.DUMMYFUNCTION("SPLIT(A252:A976, ""&gt;"")"),"Online Behavior")</f>
        <v>Online Behavior</v>
      </c>
      <c r="C252" s="4" t="str">
        <f>IFERROR(__xludf.DUMMYFUNCTION("""COMPUTED_VALUE"""),"United States")</f>
        <v>United States</v>
      </c>
      <c r="D252" s="4" t="str">
        <f>IFERROR(__xludf.DUMMYFUNCTION("""COMPUTED_VALUE"""),"Food and Drink")</f>
        <v>Food and Drink</v>
      </c>
      <c r="E252" s="4" t="str">
        <f>IFERROR(__xludf.DUMMYFUNCTION("""COMPUTED_VALUE"""),"Beverages ")</f>
        <v>Beverages </v>
      </c>
      <c r="F252" s="4" t="str">
        <f>IFERROR(__xludf.DUMMYFUNCTION("""COMPUTED_VALUE""")," Coffee and Tea")</f>
        <v> Coffee and Tea</v>
      </c>
      <c r="G252" s="4"/>
      <c r="H252" s="4"/>
      <c r="I252" s="5" t="s">
        <v>22</v>
      </c>
      <c r="J252" s="5" t="s">
        <v>16</v>
      </c>
      <c r="K252" s="5" t="s">
        <v>66</v>
      </c>
      <c r="L252" s="6" t="s">
        <v>410</v>
      </c>
      <c r="M252" s="5" t="s">
        <v>46</v>
      </c>
      <c r="N252" s="5" t="s">
        <v>27</v>
      </c>
      <c r="O252" s="5">
        <v>63794.0</v>
      </c>
      <c r="P252" s="5">
        <v>200.0</v>
      </c>
      <c r="Q252" s="5">
        <v>46557.0</v>
      </c>
      <c r="R252" s="5">
        <v>60868.0</v>
      </c>
      <c r="S252" s="5">
        <v>9.0</v>
      </c>
      <c r="T252" s="5">
        <v>6832.940067</v>
      </c>
      <c r="V252" s="21">
        <f t="shared" si="1"/>
        <v>107.1094471</v>
      </c>
      <c r="W252" s="21">
        <f t="shared" si="2"/>
        <v>146.7650421</v>
      </c>
      <c r="X252" s="21">
        <f t="shared" si="3"/>
        <v>4.5</v>
      </c>
      <c r="Y252" s="21">
        <f t="shared" si="4"/>
        <v>759.215563</v>
      </c>
      <c r="Z252" s="21">
        <f t="shared" si="5"/>
        <v>34.16470034</v>
      </c>
      <c r="AA252" s="21">
        <f t="shared" si="6"/>
        <v>0.3135091074</v>
      </c>
    </row>
    <row r="253">
      <c r="A253" s="4" t="s">
        <v>1293</v>
      </c>
      <c r="B253" s="4" t="str">
        <f>IFERROR(__xludf.DUMMYFUNCTION("SPLIT(A253:A977, ""&gt;"")"),"Online Behavior")</f>
        <v>Online Behavior</v>
      </c>
      <c r="C253" s="4" t="str">
        <f>IFERROR(__xludf.DUMMYFUNCTION("""COMPUTED_VALUE"""),"United States")</f>
        <v>United States</v>
      </c>
      <c r="D253" s="4" t="str">
        <f>IFERROR(__xludf.DUMMYFUNCTION("""COMPUTED_VALUE"""),"Intent ")</f>
        <v>Intent </v>
      </c>
      <c r="E253" s="4" t="str">
        <f>IFERROR(__xludf.DUMMYFUNCTION("""COMPUTED_VALUE""")," Auto Buyers ")</f>
        <v> Auto Buyers </v>
      </c>
      <c r="F253" s="4" t="str">
        <f>IFERROR(__xludf.DUMMYFUNCTION("""COMPUTED_VALUE""")," Car Make")</f>
        <v> Car Make</v>
      </c>
      <c r="G253" s="4" t="str">
        <f>IFERROR(__xludf.DUMMYFUNCTION("""COMPUTED_VALUE"""),"Ford")</f>
        <v>Ford</v>
      </c>
      <c r="H253" s="4"/>
      <c r="I253" s="5" t="s">
        <v>15</v>
      </c>
      <c r="J253" s="5" t="s">
        <v>42</v>
      </c>
      <c r="K253" s="5" t="s">
        <v>39</v>
      </c>
      <c r="L253" s="6" t="s">
        <v>410</v>
      </c>
      <c r="M253" s="5" t="s">
        <v>46</v>
      </c>
      <c r="N253" s="5" t="s">
        <v>20</v>
      </c>
      <c r="O253" s="5">
        <v>29323.0</v>
      </c>
      <c r="P253" s="5">
        <v>88.0</v>
      </c>
      <c r="Q253" s="5">
        <v>13822.0</v>
      </c>
      <c r="R253" s="5">
        <v>26934.0</v>
      </c>
      <c r="S253" s="5">
        <v>9.0</v>
      </c>
      <c r="T253" s="5">
        <v>6096.045521</v>
      </c>
      <c r="V253" s="21">
        <f t="shared" si="1"/>
        <v>207.8929687</v>
      </c>
      <c r="W253" s="21">
        <f t="shared" si="2"/>
        <v>441.0393229</v>
      </c>
      <c r="X253" s="21">
        <f t="shared" si="3"/>
        <v>10.22727273</v>
      </c>
      <c r="Y253" s="21">
        <f t="shared" si="4"/>
        <v>677.3383912</v>
      </c>
      <c r="Z253" s="21">
        <f t="shared" si="5"/>
        <v>69.27324456</v>
      </c>
      <c r="AA253" s="21">
        <f t="shared" si="6"/>
        <v>0.3001057191</v>
      </c>
    </row>
    <row r="254">
      <c r="A254" s="4" t="s">
        <v>1294</v>
      </c>
      <c r="B254" s="4" t="str">
        <f>IFERROR(__xludf.DUMMYFUNCTION("SPLIT(A254:A978, ""&gt;"")"),"Online Behavior")</f>
        <v>Online Behavior</v>
      </c>
      <c r="C254" s="4" t="str">
        <f>IFERROR(__xludf.DUMMYFUNCTION("""COMPUTED_VALUE"""),"United States")</f>
        <v>United States</v>
      </c>
      <c r="D254" s="4" t="str">
        <f>IFERROR(__xludf.DUMMYFUNCTION("""COMPUTED_VALUE"""),"Autos and Vehicles ")</f>
        <v>Autos and Vehicles </v>
      </c>
      <c r="E254" s="4" t="str">
        <f>IFERROR(__xludf.DUMMYFUNCTION("""COMPUTED_VALUE""")," Brands")</f>
        <v> Brands</v>
      </c>
      <c r="F254" s="4" t="str">
        <f>IFERROR(__xludf.DUMMYFUNCTION("""COMPUTED_VALUE"""),"Maserati")</f>
        <v>Maserati</v>
      </c>
      <c r="G254" s="4"/>
      <c r="H254" s="4"/>
      <c r="I254" s="5" t="s">
        <v>22</v>
      </c>
      <c r="J254" s="5" t="s">
        <v>23</v>
      </c>
      <c r="K254" s="5" t="s">
        <v>45</v>
      </c>
      <c r="L254" s="6" t="s">
        <v>410</v>
      </c>
      <c r="M254" s="5" t="s">
        <v>46</v>
      </c>
      <c r="N254" s="5" t="s">
        <v>27</v>
      </c>
      <c r="O254" s="5">
        <v>38408.0</v>
      </c>
      <c r="P254" s="5">
        <v>101.0</v>
      </c>
      <c r="Q254" s="5">
        <v>23557.0</v>
      </c>
      <c r="R254" s="5">
        <v>35247.0</v>
      </c>
      <c r="S254" s="5">
        <v>7.0</v>
      </c>
      <c r="T254" s="5">
        <v>5343.459431</v>
      </c>
      <c r="V254" s="21">
        <f t="shared" si="1"/>
        <v>139.1236053</v>
      </c>
      <c r="W254" s="21">
        <f t="shared" si="2"/>
        <v>226.8310664</v>
      </c>
      <c r="X254" s="21">
        <f t="shared" si="3"/>
        <v>6.930693069</v>
      </c>
      <c r="Y254" s="21">
        <f t="shared" si="4"/>
        <v>763.3513473</v>
      </c>
      <c r="Z254" s="21">
        <f t="shared" si="5"/>
        <v>52.90553892</v>
      </c>
      <c r="AA254" s="21">
        <f t="shared" si="6"/>
        <v>0.2629660487</v>
      </c>
    </row>
    <row r="255">
      <c r="A255" s="4" t="s">
        <v>1814</v>
      </c>
      <c r="B255" s="4" t="str">
        <f>IFERROR(__xludf.DUMMYFUNCTION("SPLIT(A255:A979, ""&gt;"")"),"US ")</f>
        <v>US </v>
      </c>
      <c r="C255" s="4" t="str">
        <f>IFERROR(__xludf.DUMMYFUNCTION("""COMPUTED_VALUE""")," Reach ")</f>
        <v> Reach </v>
      </c>
      <c r="D255" s="4" t="str">
        <f>IFERROR(__xludf.DUMMYFUNCTION("""COMPUTED_VALUE""")," Sociodemographic ")</f>
        <v> Sociodemographic </v>
      </c>
      <c r="E255" s="4" t="str">
        <f>IFERROR(__xludf.DUMMYFUNCTION("""COMPUTED_VALUE""")," Homeowner Status ")</f>
        <v> Homeowner Status </v>
      </c>
      <c r="F255" s="4" t="str">
        <f>IFERROR(__xludf.DUMMYFUNCTION("""COMPUTED_VALUE""")," Renter")</f>
        <v> Renter</v>
      </c>
      <c r="G255" s="4"/>
      <c r="H255" s="4"/>
      <c r="I255" s="5" t="s">
        <v>22</v>
      </c>
      <c r="J255" s="5" t="s">
        <v>23</v>
      </c>
      <c r="K255" s="5" t="s">
        <v>173</v>
      </c>
      <c r="L255" s="6" t="s">
        <v>410</v>
      </c>
      <c r="M255" s="5" t="s">
        <v>19</v>
      </c>
      <c r="N255" s="5" t="s">
        <v>27</v>
      </c>
      <c r="O255" s="5">
        <v>70134.0</v>
      </c>
      <c r="P255" s="5">
        <v>169.0</v>
      </c>
      <c r="Q255" s="5">
        <v>48862.0</v>
      </c>
      <c r="R255" s="5">
        <v>66739.0</v>
      </c>
      <c r="S255" s="5">
        <v>14.0</v>
      </c>
      <c r="T255" s="5">
        <v>2514.868116</v>
      </c>
      <c r="V255" s="21">
        <f t="shared" si="1"/>
        <v>35.85804483</v>
      </c>
      <c r="W255" s="21">
        <f t="shared" si="2"/>
        <v>51.46879203</v>
      </c>
      <c r="X255" s="21">
        <f t="shared" si="3"/>
        <v>8.284023669</v>
      </c>
      <c r="Y255" s="21">
        <f t="shared" si="4"/>
        <v>179.6334369</v>
      </c>
      <c r="Z255" s="21">
        <f t="shared" si="5"/>
        <v>14.88087643</v>
      </c>
      <c r="AA255" s="21">
        <f t="shared" si="6"/>
        <v>0.2409672912</v>
      </c>
    </row>
    <row r="256">
      <c r="A256" s="4" t="s">
        <v>1815</v>
      </c>
      <c r="B256" s="4" t="str">
        <f>IFERROR(__xludf.DUMMYFUNCTION("SPLIT(A256:A980, ""&gt;"")"),"US ")</f>
        <v>US </v>
      </c>
      <c r="C256" s="4" t="str">
        <f>IFERROR(__xludf.DUMMYFUNCTION("""COMPUTED_VALUE""")," B2B ")</f>
        <v> B2B </v>
      </c>
      <c r="D256" s="4" t="str">
        <f>IFERROR(__xludf.DUMMYFUNCTION("""COMPUTED_VALUE""")," B2B Decision Maker Responsibilities ")</f>
        <v> B2B Decision Maker Responsibilities </v>
      </c>
      <c r="E256" s="4" t="str">
        <f>IFERROR(__xludf.DUMMYFUNCTION("""COMPUTED_VALUE""")," HR or Personnel Services")</f>
        <v> HR or Personnel Services</v>
      </c>
      <c r="F256" s="4"/>
      <c r="G256" s="4"/>
      <c r="H256" s="4"/>
      <c r="I256" s="5" t="s">
        <v>15</v>
      </c>
      <c r="J256" s="5" t="s">
        <v>23</v>
      </c>
      <c r="K256" s="5" t="s">
        <v>17</v>
      </c>
      <c r="L256" s="6" t="s">
        <v>410</v>
      </c>
      <c r="M256" s="5" t="s">
        <v>19</v>
      </c>
      <c r="N256" s="5" t="s">
        <v>52</v>
      </c>
      <c r="O256" s="5">
        <v>51889.0</v>
      </c>
      <c r="P256" s="5">
        <v>174.0</v>
      </c>
      <c r="Q256" s="5">
        <v>33879.0</v>
      </c>
      <c r="R256" s="5">
        <v>49382.0</v>
      </c>
      <c r="S256" s="5">
        <v>5.0</v>
      </c>
      <c r="T256" s="5">
        <v>2172.841747</v>
      </c>
      <c r="V256" s="21">
        <f t="shared" si="1"/>
        <v>41.87480481</v>
      </c>
      <c r="W256" s="21">
        <f t="shared" si="2"/>
        <v>64.13535662</v>
      </c>
      <c r="X256" s="21">
        <f t="shared" si="3"/>
        <v>2.873563218</v>
      </c>
      <c r="Y256" s="21">
        <f t="shared" si="4"/>
        <v>434.5683494</v>
      </c>
      <c r="Z256" s="21">
        <f t="shared" si="5"/>
        <v>12.48759625</v>
      </c>
      <c r="AA256" s="21">
        <f t="shared" si="6"/>
        <v>0.3353311877</v>
      </c>
    </row>
    <row r="257">
      <c r="A257" s="4" t="s">
        <v>1816</v>
      </c>
      <c r="B257" s="4" t="str">
        <f>IFERROR(__xludf.DUMMYFUNCTION("SPLIT(A257:A981, ""&gt;"")"),"US ")</f>
        <v>US </v>
      </c>
      <c r="C257" s="4" t="str">
        <f>IFERROR(__xludf.DUMMYFUNCTION("""COMPUTED_VALUE""")," B2B ")</f>
        <v> B2B </v>
      </c>
      <c r="D257" s="4" t="str">
        <f>IFERROR(__xludf.DUMMYFUNCTION("""COMPUTED_VALUE""")," B2B Decision Maker Responsibilities ")</f>
        <v> B2B Decision Maker Responsibilities </v>
      </c>
      <c r="E257" s="4" t="str">
        <f>IFERROR(__xludf.DUMMYFUNCTION("""COMPUTED_VALUE""")," Sales")</f>
        <v> Sales</v>
      </c>
      <c r="F257" s="4"/>
      <c r="G257" s="4"/>
      <c r="H257" s="4"/>
      <c r="I257" s="5" t="s">
        <v>15</v>
      </c>
      <c r="J257" s="5" t="s">
        <v>23</v>
      </c>
      <c r="K257" s="5" t="s">
        <v>66</v>
      </c>
      <c r="L257" s="6" t="s">
        <v>410</v>
      </c>
      <c r="M257" s="5" t="s">
        <v>19</v>
      </c>
      <c r="N257" s="5" t="s">
        <v>52</v>
      </c>
      <c r="O257" s="5">
        <v>19951.0</v>
      </c>
      <c r="P257" s="5">
        <v>81.0</v>
      </c>
      <c r="Q257" s="5">
        <v>10511.0</v>
      </c>
      <c r="R257" s="5">
        <v>18132.0</v>
      </c>
      <c r="S257" s="5">
        <v>15.0</v>
      </c>
      <c r="T257" s="5">
        <v>1801.14885</v>
      </c>
      <c r="V257" s="21">
        <f t="shared" si="1"/>
        <v>90.27862513</v>
      </c>
      <c r="W257" s="21">
        <f t="shared" si="2"/>
        <v>171.3584673</v>
      </c>
      <c r="X257" s="21">
        <f t="shared" si="3"/>
        <v>18.51851852</v>
      </c>
      <c r="Y257" s="21">
        <f t="shared" si="4"/>
        <v>120.07659</v>
      </c>
      <c r="Z257" s="21">
        <f t="shared" si="5"/>
        <v>22.23640556</v>
      </c>
      <c r="AA257" s="21">
        <f t="shared" si="6"/>
        <v>0.405994687</v>
      </c>
    </row>
    <row r="258">
      <c r="A258" s="4" t="s">
        <v>1817</v>
      </c>
      <c r="B258" s="4" t="str">
        <f>IFERROR(__xludf.DUMMYFUNCTION("SPLIT(A258:A982, ""&gt;"")"),"Mobile - US ")</f>
        <v>Mobile - US </v>
      </c>
      <c r="C258" s="4" t="str">
        <f>IFERROR(__xludf.DUMMYFUNCTION("""COMPUTED_VALUE""")," Travel ")</f>
        <v> Travel </v>
      </c>
      <c r="D258" s="4" t="str">
        <f>IFERROR(__xludf.DUMMYFUNCTION("""COMPUTED_VALUE""")," Vacation Rentals ")</f>
        <v> Vacation Rentals </v>
      </c>
      <c r="E258" s="4" t="str">
        <f>IFERROR(__xludf.DUMMYFUNCTION("""COMPUTED_VALUE""")," HomeAway")</f>
        <v> HomeAway</v>
      </c>
      <c r="F258" s="4"/>
      <c r="G258" s="4"/>
      <c r="H258" s="4"/>
      <c r="I258" s="5" t="s">
        <v>22</v>
      </c>
      <c r="J258" s="5" t="s">
        <v>23</v>
      </c>
      <c r="K258" s="5" t="s">
        <v>240</v>
      </c>
      <c r="L258" s="6" t="s">
        <v>410</v>
      </c>
      <c r="M258" s="5" t="s">
        <v>19</v>
      </c>
      <c r="N258" s="5" t="s">
        <v>27</v>
      </c>
      <c r="O258" s="5">
        <v>91593.0</v>
      </c>
      <c r="P258" s="5">
        <v>40.0</v>
      </c>
      <c r="Q258" s="5">
        <v>51004.0</v>
      </c>
      <c r="R258" s="5">
        <v>82985.0</v>
      </c>
      <c r="S258" s="5">
        <v>18.0</v>
      </c>
      <c r="T258" s="5">
        <v>1731.584862</v>
      </c>
      <c r="V258" s="21">
        <f t="shared" si="1"/>
        <v>18.90520959</v>
      </c>
      <c r="W258" s="21">
        <f t="shared" si="2"/>
        <v>33.94998161</v>
      </c>
      <c r="X258" s="21">
        <f t="shared" si="3"/>
        <v>45</v>
      </c>
      <c r="Y258" s="21">
        <f t="shared" si="4"/>
        <v>96.199159</v>
      </c>
      <c r="Z258" s="21">
        <f t="shared" si="5"/>
        <v>43.28962155</v>
      </c>
      <c r="AA258" s="21">
        <f t="shared" si="6"/>
        <v>0.04367145961</v>
      </c>
    </row>
    <row r="259">
      <c r="A259" s="4" t="s">
        <v>1299</v>
      </c>
      <c r="B259" s="4" t="str">
        <f>IFERROR(__xludf.DUMMYFUNCTION("SPLIT(A259:A983, ""&gt;"")"),"OnAudience ")</f>
        <v>OnAudience </v>
      </c>
      <c r="C259" s="4" t="str">
        <f>IFERROR(__xludf.DUMMYFUNCTION("""COMPUTED_VALUE""")," Interest ")</f>
        <v> Interest </v>
      </c>
      <c r="D259" s="4" t="str">
        <f>IFERROR(__xludf.DUMMYFUNCTION("""COMPUTED_VALUE""")," News ")</f>
        <v> News </v>
      </c>
      <c r="E259" s="4" t="str">
        <f>IFERROR(__xludf.DUMMYFUNCTION("""COMPUTED_VALUE""")," Local News")</f>
        <v> Local News</v>
      </c>
      <c r="F259" s="4"/>
      <c r="G259" s="4"/>
      <c r="H259" s="4"/>
      <c r="I259" s="5" t="s">
        <v>61</v>
      </c>
      <c r="J259" s="5" t="s">
        <v>31</v>
      </c>
      <c r="K259" s="5" t="s">
        <v>95</v>
      </c>
      <c r="L259" s="6" t="s">
        <v>410</v>
      </c>
      <c r="M259" s="5" t="s">
        <v>46</v>
      </c>
      <c r="N259" s="5" t="s">
        <v>27</v>
      </c>
      <c r="O259" s="5">
        <v>69722.0</v>
      </c>
      <c r="P259" s="5">
        <v>194.0</v>
      </c>
      <c r="Q259" s="5">
        <v>40640.0</v>
      </c>
      <c r="R259" s="5">
        <v>64819.0</v>
      </c>
      <c r="S259" s="5">
        <v>10.0</v>
      </c>
      <c r="T259" s="5">
        <v>1667.655895</v>
      </c>
      <c r="V259" s="21">
        <f t="shared" si="1"/>
        <v>23.91864684</v>
      </c>
      <c r="W259" s="21">
        <f t="shared" si="2"/>
        <v>41.03483994</v>
      </c>
      <c r="X259" s="21">
        <f t="shared" si="3"/>
        <v>5.154639175</v>
      </c>
      <c r="Y259" s="21">
        <f t="shared" si="4"/>
        <v>166.7655895</v>
      </c>
      <c r="Z259" s="21">
        <f t="shared" si="5"/>
        <v>8.596164407</v>
      </c>
      <c r="AA259" s="21">
        <f t="shared" si="6"/>
        <v>0.2782478988</v>
      </c>
    </row>
    <row r="260">
      <c r="A260" s="4" t="s">
        <v>1818</v>
      </c>
      <c r="B260" s="4" t="str">
        <f>IFERROR(__xludf.DUMMYFUNCTION("SPLIT(A260:A984, ""&gt;"")"),"OnAudience ")</f>
        <v>OnAudience </v>
      </c>
      <c r="C260" s="4" t="str">
        <f>IFERROR(__xludf.DUMMYFUNCTION("""COMPUTED_VALUE""")," Interest ")</f>
        <v> Interest </v>
      </c>
      <c r="D260" s="4" t="str">
        <f>IFERROR(__xludf.DUMMYFUNCTION("""COMPUTED_VALUE""")," Arts &amp; Entertainment ")</f>
        <v> Arts &amp; Entertainment </v>
      </c>
      <c r="E260" s="4" t="str">
        <f>IFERROR(__xludf.DUMMYFUNCTION("""COMPUTED_VALUE""")," Music Lovers")</f>
        <v> Music Lovers</v>
      </c>
      <c r="F260" s="4"/>
      <c r="G260" s="4"/>
      <c r="H260" s="4"/>
      <c r="I260" s="5" t="s">
        <v>15</v>
      </c>
      <c r="J260" s="5" t="s">
        <v>23</v>
      </c>
      <c r="K260" s="5" t="s">
        <v>95</v>
      </c>
      <c r="L260" s="6" t="s">
        <v>410</v>
      </c>
      <c r="M260" s="5" t="s">
        <v>48</v>
      </c>
      <c r="N260" s="5" t="s">
        <v>52</v>
      </c>
      <c r="O260" s="5">
        <v>76724.0</v>
      </c>
      <c r="P260" s="5">
        <v>187.0</v>
      </c>
      <c r="Q260" s="5">
        <v>43209.0</v>
      </c>
      <c r="R260" s="5">
        <v>69530.0</v>
      </c>
      <c r="S260" s="5">
        <v>9.0</v>
      </c>
      <c r="T260" s="5">
        <v>1493.204528</v>
      </c>
      <c r="V260" s="21">
        <f t="shared" si="1"/>
        <v>19.46202659</v>
      </c>
      <c r="W260" s="21">
        <f t="shared" si="2"/>
        <v>34.5577201</v>
      </c>
      <c r="X260" s="21">
        <f t="shared" si="3"/>
        <v>4.812834225</v>
      </c>
      <c r="Y260" s="21">
        <f t="shared" si="4"/>
        <v>165.9116142</v>
      </c>
      <c r="Z260" s="21">
        <f t="shared" si="5"/>
        <v>7.985050952</v>
      </c>
      <c r="AA260" s="21">
        <f t="shared" si="6"/>
        <v>0.2437307752</v>
      </c>
    </row>
    <row r="261">
      <c r="A261" s="4" t="s">
        <v>1819</v>
      </c>
      <c r="B261" s="4" t="str">
        <f>IFERROR(__xludf.DUMMYFUNCTION("SPLIT(A261:A985, ""&gt;"")"),"US ")</f>
        <v>US </v>
      </c>
      <c r="C261" s="4" t="str">
        <f>IFERROR(__xludf.DUMMYFUNCTION("""COMPUTED_VALUE""")," Sociodemographic ")</f>
        <v> Sociodemographic </v>
      </c>
      <c r="D261" s="4" t="str">
        <f>IFERROR(__xludf.DUMMYFUNCTION("""COMPUTED_VALUE""")," PRIZM Premier Social ")</f>
        <v> PRIZM Premier Social </v>
      </c>
      <c r="E261" s="4" t="str">
        <f>IFERROR(__xludf.DUMMYFUNCTION("""COMPUTED_VALUE""")," T2 Country Comfort")</f>
        <v> T2 Country Comfort</v>
      </c>
      <c r="F261" s="4"/>
      <c r="G261" s="4"/>
      <c r="H261" s="4"/>
      <c r="I261" s="5" t="s">
        <v>22</v>
      </c>
      <c r="J261" s="5" t="s">
        <v>16</v>
      </c>
      <c r="K261" s="5" t="s">
        <v>78</v>
      </c>
      <c r="L261" s="6" t="s">
        <v>410</v>
      </c>
      <c r="M261" s="5" t="s">
        <v>231</v>
      </c>
      <c r="N261" s="5" t="s">
        <v>27</v>
      </c>
      <c r="O261" s="5">
        <v>34959.0</v>
      </c>
      <c r="P261" s="5">
        <v>122.0</v>
      </c>
      <c r="Q261" s="5">
        <v>17511.0</v>
      </c>
      <c r="R261" s="5">
        <v>31974.0</v>
      </c>
      <c r="S261" s="5">
        <v>5.0</v>
      </c>
      <c r="T261" s="5">
        <v>1477.493357</v>
      </c>
      <c r="V261" s="21">
        <f t="shared" si="1"/>
        <v>42.26360471</v>
      </c>
      <c r="W261" s="21">
        <f t="shared" si="2"/>
        <v>84.37515602</v>
      </c>
      <c r="X261" s="21">
        <f t="shared" si="3"/>
        <v>4.098360656</v>
      </c>
      <c r="Y261" s="21">
        <f t="shared" si="4"/>
        <v>295.4986714</v>
      </c>
      <c r="Z261" s="21">
        <f t="shared" si="5"/>
        <v>12.11060129</v>
      </c>
      <c r="AA261" s="21">
        <f t="shared" si="6"/>
        <v>0.348980234</v>
      </c>
    </row>
    <row r="262">
      <c r="A262" s="4" t="s">
        <v>421</v>
      </c>
      <c r="B262" s="4" t="str">
        <f>IFERROR(__xludf.DUMMYFUNCTION("SPLIT(A262:A986, ""&gt;"")"),"Online Behavior")</f>
        <v>Online Behavior</v>
      </c>
      <c r="C262" s="4" t="str">
        <f>IFERROR(__xludf.DUMMYFUNCTION("""COMPUTED_VALUE"""),"United States")</f>
        <v>United States</v>
      </c>
      <c r="D262" s="4" t="str">
        <f>IFERROR(__xludf.DUMMYFUNCTION("""COMPUTED_VALUE"""),"Arts and Entertainment")</f>
        <v>Arts and Entertainment</v>
      </c>
      <c r="E262" s="4" t="str">
        <f>IFERROR(__xludf.DUMMYFUNCTION("""COMPUTED_VALUE"""),"Movies")</f>
        <v>Movies</v>
      </c>
      <c r="F262" s="4"/>
      <c r="G262" s="4"/>
      <c r="H262" s="4"/>
      <c r="I262" s="5" t="s">
        <v>15</v>
      </c>
      <c r="J262" s="5" t="s">
        <v>42</v>
      </c>
      <c r="K262" s="5" t="s">
        <v>39</v>
      </c>
      <c r="L262" s="6" t="s">
        <v>422</v>
      </c>
      <c r="M262" s="5" t="s">
        <v>19</v>
      </c>
      <c r="N262" s="5" t="s">
        <v>27</v>
      </c>
      <c r="O262" s="5">
        <v>9273.0</v>
      </c>
      <c r="P262" s="5">
        <v>70.0</v>
      </c>
      <c r="Q262" s="5">
        <v>4648.0</v>
      </c>
      <c r="R262" s="5">
        <v>8751.0</v>
      </c>
      <c r="S262" s="5">
        <v>5.0</v>
      </c>
      <c r="T262" s="5">
        <v>4986.51937</v>
      </c>
      <c r="V262" s="21">
        <f t="shared" si="1"/>
        <v>537.7460768</v>
      </c>
      <c r="W262" s="21">
        <f t="shared" si="2"/>
        <v>1072.83119</v>
      </c>
      <c r="X262" s="21">
        <f t="shared" si="3"/>
        <v>7.142857143</v>
      </c>
      <c r="Y262" s="21">
        <f t="shared" si="4"/>
        <v>997.303874</v>
      </c>
      <c r="Z262" s="21">
        <f t="shared" si="5"/>
        <v>71.235991</v>
      </c>
      <c r="AA262" s="21">
        <f t="shared" si="6"/>
        <v>0.7548797584</v>
      </c>
    </row>
    <row r="263">
      <c r="A263" s="4" t="s">
        <v>1302</v>
      </c>
      <c r="B263" s="4" t="str">
        <f>IFERROR(__xludf.DUMMYFUNCTION("SPLIT(A263:A987, ""&gt;"")"),"Online Behavior")</f>
        <v>Online Behavior</v>
      </c>
      <c r="C263" s="4" t="str">
        <f>IFERROR(__xludf.DUMMYFUNCTION("""COMPUTED_VALUE"""),"United States")</f>
        <v>United States</v>
      </c>
      <c r="D263" s="4" t="str">
        <f>IFERROR(__xludf.DUMMYFUNCTION("""COMPUTED_VALUE"""),"Intent ")</f>
        <v>Intent </v>
      </c>
      <c r="E263" s="4" t="str">
        <f>IFERROR(__xludf.DUMMYFUNCTION("""COMPUTED_VALUE""")," Shopping")</f>
        <v> Shopping</v>
      </c>
      <c r="F263" s="4" t="str">
        <f>IFERROR(__xludf.DUMMYFUNCTION("""COMPUTED_VALUE"""),"Consumer Electronics ")</f>
        <v>Consumer Electronics </v>
      </c>
      <c r="G263" s="4" t="str">
        <f>IFERROR(__xludf.DUMMYFUNCTION("""COMPUTED_VALUE""")," Cameras and Photography Equip")</f>
        <v> Cameras and Photography Equip</v>
      </c>
      <c r="H263" s="4"/>
      <c r="I263" s="5" t="s">
        <v>15</v>
      </c>
      <c r="J263" s="5" t="s">
        <v>23</v>
      </c>
      <c r="K263" s="5" t="s">
        <v>35</v>
      </c>
      <c r="L263" s="6" t="s">
        <v>424</v>
      </c>
      <c r="M263" s="5" t="s">
        <v>46</v>
      </c>
      <c r="N263" s="5" t="s">
        <v>27</v>
      </c>
      <c r="O263" s="5">
        <v>11681.0</v>
      </c>
      <c r="P263" s="5">
        <v>88.0</v>
      </c>
      <c r="Q263" s="5">
        <v>4713.0</v>
      </c>
      <c r="R263" s="5">
        <v>8230.0</v>
      </c>
      <c r="S263" s="5">
        <v>4.0</v>
      </c>
      <c r="T263" s="5">
        <v>5216.648879</v>
      </c>
      <c r="V263" s="21">
        <f t="shared" si="1"/>
        <v>446.5926615</v>
      </c>
      <c r="W263" s="21">
        <f t="shared" si="2"/>
        <v>1106.863755</v>
      </c>
      <c r="X263" s="21">
        <f t="shared" si="3"/>
        <v>4.545454545</v>
      </c>
      <c r="Y263" s="21">
        <f t="shared" si="4"/>
        <v>1304.16222</v>
      </c>
      <c r="Z263" s="21">
        <f t="shared" si="5"/>
        <v>59.2801009</v>
      </c>
      <c r="AA263" s="21">
        <f t="shared" si="6"/>
        <v>0.7533601575</v>
      </c>
    </row>
    <row r="264">
      <c r="A264" s="4" t="s">
        <v>1820</v>
      </c>
      <c r="B264" s="4" t="str">
        <f>IFERROR(__xludf.DUMMYFUNCTION("SPLIT(A264:A988, ""&gt;"")"),"Online Behavior")</f>
        <v>Online Behavior</v>
      </c>
      <c r="C264" s="4" t="str">
        <f>IFERROR(__xludf.DUMMYFUNCTION("""COMPUTED_VALUE"""),"United States")</f>
        <v>United States</v>
      </c>
      <c r="D264" s="4" t="str">
        <f>IFERROR(__xludf.DUMMYFUNCTION("""COMPUTED_VALUE"""),"Intent ")</f>
        <v>Intent </v>
      </c>
      <c r="E264" s="4" t="str">
        <f>IFERROR(__xludf.DUMMYFUNCTION("""COMPUTED_VALUE""")," Travel")</f>
        <v> Travel</v>
      </c>
      <c r="F264" s="4" t="str">
        <f>IFERROR(__xludf.DUMMYFUNCTION("""COMPUTED_VALUE"""),"Business Travel")</f>
        <v>Business Travel</v>
      </c>
      <c r="G264" s="4"/>
      <c r="H264" s="4"/>
      <c r="I264" s="5" t="s">
        <v>15</v>
      </c>
      <c r="J264" s="5" t="s">
        <v>31</v>
      </c>
      <c r="K264" s="5" t="s">
        <v>78</v>
      </c>
      <c r="L264" s="6" t="s">
        <v>426</v>
      </c>
      <c r="M264" s="5" t="s">
        <v>19</v>
      </c>
      <c r="N264" s="5" t="s">
        <v>27</v>
      </c>
      <c r="O264" s="5">
        <v>17770.0</v>
      </c>
      <c r="P264" s="5">
        <v>70.0</v>
      </c>
      <c r="Q264" s="5">
        <v>12771.0</v>
      </c>
      <c r="R264" s="5">
        <v>16749.0</v>
      </c>
      <c r="S264" s="5">
        <v>9.0</v>
      </c>
      <c r="T264" s="5">
        <v>5195.234677</v>
      </c>
      <c r="V264" s="21">
        <f t="shared" si="1"/>
        <v>292.359858</v>
      </c>
      <c r="W264" s="21">
        <f t="shared" si="2"/>
        <v>406.7993639</v>
      </c>
      <c r="X264" s="21">
        <f t="shared" si="3"/>
        <v>12.85714286</v>
      </c>
      <c r="Y264" s="21">
        <f t="shared" si="4"/>
        <v>577.2482974</v>
      </c>
      <c r="Z264" s="21">
        <f t="shared" si="5"/>
        <v>74.21763824</v>
      </c>
      <c r="AA264" s="21">
        <f t="shared" si="6"/>
        <v>0.393922341</v>
      </c>
    </row>
    <row r="265">
      <c r="A265" s="4" t="s">
        <v>1821</v>
      </c>
      <c r="B265" s="4" t="str">
        <f>IFERROR(__xludf.DUMMYFUNCTION("SPLIT(A265:A989, ""&gt;"")"),"US Home ")</f>
        <v>US Home </v>
      </c>
      <c r="C265" s="4" t="str">
        <f>IFERROR(__xludf.DUMMYFUNCTION("""COMPUTED_VALUE""")," Dwelling Type ")</f>
        <v> Dwelling Type </v>
      </c>
      <c r="D265" s="4" t="str">
        <f>IFERROR(__xludf.DUMMYFUNCTION("""COMPUTED_VALUE""")," Single-Family")</f>
        <v> Single-Family</v>
      </c>
      <c r="E265" s="4"/>
      <c r="F265" s="4"/>
      <c r="G265" s="4"/>
      <c r="H265" s="4"/>
      <c r="I265" s="5" t="s">
        <v>15</v>
      </c>
      <c r="J265" s="5" t="s">
        <v>42</v>
      </c>
      <c r="K265" s="5" t="s">
        <v>35</v>
      </c>
      <c r="L265" s="6" t="s">
        <v>426</v>
      </c>
      <c r="M265" s="5" t="s">
        <v>19</v>
      </c>
      <c r="N265" s="5" t="s">
        <v>52</v>
      </c>
      <c r="O265" s="5">
        <v>16202.0</v>
      </c>
      <c r="P265" s="5">
        <v>80.0</v>
      </c>
      <c r="Q265" s="5">
        <v>11786.0</v>
      </c>
      <c r="R265" s="5">
        <v>15365.0</v>
      </c>
      <c r="S265" s="5">
        <v>2.0</v>
      </c>
      <c r="T265" s="5">
        <v>1570.34276</v>
      </c>
      <c r="V265" s="21">
        <f t="shared" si="1"/>
        <v>96.9227725</v>
      </c>
      <c r="W265" s="21">
        <f t="shared" si="2"/>
        <v>133.2379739</v>
      </c>
      <c r="X265" s="21">
        <f t="shared" si="3"/>
        <v>2.5</v>
      </c>
      <c r="Y265" s="21">
        <f t="shared" si="4"/>
        <v>785.17138</v>
      </c>
      <c r="Z265" s="21">
        <f t="shared" si="5"/>
        <v>19.6292845</v>
      </c>
      <c r="AA265" s="21">
        <f t="shared" si="6"/>
        <v>0.4937662017</v>
      </c>
    </row>
    <row r="266">
      <c r="A266" s="4" t="s">
        <v>1305</v>
      </c>
      <c r="B266" s="4" t="str">
        <f>IFERROR(__xludf.DUMMYFUNCTION("SPLIT(A266:A990, ""&gt;"")"),"OnAudience ")</f>
        <v>OnAudience </v>
      </c>
      <c r="C266" s="4" t="str">
        <f>IFERROR(__xludf.DUMMYFUNCTION("""COMPUTED_VALUE""")," Interest ")</f>
        <v> Interest </v>
      </c>
      <c r="D266" s="4" t="str">
        <f>IFERROR(__xludf.DUMMYFUNCTION("""COMPUTED_VALUE""")," Games")</f>
        <v> Games</v>
      </c>
      <c r="E266" s="4"/>
      <c r="F266" s="4"/>
      <c r="G266" s="4"/>
      <c r="H266" s="4"/>
      <c r="I266" s="5" t="s">
        <v>22</v>
      </c>
      <c r="J266" s="5" t="s">
        <v>31</v>
      </c>
      <c r="K266" s="5" t="s">
        <v>17</v>
      </c>
      <c r="L266" s="6" t="s">
        <v>429</v>
      </c>
      <c r="M266" s="5" t="s">
        <v>46</v>
      </c>
      <c r="N266" s="5" t="s">
        <v>27</v>
      </c>
      <c r="O266" s="5">
        <v>13779.0</v>
      </c>
      <c r="P266" s="5">
        <v>96.0</v>
      </c>
      <c r="Q266" s="5">
        <v>3482.0</v>
      </c>
      <c r="R266" s="5">
        <v>12487.0</v>
      </c>
      <c r="S266" s="5">
        <v>4.0</v>
      </c>
      <c r="T266" s="5">
        <v>1530.041892</v>
      </c>
      <c r="V266" s="21">
        <f t="shared" si="1"/>
        <v>111.0415772</v>
      </c>
      <c r="W266" s="21">
        <f t="shared" si="2"/>
        <v>439.4146732</v>
      </c>
      <c r="X266" s="21">
        <f t="shared" si="3"/>
        <v>4.166666667</v>
      </c>
      <c r="Y266" s="21">
        <f t="shared" si="4"/>
        <v>382.510473</v>
      </c>
      <c r="Z266" s="21">
        <f t="shared" si="5"/>
        <v>15.93793638</v>
      </c>
      <c r="AA266" s="21">
        <f t="shared" si="6"/>
        <v>0.6967123884</v>
      </c>
    </row>
    <row r="267">
      <c r="A267" s="4" t="s">
        <v>1822</v>
      </c>
      <c r="B267" s="4" t="str">
        <f>IFERROR(__xludf.DUMMYFUNCTION("SPLIT(A267:A991, ""&gt;"")"),"US ")</f>
        <v>US </v>
      </c>
      <c r="C267" s="4" t="str">
        <f>IFERROR(__xludf.DUMMYFUNCTION("""COMPUTED_VALUE""")," Response Performance ")</f>
        <v> Response Performance </v>
      </c>
      <c r="D267" s="4" t="str">
        <f>IFERROR(__xludf.DUMMYFUNCTION("""COMPUTED_VALUE""")," Direct Marketing Purchasers")</f>
        <v> Direct Marketing Purchasers</v>
      </c>
      <c r="E267" s="4"/>
      <c r="F267" s="4"/>
      <c r="G267" s="4"/>
      <c r="H267" s="4"/>
      <c r="I267" s="5" t="s">
        <v>15</v>
      </c>
      <c r="J267" s="5" t="s">
        <v>16</v>
      </c>
      <c r="K267" s="5" t="s">
        <v>43</v>
      </c>
      <c r="L267" s="6" t="s">
        <v>431</v>
      </c>
      <c r="M267" s="5" t="s">
        <v>19</v>
      </c>
      <c r="N267" s="5" t="s">
        <v>27</v>
      </c>
      <c r="O267" s="5">
        <v>13183.0</v>
      </c>
      <c r="P267" s="5">
        <v>100.0</v>
      </c>
      <c r="Q267" s="5">
        <v>4337.0</v>
      </c>
      <c r="R267" s="5">
        <v>10596.0</v>
      </c>
      <c r="S267" s="5">
        <v>1.0</v>
      </c>
      <c r="T267" s="5">
        <v>2430.243664</v>
      </c>
      <c r="V267" s="21">
        <f t="shared" si="1"/>
        <v>184.3467848</v>
      </c>
      <c r="W267" s="21">
        <f t="shared" si="2"/>
        <v>560.3513175</v>
      </c>
      <c r="X267" s="21">
        <f t="shared" si="3"/>
        <v>1</v>
      </c>
      <c r="Y267" s="21">
        <f t="shared" si="4"/>
        <v>2430.243664</v>
      </c>
      <c r="Z267" s="21">
        <f t="shared" si="5"/>
        <v>24.30243664</v>
      </c>
      <c r="AA267" s="21">
        <f t="shared" si="6"/>
        <v>0.7585526815</v>
      </c>
    </row>
    <row r="268">
      <c r="A268" s="4" t="s">
        <v>1307</v>
      </c>
      <c r="B268" s="4" t="str">
        <f>IFERROR(__xludf.DUMMYFUNCTION("SPLIT(A268:A992, ""&gt;"")"),"Online Behavior")</f>
        <v>Online Behavior</v>
      </c>
      <c r="C268" s="4" t="str">
        <f>IFERROR(__xludf.DUMMYFUNCTION("""COMPUTED_VALUE"""),"United States")</f>
        <v>United States</v>
      </c>
      <c r="D268" s="4" t="str">
        <f>IFERROR(__xludf.DUMMYFUNCTION("""COMPUTED_VALUE"""),"Autos and Vehicles ")</f>
        <v>Autos and Vehicles </v>
      </c>
      <c r="E268" s="4" t="str">
        <f>IFERROR(__xludf.DUMMYFUNCTION("""COMPUTED_VALUE""")," Brands")</f>
        <v> Brands</v>
      </c>
      <c r="F268" s="4" t="str">
        <f>IFERROR(__xludf.DUMMYFUNCTION("""COMPUTED_VALUE"""),"Saab")</f>
        <v>Saab</v>
      </c>
      <c r="G268" s="4"/>
      <c r="H268" s="4"/>
      <c r="I268" s="5" t="s">
        <v>22</v>
      </c>
      <c r="J268" s="5" t="s">
        <v>42</v>
      </c>
      <c r="K268" s="5" t="s">
        <v>433</v>
      </c>
      <c r="L268" s="6" t="s">
        <v>434</v>
      </c>
      <c r="M268" s="5" t="s">
        <v>19</v>
      </c>
      <c r="N268" s="5" t="s">
        <v>27</v>
      </c>
      <c r="O268" s="5">
        <v>109709.0</v>
      </c>
      <c r="P268" s="5">
        <v>278.0</v>
      </c>
      <c r="Q268" s="5">
        <v>3064.0</v>
      </c>
      <c r="R268" s="5">
        <v>15428.0</v>
      </c>
      <c r="S268" s="5">
        <v>20.0</v>
      </c>
      <c r="T268" s="5">
        <v>5409.083955</v>
      </c>
      <c r="V268" s="21">
        <f t="shared" si="1"/>
        <v>49.30392178</v>
      </c>
      <c r="W268" s="21">
        <f t="shared" si="2"/>
        <v>1765.366826</v>
      </c>
      <c r="X268" s="21">
        <f t="shared" si="3"/>
        <v>7.194244604</v>
      </c>
      <c r="Y268" s="21">
        <f t="shared" si="4"/>
        <v>270.4541978</v>
      </c>
      <c r="Z268" s="21">
        <f t="shared" si="5"/>
        <v>19.45713653</v>
      </c>
      <c r="AA268" s="21">
        <f t="shared" si="6"/>
        <v>0.2533976246</v>
      </c>
    </row>
    <row r="269">
      <c r="A269" s="4" t="s">
        <v>435</v>
      </c>
      <c r="B269" s="4" t="str">
        <f>IFERROR(__xludf.DUMMYFUNCTION("SPLIT(A269:A993, ""&gt;"")"),"Online Behavior")</f>
        <v>Online Behavior</v>
      </c>
      <c r="C269" s="4" t="str">
        <f>IFERROR(__xludf.DUMMYFUNCTION("""COMPUTED_VALUE"""),"United States")</f>
        <v>United States</v>
      </c>
      <c r="D269" s="4" t="str">
        <f>IFERROR(__xludf.DUMMYFUNCTION("""COMPUTED_VALUE"""),"Hobbies and Leisure")</f>
        <v>Hobbies and Leisure</v>
      </c>
      <c r="E269" s="4" t="str">
        <f>IFERROR(__xludf.DUMMYFUNCTION("""COMPUTED_VALUE"""),"Contests, Awards and Prizes")</f>
        <v>Contests, Awards and Prizes</v>
      </c>
      <c r="F269" s="4"/>
      <c r="G269" s="4"/>
      <c r="H269" s="4"/>
      <c r="I269" s="5" t="s">
        <v>15</v>
      </c>
      <c r="J269" s="5" t="s">
        <v>16</v>
      </c>
      <c r="K269" s="5" t="s">
        <v>17</v>
      </c>
      <c r="L269" s="6" t="s">
        <v>434</v>
      </c>
      <c r="M269" s="5" t="s">
        <v>46</v>
      </c>
      <c r="N269" s="5" t="s">
        <v>20</v>
      </c>
      <c r="O269" s="5">
        <v>120902.0</v>
      </c>
      <c r="P269" s="5">
        <v>333.0</v>
      </c>
      <c r="Q269" s="5">
        <v>9964.0</v>
      </c>
      <c r="R269" s="5">
        <v>70015.0</v>
      </c>
      <c r="S269" s="5">
        <v>15.0</v>
      </c>
      <c r="T269" s="5">
        <v>4669.013669</v>
      </c>
      <c r="V269" s="21">
        <f t="shared" si="1"/>
        <v>38.61816735</v>
      </c>
      <c r="W269" s="21">
        <f t="shared" si="2"/>
        <v>468.5882847</v>
      </c>
      <c r="X269" s="21">
        <f t="shared" si="3"/>
        <v>4.504504505</v>
      </c>
      <c r="Y269" s="21">
        <f t="shared" si="4"/>
        <v>311.2675779</v>
      </c>
      <c r="Z269" s="21">
        <f t="shared" si="5"/>
        <v>14.02106207</v>
      </c>
      <c r="AA269" s="21">
        <f t="shared" si="6"/>
        <v>0.2754296869</v>
      </c>
    </row>
    <row r="270">
      <c r="A270" s="4" t="s">
        <v>436</v>
      </c>
      <c r="B270" s="4" t="str">
        <f>IFERROR(__xludf.DUMMYFUNCTION("SPLIT(A270:A994, ""&gt;"")"),"Online Behavior")</f>
        <v>Online Behavior</v>
      </c>
      <c r="C270" s="4" t="str">
        <f>IFERROR(__xludf.DUMMYFUNCTION("""COMPUTED_VALUE"""),"United States")</f>
        <v>United States</v>
      </c>
      <c r="D270" s="4" t="str">
        <f>IFERROR(__xludf.DUMMYFUNCTION("""COMPUTED_VALUE"""),"The Changing Consumer")</f>
        <v>The Changing Consumer</v>
      </c>
      <c r="E270" s="4" t="str">
        <f>IFERROR(__xludf.DUMMYFUNCTION("""COMPUTED_VALUE"""),"B2B Work from Home")</f>
        <v>B2B Work from Home</v>
      </c>
      <c r="F270" s="4"/>
      <c r="G270" s="4"/>
      <c r="H270" s="4"/>
      <c r="I270" s="5" t="s">
        <v>22</v>
      </c>
      <c r="J270" s="5" t="s">
        <v>42</v>
      </c>
      <c r="K270" s="5" t="s">
        <v>78</v>
      </c>
      <c r="L270" s="6" t="s">
        <v>434</v>
      </c>
      <c r="M270" s="5" t="s">
        <v>46</v>
      </c>
      <c r="N270" s="5" t="s">
        <v>27</v>
      </c>
      <c r="O270" s="5">
        <v>45397.0</v>
      </c>
      <c r="P270" s="5">
        <v>114.0</v>
      </c>
      <c r="Q270" s="5">
        <v>716.0</v>
      </c>
      <c r="R270" s="5">
        <v>6867.0</v>
      </c>
      <c r="S270" s="5">
        <v>15.0</v>
      </c>
      <c r="T270" s="5">
        <v>4582.453291</v>
      </c>
      <c r="V270" s="21">
        <f t="shared" si="1"/>
        <v>100.9417647</v>
      </c>
      <c r="W270" s="21">
        <f t="shared" si="2"/>
        <v>6400.074429</v>
      </c>
      <c r="X270" s="21">
        <f t="shared" si="3"/>
        <v>13.15789474</v>
      </c>
      <c r="Y270" s="21">
        <f t="shared" si="4"/>
        <v>305.4968861</v>
      </c>
      <c r="Z270" s="21">
        <f t="shared" si="5"/>
        <v>40.19695869</v>
      </c>
      <c r="AA270" s="21">
        <f t="shared" si="6"/>
        <v>0.2511179153</v>
      </c>
    </row>
    <row r="271">
      <c r="A271" s="4" t="s">
        <v>1823</v>
      </c>
      <c r="B271" s="4" t="str">
        <f>IFERROR(__xludf.DUMMYFUNCTION("SPLIT(A271:A995, ""&gt;"")"),"US ")</f>
        <v>US </v>
      </c>
      <c r="C271" s="4" t="str">
        <f>IFERROR(__xludf.DUMMYFUNCTION("""COMPUTED_VALUE""")," Sociodemographic ")</f>
        <v> Sociodemographic </v>
      </c>
      <c r="D271" s="4" t="str">
        <f>IFERROR(__xludf.DUMMYFUNCTION("""COMPUTED_VALUE""")," ConneXions Lifestage ")</f>
        <v> ConneXions Lifestage </v>
      </c>
      <c r="E271" s="4" t="str">
        <f>IFERROR(__xludf.DUMMYFUNCTION("""COMPUTED_VALUE""")," M3 Offline Seniors")</f>
        <v> M3 Offline Seniors</v>
      </c>
      <c r="F271" s="4"/>
      <c r="G271" s="4"/>
      <c r="H271" s="4"/>
      <c r="I271" s="5" t="s">
        <v>22</v>
      </c>
      <c r="J271" s="5" t="s">
        <v>16</v>
      </c>
      <c r="K271" s="5" t="s">
        <v>84</v>
      </c>
      <c r="L271" s="6" t="s">
        <v>434</v>
      </c>
      <c r="M271" s="5" t="s">
        <v>117</v>
      </c>
      <c r="N271" s="5" t="s">
        <v>27</v>
      </c>
      <c r="O271" s="5">
        <v>13293.0</v>
      </c>
      <c r="P271" s="5">
        <v>74.0</v>
      </c>
      <c r="Q271" s="5">
        <v>9054.0</v>
      </c>
      <c r="R271" s="5">
        <v>12676.0</v>
      </c>
      <c r="S271" s="5">
        <v>5.0</v>
      </c>
      <c r="T271" s="5">
        <v>2901.209509</v>
      </c>
      <c r="V271" s="21">
        <f t="shared" si="1"/>
        <v>218.2509222</v>
      </c>
      <c r="W271" s="21">
        <f t="shared" si="2"/>
        <v>320.4340081</v>
      </c>
      <c r="X271" s="21">
        <f t="shared" si="3"/>
        <v>6.756756757</v>
      </c>
      <c r="Y271" s="21">
        <f t="shared" si="4"/>
        <v>580.2419018</v>
      </c>
      <c r="Z271" s="21">
        <f t="shared" si="5"/>
        <v>39.20553391</v>
      </c>
      <c r="AA271" s="21">
        <f t="shared" si="6"/>
        <v>0.556683969</v>
      </c>
    </row>
    <row r="272">
      <c r="A272" s="4" t="s">
        <v>1824</v>
      </c>
      <c r="B272" s="4" t="str">
        <f>IFERROR(__xludf.DUMMYFUNCTION("SPLIT(A272:A996, ""&gt;"")"),"US ")</f>
        <v>US </v>
      </c>
      <c r="C272" s="4" t="str">
        <f>IFERROR(__xludf.DUMMYFUNCTION("""COMPUTED_VALUE""")," Brand Propensities ")</f>
        <v> Brand Propensities </v>
      </c>
      <c r="D272" s="4" t="str">
        <f>IFERROR(__xludf.DUMMYFUNCTION("""COMPUTED_VALUE""")," Apparel ")</f>
        <v> Apparel </v>
      </c>
      <c r="E272" s="4" t="str">
        <f>IFERROR(__xludf.DUMMYFUNCTION("""COMPUTED_VALUE""")," JCPenney Buyer Propensity")</f>
        <v> JCPenney Buyer Propensity</v>
      </c>
      <c r="F272" s="4"/>
      <c r="G272" s="4"/>
      <c r="H272" s="4"/>
      <c r="I272" s="5" t="s">
        <v>15</v>
      </c>
      <c r="J272" s="5" t="s">
        <v>42</v>
      </c>
      <c r="K272" s="5" t="s">
        <v>17</v>
      </c>
      <c r="L272" s="6" t="s">
        <v>439</v>
      </c>
      <c r="M272" s="5" t="s">
        <v>46</v>
      </c>
      <c r="N272" s="5" t="s">
        <v>20</v>
      </c>
      <c r="O272" s="5">
        <v>12001.0</v>
      </c>
      <c r="P272" s="5">
        <v>40.0</v>
      </c>
      <c r="Q272" s="5">
        <v>7173.0</v>
      </c>
      <c r="R272" s="5">
        <v>11432.0</v>
      </c>
      <c r="S272" s="5">
        <v>2.0</v>
      </c>
      <c r="T272" s="5">
        <v>1659.932713</v>
      </c>
      <c r="V272" s="21">
        <f t="shared" si="1"/>
        <v>138.3161997</v>
      </c>
      <c r="W272" s="21">
        <f t="shared" si="2"/>
        <v>231.4140127</v>
      </c>
      <c r="X272" s="21">
        <f t="shared" si="3"/>
        <v>5</v>
      </c>
      <c r="Y272" s="21">
        <f t="shared" si="4"/>
        <v>829.9663565</v>
      </c>
      <c r="Z272" s="21">
        <f t="shared" si="5"/>
        <v>41.49831783</v>
      </c>
      <c r="AA272" s="21">
        <f t="shared" si="6"/>
        <v>0.3333055579</v>
      </c>
    </row>
    <row r="273">
      <c r="A273" s="4" t="s">
        <v>1310</v>
      </c>
      <c r="B273" s="4" t="str">
        <f>IFERROR(__xludf.DUMMYFUNCTION("SPLIT(A273:A997, ""&gt;"")"),"OnAudience ")</f>
        <v>OnAudience </v>
      </c>
      <c r="C273" s="4" t="str">
        <f>IFERROR(__xludf.DUMMYFUNCTION("""COMPUTED_VALUE""")," Interest ")</f>
        <v> Interest </v>
      </c>
      <c r="D273" s="4" t="str">
        <f>IFERROR(__xludf.DUMMYFUNCTION("""COMPUTED_VALUE""")," News ")</f>
        <v> News </v>
      </c>
      <c r="E273" s="4" t="str">
        <f>IFERROR(__xludf.DUMMYFUNCTION("""COMPUTED_VALUE""")," National News")</f>
        <v> National News</v>
      </c>
      <c r="F273" s="4"/>
      <c r="G273" s="4"/>
      <c r="H273" s="4"/>
      <c r="I273" s="5" t="s">
        <v>61</v>
      </c>
      <c r="J273" s="5" t="s">
        <v>31</v>
      </c>
      <c r="K273" s="5" t="s">
        <v>17</v>
      </c>
      <c r="L273" s="6" t="s">
        <v>441</v>
      </c>
      <c r="M273" s="5" t="s">
        <v>19</v>
      </c>
      <c r="N273" s="5" t="s">
        <v>27</v>
      </c>
      <c r="O273" s="5">
        <v>20537.0</v>
      </c>
      <c r="P273" s="5">
        <v>84.0</v>
      </c>
      <c r="Q273" s="5">
        <v>15587.0</v>
      </c>
      <c r="R273" s="5">
        <v>19288.0</v>
      </c>
      <c r="S273" s="5">
        <v>10.0</v>
      </c>
      <c r="T273" s="5">
        <v>1609.880674</v>
      </c>
      <c r="V273" s="21">
        <f t="shared" si="1"/>
        <v>78.38928149</v>
      </c>
      <c r="W273" s="21">
        <f t="shared" si="2"/>
        <v>103.2835487</v>
      </c>
      <c r="X273" s="21">
        <f t="shared" si="3"/>
        <v>11.9047619</v>
      </c>
      <c r="Y273" s="21">
        <f t="shared" si="4"/>
        <v>160.9880674</v>
      </c>
      <c r="Z273" s="21">
        <f t="shared" si="5"/>
        <v>19.16524612</v>
      </c>
      <c r="AA273" s="21">
        <f t="shared" si="6"/>
        <v>0.4090178702</v>
      </c>
    </row>
    <row r="274">
      <c r="A274" s="4" t="s">
        <v>1825</v>
      </c>
      <c r="B274" s="4" t="str">
        <f>IFERROR(__xludf.DUMMYFUNCTION("SPLIT(A274:A998, ""&gt;"")"),"US ")</f>
        <v>US </v>
      </c>
      <c r="C274" s="4" t="str">
        <f>IFERROR(__xludf.DUMMYFUNCTION("""COMPUTED_VALUE""")," Reach ")</f>
        <v> Reach </v>
      </c>
      <c r="D274" s="4" t="str">
        <f>IFERROR(__xludf.DUMMYFUNCTION("""COMPUTED_VALUE""")," Propensity Models ")</f>
        <v> Propensity Models </v>
      </c>
      <c r="E274" s="4" t="str">
        <f>IFERROR(__xludf.DUMMYFUNCTION("""COMPUTED_VALUE""")," Hobbies and Interest ")</f>
        <v> Hobbies and Interest </v>
      </c>
      <c r="F274" s="4" t="str">
        <f>IFERROR(__xludf.DUMMYFUNCTION("""COMPUTED_VALUE""")," Sports ")</f>
        <v> Sports </v>
      </c>
      <c r="G274" s="4" t="str">
        <f>IFERROR(__xludf.DUMMYFUNCTION("""COMPUTED_VALUE""")," Plays Soccer")</f>
        <v> Plays Soccer</v>
      </c>
      <c r="H274" s="4"/>
      <c r="I274" s="5" t="s">
        <v>15</v>
      </c>
      <c r="J274" s="5" t="s">
        <v>31</v>
      </c>
      <c r="K274" s="5" t="s">
        <v>304</v>
      </c>
      <c r="L274" s="6" t="s">
        <v>443</v>
      </c>
      <c r="M274" s="5" t="s">
        <v>19</v>
      </c>
      <c r="N274" s="5" t="s">
        <v>27</v>
      </c>
      <c r="O274" s="5">
        <v>8730.0</v>
      </c>
      <c r="P274" s="5">
        <v>22.0</v>
      </c>
      <c r="Q274" s="5">
        <v>3725.0</v>
      </c>
      <c r="R274" s="5">
        <v>7413.0</v>
      </c>
      <c r="S274" s="5">
        <v>3.0</v>
      </c>
      <c r="T274" s="5">
        <v>3268.007134</v>
      </c>
      <c r="V274" s="21">
        <f t="shared" si="1"/>
        <v>374.3421688</v>
      </c>
      <c r="W274" s="21">
        <f t="shared" si="2"/>
        <v>877.3173514</v>
      </c>
      <c r="X274" s="21">
        <f t="shared" si="3"/>
        <v>13.63636364</v>
      </c>
      <c r="Y274" s="21">
        <f t="shared" si="4"/>
        <v>1089.335711</v>
      </c>
      <c r="Z274" s="21">
        <f t="shared" si="5"/>
        <v>148.5457788</v>
      </c>
      <c r="AA274" s="21">
        <f t="shared" si="6"/>
        <v>0.2520045819</v>
      </c>
    </row>
    <row r="275">
      <c r="A275" s="4" t="s">
        <v>444</v>
      </c>
      <c r="B275" s="4" t="str">
        <f>IFERROR(__xludf.DUMMYFUNCTION("SPLIT(A275:A999, ""&gt;"")"),"Online Behavior")</f>
        <v>Online Behavior</v>
      </c>
      <c r="C275" s="4" t="str">
        <f>IFERROR(__xludf.DUMMYFUNCTION("""COMPUTED_VALUE"""),"United States")</f>
        <v>United States</v>
      </c>
      <c r="D275" s="4" t="str">
        <f>IFERROR(__xludf.DUMMYFUNCTION("""COMPUTED_VALUE"""),"People and Society")</f>
        <v>People and Society</v>
      </c>
      <c r="E275" s="4" t="str">
        <f>IFERROR(__xludf.DUMMYFUNCTION("""COMPUTED_VALUE"""),"Seniors and Retirement")</f>
        <v>Seniors and Retirement</v>
      </c>
      <c r="F275" s="4"/>
      <c r="G275" s="4"/>
      <c r="H275" s="4"/>
      <c r="I275" s="5" t="s">
        <v>22</v>
      </c>
      <c r="J275" s="5" t="s">
        <v>31</v>
      </c>
      <c r="K275" s="5" t="s">
        <v>95</v>
      </c>
      <c r="L275" s="6" t="s">
        <v>445</v>
      </c>
      <c r="M275" s="5" t="s">
        <v>19</v>
      </c>
      <c r="N275" s="5" t="s">
        <v>27</v>
      </c>
      <c r="O275" s="5">
        <v>26820.0</v>
      </c>
      <c r="P275" s="5">
        <v>80.0</v>
      </c>
      <c r="Q275" s="5">
        <v>13553.0</v>
      </c>
      <c r="R275" s="5">
        <v>21192.0</v>
      </c>
      <c r="S275" s="5">
        <v>12.0</v>
      </c>
      <c r="T275" s="5">
        <v>6745.10344</v>
      </c>
      <c r="V275" s="21">
        <f t="shared" si="1"/>
        <v>251.4952811</v>
      </c>
      <c r="W275" s="21">
        <f t="shared" si="2"/>
        <v>497.6834236</v>
      </c>
      <c r="X275" s="21">
        <f t="shared" si="3"/>
        <v>15</v>
      </c>
      <c r="Y275" s="21">
        <f t="shared" si="4"/>
        <v>562.0919533</v>
      </c>
      <c r="Z275" s="21">
        <f t="shared" si="5"/>
        <v>84.313793</v>
      </c>
      <c r="AA275" s="21">
        <f t="shared" si="6"/>
        <v>0.298284862</v>
      </c>
    </row>
    <row r="276">
      <c r="A276" s="4" t="s">
        <v>446</v>
      </c>
      <c r="B276" s="4" t="str">
        <f>IFERROR(__xludf.DUMMYFUNCTION("SPLIT(A276:A1000, ""&gt;"")"),"Media Source")</f>
        <v>Media Source</v>
      </c>
      <c r="C276" s="4"/>
      <c r="D276" s="4"/>
      <c r="E276" s="4"/>
      <c r="F276" s="4"/>
      <c r="G276" s="4"/>
      <c r="H276" s="4"/>
      <c r="I276" s="5" t="s">
        <v>15</v>
      </c>
      <c r="J276" s="5" t="s">
        <v>42</v>
      </c>
      <c r="K276" s="5" t="s">
        <v>17</v>
      </c>
      <c r="L276" s="6" t="s">
        <v>447</v>
      </c>
      <c r="M276" s="5" t="s">
        <v>167</v>
      </c>
      <c r="N276" s="5" t="s">
        <v>27</v>
      </c>
      <c r="O276" s="5">
        <v>9149.0</v>
      </c>
      <c r="P276" s="5">
        <v>40.0</v>
      </c>
      <c r="Q276" s="5">
        <v>4568.0</v>
      </c>
      <c r="R276" s="5">
        <v>8648.0</v>
      </c>
      <c r="S276" s="5">
        <v>4.0</v>
      </c>
      <c r="T276" s="5">
        <v>1758.098365</v>
      </c>
      <c r="V276" s="21">
        <f t="shared" si="1"/>
        <v>192.1628992</v>
      </c>
      <c r="W276" s="21">
        <f t="shared" si="2"/>
        <v>384.8726718</v>
      </c>
      <c r="X276" s="21">
        <f t="shared" si="3"/>
        <v>10</v>
      </c>
      <c r="Y276" s="21">
        <f t="shared" si="4"/>
        <v>439.5245913</v>
      </c>
      <c r="Z276" s="21">
        <f t="shared" si="5"/>
        <v>43.95245913</v>
      </c>
      <c r="AA276" s="21">
        <f t="shared" si="6"/>
        <v>0.437206252</v>
      </c>
    </row>
    <row r="277">
      <c r="A277" s="4" t="s">
        <v>1826</v>
      </c>
      <c r="B277" s="4" t="str">
        <f>IFERROR(__xludf.DUMMYFUNCTION("SPLIT(A277:A1001, ""&gt;"")"),"Mobile - US ")</f>
        <v>Mobile - US </v>
      </c>
      <c r="C277" s="4" t="str">
        <f>IFERROR(__xludf.DUMMYFUNCTION("""COMPUTED_VALUE""")," Sports ")</f>
        <v> Sports </v>
      </c>
      <c r="D277" s="4" t="str">
        <f>IFERROR(__xludf.DUMMYFUNCTION("""COMPUTED_VALUE""")," Water Sports ")</f>
        <v> Water Sports </v>
      </c>
      <c r="E277" s="4" t="str">
        <f>IFERROR(__xludf.DUMMYFUNCTION("""COMPUTED_VALUE""")," Boating")</f>
        <v> Boating</v>
      </c>
      <c r="F277" s="4"/>
      <c r="G277" s="4"/>
      <c r="H277" s="4"/>
      <c r="I277" s="5" t="s">
        <v>22</v>
      </c>
      <c r="J277" s="5" t="s">
        <v>42</v>
      </c>
      <c r="K277" s="5" t="s">
        <v>78</v>
      </c>
      <c r="L277" s="6" t="s">
        <v>449</v>
      </c>
      <c r="M277" s="5" t="s">
        <v>184</v>
      </c>
      <c r="N277" s="5" t="s">
        <v>27</v>
      </c>
      <c r="O277" s="5">
        <v>13655.0</v>
      </c>
      <c r="P277" s="5">
        <v>66.0</v>
      </c>
      <c r="Q277" s="5">
        <v>9519.0</v>
      </c>
      <c r="R277" s="5">
        <v>13041.0</v>
      </c>
      <c r="S277" s="5">
        <v>3.0</v>
      </c>
      <c r="T277" s="5">
        <v>1475.245119</v>
      </c>
      <c r="V277" s="21">
        <f t="shared" si="1"/>
        <v>108.0369915</v>
      </c>
      <c r="W277" s="21">
        <f t="shared" si="2"/>
        <v>154.9790019</v>
      </c>
      <c r="X277" s="21">
        <f t="shared" si="3"/>
        <v>4.545454545</v>
      </c>
      <c r="Y277" s="21">
        <f t="shared" si="4"/>
        <v>491.748373</v>
      </c>
      <c r="Z277" s="21">
        <f t="shared" si="5"/>
        <v>22.35219877</v>
      </c>
      <c r="AA277" s="21">
        <f t="shared" si="6"/>
        <v>0.4833394361</v>
      </c>
    </row>
    <row r="278">
      <c r="A278" s="4" t="s">
        <v>450</v>
      </c>
      <c r="B278" s="4" t="str">
        <f>IFERROR(__xludf.DUMMYFUNCTION("SPLIT(A278:A1002, ""&gt;"")"),"Online Behavior")</f>
        <v>Online Behavior</v>
      </c>
      <c r="C278" s="4" t="str">
        <f>IFERROR(__xludf.DUMMYFUNCTION("""COMPUTED_VALUE"""),"United States")</f>
        <v>United States</v>
      </c>
      <c r="D278" s="4" t="str">
        <f>IFERROR(__xludf.DUMMYFUNCTION("""COMPUTED_VALUE"""),"Autos and Vehicles")</f>
        <v>Autos and Vehicles</v>
      </c>
      <c r="E278" s="4" t="str">
        <f>IFERROR(__xludf.DUMMYFUNCTION("""COMPUTED_VALUE"""),"Hybrid and Alternative Vehicles")</f>
        <v>Hybrid and Alternative Vehicles</v>
      </c>
      <c r="F278" s="4"/>
      <c r="G278" s="4"/>
      <c r="H278" s="4"/>
      <c r="I278" s="5" t="s">
        <v>61</v>
      </c>
      <c r="J278" s="5" t="s">
        <v>31</v>
      </c>
      <c r="K278" s="5" t="s">
        <v>78</v>
      </c>
      <c r="L278" s="6" t="s">
        <v>451</v>
      </c>
      <c r="M278" s="5" t="s">
        <v>19</v>
      </c>
      <c r="N278" s="5" t="s">
        <v>27</v>
      </c>
      <c r="O278" s="5">
        <v>17518.0</v>
      </c>
      <c r="P278" s="5">
        <v>60.0</v>
      </c>
      <c r="Q278" s="5">
        <v>11513.0</v>
      </c>
      <c r="R278" s="5">
        <v>16192.0</v>
      </c>
      <c r="S278" s="5">
        <v>12.0</v>
      </c>
      <c r="T278" s="5">
        <v>6765.0004</v>
      </c>
      <c r="V278" s="21">
        <f t="shared" si="1"/>
        <v>386.1742436</v>
      </c>
      <c r="W278" s="21">
        <f t="shared" si="2"/>
        <v>587.5966646</v>
      </c>
      <c r="X278" s="21">
        <f t="shared" si="3"/>
        <v>20</v>
      </c>
      <c r="Y278" s="21">
        <f t="shared" si="4"/>
        <v>563.7500333</v>
      </c>
      <c r="Z278" s="21">
        <f t="shared" si="5"/>
        <v>112.7500067</v>
      </c>
      <c r="AA278" s="21">
        <f t="shared" si="6"/>
        <v>0.3425048522</v>
      </c>
    </row>
    <row r="279">
      <c r="A279" s="4" t="s">
        <v>1827</v>
      </c>
      <c r="B279" s="4" t="str">
        <f>IFERROR(__xludf.DUMMYFUNCTION("SPLIT(A279:A1003, ""&gt;"")"),"Mobile - US ")</f>
        <v>Mobile - US </v>
      </c>
      <c r="C279" s="4" t="str">
        <f>IFERROR(__xludf.DUMMYFUNCTION("""COMPUTED_VALUE""")," Travel ")</f>
        <v> Travel </v>
      </c>
      <c r="D279" s="4" t="str">
        <f>IFERROR(__xludf.DUMMYFUNCTION("""COMPUTED_VALUE""")," Activity ")</f>
        <v> Activity </v>
      </c>
      <c r="E279" s="4" t="str">
        <f>IFERROR(__xludf.DUMMYFUNCTION("""COMPUTED_VALUE""")," Ski Travelers")</f>
        <v> Ski Travelers</v>
      </c>
      <c r="F279" s="4"/>
      <c r="G279" s="4"/>
      <c r="H279" s="4"/>
      <c r="I279" s="5" t="s">
        <v>22</v>
      </c>
      <c r="J279" s="5" t="s">
        <v>16</v>
      </c>
      <c r="K279" s="5" t="s">
        <v>55</v>
      </c>
      <c r="L279" s="6" t="s">
        <v>451</v>
      </c>
      <c r="M279" s="5" t="s">
        <v>19</v>
      </c>
      <c r="N279" s="5" t="s">
        <v>27</v>
      </c>
      <c r="O279" s="5">
        <v>16580.0</v>
      </c>
      <c r="P279" s="5">
        <v>84.0</v>
      </c>
      <c r="Q279" s="5">
        <v>11928.0</v>
      </c>
      <c r="R279" s="5">
        <v>14527.0</v>
      </c>
      <c r="S279" s="5">
        <v>6.0</v>
      </c>
      <c r="T279" s="5">
        <v>1965.738947</v>
      </c>
      <c r="V279" s="21">
        <f t="shared" si="1"/>
        <v>118.5608533</v>
      </c>
      <c r="W279" s="21">
        <f t="shared" si="2"/>
        <v>164.8003812</v>
      </c>
      <c r="X279" s="21">
        <f t="shared" si="3"/>
        <v>7.142857143</v>
      </c>
      <c r="Y279" s="21">
        <f t="shared" si="4"/>
        <v>327.6231578</v>
      </c>
      <c r="Z279" s="21">
        <f t="shared" si="5"/>
        <v>23.40165413</v>
      </c>
      <c r="AA279" s="21">
        <f t="shared" si="6"/>
        <v>0.5066344994</v>
      </c>
    </row>
    <row r="280">
      <c r="A280" s="4" t="s">
        <v>1828</v>
      </c>
      <c r="B280" s="4" t="str">
        <f>IFERROR(__xludf.DUMMYFUNCTION("SPLIT(A280:A1004, ""&gt;"")"),"US ")</f>
        <v>US </v>
      </c>
      <c r="C280" s="4" t="str">
        <f>IFERROR(__xludf.DUMMYFUNCTION("""COMPUTED_VALUE""")," Sociodemographic ")</f>
        <v> Sociodemographic </v>
      </c>
      <c r="D280" s="4" t="str">
        <f>IFERROR(__xludf.DUMMYFUNCTION("""COMPUTED_VALUE""")," P$YCLE Premier Lifestage ")</f>
        <v> P$YCLE Premier Lifestage </v>
      </c>
      <c r="E280" s="4" t="str">
        <f>IFERROR(__xludf.DUMMYFUNCTION("""COMPUTED_VALUE""")," M3 Upscale Empty Nests")</f>
        <v> M3 Upscale Empty Nests</v>
      </c>
      <c r="F280" s="4"/>
      <c r="G280" s="4"/>
      <c r="H280" s="4"/>
      <c r="I280" s="5" t="s">
        <v>22</v>
      </c>
      <c r="J280" s="5" t="s">
        <v>23</v>
      </c>
      <c r="K280" s="5" t="s">
        <v>55</v>
      </c>
      <c r="L280" s="6" t="s">
        <v>454</v>
      </c>
      <c r="M280" s="5" t="s">
        <v>46</v>
      </c>
      <c r="N280" s="5" t="s">
        <v>27</v>
      </c>
      <c r="O280" s="5">
        <v>14379.0</v>
      </c>
      <c r="P280" s="5">
        <v>30.0</v>
      </c>
      <c r="Q280" s="5">
        <v>6272.0</v>
      </c>
      <c r="R280" s="5">
        <v>11886.0</v>
      </c>
      <c r="S280" s="5">
        <v>18.0</v>
      </c>
      <c r="T280" s="5">
        <v>1973.562233</v>
      </c>
      <c r="V280" s="21">
        <f t="shared" si="1"/>
        <v>137.2530936</v>
      </c>
      <c r="W280" s="21">
        <f t="shared" si="2"/>
        <v>314.6623458</v>
      </c>
      <c r="X280" s="21">
        <f t="shared" si="3"/>
        <v>60</v>
      </c>
      <c r="Y280" s="21">
        <f t="shared" si="4"/>
        <v>109.6423463</v>
      </c>
      <c r="Z280" s="21">
        <f t="shared" si="5"/>
        <v>65.78540777</v>
      </c>
      <c r="AA280" s="21">
        <f t="shared" si="6"/>
        <v>0.2086375965</v>
      </c>
    </row>
    <row r="281">
      <c r="A281" s="4" t="s">
        <v>1317</v>
      </c>
      <c r="B281" s="4" t="str">
        <f>IFERROR(__xludf.DUMMYFUNCTION("SPLIT(A281:A1005, ""&gt;"")"),"Online Behavior")</f>
        <v>Online Behavior</v>
      </c>
      <c r="C281" s="4" t="str">
        <f>IFERROR(__xludf.DUMMYFUNCTION("""COMPUTED_VALUE"""),"United States")</f>
        <v>United States</v>
      </c>
      <c r="D281" s="4" t="str">
        <f>IFERROR(__xludf.DUMMYFUNCTION("""COMPUTED_VALUE"""),"Intent ")</f>
        <v>Intent </v>
      </c>
      <c r="E281" s="4" t="str">
        <f>IFERROR(__xludf.DUMMYFUNCTION("""COMPUTED_VALUE""")," Auto Buyers ")</f>
        <v> Auto Buyers </v>
      </c>
      <c r="F281" s="4" t="str">
        <f>IFERROR(__xludf.DUMMYFUNCTION("""COMPUTED_VALUE""")," Car Make")</f>
        <v> Car Make</v>
      </c>
      <c r="G281" s="4" t="str">
        <f>IFERROR(__xludf.DUMMYFUNCTION("""COMPUTED_VALUE"""),"Dodge")</f>
        <v>Dodge</v>
      </c>
      <c r="H281" s="4"/>
      <c r="I281" s="5" t="s">
        <v>22</v>
      </c>
      <c r="J281" s="5" t="s">
        <v>16</v>
      </c>
      <c r="K281" s="5" t="s">
        <v>43</v>
      </c>
      <c r="L281" s="6" t="s">
        <v>456</v>
      </c>
      <c r="M281" s="5" t="s">
        <v>19</v>
      </c>
      <c r="N281" s="5" t="s">
        <v>27</v>
      </c>
      <c r="O281" s="5">
        <v>138904.0</v>
      </c>
      <c r="P281" s="5">
        <v>399.0</v>
      </c>
      <c r="Q281" s="5">
        <v>98952.0</v>
      </c>
      <c r="R281" s="5">
        <v>120688.0</v>
      </c>
      <c r="S281" s="5">
        <v>25.0</v>
      </c>
      <c r="T281" s="5">
        <v>5038.644724</v>
      </c>
      <c r="V281" s="21">
        <f t="shared" si="1"/>
        <v>36.27429537</v>
      </c>
      <c r="W281" s="21">
        <f t="shared" si="2"/>
        <v>50.92008978</v>
      </c>
      <c r="X281" s="21">
        <f t="shared" si="3"/>
        <v>6.26566416</v>
      </c>
      <c r="Y281" s="21">
        <f t="shared" si="4"/>
        <v>201.545789</v>
      </c>
      <c r="Z281" s="21">
        <f t="shared" si="5"/>
        <v>12.62818227</v>
      </c>
      <c r="AA281" s="21">
        <f t="shared" si="6"/>
        <v>0.2872487473</v>
      </c>
    </row>
    <row r="282">
      <c r="A282" s="4" t="s">
        <v>1318</v>
      </c>
      <c r="B282" s="4" t="str">
        <f>IFERROR(__xludf.DUMMYFUNCTION("SPLIT(A282:A1006, ""&gt;"")"),"Online Behavior")</f>
        <v>Online Behavior</v>
      </c>
      <c r="C282" s="4" t="str">
        <f>IFERROR(__xludf.DUMMYFUNCTION("""COMPUTED_VALUE"""),"United States")</f>
        <v>United States</v>
      </c>
      <c r="D282" s="4" t="str">
        <f>IFERROR(__xludf.DUMMYFUNCTION("""COMPUTED_VALUE"""),"Intent ")</f>
        <v>Intent </v>
      </c>
      <c r="E282" s="4" t="str">
        <f>IFERROR(__xludf.DUMMYFUNCTION("""COMPUTED_VALUE""")," Auto Buyers ")</f>
        <v> Auto Buyers </v>
      </c>
      <c r="F282" s="4" t="str">
        <f>IFERROR(__xludf.DUMMYFUNCTION("""COMPUTED_VALUE""")," Type")</f>
        <v> Type</v>
      </c>
      <c r="G282" s="4" t="str">
        <f>IFERROR(__xludf.DUMMYFUNCTION("""COMPUTED_VALUE"""),"SUV")</f>
        <v>SUV</v>
      </c>
      <c r="H282" s="4"/>
      <c r="I282" s="5" t="s">
        <v>15</v>
      </c>
      <c r="J282" s="5" t="s">
        <v>23</v>
      </c>
      <c r="K282" s="5" t="s">
        <v>78</v>
      </c>
      <c r="L282" s="6" t="s">
        <v>458</v>
      </c>
      <c r="M282" s="5" t="s">
        <v>46</v>
      </c>
      <c r="N282" s="5" t="s">
        <v>52</v>
      </c>
      <c r="O282" s="5">
        <v>99205.0</v>
      </c>
      <c r="P282" s="5">
        <v>230.0</v>
      </c>
      <c r="Q282" s="5">
        <v>49240.0</v>
      </c>
      <c r="R282" s="5">
        <v>72687.0</v>
      </c>
      <c r="S282" s="5">
        <v>21.0</v>
      </c>
      <c r="T282" s="5">
        <v>6185.002486</v>
      </c>
      <c r="V282" s="21">
        <f t="shared" si="1"/>
        <v>62.34567296</v>
      </c>
      <c r="W282" s="21">
        <f t="shared" si="2"/>
        <v>125.6093113</v>
      </c>
      <c r="X282" s="21">
        <f t="shared" si="3"/>
        <v>9.130434783</v>
      </c>
      <c r="Y282" s="21">
        <f t="shared" si="4"/>
        <v>294.5239279</v>
      </c>
      <c r="Z282" s="21">
        <f t="shared" si="5"/>
        <v>26.89131516</v>
      </c>
      <c r="AA282" s="21">
        <f t="shared" si="6"/>
        <v>0.2318431531</v>
      </c>
    </row>
    <row r="283">
      <c r="A283" s="4" t="s">
        <v>1319</v>
      </c>
      <c r="B283" s="4" t="str">
        <f>IFERROR(__xludf.DUMMYFUNCTION("SPLIT(A283:A1007, ""&gt;"")"),"Online Behavior")</f>
        <v>Online Behavior</v>
      </c>
      <c r="C283" s="4" t="str">
        <f>IFERROR(__xludf.DUMMYFUNCTION("""COMPUTED_VALUE"""),"United States")</f>
        <v>United States</v>
      </c>
      <c r="D283" s="4" t="str">
        <f>IFERROR(__xludf.DUMMYFUNCTION("""COMPUTED_VALUE"""),"Validated Demographic ")</f>
        <v>Validated Demographic </v>
      </c>
      <c r="E283" s="4" t="str">
        <f>IFERROR(__xludf.DUMMYFUNCTION("""COMPUTED_VALUE""")," Age")</f>
        <v> Age</v>
      </c>
      <c r="F283" s="4" t="str">
        <f>IFERROR(__xludf.DUMMYFUNCTION("""COMPUTED_VALUE"""),"35-44")</f>
        <v>35-44</v>
      </c>
      <c r="G283" s="4"/>
      <c r="H283" s="4"/>
      <c r="I283" s="5" t="s">
        <v>15</v>
      </c>
      <c r="J283" s="5" t="s">
        <v>42</v>
      </c>
      <c r="K283" s="5" t="s">
        <v>29</v>
      </c>
      <c r="L283" s="6" t="s">
        <v>460</v>
      </c>
      <c r="M283" s="5" t="s">
        <v>19</v>
      </c>
      <c r="N283" s="5" t="s">
        <v>52</v>
      </c>
      <c r="O283" s="5">
        <v>27473.0</v>
      </c>
      <c r="P283" s="5">
        <v>69.0</v>
      </c>
      <c r="Q283" s="5">
        <v>11306.0</v>
      </c>
      <c r="R283" s="5">
        <v>20625.0</v>
      </c>
      <c r="S283" s="5">
        <v>2.0</v>
      </c>
      <c r="T283" s="5">
        <v>2922.286102</v>
      </c>
      <c r="V283" s="21">
        <f t="shared" si="1"/>
        <v>106.3693846</v>
      </c>
      <c r="W283" s="21">
        <f t="shared" si="2"/>
        <v>258.4721477</v>
      </c>
      <c r="X283" s="21">
        <f t="shared" si="3"/>
        <v>2.898550725</v>
      </c>
      <c r="Y283" s="21">
        <f t="shared" si="4"/>
        <v>1461.143051</v>
      </c>
      <c r="Z283" s="21">
        <f t="shared" si="5"/>
        <v>42.35197249</v>
      </c>
      <c r="AA283" s="21">
        <f t="shared" si="6"/>
        <v>0.2511556801</v>
      </c>
    </row>
    <row r="284">
      <c r="A284" s="4" t="s">
        <v>1829</v>
      </c>
      <c r="B284" s="4" t="str">
        <f>IFERROR(__xludf.DUMMYFUNCTION("SPLIT(A284:A1008, ""&gt;"")"),"US Demographic ")</f>
        <v>US Demographic </v>
      </c>
      <c r="C284" s="4" t="str">
        <f>IFERROR(__xludf.DUMMYFUNCTION("""COMPUTED_VALUE""")," Preferred Language ")</f>
        <v> Preferred Language </v>
      </c>
      <c r="D284" s="4" t="str">
        <f>IFERROR(__xludf.DUMMYFUNCTION("""COMPUTED_VALUE""")," Individual ")</f>
        <v> Individual </v>
      </c>
      <c r="E284" s="4" t="str">
        <f>IFERROR(__xludf.DUMMYFUNCTION("""COMPUTED_VALUE""")," Non-Hispanic")</f>
        <v> Non-Hispanic</v>
      </c>
      <c r="F284" s="4"/>
      <c r="G284" s="4"/>
      <c r="H284" s="4"/>
      <c r="I284" s="5" t="s">
        <v>15</v>
      </c>
      <c r="J284" s="5" t="s">
        <v>16</v>
      </c>
      <c r="K284" s="5" t="s">
        <v>78</v>
      </c>
      <c r="L284" s="6" t="s">
        <v>462</v>
      </c>
      <c r="M284" s="5" t="s">
        <v>46</v>
      </c>
      <c r="N284" s="5" t="s">
        <v>27</v>
      </c>
      <c r="O284" s="5">
        <v>7356.0</v>
      </c>
      <c r="P284" s="5">
        <v>10.0</v>
      </c>
      <c r="Q284" s="5">
        <v>1588.0</v>
      </c>
      <c r="R284" s="5">
        <v>7088.0</v>
      </c>
      <c r="S284" s="5">
        <v>1.0</v>
      </c>
      <c r="T284" s="5">
        <v>1730.37357</v>
      </c>
      <c r="V284" s="21">
        <f t="shared" si="1"/>
        <v>235.2329486</v>
      </c>
      <c r="W284" s="21">
        <f t="shared" si="2"/>
        <v>1089.655901</v>
      </c>
      <c r="X284" s="21">
        <f t="shared" si="3"/>
        <v>10</v>
      </c>
      <c r="Y284" s="21">
        <f t="shared" si="4"/>
        <v>1730.37357</v>
      </c>
      <c r="Z284" s="21">
        <f t="shared" si="5"/>
        <v>173.037357</v>
      </c>
      <c r="AA284" s="21">
        <f t="shared" si="6"/>
        <v>0.1359434475</v>
      </c>
    </row>
    <row r="285">
      <c r="A285" s="4" t="s">
        <v>463</v>
      </c>
      <c r="B285" s="4" t="str">
        <f>IFERROR(__xludf.DUMMYFUNCTION("SPLIT(A285:A1009, ""&gt;"")"),"Online Behavior")</f>
        <v>Online Behavior</v>
      </c>
      <c r="C285" s="4" t="str">
        <f>IFERROR(__xludf.DUMMYFUNCTION("""COMPUTED_VALUE"""),"United States")</f>
        <v>United States</v>
      </c>
      <c r="D285" s="4" t="str">
        <f>IFERROR(__xludf.DUMMYFUNCTION("""COMPUTED_VALUE"""),"Arts and Entertainment")</f>
        <v>Arts and Entertainment</v>
      </c>
      <c r="E285" s="4" t="str">
        <f>IFERROR(__xludf.DUMMYFUNCTION("""COMPUTED_VALUE"""),"Celebrities and Entertainment News")</f>
        <v>Celebrities and Entertainment News</v>
      </c>
      <c r="F285" s="4"/>
      <c r="G285" s="4"/>
      <c r="H285" s="4"/>
      <c r="I285" s="5" t="s">
        <v>22</v>
      </c>
      <c r="J285" s="5" t="s">
        <v>42</v>
      </c>
      <c r="K285" s="5" t="s">
        <v>24</v>
      </c>
      <c r="L285" s="6" t="s">
        <v>464</v>
      </c>
      <c r="M285" s="5" t="s">
        <v>19</v>
      </c>
      <c r="N285" s="5" t="s">
        <v>27</v>
      </c>
      <c r="O285" s="5">
        <v>9261.0</v>
      </c>
      <c r="P285" s="5">
        <v>66.0</v>
      </c>
      <c r="Q285" s="5">
        <v>3852.0</v>
      </c>
      <c r="R285" s="5">
        <v>8526.0</v>
      </c>
      <c r="S285" s="5">
        <v>9.0</v>
      </c>
      <c r="T285" s="5">
        <v>6511.029576</v>
      </c>
      <c r="V285" s="21">
        <f t="shared" si="1"/>
        <v>703.0590191</v>
      </c>
      <c r="W285" s="21">
        <f t="shared" si="2"/>
        <v>1690.298436</v>
      </c>
      <c r="X285" s="21">
        <f t="shared" si="3"/>
        <v>13.63636364</v>
      </c>
      <c r="Y285" s="21">
        <f t="shared" si="4"/>
        <v>723.4477307</v>
      </c>
      <c r="Z285" s="21">
        <f t="shared" si="5"/>
        <v>98.65196327</v>
      </c>
      <c r="AA285" s="21">
        <f t="shared" si="6"/>
        <v>0.7126660188</v>
      </c>
    </row>
    <row r="286">
      <c r="A286" s="4" t="s">
        <v>1322</v>
      </c>
      <c r="B286" s="4" t="str">
        <f>IFERROR(__xludf.DUMMYFUNCTION("SPLIT(A286:A1010, ""&gt;"")"),"OnAudience ")</f>
        <v>OnAudience </v>
      </c>
      <c r="C286" s="4" t="str">
        <f>IFERROR(__xludf.DUMMYFUNCTION("""COMPUTED_VALUE""")," Intent ")</f>
        <v> Intent </v>
      </c>
      <c r="D286" s="4" t="str">
        <f>IFERROR(__xludf.DUMMYFUNCTION("""COMPUTED_VALUE""")," Education")</f>
        <v> Education</v>
      </c>
      <c r="E286" s="4"/>
      <c r="F286" s="4"/>
      <c r="G286" s="4"/>
      <c r="H286" s="4"/>
      <c r="I286" s="5" t="s">
        <v>22</v>
      </c>
      <c r="J286" s="5" t="s">
        <v>16</v>
      </c>
      <c r="K286" s="5" t="s">
        <v>131</v>
      </c>
      <c r="L286" s="6" t="s">
        <v>464</v>
      </c>
      <c r="M286" s="5" t="s">
        <v>26</v>
      </c>
      <c r="N286" s="5" t="s">
        <v>27</v>
      </c>
      <c r="O286" s="5">
        <v>19344.0</v>
      </c>
      <c r="P286" s="5">
        <v>68.0</v>
      </c>
      <c r="Q286" s="5">
        <v>2353.0</v>
      </c>
      <c r="R286" s="5">
        <v>18261.0</v>
      </c>
      <c r="S286" s="5">
        <v>10.0</v>
      </c>
      <c r="T286" s="5">
        <v>1500.722291</v>
      </c>
      <c r="V286" s="21">
        <f t="shared" si="1"/>
        <v>77.5807636</v>
      </c>
      <c r="W286" s="21">
        <f t="shared" si="2"/>
        <v>637.7910289</v>
      </c>
      <c r="X286" s="21">
        <f t="shared" si="3"/>
        <v>14.70588235</v>
      </c>
      <c r="Y286" s="21">
        <f t="shared" si="4"/>
        <v>150.0722291</v>
      </c>
      <c r="Z286" s="21">
        <f t="shared" si="5"/>
        <v>22.06944546</v>
      </c>
      <c r="AA286" s="21">
        <f t="shared" si="6"/>
        <v>0.3515301902</v>
      </c>
    </row>
    <row r="287">
      <c r="A287" s="4" t="s">
        <v>1323</v>
      </c>
      <c r="B287" s="4" t="str">
        <f>IFERROR(__xludf.DUMMYFUNCTION("SPLIT(A287:A1011, ""&gt;"")"),"Online Behavior")</f>
        <v>Online Behavior</v>
      </c>
      <c r="C287" s="4" t="str">
        <f>IFERROR(__xludf.DUMMYFUNCTION("""COMPUTED_VALUE"""),"United States")</f>
        <v>United States</v>
      </c>
      <c r="D287" s="4" t="str">
        <f>IFERROR(__xludf.DUMMYFUNCTION("""COMPUTED_VALUE"""),"Intent ")</f>
        <v>Intent </v>
      </c>
      <c r="E287" s="4" t="str">
        <f>IFERROR(__xludf.DUMMYFUNCTION("""COMPUTED_VALUE""")," Auto Buyers ")</f>
        <v> Auto Buyers </v>
      </c>
      <c r="F287" s="4" t="str">
        <f>IFERROR(__xludf.DUMMYFUNCTION("""COMPUTED_VALUE""")," Car Make")</f>
        <v> Car Make</v>
      </c>
      <c r="G287" s="4" t="str">
        <f>IFERROR(__xludf.DUMMYFUNCTION("""COMPUTED_VALUE"""),"Mazda")</f>
        <v>Mazda</v>
      </c>
      <c r="H287" s="4"/>
      <c r="I287" s="5" t="s">
        <v>15</v>
      </c>
      <c r="J287" s="5" t="s">
        <v>42</v>
      </c>
      <c r="K287" s="5" t="s">
        <v>55</v>
      </c>
      <c r="L287" s="6" t="s">
        <v>467</v>
      </c>
      <c r="M287" s="5" t="s">
        <v>19</v>
      </c>
      <c r="N287" s="5" t="s">
        <v>27</v>
      </c>
      <c r="O287" s="5">
        <v>11672.0</v>
      </c>
      <c r="P287" s="5">
        <v>84.0</v>
      </c>
      <c r="Q287" s="5">
        <v>7619.0</v>
      </c>
      <c r="R287" s="5">
        <v>9999.0</v>
      </c>
      <c r="S287" s="5">
        <v>7.0</v>
      </c>
      <c r="T287" s="5">
        <v>5284.27704</v>
      </c>
      <c r="V287" s="21">
        <f t="shared" si="1"/>
        <v>452.7310692</v>
      </c>
      <c r="W287" s="21">
        <f t="shared" si="2"/>
        <v>693.5656963</v>
      </c>
      <c r="X287" s="21">
        <f t="shared" si="3"/>
        <v>8.333333333</v>
      </c>
      <c r="Y287" s="21">
        <f t="shared" si="4"/>
        <v>754.89672</v>
      </c>
      <c r="Z287" s="21">
        <f t="shared" si="5"/>
        <v>62.90806</v>
      </c>
      <c r="AA287" s="21">
        <f t="shared" si="6"/>
        <v>0.7196710075</v>
      </c>
    </row>
    <row r="288">
      <c r="A288" s="4" t="s">
        <v>1324</v>
      </c>
      <c r="B288" s="4" t="str">
        <f>IFERROR(__xludf.DUMMYFUNCTION("SPLIT(A288:A1012, ""&gt;"")"),"Online Behavior")</f>
        <v>Online Behavior</v>
      </c>
      <c r="C288" s="4" t="str">
        <f>IFERROR(__xludf.DUMMYFUNCTION("""COMPUTED_VALUE"""),"United States")</f>
        <v>United States</v>
      </c>
      <c r="D288" s="4" t="str">
        <f>IFERROR(__xludf.DUMMYFUNCTION("""COMPUTED_VALUE"""),"Validated Demographic ")</f>
        <v>Validated Demographic </v>
      </c>
      <c r="E288" s="4" t="str">
        <f>IFERROR(__xludf.DUMMYFUNCTION("""COMPUTED_VALUE""")," Gender and Age Combined")</f>
        <v> Gender and Age Combined</v>
      </c>
      <c r="F288" s="4" t="str">
        <f>IFERROR(__xludf.DUMMYFUNCTION("""COMPUTED_VALUE"""),"Females 25-34")</f>
        <v>Females 25-34</v>
      </c>
      <c r="G288" s="4"/>
      <c r="H288" s="4"/>
      <c r="I288" s="5" t="s">
        <v>15</v>
      </c>
      <c r="J288" s="5" t="s">
        <v>42</v>
      </c>
      <c r="K288" s="5" t="s">
        <v>17</v>
      </c>
      <c r="L288" s="6" t="s">
        <v>469</v>
      </c>
      <c r="M288" s="5" t="s">
        <v>117</v>
      </c>
      <c r="N288" s="5" t="s">
        <v>27</v>
      </c>
      <c r="O288" s="5">
        <v>8273.0</v>
      </c>
      <c r="P288" s="5">
        <v>24.0</v>
      </c>
      <c r="Q288" s="5">
        <v>1929.0</v>
      </c>
      <c r="R288" s="5">
        <v>7441.0</v>
      </c>
      <c r="S288" s="5">
        <v>3.0</v>
      </c>
      <c r="T288" s="5">
        <v>4689.521024</v>
      </c>
      <c r="V288" s="21">
        <f t="shared" si="1"/>
        <v>566.8464915</v>
      </c>
      <c r="W288" s="21">
        <f t="shared" si="2"/>
        <v>2431.063258</v>
      </c>
      <c r="X288" s="21">
        <f t="shared" si="3"/>
        <v>12.5</v>
      </c>
      <c r="Y288" s="21">
        <f t="shared" si="4"/>
        <v>1563.173675</v>
      </c>
      <c r="Z288" s="21">
        <f t="shared" si="5"/>
        <v>195.3967093</v>
      </c>
      <c r="AA288" s="21">
        <f t="shared" si="6"/>
        <v>0.2901003264</v>
      </c>
    </row>
    <row r="289">
      <c r="A289" s="4" t="s">
        <v>1325</v>
      </c>
      <c r="B289" s="4" t="str">
        <f>IFERROR(__xludf.DUMMYFUNCTION("SPLIT(A289:A1013, ""&gt;"")"),"OnAudience ")</f>
        <v>OnAudience </v>
      </c>
      <c r="C289" s="4" t="str">
        <f>IFERROR(__xludf.DUMMYFUNCTION("""COMPUTED_VALUE""")," Interest ")</f>
        <v> Interest </v>
      </c>
      <c r="D289" s="4" t="str">
        <f>IFERROR(__xludf.DUMMYFUNCTION("""COMPUTED_VALUE""")," Technology &amp; Computing ")</f>
        <v> Technology &amp; Computing </v>
      </c>
      <c r="E289" s="4" t="str">
        <f>IFERROR(__xludf.DUMMYFUNCTION("""COMPUTED_VALUE""")," Internet Technology")</f>
        <v> Internet Technology</v>
      </c>
      <c r="F289" s="4"/>
      <c r="G289" s="4"/>
      <c r="H289" s="4"/>
      <c r="I289" s="5" t="s">
        <v>15</v>
      </c>
      <c r="J289" s="5" t="s">
        <v>16</v>
      </c>
      <c r="K289" s="5" t="s">
        <v>471</v>
      </c>
      <c r="L289" s="6" t="s">
        <v>469</v>
      </c>
      <c r="M289" s="5" t="s">
        <v>48</v>
      </c>
      <c r="N289" s="5" t="s">
        <v>27</v>
      </c>
      <c r="O289" s="5">
        <v>13833.0</v>
      </c>
      <c r="P289" s="5">
        <v>84.0</v>
      </c>
      <c r="Q289" s="5">
        <v>7693.0</v>
      </c>
      <c r="R289" s="5">
        <v>13237.0</v>
      </c>
      <c r="S289" s="5">
        <v>6.0</v>
      </c>
      <c r="T289" s="5">
        <v>1526.787066</v>
      </c>
      <c r="V289" s="21">
        <f t="shared" si="1"/>
        <v>110.3728089</v>
      </c>
      <c r="W289" s="21">
        <f t="shared" si="2"/>
        <v>198.4644568</v>
      </c>
      <c r="X289" s="21">
        <f t="shared" si="3"/>
        <v>7.142857143</v>
      </c>
      <c r="Y289" s="21">
        <f t="shared" si="4"/>
        <v>254.464511</v>
      </c>
      <c r="Z289" s="21">
        <f t="shared" si="5"/>
        <v>18.1760365</v>
      </c>
      <c r="AA289" s="21">
        <f t="shared" si="6"/>
        <v>0.607243548</v>
      </c>
    </row>
    <row r="290">
      <c r="A290" s="4" t="s">
        <v>1830</v>
      </c>
      <c r="B290" s="4" t="str">
        <f>IFERROR(__xludf.DUMMYFUNCTION("SPLIT(A290:A1014, ""&gt;"")"),"Mobile - US ")</f>
        <v>Mobile - US </v>
      </c>
      <c r="C290" s="4" t="str">
        <f>IFERROR(__xludf.DUMMYFUNCTION("""COMPUTED_VALUE""")," Sports ")</f>
        <v> Sports </v>
      </c>
      <c r="D290" s="4" t="str">
        <f>IFERROR(__xludf.DUMMYFUNCTION("""COMPUTED_VALUE""")," UFC Fans")</f>
        <v> UFC Fans</v>
      </c>
      <c r="E290" s="4"/>
      <c r="F290" s="4"/>
      <c r="G290" s="4"/>
      <c r="H290" s="4"/>
      <c r="I290" s="5" t="s">
        <v>22</v>
      </c>
      <c r="J290" s="5" t="s">
        <v>23</v>
      </c>
      <c r="K290" s="5" t="s">
        <v>356</v>
      </c>
      <c r="L290" s="6" t="s">
        <v>469</v>
      </c>
      <c r="M290" s="5" t="s">
        <v>19</v>
      </c>
      <c r="N290" s="5" t="s">
        <v>27</v>
      </c>
      <c r="O290" s="5">
        <v>22180.0</v>
      </c>
      <c r="P290" s="5">
        <v>60.0</v>
      </c>
      <c r="Q290" s="5">
        <v>4835.0</v>
      </c>
      <c r="R290" s="5">
        <v>19291.0</v>
      </c>
      <c r="S290" s="5">
        <v>9.0</v>
      </c>
      <c r="T290" s="5">
        <v>1441.631095</v>
      </c>
      <c r="V290" s="21">
        <f t="shared" si="1"/>
        <v>64.99689337</v>
      </c>
      <c r="W290" s="21">
        <f t="shared" si="2"/>
        <v>298.1656867</v>
      </c>
      <c r="X290" s="21">
        <f t="shared" si="3"/>
        <v>15</v>
      </c>
      <c r="Y290" s="21">
        <f t="shared" si="4"/>
        <v>160.1812328</v>
      </c>
      <c r="Z290" s="21">
        <f t="shared" si="5"/>
        <v>24.02718492</v>
      </c>
      <c r="AA290" s="21">
        <f t="shared" si="6"/>
        <v>0.2705139766</v>
      </c>
    </row>
    <row r="291">
      <c r="A291" s="4" t="s">
        <v>1327</v>
      </c>
      <c r="B291" s="4" t="str">
        <f>IFERROR(__xludf.DUMMYFUNCTION("SPLIT(A291:A1015, ""&gt;"")"),"Online Behavior")</f>
        <v>Online Behavior</v>
      </c>
      <c r="C291" s="4" t="str">
        <f>IFERROR(__xludf.DUMMYFUNCTION("""COMPUTED_VALUE"""),"United States")</f>
        <v>United States</v>
      </c>
      <c r="D291" s="4" t="str">
        <f>IFERROR(__xludf.DUMMYFUNCTION("""COMPUTED_VALUE"""),"Intent ")</f>
        <v>Intent </v>
      </c>
      <c r="E291" s="4" t="str">
        <f>IFERROR(__xludf.DUMMYFUNCTION("""COMPUTED_VALUE""")," Shopping")</f>
        <v> Shopping</v>
      </c>
      <c r="F291" s="4" t="str">
        <f>IFERROR(__xludf.DUMMYFUNCTION("""COMPUTED_VALUE"""),"Auto Parts Stores")</f>
        <v>Auto Parts Stores</v>
      </c>
      <c r="G291" s="4"/>
      <c r="H291" s="4"/>
      <c r="I291" s="5" t="s">
        <v>22</v>
      </c>
      <c r="J291" s="5" t="s">
        <v>16</v>
      </c>
      <c r="K291" s="5" t="s">
        <v>95</v>
      </c>
      <c r="L291" s="6" t="s">
        <v>474</v>
      </c>
      <c r="M291" s="5" t="s">
        <v>19</v>
      </c>
      <c r="N291" s="5" t="s">
        <v>27</v>
      </c>
      <c r="O291" s="5">
        <v>102905.0</v>
      </c>
      <c r="P291" s="5">
        <v>421.0</v>
      </c>
      <c r="Q291" s="5">
        <v>45324.0</v>
      </c>
      <c r="R291" s="5">
        <v>99065.0</v>
      </c>
      <c r="S291" s="5">
        <v>1.0</v>
      </c>
      <c r="T291" s="5">
        <v>6407.581828</v>
      </c>
      <c r="V291" s="21">
        <f t="shared" si="1"/>
        <v>62.266963</v>
      </c>
      <c r="W291" s="21">
        <f t="shared" si="2"/>
        <v>141.372823</v>
      </c>
      <c r="X291" s="21">
        <f t="shared" si="3"/>
        <v>0.2375296912</v>
      </c>
      <c r="Y291" s="21">
        <f t="shared" si="4"/>
        <v>6407.581828</v>
      </c>
      <c r="Z291" s="21">
        <f t="shared" si="5"/>
        <v>15.21990933</v>
      </c>
      <c r="AA291" s="21">
        <f t="shared" si="6"/>
        <v>0.4091152033</v>
      </c>
    </row>
    <row r="292">
      <c r="A292" s="4" t="s">
        <v>1328</v>
      </c>
      <c r="B292" s="4" t="str">
        <f>IFERROR(__xludf.DUMMYFUNCTION("SPLIT(A292:A1016, ""&gt;"")"),"Online Behavior")</f>
        <v>Online Behavior</v>
      </c>
      <c r="C292" s="4" t="str">
        <f>IFERROR(__xludf.DUMMYFUNCTION("""COMPUTED_VALUE"""),"United States")</f>
        <v>United States</v>
      </c>
      <c r="D292" s="4" t="str">
        <f>IFERROR(__xludf.DUMMYFUNCTION("""COMPUTED_VALUE"""),"Autos and Vehicles ")</f>
        <v>Autos and Vehicles </v>
      </c>
      <c r="E292" s="4" t="str">
        <f>IFERROR(__xludf.DUMMYFUNCTION("""COMPUTED_VALUE""")," Brands")</f>
        <v> Brands</v>
      </c>
      <c r="F292" s="4" t="str">
        <f>IFERROR(__xludf.DUMMYFUNCTION("""COMPUTED_VALUE"""),"Ford")</f>
        <v>Ford</v>
      </c>
      <c r="G292" s="4"/>
      <c r="H292" s="4"/>
      <c r="I292" s="5" t="s">
        <v>61</v>
      </c>
      <c r="J292" s="5" t="s">
        <v>23</v>
      </c>
      <c r="K292" s="5" t="s">
        <v>78</v>
      </c>
      <c r="L292" s="6" t="s">
        <v>474</v>
      </c>
      <c r="M292" s="5" t="s">
        <v>19</v>
      </c>
      <c r="N292" s="5" t="s">
        <v>27</v>
      </c>
      <c r="O292" s="5">
        <v>89744.0</v>
      </c>
      <c r="P292" s="5">
        <v>311.0</v>
      </c>
      <c r="Q292" s="5">
        <v>48786.0</v>
      </c>
      <c r="R292" s="5">
        <v>85900.0</v>
      </c>
      <c r="S292" s="5">
        <v>3.0</v>
      </c>
      <c r="T292" s="5">
        <v>6369.811226</v>
      </c>
      <c r="V292" s="21">
        <f t="shared" si="1"/>
        <v>70.97757205</v>
      </c>
      <c r="W292" s="21">
        <f t="shared" si="2"/>
        <v>130.5663761</v>
      </c>
      <c r="X292" s="21">
        <f t="shared" si="3"/>
        <v>0.9646302251</v>
      </c>
      <c r="Y292" s="21">
        <f t="shared" si="4"/>
        <v>2123.270409</v>
      </c>
      <c r="Z292" s="21">
        <f t="shared" si="5"/>
        <v>20.48170812</v>
      </c>
      <c r="AA292" s="21">
        <f t="shared" si="6"/>
        <v>0.346541273</v>
      </c>
    </row>
    <row r="293">
      <c r="A293" s="4" t="s">
        <v>1329</v>
      </c>
      <c r="B293" s="4" t="str">
        <f>IFERROR(__xludf.DUMMYFUNCTION("SPLIT(A293:A1017, ""&gt;"")"),"Lotame ")</f>
        <v>Lotame </v>
      </c>
      <c r="C293" s="4" t="str">
        <f>IFERROR(__xludf.DUMMYFUNCTION("""COMPUTED_VALUE""")," Technology ")</f>
        <v> Technology </v>
      </c>
      <c r="D293" s="4" t="str">
        <f>IFERROR(__xludf.DUMMYFUNCTION("""COMPUTED_VALUE""")," Mobile Phones")</f>
        <v> Mobile Phones</v>
      </c>
      <c r="E293" s="4"/>
      <c r="F293" s="4"/>
      <c r="G293" s="4"/>
      <c r="H293" s="4"/>
      <c r="I293" s="5" t="s">
        <v>15</v>
      </c>
      <c r="J293" s="5" t="s">
        <v>23</v>
      </c>
      <c r="K293" s="5" t="s">
        <v>43</v>
      </c>
      <c r="L293" s="6" t="s">
        <v>474</v>
      </c>
      <c r="M293" s="5" t="s">
        <v>26</v>
      </c>
      <c r="N293" s="5" t="s">
        <v>27</v>
      </c>
      <c r="O293" s="5">
        <v>39705.0</v>
      </c>
      <c r="P293" s="5">
        <v>190.0</v>
      </c>
      <c r="Q293" s="5">
        <v>12950.0</v>
      </c>
      <c r="R293" s="5">
        <v>38030.0</v>
      </c>
      <c r="S293" s="5">
        <v>3.0</v>
      </c>
      <c r="T293" s="5">
        <v>1476.419509</v>
      </c>
      <c r="V293" s="21">
        <f t="shared" si="1"/>
        <v>37.18472507</v>
      </c>
      <c r="W293" s="21">
        <f t="shared" si="2"/>
        <v>114.0092285</v>
      </c>
      <c r="X293" s="21">
        <f t="shared" si="3"/>
        <v>1.578947368</v>
      </c>
      <c r="Y293" s="21">
        <f t="shared" si="4"/>
        <v>492.1398363</v>
      </c>
      <c r="Z293" s="21">
        <f t="shared" si="5"/>
        <v>7.770628995</v>
      </c>
      <c r="AA293" s="21">
        <f t="shared" si="6"/>
        <v>0.4785291525</v>
      </c>
    </row>
    <row r="294">
      <c r="A294" s="4" t="s">
        <v>1330</v>
      </c>
      <c r="B294" s="4" t="str">
        <f>IFERROR(__xludf.DUMMYFUNCTION("SPLIT(A294:A1018, ""&gt;"")"),"Online Behavior")</f>
        <v>Online Behavior</v>
      </c>
      <c r="C294" s="4" t="str">
        <f>IFERROR(__xludf.DUMMYFUNCTION("""COMPUTED_VALUE"""),"United States")</f>
        <v>United States</v>
      </c>
      <c r="D294" s="4" t="str">
        <f>IFERROR(__xludf.DUMMYFUNCTION("""COMPUTED_VALUE"""),"Autos and Vehicles ")</f>
        <v>Autos and Vehicles </v>
      </c>
      <c r="E294" s="4" t="str">
        <f>IFERROR(__xludf.DUMMYFUNCTION("""COMPUTED_VALUE""")," Brands")</f>
        <v> Brands</v>
      </c>
      <c r="F294" s="4" t="str">
        <f>IFERROR(__xludf.DUMMYFUNCTION("""COMPUTED_VALUE"""),"Maybach")</f>
        <v>Maybach</v>
      </c>
      <c r="G294" s="4"/>
      <c r="H294" s="4"/>
      <c r="I294" s="5" t="s">
        <v>22</v>
      </c>
      <c r="J294" s="5" t="s">
        <v>23</v>
      </c>
      <c r="K294" s="5" t="s">
        <v>55</v>
      </c>
      <c r="L294" s="6" t="s">
        <v>478</v>
      </c>
      <c r="M294" s="5" t="s">
        <v>36</v>
      </c>
      <c r="N294" s="5" t="s">
        <v>27</v>
      </c>
      <c r="O294" s="5">
        <v>23941.0</v>
      </c>
      <c r="P294" s="5">
        <v>150.0</v>
      </c>
      <c r="Q294" s="5">
        <v>13054.0</v>
      </c>
      <c r="R294" s="5">
        <v>22276.0</v>
      </c>
      <c r="S294" s="5">
        <v>6.0</v>
      </c>
      <c r="T294" s="5">
        <v>2856.165425</v>
      </c>
      <c r="V294" s="21">
        <f t="shared" si="1"/>
        <v>119.3001723</v>
      </c>
      <c r="W294" s="21">
        <f t="shared" si="2"/>
        <v>218.796187</v>
      </c>
      <c r="X294" s="21">
        <f t="shared" si="3"/>
        <v>4</v>
      </c>
      <c r="Y294" s="21">
        <f t="shared" si="4"/>
        <v>476.0275708</v>
      </c>
      <c r="Z294" s="21">
        <f t="shared" si="5"/>
        <v>19.04110283</v>
      </c>
      <c r="AA294" s="21">
        <f t="shared" si="6"/>
        <v>0.6265402448</v>
      </c>
    </row>
    <row r="295">
      <c r="A295" s="4" t="s">
        <v>479</v>
      </c>
      <c r="B295" s="4" t="str">
        <f>IFERROR(__xludf.DUMMYFUNCTION("SPLIT(A295:A1019, ""&gt;"")"),"Online Behavior")</f>
        <v>Online Behavior</v>
      </c>
      <c r="C295" s="4" t="str">
        <f>IFERROR(__xludf.DUMMYFUNCTION("""COMPUTED_VALUE"""),"United States")</f>
        <v>United States</v>
      </c>
      <c r="D295" s="4" t="str">
        <f>IFERROR(__xludf.DUMMYFUNCTION("""COMPUTED_VALUE"""),"The Changing Consumer")</f>
        <v>The Changing Consumer</v>
      </c>
      <c r="E295" s="4" t="str">
        <f>IFERROR(__xludf.DUMMYFUNCTION("""COMPUTED_VALUE"""),"Online Retailers")</f>
        <v>Online Retailers</v>
      </c>
      <c r="F295" s="4"/>
      <c r="G295" s="4"/>
      <c r="H295" s="4"/>
      <c r="I295" s="5" t="s">
        <v>22</v>
      </c>
      <c r="J295" s="5" t="s">
        <v>16</v>
      </c>
      <c r="K295" s="5" t="s">
        <v>35</v>
      </c>
      <c r="L295" s="6" t="s">
        <v>480</v>
      </c>
      <c r="M295" s="5" t="s">
        <v>19</v>
      </c>
      <c r="N295" s="5" t="s">
        <v>27</v>
      </c>
      <c r="O295" s="5">
        <v>42759.0</v>
      </c>
      <c r="P295" s="5">
        <v>177.0</v>
      </c>
      <c r="Q295" s="5">
        <v>17744.0</v>
      </c>
      <c r="R295" s="5">
        <v>34812.0</v>
      </c>
      <c r="S295" s="5">
        <v>12.0</v>
      </c>
      <c r="T295" s="5">
        <v>6316.488054</v>
      </c>
      <c r="V295" s="21">
        <f t="shared" si="1"/>
        <v>147.7230069</v>
      </c>
      <c r="W295" s="21">
        <f t="shared" si="2"/>
        <v>355.9788128</v>
      </c>
      <c r="X295" s="21">
        <f t="shared" si="3"/>
        <v>6.779661017</v>
      </c>
      <c r="Y295" s="21">
        <f t="shared" si="4"/>
        <v>526.3740045</v>
      </c>
      <c r="Z295" s="21">
        <f t="shared" si="5"/>
        <v>35.68637319</v>
      </c>
      <c r="AA295" s="21">
        <f t="shared" si="6"/>
        <v>0.4139479408</v>
      </c>
    </row>
    <row r="296">
      <c r="A296" s="4" t="s">
        <v>1331</v>
      </c>
      <c r="B296" s="4" t="str">
        <f>IFERROR(__xludf.DUMMYFUNCTION("SPLIT(A296:A1020, ""&gt;"")"),"Online Behavior")</f>
        <v>Online Behavior</v>
      </c>
      <c r="C296" s="4" t="str">
        <f>IFERROR(__xludf.DUMMYFUNCTION("""COMPUTED_VALUE"""),"United States")</f>
        <v>United States</v>
      </c>
      <c r="D296" s="4" t="str">
        <f>IFERROR(__xludf.DUMMYFUNCTION("""COMPUTED_VALUE"""),"Finance ")</f>
        <v>Finance </v>
      </c>
      <c r="E296" s="4" t="str">
        <f>IFERROR(__xludf.DUMMYFUNCTION("""COMPUTED_VALUE""")," Financial Planning and Management")</f>
        <v> Financial Planning and Management</v>
      </c>
      <c r="F296" s="4" t="str">
        <f>IFERROR(__xludf.DUMMYFUNCTION("""COMPUTED_VALUE"""),"Inheritance and Estate Planning")</f>
        <v>Inheritance and Estate Planning</v>
      </c>
      <c r="G296" s="4"/>
      <c r="H296" s="4"/>
      <c r="I296" s="5" t="s">
        <v>22</v>
      </c>
      <c r="J296" s="5" t="s">
        <v>23</v>
      </c>
      <c r="K296" s="5" t="s">
        <v>35</v>
      </c>
      <c r="L296" s="6" t="s">
        <v>480</v>
      </c>
      <c r="M296" s="5" t="s">
        <v>117</v>
      </c>
      <c r="N296" s="5" t="s">
        <v>27</v>
      </c>
      <c r="O296" s="5">
        <v>115673.0</v>
      </c>
      <c r="P296" s="5">
        <v>410.0</v>
      </c>
      <c r="Q296" s="5">
        <v>52475.0</v>
      </c>
      <c r="R296" s="5">
        <v>97166.0</v>
      </c>
      <c r="S296" s="5">
        <v>22.0</v>
      </c>
      <c r="T296" s="5">
        <v>5045.93793</v>
      </c>
      <c r="V296" s="21">
        <f t="shared" si="1"/>
        <v>43.62243505</v>
      </c>
      <c r="W296" s="21">
        <f t="shared" si="2"/>
        <v>96.15889338</v>
      </c>
      <c r="X296" s="21">
        <f t="shared" si="3"/>
        <v>5.365853659</v>
      </c>
      <c r="Y296" s="21">
        <f t="shared" si="4"/>
        <v>229.360815</v>
      </c>
      <c r="Z296" s="21">
        <f t="shared" si="5"/>
        <v>12.30716568</v>
      </c>
      <c r="AA296" s="21">
        <f t="shared" si="6"/>
        <v>0.354447451</v>
      </c>
    </row>
    <row r="297">
      <c r="A297" s="4" t="s">
        <v>1332</v>
      </c>
      <c r="B297" s="4" t="str">
        <f>IFERROR(__xludf.DUMMYFUNCTION("SPLIT(A297:A1021, ""&gt;"")"),"Lotame ")</f>
        <v>Lotame </v>
      </c>
      <c r="C297" s="4" t="str">
        <f>IFERROR(__xludf.DUMMYFUNCTION("""COMPUTED_VALUE""")," Travel ")</f>
        <v> Travel </v>
      </c>
      <c r="D297" s="4" t="str">
        <f>IFERROR(__xludf.DUMMYFUNCTION("""COMPUTED_VALUE""")," Winter Holiday Travel")</f>
        <v> Winter Holiday Travel</v>
      </c>
      <c r="E297" s="4"/>
      <c r="F297" s="4"/>
      <c r="G297" s="4"/>
      <c r="H297" s="4"/>
      <c r="I297" s="5" t="s">
        <v>15</v>
      </c>
      <c r="J297" s="5" t="s">
        <v>31</v>
      </c>
      <c r="K297" s="5" t="s">
        <v>29</v>
      </c>
      <c r="L297" s="6" t="s">
        <v>480</v>
      </c>
      <c r="M297" s="5" t="s">
        <v>36</v>
      </c>
      <c r="N297" s="5" t="s">
        <v>20</v>
      </c>
      <c r="O297" s="5">
        <v>81486.0</v>
      </c>
      <c r="P297" s="5">
        <v>193.0</v>
      </c>
      <c r="Q297" s="5">
        <v>57653.0</v>
      </c>
      <c r="R297" s="5">
        <v>76803.0</v>
      </c>
      <c r="S297" s="5">
        <v>6.0</v>
      </c>
      <c r="T297" s="5">
        <v>1463.842874</v>
      </c>
      <c r="V297" s="21">
        <f t="shared" si="1"/>
        <v>17.96434816</v>
      </c>
      <c r="W297" s="21">
        <f t="shared" si="2"/>
        <v>25.39057593</v>
      </c>
      <c r="X297" s="21">
        <f t="shared" si="3"/>
        <v>3.10880829</v>
      </c>
      <c r="Y297" s="21">
        <f t="shared" si="4"/>
        <v>243.9738123</v>
      </c>
      <c r="Z297" s="21">
        <f t="shared" si="5"/>
        <v>7.584678104</v>
      </c>
      <c r="AA297" s="21">
        <f t="shared" si="6"/>
        <v>0.2368505019</v>
      </c>
    </row>
    <row r="298">
      <c r="A298" s="4" t="s">
        <v>1831</v>
      </c>
      <c r="B298" s="4" t="str">
        <f>IFERROR(__xludf.DUMMYFUNCTION("SPLIT(A298:A1022, ""&gt;"")"),"US ")</f>
        <v>US </v>
      </c>
      <c r="C298" s="4" t="str">
        <f>IFERROR(__xludf.DUMMYFUNCTION("""COMPUTED_VALUE""")," Brand Propensities ")</f>
        <v> Brand Propensities </v>
      </c>
      <c r="D298" s="4" t="str">
        <f>IFERROR(__xludf.DUMMYFUNCTION("""COMPUTED_VALUE""")," Home and Household Goods ")</f>
        <v> Home and Household Goods </v>
      </c>
      <c r="E298" s="4" t="str">
        <f>IFERROR(__xludf.DUMMYFUNCTION("""COMPUTED_VALUE""")," Pottery Barn Kids Buyer Propensity")</f>
        <v> Pottery Barn Kids Buyer Propensity</v>
      </c>
      <c r="F298" s="4"/>
      <c r="G298" s="4"/>
      <c r="H298" s="4"/>
      <c r="I298" s="5" t="s">
        <v>15</v>
      </c>
      <c r="J298" s="5" t="s">
        <v>31</v>
      </c>
      <c r="K298" s="5" t="s">
        <v>55</v>
      </c>
      <c r="L298" s="6" t="s">
        <v>484</v>
      </c>
      <c r="M298" s="5" t="s">
        <v>48</v>
      </c>
      <c r="N298" s="5" t="s">
        <v>52</v>
      </c>
      <c r="O298" s="5">
        <v>31813.0</v>
      </c>
      <c r="P298" s="5">
        <v>84.0</v>
      </c>
      <c r="Q298" s="5">
        <v>14149.0</v>
      </c>
      <c r="R298" s="5">
        <v>21281.0</v>
      </c>
      <c r="S298" s="5">
        <v>13.0</v>
      </c>
      <c r="T298" s="5">
        <v>2060.993882</v>
      </c>
      <c r="V298" s="21">
        <f t="shared" si="1"/>
        <v>64.78464408</v>
      </c>
      <c r="W298" s="21">
        <f t="shared" si="2"/>
        <v>145.6635721</v>
      </c>
      <c r="X298" s="21">
        <f t="shared" si="3"/>
        <v>15.47619048</v>
      </c>
      <c r="Y298" s="21">
        <f t="shared" si="4"/>
        <v>158.5379909</v>
      </c>
      <c r="Z298" s="21">
        <f t="shared" si="5"/>
        <v>24.53564145</v>
      </c>
      <c r="AA298" s="21">
        <f t="shared" si="6"/>
        <v>0.2640430013</v>
      </c>
    </row>
    <row r="299">
      <c r="A299" s="4" t="s">
        <v>1334</v>
      </c>
      <c r="B299" s="4" t="str">
        <f>IFERROR(__xludf.DUMMYFUNCTION("SPLIT(A299:A1023, ""&gt;"")"),"Online Behavior")</f>
        <v>Online Behavior</v>
      </c>
      <c r="C299" s="4" t="str">
        <f>IFERROR(__xludf.DUMMYFUNCTION("""COMPUTED_VALUE"""),"United States")</f>
        <v>United States</v>
      </c>
      <c r="D299" s="4" t="str">
        <f>IFERROR(__xludf.DUMMYFUNCTION("""COMPUTED_VALUE"""),"Intent ")</f>
        <v>Intent </v>
      </c>
      <c r="E299" s="4" t="str">
        <f>IFERROR(__xludf.DUMMYFUNCTION("""COMPUTED_VALUE""")," Shopping")</f>
        <v> Shopping</v>
      </c>
      <c r="F299" s="4" t="str">
        <f>IFERROR(__xludf.DUMMYFUNCTION("""COMPUTED_VALUE"""),"Drug Stores")</f>
        <v>Drug Stores</v>
      </c>
      <c r="G299" s="4"/>
      <c r="H299" s="4"/>
      <c r="I299" s="5" t="s">
        <v>22</v>
      </c>
      <c r="J299" s="5" t="s">
        <v>31</v>
      </c>
      <c r="K299" s="5" t="s">
        <v>84</v>
      </c>
      <c r="L299" s="6" t="s">
        <v>486</v>
      </c>
      <c r="M299" s="5" t="s">
        <v>19</v>
      </c>
      <c r="N299" s="5" t="s">
        <v>27</v>
      </c>
      <c r="O299" s="5">
        <v>7687.0</v>
      </c>
      <c r="P299" s="5">
        <v>10.0</v>
      </c>
      <c r="Q299" s="5">
        <v>5311.0</v>
      </c>
      <c r="R299" s="5">
        <v>7266.0</v>
      </c>
      <c r="S299" s="5">
        <v>6.0</v>
      </c>
      <c r="T299" s="5">
        <v>6486.853909</v>
      </c>
      <c r="V299" s="21">
        <f t="shared" si="1"/>
        <v>843.8732807</v>
      </c>
      <c r="W299" s="21">
        <f t="shared" si="2"/>
        <v>1221.399719</v>
      </c>
      <c r="X299" s="21">
        <f t="shared" si="3"/>
        <v>60</v>
      </c>
      <c r="Y299" s="21">
        <f t="shared" si="4"/>
        <v>1081.142318</v>
      </c>
      <c r="Z299" s="21">
        <f t="shared" si="5"/>
        <v>648.6853909</v>
      </c>
      <c r="AA299" s="21">
        <f t="shared" si="6"/>
        <v>0.1300897619</v>
      </c>
    </row>
    <row r="300">
      <c r="A300" s="4" t="s">
        <v>1335</v>
      </c>
      <c r="B300" s="4" t="str">
        <f>IFERROR(__xludf.DUMMYFUNCTION("SPLIT(A300:A1024, ""&gt;"")"),"Media and Entertainment ")</f>
        <v>Media and Entertainment </v>
      </c>
      <c r="C300" s="4" t="str">
        <f>IFERROR(__xludf.DUMMYFUNCTION("""COMPUTED_VALUE""")," Sports and Recreational Activities ")</f>
        <v> Sports and Recreational Activities </v>
      </c>
      <c r="D300" s="4" t="str">
        <f>IFERROR(__xludf.DUMMYFUNCTION("""COMPUTED_VALUE""")," Interest (Affinity) ")</f>
        <v> Interest (Affinity) </v>
      </c>
      <c r="E300" s="4" t="str">
        <f>IFERROR(__xludf.DUMMYFUNCTION("""COMPUTED_VALUE""")," Individual Sports ")</f>
        <v> Individual Sports </v>
      </c>
      <c r="F300" s="4" t="str">
        <f>IFERROR(__xludf.DUMMYFUNCTION("""COMPUTED_VALUE""")," Tennis and Racquet Sports")</f>
        <v> Tennis and Racquet Sports</v>
      </c>
      <c r="G300" s="4"/>
      <c r="H300" s="4"/>
      <c r="I300" s="5" t="s">
        <v>15</v>
      </c>
      <c r="J300" s="5" t="s">
        <v>31</v>
      </c>
      <c r="K300" s="5" t="s">
        <v>24</v>
      </c>
      <c r="L300" s="6" t="s">
        <v>486</v>
      </c>
      <c r="M300" s="5" t="s">
        <v>46</v>
      </c>
      <c r="N300" s="5" t="s">
        <v>20</v>
      </c>
      <c r="O300" s="5">
        <v>17228.0</v>
      </c>
      <c r="P300" s="5">
        <v>30.0</v>
      </c>
      <c r="Q300" s="5">
        <v>11116.0</v>
      </c>
      <c r="R300" s="5">
        <v>16044.0</v>
      </c>
      <c r="S300" s="5">
        <v>3.0</v>
      </c>
      <c r="T300" s="5">
        <v>1547.513459</v>
      </c>
      <c r="V300" s="21">
        <f t="shared" si="1"/>
        <v>89.8254852</v>
      </c>
      <c r="W300" s="21">
        <f t="shared" si="2"/>
        <v>139.2149567</v>
      </c>
      <c r="X300" s="21">
        <f t="shared" si="3"/>
        <v>10</v>
      </c>
      <c r="Y300" s="21">
        <f t="shared" si="4"/>
        <v>515.8378197</v>
      </c>
      <c r="Z300" s="21">
        <f t="shared" si="5"/>
        <v>51.58378197</v>
      </c>
      <c r="AA300" s="21">
        <f t="shared" si="6"/>
        <v>0.1741351289</v>
      </c>
    </row>
    <row r="301">
      <c r="A301" s="4" t="s">
        <v>1832</v>
      </c>
      <c r="B301" s="4" t="str">
        <f>IFERROR(__xludf.DUMMYFUNCTION("SPLIT(A301:A1025, ""&gt;"")"),"US ")</f>
        <v>US </v>
      </c>
      <c r="C301" s="4" t="str">
        <f>IFERROR(__xludf.DUMMYFUNCTION("""COMPUTED_VALUE""")," Reach ")</f>
        <v> Reach </v>
      </c>
      <c r="D301" s="4" t="str">
        <f>IFERROR(__xludf.DUMMYFUNCTION("""COMPUTED_VALUE""")," Propensity Models ")</f>
        <v> Propensity Models </v>
      </c>
      <c r="E301" s="4" t="str">
        <f>IFERROR(__xludf.DUMMYFUNCTION("""COMPUTED_VALUE""")," Hobbies and Interest ")</f>
        <v> Hobbies and Interest </v>
      </c>
      <c r="F301" s="4" t="str">
        <f>IFERROR(__xludf.DUMMYFUNCTION("""COMPUTED_VALUE""")," Sports ")</f>
        <v> Sports </v>
      </c>
      <c r="G301" s="4" t="str">
        <f>IFERROR(__xludf.DUMMYFUNCTION("""COMPUTED_VALUE""")," NBA Enthusiast")</f>
        <v> NBA Enthusiast</v>
      </c>
      <c r="H301" s="4"/>
      <c r="I301" s="5" t="s">
        <v>22</v>
      </c>
      <c r="J301" s="5" t="s">
        <v>42</v>
      </c>
      <c r="K301" s="5" t="s">
        <v>78</v>
      </c>
      <c r="L301" s="6" t="s">
        <v>489</v>
      </c>
      <c r="M301" s="5" t="s">
        <v>48</v>
      </c>
      <c r="N301" s="5" t="s">
        <v>27</v>
      </c>
      <c r="O301" s="5">
        <v>21482.0</v>
      </c>
      <c r="P301" s="5">
        <v>67.0</v>
      </c>
      <c r="Q301" s="5">
        <v>10473.0</v>
      </c>
      <c r="R301" s="5">
        <v>19679.0</v>
      </c>
      <c r="S301" s="5">
        <v>3.0</v>
      </c>
      <c r="T301" s="5">
        <v>3563.098841</v>
      </c>
      <c r="V301" s="21">
        <f t="shared" si="1"/>
        <v>165.8643907</v>
      </c>
      <c r="W301" s="21">
        <f t="shared" si="2"/>
        <v>340.217592</v>
      </c>
      <c r="X301" s="21">
        <f t="shared" si="3"/>
        <v>4.47761194</v>
      </c>
      <c r="Y301" s="21">
        <f t="shared" si="4"/>
        <v>1187.699614</v>
      </c>
      <c r="Z301" s="21">
        <f t="shared" si="5"/>
        <v>53.18057972</v>
      </c>
      <c r="AA301" s="21">
        <f t="shared" si="6"/>
        <v>0.3118890234</v>
      </c>
    </row>
    <row r="302">
      <c r="A302" s="4" t="s">
        <v>1833</v>
      </c>
      <c r="B302" s="4" t="str">
        <f>IFERROR(__xludf.DUMMYFUNCTION("SPLIT(A302:A1026, ""&gt;"")"),"Mobile - US ")</f>
        <v>Mobile - US </v>
      </c>
      <c r="C302" s="4" t="str">
        <f>IFERROR(__xludf.DUMMYFUNCTION("""COMPUTED_VALUE""")," Device Ownership ")</f>
        <v> Device Ownership </v>
      </c>
      <c r="D302" s="4" t="str">
        <f>IFERROR(__xludf.DUMMYFUNCTION("""COMPUTED_VALUE""")," Smartphones ")</f>
        <v> Smartphones </v>
      </c>
      <c r="E302" s="4" t="str">
        <f>IFERROR(__xludf.DUMMYFUNCTION("""COMPUTED_VALUE""")," Vivo")</f>
        <v> Vivo</v>
      </c>
      <c r="F302" s="4"/>
      <c r="G302" s="4"/>
      <c r="H302" s="4"/>
      <c r="I302" s="5" t="s">
        <v>61</v>
      </c>
      <c r="J302" s="5" t="s">
        <v>16</v>
      </c>
      <c r="K302" s="5" t="s">
        <v>17</v>
      </c>
      <c r="L302" s="6" t="s">
        <v>489</v>
      </c>
      <c r="M302" s="5" t="s">
        <v>19</v>
      </c>
      <c r="N302" s="5" t="s">
        <v>27</v>
      </c>
      <c r="O302" s="5">
        <v>9178.0</v>
      </c>
      <c r="P302" s="5">
        <v>25.0</v>
      </c>
      <c r="Q302" s="5">
        <v>4644.0</v>
      </c>
      <c r="R302" s="5">
        <v>8462.0</v>
      </c>
      <c r="S302" s="5">
        <v>2.0</v>
      </c>
      <c r="T302" s="5">
        <v>1503.205183</v>
      </c>
      <c r="V302" s="21">
        <f t="shared" si="1"/>
        <v>163.783524</v>
      </c>
      <c r="W302" s="21">
        <f t="shared" si="2"/>
        <v>323.6875932</v>
      </c>
      <c r="X302" s="21">
        <f t="shared" si="3"/>
        <v>8</v>
      </c>
      <c r="Y302" s="21">
        <f t="shared" si="4"/>
        <v>751.6025915</v>
      </c>
      <c r="Z302" s="21">
        <f t="shared" si="5"/>
        <v>60.12820732</v>
      </c>
      <c r="AA302" s="21">
        <f t="shared" si="6"/>
        <v>0.272390499</v>
      </c>
    </row>
    <row r="303">
      <c r="A303" s="4" t="s">
        <v>1338</v>
      </c>
      <c r="B303" s="4" t="str">
        <f>IFERROR(__xludf.DUMMYFUNCTION("SPLIT(A303:A1027, ""&gt;"")"),"Lotame ")</f>
        <v>Lotame </v>
      </c>
      <c r="C303" s="4" t="str">
        <f>IFERROR(__xludf.DUMMYFUNCTION("""COMPUTED_VALUE""")," Style, Fashion &amp; Clothing ")</f>
        <v> Style, Fashion &amp; Clothing </v>
      </c>
      <c r="D303" s="4" t="str">
        <f>IFERROR(__xludf.DUMMYFUNCTION("""COMPUTED_VALUE""")," Women's Clothing Shoppers")</f>
        <v> Women's Clothing Shoppers</v>
      </c>
      <c r="E303" s="4"/>
      <c r="F303" s="4"/>
      <c r="G303" s="4"/>
      <c r="H303" s="4"/>
      <c r="I303" s="5" t="s">
        <v>22</v>
      </c>
      <c r="J303" s="5" t="s">
        <v>16</v>
      </c>
      <c r="K303" s="5" t="s">
        <v>24</v>
      </c>
      <c r="L303" s="6" t="s">
        <v>489</v>
      </c>
      <c r="M303" s="5" t="s">
        <v>36</v>
      </c>
      <c r="N303" s="5" t="s">
        <v>27</v>
      </c>
      <c r="O303" s="5">
        <v>9040.0</v>
      </c>
      <c r="P303" s="5">
        <v>21.0</v>
      </c>
      <c r="Q303" s="5">
        <v>3585.0</v>
      </c>
      <c r="R303" s="5">
        <v>8450.0</v>
      </c>
      <c r="S303" s="5">
        <v>3.0</v>
      </c>
      <c r="T303" s="5">
        <v>1473.192464</v>
      </c>
      <c r="V303" s="21">
        <f t="shared" si="1"/>
        <v>162.9637681</v>
      </c>
      <c r="W303" s="21">
        <f t="shared" si="2"/>
        <v>410.932347</v>
      </c>
      <c r="X303" s="21">
        <f t="shared" si="3"/>
        <v>14.28571429</v>
      </c>
      <c r="Y303" s="21">
        <f t="shared" si="4"/>
        <v>491.0641547</v>
      </c>
      <c r="Z303" s="21">
        <f t="shared" si="5"/>
        <v>70.1520221</v>
      </c>
      <c r="AA303" s="21">
        <f t="shared" si="6"/>
        <v>0.232300885</v>
      </c>
    </row>
    <row r="304">
      <c r="A304" s="4" t="s">
        <v>1339</v>
      </c>
      <c r="B304" s="4" t="str">
        <f>IFERROR(__xludf.DUMMYFUNCTION("SPLIT(A304:A1028, ""&gt;"")"),"Online Behavior")</f>
        <v>Online Behavior</v>
      </c>
      <c r="C304" s="4" t="str">
        <f>IFERROR(__xludf.DUMMYFUNCTION("""COMPUTED_VALUE"""),"United States")</f>
        <v>United States</v>
      </c>
      <c r="D304" s="4" t="str">
        <f>IFERROR(__xludf.DUMMYFUNCTION("""COMPUTED_VALUE"""),"Intent ")</f>
        <v>Intent </v>
      </c>
      <c r="E304" s="4" t="str">
        <f>IFERROR(__xludf.DUMMYFUNCTION("""COMPUTED_VALUE""")," Shopping")</f>
        <v> Shopping</v>
      </c>
      <c r="F304" s="4" t="str">
        <f>IFERROR(__xludf.DUMMYFUNCTION("""COMPUTED_VALUE"""),"Office Supplies")</f>
        <v>Office Supplies</v>
      </c>
      <c r="G304" s="4"/>
      <c r="H304" s="4"/>
      <c r="I304" s="5" t="s">
        <v>22</v>
      </c>
      <c r="J304" s="5" t="s">
        <v>16</v>
      </c>
      <c r="K304" s="5" t="s">
        <v>78</v>
      </c>
      <c r="L304" s="6" t="s">
        <v>493</v>
      </c>
      <c r="M304" s="5" t="s">
        <v>36</v>
      </c>
      <c r="N304" s="5" t="s">
        <v>27</v>
      </c>
      <c r="O304" s="5">
        <v>96728.0</v>
      </c>
      <c r="P304" s="5">
        <v>341.0</v>
      </c>
      <c r="Q304" s="5">
        <v>69700.0</v>
      </c>
      <c r="R304" s="5">
        <v>91910.0</v>
      </c>
      <c r="S304" s="5">
        <v>15.0</v>
      </c>
      <c r="T304" s="5">
        <v>6587.243331</v>
      </c>
      <c r="V304" s="21">
        <f t="shared" si="1"/>
        <v>68.10068782</v>
      </c>
      <c r="W304" s="21">
        <f t="shared" si="2"/>
        <v>94.50851264</v>
      </c>
      <c r="X304" s="21">
        <f t="shared" si="3"/>
        <v>4.398826979</v>
      </c>
      <c r="Y304" s="21">
        <f t="shared" si="4"/>
        <v>439.1495554</v>
      </c>
      <c r="Z304" s="21">
        <f t="shared" si="5"/>
        <v>19.31742912</v>
      </c>
      <c r="AA304" s="21">
        <f t="shared" si="6"/>
        <v>0.3525349433</v>
      </c>
    </row>
    <row r="305">
      <c r="A305" s="4" t="s">
        <v>1340</v>
      </c>
      <c r="B305" s="4" t="str">
        <f>IFERROR(__xludf.DUMMYFUNCTION("SPLIT(A305:A1029, ""&gt;"")"),"Online Behavior")</f>
        <v>Online Behavior</v>
      </c>
      <c r="C305" s="4" t="str">
        <f>IFERROR(__xludf.DUMMYFUNCTION("""COMPUTED_VALUE"""),"United States")</f>
        <v>United States</v>
      </c>
      <c r="D305" s="4" t="str">
        <f>IFERROR(__xludf.DUMMYFUNCTION("""COMPUTED_VALUE"""),"Validated Demographic ")</f>
        <v>Validated Demographic </v>
      </c>
      <c r="E305" s="4" t="str">
        <f>IFERROR(__xludf.DUMMYFUNCTION("""COMPUTED_VALUE""")," Gender")</f>
        <v> Gender</v>
      </c>
      <c r="F305" s="4" t="str">
        <f>IFERROR(__xludf.DUMMYFUNCTION("""COMPUTED_VALUE"""),"Male")</f>
        <v>Male</v>
      </c>
      <c r="G305" s="4"/>
      <c r="H305" s="4"/>
      <c r="I305" s="5" t="s">
        <v>22</v>
      </c>
      <c r="J305" s="5" t="s">
        <v>23</v>
      </c>
      <c r="K305" s="5" t="s">
        <v>29</v>
      </c>
      <c r="L305" s="6" t="s">
        <v>493</v>
      </c>
      <c r="M305" s="5" t="s">
        <v>19</v>
      </c>
      <c r="N305" s="5" t="s">
        <v>27</v>
      </c>
      <c r="O305" s="5">
        <v>48947.0</v>
      </c>
      <c r="P305" s="5">
        <v>230.0</v>
      </c>
      <c r="Q305" s="5">
        <v>32089.0</v>
      </c>
      <c r="R305" s="5">
        <v>45597.0</v>
      </c>
      <c r="S305" s="5">
        <v>21.0</v>
      </c>
      <c r="T305" s="5">
        <v>5702.290265</v>
      </c>
      <c r="V305" s="21">
        <f t="shared" si="1"/>
        <v>116.4992801</v>
      </c>
      <c r="W305" s="21">
        <f t="shared" si="2"/>
        <v>177.7023362</v>
      </c>
      <c r="X305" s="21">
        <f t="shared" si="3"/>
        <v>9.130434783</v>
      </c>
      <c r="Y305" s="21">
        <f t="shared" si="4"/>
        <v>271.5376317</v>
      </c>
      <c r="Z305" s="21">
        <f t="shared" si="5"/>
        <v>24.79256637</v>
      </c>
      <c r="AA305" s="21">
        <f t="shared" si="6"/>
        <v>0.46989601</v>
      </c>
    </row>
    <row r="306">
      <c r="A306" s="4" t="s">
        <v>495</v>
      </c>
      <c r="B306" s="4" t="str">
        <f>IFERROR(__xludf.DUMMYFUNCTION("SPLIT(A306:A1030, ""&gt;"")"),"Online Behavior")</f>
        <v>Online Behavior</v>
      </c>
      <c r="C306" s="4" t="str">
        <f>IFERROR(__xludf.DUMMYFUNCTION("""COMPUTED_VALUE"""),"United States")</f>
        <v>United States</v>
      </c>
      <c r="D306" s="4" t="str">
        <f>IFERROR(__xludf.DUMMYFUNCTION("""COMPUTED_VALUE"""),"The Changing Consumer")</f>
        <v>The Changing Consumer</v>
      </c>
      <c r="E306" s="4" t="str">
        <f>IFERROR(__xludf.DUMMYFUNCTION("""COMPUTED_VALUE"""),"Home Cooking")</f>
        <v>Home Cooking</v>
      </c>
      <c r="F306" s="4"/>
      <c r="G306" s="4"/>
      <c r="H306" s="4"/>
      <c r="I306" s="5" t="s">
        <v>61</v>
      </c>
      <c r="J306" s="5" t="s">
        <v>42</v>
      </c>
      <c r="K306" s="5" t="s">
        <v>78</v>
      </c>
      <c r="L306" s="6" t="s">
        <v>493</v>
      </c>
      <c r="M306" s="5" t="s">
        <v>19</v>
      </c>
      <c r="N306" s="5" t="s">
        <v>27</v>
      </c>
      <c r="O306" s="5">
        <v>58938.0</v>
      </c>
      <c r="P306" s="5">
        <v>175.0</v>
      </c>
      <c r="Q306" s="5">
        <v>41861.0</v>
      </c>
      <c r="R306" s="5">
        <v>55929.0</v>
      </c>
      <c r="S306" s="5">
        <v>9.0</v>
      </c>
      <c r="T306" s="5">
        <v>4881.198269</v>
      </c>
      <c r="V306" s="21">
        <f t="shared" si="1"/>
        <v>82.8192044</v>
      </c>
      <c r="W306" s="21">
        <f t="shared" si="2"/>
        <v>116.6049131</v>
      </c>
      <c r="X306" s="21">
        <f t="shared" si="3"/>
        <v>5.142857143</v>
      </c>
      <c r="Y306" s="21">
        <f t="shared" si="4"/>
        <v>542.3553632</v>
      </c>
      <c r="Z306" s="21">
        <f t="shared" si="5"/>
        <v>27.89256154</v>
      </c>
      <c r="AA306" s="21">
        <f t="shared" si="6"/>
        <v>0.2969221894</v>
      </c>
    </row>
    <row r="307">
      <c r="A307" s="4" t="s">
        <v>1341</v>
      </c>
      <c r="B307" s="4" t="str">
        <f>IFERROR(__xludf.DUMMYFUNCTION("SPLIT(A307:A1031, ""&gt;"")"),"Online Behavior")</f>
        <v>Online Behavior</v>
      </c>
      <c r="C307" s="4" t="str">
        <f>IFERROR(__xludf.DUMMYFUNCTION("""COMPUTED_VALUE"""),"United States")</f>
        <v>United States</v>
      </c>
      <c r="D307" s="4" t="str">
        <f>IFERROR(__xludf.DUMMYFUNCTION("""COMPUTED_VALUE"""),"B2B ")</f>
        <v>B2B </v>
      </c>
      <c r="E307" s="4" t="str">
        <f>IFERROR(__xludf.DUMMYFUNCTION("""COMPUTED_VALUE""")," Occupation")</f>
        <v> Occupation</v>
      </c>
      <c r="F307" s="4" t="str">
        <f>IFERROR(__xludf.DUMMYFUNCTION("""COMPUTED_VALUE"""),"Teacher")</f>
        <v>Teacher</v>
      </c>
      <c r="G307" s="4"/>
      <c r="H307" s="4"/>
      <c r="I307" s="5" t="s">
        <v>15</v>
      </c>
      <c r="J307" s="5" t="s">
        <v>23</v>
      </c>
      <c r="K307" s="5" t="s">
        <v>35</v>
      </c>
      <c r="L307" s="6" t="s">
        <v>493</v>
      </c>
      <c r="M307" s="5" t="s">
        <v>48</v>
      </c>
      <c r="N307" s="5" t="s">
        <v>27</v>
      </c>
      <c r="O307" s="5">
        <v>49014.0</v>
      </c>
      <c r="P307" s="5">
        <v>100.0</v>
      </c>
      <c r="Q307" s="5">
        <v>30349.0</v>
      </c>
      <c r="R307" s="5">
        <v>46446.0</v>
      </c>
      <c r="S307" s="5">
        <v>6.0</v>
      </c>
      <c r="T307" s="5">
        <v>3628.34617</v>
      </c>
      <c r="V307" s="21">
        <f t="shared" si="1"/>
        <v>74.02673053</v>
      </c>
      <c r="W307" s="21">
        <f t="shared" si="2"/>
        <v>119.5540601</v>
      </c>
      <c r="X307" s="21">
        <f t="shared" si="3"/>
        <v>6</v>
      </c>
      <c r="Y307" s="21">
        <f t="shared" si="4"/>
        <v>604.7243617</v>
      </c>
      <c r="Z307" s="21">
        <f t="shared" si="5"/>
        <v>36.2834617</v>
      </c>
      <c r="AA307" s="21">
        <f t="shared" si="6"/>
        <v>0.2040233403</v>
      </c>
    </row>
    <row r="308">
      <c r="A308" s="4" t="s">
        <v>1342</v>
      </c>
      <c r="B308" s="4" t="str">
        <f>IFERROR(__xludf.DUMMYFUNCTION("SPLIT(A308:A1032, ""&gt;"")"),"Online Behavior")</f>
        <v>Online Behavior</v>
      </c>
      <c r="C308" s="4" t="str">
        <f>IFERROR(__xludf.DUMMYFUNCTION("""COMPUTED_VALUE"""),"United States")</f>
        <v>United States</v>
      </c>
      <c r="D308" s="4" t="str">
        <f>IFERROR(__xludf.DUMMYFUNCTION("""COMPUTED_VALUE"""),"Finance ")</f>
        <v>Finance </v>
      </c>
      <c r="E308" s="4" t="str">
        <f>IFERROR(__xludf.DUMMYFUNCTION("""COMPUTED_VALUE""")," Accounting and Auditing")</f>
        <v> Accounting and Auditing</v>
      </c>
      <c r="F308" s="4" t="str">
        <f>IFERROR(__xludf.DUMMYFUNCTION("""COMPUTED_VALUE"""),"Bookkeeping")</f>
        <v>Bookkeeping</v>
      </c>
      <c r="G308" s="4"/>
      <c r="H308" s="4"/>
      <c r="I308" s="5" t="s">
        <v>22</v>
      </c>
      <c r="J308" s="5" t="s">
        <v>42</v>
      </c>
      <c r="K308" s="5" t="s">
        <v>433</v>
      </c>
      <c r="L308" s="6" t="s">
        <v>493</v>
      </c>
      <c r="M308" s="5" t="s">
        <v>46</v>
      </c>
      <c r="N308" s="5" t="s">
        <v>27</v>
      </c>
      <c r="O308" s="5">
        <v>69523.0</v>
      </c>
      <c r="P308" s="5">
        <v>174.0</v>
      </c>
      <c r="Q308" s="5">
        <v>48273.0</v>
      </c>
      <c r="R308" s="5">
        <v>65800.0</v>
      </c>
      <c r="S308" s="5">
        <v>9.0</v>
      </c>
      <c r="T308" s="5">
        <v>2649.997803</v>
      </c>
      <c r="V308" s="21">
        <f t="shared" si="1"/>
        <v>38.11685058</v>
      </c>
      <c r="W308" s="21">
        <f t="shared" si="2"/>
        <v>54.89606619</v>
      </c>
      <c r="X308" s="21">
        <f t="shared" si="3"/>
        <v>5.172413793</v>
      </c>
      <c r="Y308" s="21">
        <f t="shared" si="4"/>
        <v>294.4442003</v>
      </c>
      <c r="Z308" s="21">
        <f t="shared" si="5"/>
        <v>15.22987243</v>
      </c>
      <c r="AA308" s="21">
        <f t="shared" si="6"/>
        <v>0.2502768868</v>
      </c>
    </row>
    <row r="309">
      <c r="A309" s="4" t="s">
        <v>1343</v>
      </c>
      <c r="B309" s="4" t="str">
        <f>IFERROR(__xludf.DUMMYFUNCTION("SPLIT(A309:A1033, ""&gt;"")"),"OnAudience ")</f>
        <v>OnAudience </v>
      </c>
      <c r="C309" s="4" t="str">
        <f>IFERROR(__xludf.DUMMYFUNCTION("""COMPUTED_VALUE""")," Interest ")</f>
        <v> Interest </v>
      </c>
      <c r="D309" s="4" t="str">
        <f>IFERROR(__xludf.DUMMYFUNCTION("""COMPUTED_VALUE""")," Arts &amp; Entertainment ")</f>
        <v> Arts &amp; Entertainment </v>
      </c>
      <c r="E309" s="4" t="str">
        <f>IFERROR(__xludf.DUMMYFUNCTION("""COMPUTED_VALUE""")," Fine Art")</f>
        <v> Fine Art</v>
      </c>
      <c r="F309" s="4"/>
      <c r="G309" s="4"/>
      <c r="H309" s="4"/>
      <c r="I309" s="5" t="s">
        <v>61</v>
      </c>
      <c r="J309" s="5" t="s">
        <v>31</v>
      </c>
      <c r="K309" s="5" t="s">
        <v>95</v>
      </c>
      <c r="L309" s="6" t="s">
        <v>493</v>
      </c>
      <c r="M309" s="5" t="s">
        <v>46</v>
      </c>
      <c r="N309" s="5" t="s">
        <v>27</v>
      </c>
      <c r="O309" s="5">
        <v>37717.0</v>
      </c>
      <c r="P309" s="5">
        <v>69.0</v>
      </c>
      <c r="Q309" s="5">
        <v>26541.0</v>
      </c>
      <c r="R309" s="5">
        <v>35126.0</v>
      </c>
      <c r="S309" s="5">
        <v>5.0</v>
      </c>
      <c r="T309" s="5">
        <v>1725.271363</v>
      </c>
      <c r="V309" s="21">
        <f t="shared" si="1"/>
        <v>45.74253952</v>
      </c>
      <c r="W309" s="21">
        <f t="shared" si="2"/>
        <v>65.0040075</v>
      </c>
      <c r="X309" s="21">
        <f t="shared" si="3"/>
        <v>7.246376812</v>
      </c>
      <c r="Y309" s="21">
        <f t="shared" si="4"/>
        <v>345.0542726</v>
      </c>
      <c r="Z309" s="21">
        <f t="shared" si="5"/>
        <v>25.0039328</v>
      </c>
      <c r="AA309" s="21">
        <f t="shared" si="6"/>
        <v>0.1829413792</v>
      </c>
    </row>
    <row r="310">
      <c r="A310" s="4" t="s">
        <v>1344</v>
      </c>
      <c r="B310" s="4" t="str">
        <f>IFERROR(__xludf.DUMMYFUNCTION("SPLIT(A310:A1034, ""&gt;"")"),"Lotame ")</f>
        <v>Lotame </v>
      </c>
      <c r="C310" s="4" t="str">
        <f>IFERROR(__xludf.DUMMYFUNCTION("""COMPUTED_VALUE""")," Technology ")</f>
        <v> Technology </v>
      </c>
      <c r="D310" s="4" t="str">
        <f>IFERROR(__xludf.DUMMYFUNCTION("""COMPUTED_VALUE""")," Electronics &amp; Gadgets")</f>
        <v> Electronics &amp; Gadgets</v>
      </c>
      <c r="E310" s="4"/>
      <c r="F310" s="4"/>
      <c r="G310" s="4"/>
      <c r="H310" s="4"/>
      <c r="I310" s="5" t="s">
        <v>15</v>
      </c>
      <c r="J310" s="5" t="s">
        <v>42</v>
      </c>
      <c r="K310" s="5" t="s">
        <v>131</v>
      </c>
      <c r="L310" s="6" t="s">
        <v>493</v>
      </c>
      <c r="M310" s="5" t="s">
        <v>19</v>
      </c>
      <c r="N310" s="5" t="s">
        <v>20</v>
      </c>
      <c r="O310" s="5">
        <v>16236.0</v>
      </c>
      <c r="P310" s="5">
        <v>50.0</v>
      </c>
      <c r="Q310" s="5">
        <v>8669.0</v>
      </c>
      <c r="R310" s="5">
        <v>15208.0</v>
      </c>
      <c r="S310" s="5">
        <v>11.0</v>
      </c>
      <c r="T310" s="5">
        <v>1639.813696</v>
      </c>
      <c r="V310" s="21">
        <f t="shared" si="1"/>
        <v>100.9986263</v>
      </c>
      <c r="W310" s="21">
        <f t="shared" si="2"/>
        <v>189.1583454</v>
      </c>
      <c r="X310" s="21">
        <f t="shared" si="3"/>
        <v>22</v>
      </c>
      <c r="Y310" s="21">
        <f t="shared" si="4"/>
        <v>149.0739724</v>
      </c>
      <c r="Z310" s="21">
        <f t="shared" si="5"/>
        <v>32.79627392</v>
      </c>
      <c r="AA310" s="21">
        <f t="shared" si="6"/>
        <v>0.307957625</v>
      </c>
    </row>
    <row r="311">
      <c r="A311" s="4" t="s">
        <v>1345</v>
      </c>
      <c r="B311" s="4" t="str">
        <f>IFERROR(__xludf.DUMMYFUNCTION("SPLIT(A311:A1035, ""&gt;"")"),"OnAudience ")</f>
        <v>OnAudience </v>
      </c>
      <c r="C311" s="4" t="str">
        <f>IFERROR(__xludf.DUMMYFUNCTION("""COMPUTED_VALUE""")," Intent ")</f>
        <v> Intent </v>
      </c>
      <c r="D311" s="4" t="str">
        <f>IFERROR(__xludf.DUMMYFUNCTION("""COMPUTED_VALUE""")," Toys &amp; Games")</f>
        <v> Toys &amp; Games</v>
      </c>
      <c r="E311" s="4"/>
      <c r="F311" s="4"/>
      <c r="G311" s="4"/>
      <c r="H311" s="4"/>
      <c r="I311" s="5" t="s">
        <v>22</v>
      </c>
      <c r="J311" s="5" t="s">
        <v>16</v>
      </c>
      <c r="K311" s="5" t="s">
        <v>35</v>
      </c>
      <c r="L311" s="6" t="s">
        <v>493</v>
      </c>
      <c r="M311" s="5" t="s">
        <v>19</v>
      </c>
      <c r="N311" s="5" t="s">
        <v>27</v>
      </c>
      <c r="O311" s="5">
        <v>9222.0</v>
      </c>
      <c r="P311" s="5">
        <v>33.0</v>
      </c>
      <c r="Q311" s="5">
        <v>5352.0</v>
      </c>
      <c r="R311" s="5">
        <v>8141.0</v>
      </c>
      <c r="S311" s="5">
        <v>2.0</v>
      </c>
      <c r="T311" s="5">
        <v>1583.164302</v>
      </c>
      <c r="V311" s="21">
        <f t="shared" si="1"/>
        <v>171.672555</v>
      </c>
      <c r="W311" s="21">
        <f t="shared" si="2"/>
        <v>295.8079787</v>
      </c>
      <c r="X311" s="21">
        <f t="shared" si="3"/>
        <v>6.060606061</v>
      </c>
      <c r="Y311" s="21">
        <f t="shared" si="4"/>
        <v>791.582151</v>
      </c>
      <c r="Z311" s="21">
        <f t="shared" si="5"/>
        <v>47.97467582</v>
      </c>
      <c r="AA311" s="21">
        <f t="shared" si="6"/>
        <v>0.357839948</v>
      </c>
    </row>
    <row r="312">
      <c r="A312" s="4" t="s">
        <v>1346</v>
      </c>
      <c r="B312" s="4" t="str">
        <f>IFERROR(__xludf.DUMMYFUNCTION("SPLIT(A312:A1036, ""&gt;"")"),"Online Behavior")</f>
        <v>Online Behavior</v>
      </c>
      <c r="C312" s="4" t="str">
        <f>IFERROR(__xludf.DUMMYFUNCTION("""COMPUTED_VALUE"""),"United States")</f>
        <v>United States</v>
      </c>
      <c r="D312" s="4" t="str">
        <f>IFERROR(__xludf.DUMMYFUNCTION("""COMPUTED_VALUE"""),"Validated Demographic ")</f>
        <v>Validated Demographic </v>
      </c>
      <c r="E312" s="4" t="str">
        <f>IFERROR(__xludf.DUMMYFUNCTION("""COMPUTED_VALUE""")," Age")</f>
        <v> Age</v>
      </c>
      <c r="F312" s="4" t="str">
        <f>IFERROR(__xludf.DUMMYFUNCTION("""COMPUTED_VALUE"""),"25 or older")</f>
        <v>25 or older</v>
      </c>
      <c r="G312" s="4"/>
      <c r="H312" s="4"/>
      <c r="I312" s="5" t="s">
        <v>22</v>
      </c>
      <c r="J312" s="5" t="s">
        <v>42</v>
      </c>
      <c r="K312" s="5" t="s">
        <v>240</v>
      </c>
      <c r="L312" s="6" t="s">
        <v>502</v>
      </c>
      <c r="M312" s="5" t="s">
        <v>48</v>
      </c>
      <c r="N312" s="5" t="s">
        <v>27</v>
      </c>
      <c r="O312" s="5">
        <v>8233.0</v>
      </c>
      <c r="P312" s="5">
        <v>65.0</v>
      </c>
      <c r="Q312" s="5">
        <v>5361.0</v>
      </c>
      <c r="R312" s="5">
        <v>7643.0</v>
      </c>
      <c r="S312" s="5">
        <v>4.0</v>
      </c>
      <c r="T312" s="5">
        <v>6381.006576</v>
      </c>
      <c r="V312" s="21">
        <f t="shared" si="1"/>
        <v>775.0524203</v>
      </c>
      <c r="W312" s="21">
        <f t="shared" si="2"/>
        <v>1190.264237</v>
      </c>
      <c r="X312" s="21">
        <f t="shared" si="3"/>
        <v>6.153846154</v>
      </c>
      <c r="Y312" s="21">
        <f t="shared" si="4"/>
        <v>1595.251644</v>
      </c>
      <c r="Z312" s="21">
        <f t="shared" si="5"/>
        <v>98.16933194</v>
      </c>
      <c r="AA312" s="21">
        <f t="shared" si="6"/>
        <v>0.789505648</v>
      </c>
    </row>
    <row r="313">
      <c r="A313" s="4" t="s">
        <v>1347</v>
      </c>
      <c r="B313" s="4" t="str">
        <f>IFERROR(__xludf.DUMMYFUNCTION("SPLIT(A313:A1037, ""&gt;"")"),"Lotame ")</f>
        <v>Lotame </v>
      </c>
      <c r="C313" s="4" t="str">
        <f>IFERROR(__xludf.DUMMYFUNCTION("""COMPUTED_VALUE""")," Style, Fashion &amp; Clothing ")</f>
        <v> Style, Fashion &amp; Clothing </v>
      </c>
      <c r="D313" s="4" t="str">
        <f>IFERROR(__xludf.DUMMYFUNCTION("""COMPUTED_VALUE""")," Children's Clothing Shoppers")</f>
        <v> Children's Clothing Shoppers</v>
      </c>
      <c r="E313" s="4"/>
      <c r="F313" s="4"/>
      <c r="G313" s="4"/>
      <c r="H313" s="4"/>
      <c r="I313" s="5" t="s">
        <v>22</v>
      </c>
      <c r="J313" s="5" t="s">
        <v>23</v>
      </c>
      <c r="K313" s="5" t="s">
        <v>173</v>
      </c>
      <c r="L313" s="6" t="s">
        <v>504</v>
      </c>
      <c r="M313" s="5" t="s">
        <v>167</v>
      </c>
      <c r="N313" s="5" t="s">
        <v>27</v>
      </c>
      <c r="O313" s="5">
        <v>9014.0</v>
      </c>
      <c r="P313" s="5">
        <v>26.0</v>
      </c>
      <c r="Q313" s="5">
        <v>5054.0</v>
      </c>
      <c r="R313" s="5">
        <v>7227.0</v>
      </c>
      <c r="S313" s="5">
        <v>4.0</v>
      </c>
      <c r="T313" s="5">
        <v>1539.60069</v>
      </c>
      <c r="V313" s="21">
        <f t="shared" si="1"/>
        <v>170.8010528</v>
      </c>
      <c r="W313" s="21">
        <f t="shared" si="2"/>
        <v>304.6301326</v>
      </c>
      <c r="X313" s="21">
        <f t="shared" si="3"/>
        <v>15.38461538</v>
      </c>
      <c r="Y313" s="21">
        <f t="shared" si="4"/>
        <v>384.9001725</v>
      </c>
      <c r="Z313" s="21">
        <f t="shared" si="5"/>
        <v>59.21541115</v>
      </c>
      <c r="AA313" s="21">
        <f t="shared" si="6"/>
        <v>0.2884402041</v>
      </c>
    </row>
    <row r="314">
      <c r="A314" s="4" t="s">
        <v>1348</v>
      </c>
      <c r="B314" s="4" t="str">
        <f>IFERROR(__xludf.DUMMYFUNCTION("SPLIT(A314:A1038, ""&gt;"")"),"Online Behavior")</f>
        <v>Online Behavior</v>
      </c>
      <c r="C314" s="4" t="str">
        <f>IFERROR(__xludf.DUMMYFUNCTION("""COMPUTED_VALUE"""),"United States")</f>
        <v>United States</v>
      </c>
      <c r="D314" s="4" t="str">
        <f>IFERROR(__xludf.DUMMYFUNCTION("""COMPUTED_VALUE"""),"Validated Demographic ")</f>
        <v>Validated Demographic </v>
      </c>
      <c r="E314" s="4" t="str">
        <f>IFERROR(__xludf.DUMMYFUNCTION("""COMPUTED_VALUE""")," Gender and Age Combined")</f>
        <v> Gender and Age Combined</v>
      </c>
      <c r="F314" s="4" t="str">
        <f>IFERROR(__xludf.DUMMYFUNCTION("""COMPUTED_VALUE"""),"Males 18-64")</f>
        <v>Males 18-64</v>
      </c>
      <c r="G314" s="4"/>
      <c r="H314" s="4"/>
      <c r="I314" s="5" t="s">
        <v>15</v>
      </c>
      <c r="J314" s="5" t="s">
        <v>23</v>
      </c>
      <c r="K314" s="5" t="s">
        <v>84</v>
      </c>
      <c r="L314" s="6" t="s">
        <v>506</v>
      </c>
      <c r="M314" s="5" t="s">
        <v>46</v>
      </c>
      <c r="N314" s="5" t="s">
        <v>27</v>
      </c>
      <c r="O314" s="5">
        <v>9702.0</v>
      </c>
      <c r="P314" s="5">
        <v>40.0</v>
      </c>
      <c r="Q314" s="5">
        <v>5564.0</v>
      </c>
      <c r="R314" s="5">
        <v>8210.0</v>
      </c>
      <c r="S314" s="5">
        <v>1.0</v>
      </c>
      <c r="T314" s="5">
        <v>5711.39201</v>
      </c>
      <c r="V314" s="21">
        <f t="shared" si="1"/>
        <v>588.6819223</v>
      </c>
      <c r="W314" s="21">
        <f t="shared" si="2"/>
        <v>1026.490297</v>
      </c>
      <c r="X314" s="21">
        <f t="shared" si="3"/>
        <v>2.5</v>
      </c>
      <c r="Y314" s="21">
        <f t="shared" si="4"/>
        <v>5711.39201</v>
      </c>
      <c r="Z314" s="21">
        <f t="shared" si="5"/>
        <v>142.7848003</v>
      </c>
      <c r="AA314" s="21">
        <f t="shared" si="6"/>
        <v>0.4122861266</v>
      </c>
    </row>
    <row r="315">
      <c r="A315" s="4" t="s">
        <v>1349</v>
      </c>
      <c r="B315" s="4" t="str">
        <f>IFERROR(__xludf.DUMMYFUNCTION("SPLIT(A315:A1039, ""&gt;"")"),"Online Behavior")</f>
        <v>Online Behavior</v>
      </c>
      <c r="C315" s="4" t="str">
        <f>IFERROR(__xludf.DUMMYFUNCTION("""COMPUTED_VALUE"""),"United States")</f>
        <v>United States</v>
      </c>
      <c r="D315" s="4" t="str">
        <f>IFERROR(__xludf.DUMMYFUNCTION("""COMPUTED_VALUE"""),"Food and Drink")</f>
        <v>Food and Drink</v>
      </c>
      <c r="E315" s="4" t="str">
        <f>IFERROR(__xludf.DUMMYFUNCTION("""COMPUTED_VALUE"""),"Beverages ")</f>
        <v>Beverages </v>
      </c>
      <c r="F315" s="4" t="str">
        <f>IFERROR(__xludf.DUMMYFUNCTION("""COMPUTED_VALUE""")," Soft Drinks")</f>
        <v> Soft Drinks</v>
      </c>
      <c r="G315" s="4"/>
      <c r="H315" s="4"/>
      <c r="I315" s="5" t="s">
        <v>15</v>
      </c>
      <c r="J315" s="5" t="s">
        <v>23</v>
      </c>
      <c r="K315" s="5" t="s">
        <v>173</v>
      </c>
      <c r="L315" s="6" t="s">
        <v>508</v>
      </c>
      <c r="M315" s="5" t="s">
        <v>36</v>
      </c>
      <c r="N315" s="5" t="s">
        <v>27</v>
      </c>
      <c r="O315" s="5">
        <v>150457.0</v>
      </c>
      <c r="P315" s="5">
        <v>420.0</v>
      </c>
      <c r="Q315" s="5">
        <v>58372.0</v>
      </c>
      <c r="R315" s="5">
        <v>135099.0</v>
      </c>
      <c r="S315" s="5">
        <v>14.0</v>
      </c>
      <c r="T315" s="5">
        <v>5906.830006</v>
      </c>
      <c r="V315" s="21">
        <f t="shared" si="1"/>
        <v>39.25925684</v>
      </c>
      <c r="W315" s="21">
        <f t="shared" si="2"/>
        <v>101.1928665</v>
      </c>
      <c r="X315" s="21">
        <f t="shared" si="3"/>
        <v>3.333333333</v>
      </c>
      <c r="Y315" s="21">
        <f t="shared" si="4"/>
        <v>421.916429</v>
      </c>
      <c r="Z315" s="21">
        <f t="shared" si="5"/>
        <v>14.06388097</v>
      </c>
      <c r="AA315" s="21">
        <f t="shared" si="6"/>
        <v>0.2791495244</v>
      </c>
    </row>
    <row r="316">
      <c r="A316" s="4" t="s">
        <v>1350</v>
      </c>
      <c r="B316" s="4" t="str">
        <f>IFERROR(__xludf.DUMMYFUNCTION("SPLIT(A316:A1040, ""&gt;"")"),"Online Behavior")</f>
        <v>Online Behavior</v>
      </c>
      <c r="C316" s="4" t="str">
        <f>IFERROR(__xludf.DUMMYFUNCTION("""COMPUTED_VALUE"""),"United States")</f>
        <v>United States</v>
      </c>
      <c r="D316" s="4" t="str">
        <f>IFERROR(__xludf.DUMMYFUNCTION("""COMPUTED_VALUE"""),"Validated Demographic ")</f>
        <v>Validated Demographic </v>
      </c>
      <c r="E316" s="4" t="str">
        <f>IFERROR(__xludf.DUMMYFUNCTION("""COMPUTED_VALUE""")," Age")</f>
        <v> Age</v>
      </c>
      <c r="F316" s="4" t="str">
        <f>IFERROR(__xludf.DUMMYFUNCTION("""COMPUTED_VALUE"""),"25-34")</f>
        <v>25-34</v>
      </c>
      <c r="G316" s="4"/>
      <c r="H316" s="4"/>
      <c r="I316" s="5" t="s">
        <v>22</v>
      </c>
      <c r="J316" s="5" t="s">
        <v>42</v>
      </c>
      <c r="K316" s="5" t="s">
        <v>471</v>
      </c>
      <c r="L316" s="6" t="s">
        <v>508</v>
      </c>
      <c r="M316" s="5" t="s">
        <v>48</v>
      </c>
      <c r="N316" s="5" t="s">
        <v>27</v>
      </c>
      <c r="O316" s="5">
        <v>190592.0</v>
      </c>
      <c r="P316" s="5">
        <v>601.0</v>
      </c>
      <c r="Q316" s="5">
        <v>28906.0</v>
      </c>
      <c r="R316" s="5">
        <v>172515.0</v>
      </c>
      <c r="S316" s="5">
        <v>25.0</v>
      </c>
      <c r="T316" s="5">
        <v>4742.047766</v>
      </c>
      <c r="V316" s="21">
        <f t="shared" si="1"/>
        <v>24.88062335</v>
      </c>
      <c r="W316" s="21">
        <f t="shared" si="2"/>
        <v>164.0506388</v>
      </c>
      <c r="X316" s="21">
        <f t="shared" si="3"/>
        <v>4.159733777</v>
      </c>
      <c r="Y316" s="21">
        <f t="shared" si="4"/>
        <v>189.6819106</v>
      </c>
      <c r="Z316" s="21">
        <f t="shared" si="5"/>
        <v>7.890262506</v>
      </c>
      <c r="AA316" s="21">
        <f t="shared" si="6"/>
        <v>0.3153332774</v>
      </c>
    </row>
    <row r="317">
      <c r="A317" s="4" t="s">
        <v>1834</v>
      </c>
      <c r="B317" s="4" t="str">
        <f>IFERROR(__xludf.DUMMYFUNCTION("SPLIT(A317:A1041, ""&gt;"")"),"US ")</f>
        <v>US </v>
      </c>
      <c r="C317" s="4" t="str">
        <f>IFERROR(__xludf.DUMMYFUNCTION("""COMPUTED_VALUE""")," Reach ")</f>
        <v> Reach </v>
      </c>
      <c r="D317" s="4" t="str">
        <f>IFERROR(__xludf.DUMMYFUNCTION("""COMPUTED_VALUE""")," Propensity Models ")</f>
        <v> Propensity Models </v>
      </c>
      <c r="E317" s="4" t="str">
        <f>IFERROR(__xludf.DUMMYFUNCTION("""COMPUTED_VALUE""")," Finance ")</f>
        <v> Finance </v>
      </c>
      <c r="F317" s="4" t="str">
        <f>IFERROR(__xludf.DUMMYFUNCTION("""COMPUTED_VALUE""")," Credit ")</f>
        <v> Credit </v>
      </c>
      <c r="G317" s="4" t="str">
        <f>IFERROR(__xludf.DUMMYFUNCTION("""COMPUTED_VALUE""")," Debit Card ")</f>
        <v> Debit Card </v>
      </c>
      <c r="H317" s="4" t="str">
        <f>IFERROR(__xludf.DUMMYFUNCTION("""COMPUTED_VALUE""")," Major Credit Card User")</f>
        <v> Major Credit Card User</v>
      </c>
      <c r="I317" s="5" t="s">
        <v>22</v>
      </c>
      <c r="J317" s="5" t="s">
        <v>23</v>
      </c>
      <c r="K317" s="5" t="s">
        <v>35</v>
      </c>
      <c r="L317" s="6" t="s">
        <v>511</v>
      </c>
      <c r="M317" s="5" t="s">
        <v>46</v>
      </c>
      <c r="N317" s="5" t="s">
        <v>27</v>
      </c>
      <c r="O317" s="5">
        <v>12868.0</v>
      </c>
      <c r="P317" s="5">
        <v>80.0</v>
      </c>
      <c r="Q317" s="5">
        <v>6472.0</v>
      </c>
      <c r="R317" s="5">
        <v>11922.0</v>
      </c>
      <c r="S317" s="5">
        <v>6.0</v>
      </c>
      <c r="T317" s="5">
        <v>3137.143043</v>
      </c>
      <c r="V317" s="21">
        <f t="shared" si="1"/>
        <v>243.7941438</v>
      </c>
      <c r="W317" s="21">
        <f t="shared" si="2"/>
        <v>484.7254393</v>
      </c>
      <c r="X317" s="21">
        <f t="shared" si="3"/>
        <v>7.5</v>
      </c>
      <c r="Y317" s="21">
        <f t="shared" si="4"/>
        <v>522.8571738</v>
      </c>
      <c r="Z317" s="21">
        <f t="shared" si="5"/>
        <v>39.21428804</v>
      </c>
      <c r="AA317" s="21">
        <f t="shared" si="6"/>
        <v>0.6216972334</v>
      </c>
    </row>
    <row r="318">
      <c r="A318" s="4" t="s">
        <v>1352</v>
      </c>
      <c r="B318" s="4" t="str">
        <f>IFERROR(__xludf.DUMMYFUNCTION("SPLIT(A318:A1042, ""&gt;"")"),"Lotame ")</f>
        <v>Lotame </v>
      </c>
      <c r="C318" s="4" t="str">
        <f>IFERROR(__xludf.DUMMYFUNCTION("""COMPUTED_VALUE""")," Technology")</f>
        <v> Technology</v>
      </c>
      <c r="D318" s="4"/>
      <c r="E318" s="4"/>
      <c r="F318" s="4"/>
      <c r="G318" s="4"/>
      <c r="H318" s="4"/>
      <c r="I318" s="5" t="s">
        <v>22</v>
      </c>
      <c r="J318" s="5" t="s">
        <v>16</v>
      </c>
      <c r="K318" s="5" t="s">
        <v>29</v>
      </c>
      <c r="L318" s="6" t="s">
        <v>511</v>
      </c>
      <c r="M318" s="5" t="s">
        <v>19</v>
      </c>
      <c r="N318" s="5" t="s">
        <v>27</v>
      </c>
      <c r="O318" s="5">
        <v>9059.0</v>
      </c>
      <c r="P318" s="5">
        <v>22.0</v>
      </c>
      <c r="Q318" s="5">
        <v>589.0</v>
      </c>
      <c r="R318" s="5">
        <v>7480.0</v>
      </c>
      <c r="S318" s="5">
        <v>4.0</v>
      </c>
      <c r="T318" s="5">
        <v>1908.526117</v>
      </c>
      <c r="V318" s="21">
        <f t="shared" si="1"/>
        <v>210.6773504</v>
      </c>
      <c r="W318" s="21">
        <f t="shared" si="2"/>
        <v>3240.282032</v>
      </c>
      <c r="X318" s="21">
        <f t="shared" si="3"/>
        <v>18.18181818</v>
      </c>
      <c r="Y318" s="21">
        <f t="shared" si="4"/>
        <v>477.1315293</v>
      </c>
      <c r="Z318" s="21">
        <f t="shared" si="5"/>
        <v>86.75118714</v>
      </c>
      <c r="AA318" s="21">
        <f t="shared" si="6"/>
        <v>0.242852412</v>
      </c>
    </row>
    <row r="319">
      <c r="A319" s="4" t="s">
        <v>1835</v>
      </c>
      <c r="B319" s="4" t="str">
        <f>IFERROR(__xludf.DUMMYFUNCTION("SPLIT(A319:A1043, ""&gt;"")"),"US ")</f>
        <v>US </v>
      </c>
      <c r="C319" s="4" t="str">
        <f>IFERROR(__xludf.DUMMYFUNCTION("""COMPUTED_VALUE""")," Reach ")</f>
        <v> Reach </v>
      </c>
      <c r="D319" s="4" t="str">
        <f>IFERROR(__xludf.DUMMYFUNCTION("""COMPUTED_VALUE""")," Propensity Models ")</f>
        <v> Propensity Models </v>
      </c>
      <c r="E319" s="4" t="str">
        <f>IFERROR(__xludf.DUMMYFUNCTION("""COMPUTED_VALUE""")," Real Estate ")</f>
        <v> Real Estate </v>
      </c>
      <c r="F319" s="4" t="str">
        <f>IFERROR(__xludf.DUMMYFUNCTION("""COMPUTED_VALUE""")," Mortgage Amount ")</f>
        <v> Mortgage Amount </v>
      </c>
      <c r="G319" s="4" t="str">
        <f>IFERROR(__xludf.DUMMYFUNCTION("""COMPUTED_VALUE""")," $120,000-$159,999")</f>
        <v> $120,000-$159,999</v>
      </c>
      <c r="H319" s="4"/>
      <c r="I319" s="5" t="s">
        <v>15</v>
      </c>
      <c r="J319" s="5" t="s">
        <v>23</v>
      </c>
      <c r="K319" s="5" t="s">
        <v>45</v>
      </c>
      <c r="L319" s="6" t="s">
        <v>511</v>
      </c>
      <c r="M319" s="5" t="s">
        <v>191</v>
      </c>
      <c r="N319" s="5" t="s">
        <v>52</v>
      </c>
      <c r="O319" s="5">
        <v>15904.0</v>
      </c>
      <c r="P319" s="5">
        <v>190.0</v>
      </c>
      <c r="Q319" s="5">
        <v>7523.0</v>
      </c>
      <c r="R319" s="5">
        <v>14815.0</v>
      </c>
      <c r="S319" s="5">
        <v>2.0</v>
      </c>
      <c r="T319" s="5">
        <v>1825.725708</v>
      </c>
      <c r="V319" s="21">
        <f t="shared" si="1"/>
        <v>114.7966366</v>
      </c>
      <c r="W319" s="21">
        <f t="shared" si="2"/>
        <v>242.6858578</v>
      </c>
      <c r="X319" s="21">
        <f t="shared" si="3"/>
        <v>1.052631579</v>
      </c>
      <c r="Y319" s="21">
        <f t="shared" si="4"/>
        <v>912.862854</v>
      </c>
      <c r="Z319" s="21">
        <f t="shared" si="5"/>
        <v>9.609082674</v>
      </c>
      <c r="AA319" s="21">
        <f t="shared" si="6"/>
        <v>1.194668008</v>
      </c>
    </row>
    <row r="320">
      <c r="A320" s="4" t="s">
        <v>1354</v>
      </c>
      <c r="B320" s="4" t="str">
        <f>IFERROR(__xludf.DUMMYFUNCTION("SPLIT(A320:A1044, ""&gt;"")"),"Online Behavior")</f>
        <v>Online Behavior</v>
      </c>
      <c r="C320" s="4" t="str">
        <f>IFERROR(__xludf.DUMMYFUNCTION("""COMPUTED_VALUE"""),"United States")</f>
        <v>United States</v>
      </c>
      <c r="D320" s="4" t="str">
        <f>IFERROR(__xludf.DUMMYFUNCTION("""COMPUTED_VALUE"""),"Food and Drink")</f>
        <v>Food and Drink</v>
      </c>
      <c r="E320" s="4" t="str">
        <f>IFERROR(__xludf.DUMMYFUNCTION("""COMPUTED_VALUE"""),"Restaurants ")</f>
        <v>Restaurants </v>
      </c>
      <c r="F320" s="4" t="str">
        <f>IFERROR(__xludf.DUMMYFUNCTION("""COMPUTED_VALUE""")," Fast Food")</f>
        <v> Fast Food</v>
      </c>
      <c r="G320" s="4"/>
      <c r="H320" s="4"/>
      <c r="I320" s="5" t="s">
        <v>61</v>
      </c>
      <c r="J320" s="5" t="s">
        <v>31</v>
      </c>
      <c r="K320" s="5" t="s">
        <v>35</v>
      </c>
      <c r="L320" s="6" t="s">
        <v>515</v>
      </c>
      <c r="M320" s="5" t="s">
        <v>19</v>
      </c>
      <c r="N320" s="5" t="s">
        <v>27</v>
      </c>
      <c r="O320" s="5">
        <v>7822.0</v>
      </c>
      <c r="P320" s="5">
        <v>25.0</v>
      </c>
      <c r="Q320" s="5">
        <v>3786.0</v>
      </c>
      <c r="R320" s="5">
        <v>7232.0</v>
      </c>
      <c r="S320" s="5">
        <v>13.0</v>
      </c>
      <c r="T320" s="5">
        <v>6781.821647</v>
      </c>
      <c r="V320" s="21">
        <f t="shared" si="1"/>
        <v>867.0188759</v>
      </c>
      <c r="W320" s="21">
        <f t="shared" si="2"/>
        <v>1791.289394</v>
      </c>
      <c r="X320" s="21">
        <f t="shared" si="3"/>
        <v>52</v>
      </c>
      <c r="Y320" s="21">
        <f t="shared" si="4"/>
        <v>521.6785882</v>
      </c>
      <c r="Z320" s="21">
        <f t="shared" si="5"/>
        <v>271.2728659</v>
      </c>
      <c r="AA320" s="21">
        <f t="shared" si="6"/>
        <v>0.3196113526</v>
      </c>
    </row>
    <row r="321">
      <c r="A321" s="4" t="s">
        <v>1355</v>
      </c>
      <c r="B321" s="4" t="str">
        <f>IFERROR(__xludf.DUMMYFUNCTION("SPLIT(A321:A1045, ""&gt;"")"),"Online Behavior")</f>
        <v>Online Behavior</v>
      </c>
      <c r="C321" s="4" t="str">
        <f>IFERROR(__xludf.DUMMYFUNCTION("""COMPUTED_VALUE"""),"United States")</f>
        <v>United States</v>
      </c>
      <c r="D321" s="4" t="str">
        <f>IFERROR(__xludf.DUMMYFUNCTION("""COMPUTED_VALUE"""),"Validated Demographic ")</f>
        <v>Validated Demographic </v>
      </c>
      <c r="E321" s="4" t="str">
        <f>IFERROR(__xludf.DUMMYFUNCTION("""COMPUTED_VALUE""")," Age")</f>
        <v> Age</v>
      </c>
      <c r="F321" s="4" t="str">
        <f>IFERROR(__xludf.DUMMYFUNCTION("""COMPUTED_VALUE"""),"18-54")</f>
        <v>18-54</v>
      </c>
      <c r="G321" s="4"/>
      <c r="H321" s="4"/>
      <c r="I321" s="5" t="s">
        <v>22</v>
      </c>
      <c r="J321" s="5" t="s">
        <v>42</v>
      </c>
      <c r="K321" s="5" t="s">
        <v>173</v>
      </c>
      <c r="L321" s="6" t="s">
        <v>515</v>
      </c>
      <c r="M321" s="5" t="s">
        <v>26</v>
      </c>
      <c r="N321" s="5" t="s">
        <v>27</v>
      </c>
      <c r="O321" s="5">
        <v>12214.0</v>
      </c>
      <c r="P321" s="5">
        <v>50.0</v>
      </c>
      <c r="Q321" s="5">
        <v>5376.0</v>
      </c>
      <c r="R321" s="5">
        <v>11490.0</v>
      </c>
      <c r="S321" s="5">
        <v>7.0</v>
      </c>
      <c r="T321" s="5">
        <v>5616.309402</v>
      </c>
      <c r="V321" s="21">
        <f t="shared" si="1"/>
        <v>459.825561</v>
      </c>
      <c r="W321" s="21">
        <f t="shared" si="2"/>
        <v>1044.70041</v>
      </c>
      <c r="X321" s="21">
        <f t="shared" si="3"/>
        <v>14</v>
      </c>
      <c r="Y321" s="21">
        <f t="shared" si="4"/>
        <v>802.3299146</v>
      </c>
      <c r="Z321" s="21">
        <f t="shared" si="5"/>
        <v>112.326188</v>
      </c>
      <c r="AA321" s="21">
        <f t="shared" si="6"/>
        <v>0.409366301</v>
      </c>
    </row>
    <row r="322">
      <c r="A322" s="4" t="s">
        <v>1356</v>
      </c>
      <c r="B322" s="4" t="str">
        <f>IFERROR(__xludf.DUMMYFUNCTION("SPLIT(A322:A1046, ""&gt;"")"),"Online Behavior")</f>
        <v>Online Behavior</v>
      </c>
      <c r="C322" s="4" t="str">
        <f>IFERROR(__xludf.DUMMYFUNCTION("""COMPUTED_VALUE"""),"United States")</f>
        <v>United States</v>
      </c>
      <c r="D322" s="4" t="str">
        <f>IFERROR(__xludf.DUMMYFUNCTION("""COMPUTED_VALUE"""),"Travel")</f>
        <v>Travel</v>
      </c>
      <c r="E322" s="4" t="str">
        <f>IFERROR(__xludf.DUMMYFUNCTION("""COMPUTED_VALUE"""),"Air Travel ")</f>
        <v>Air Travel </v>
      </c>
      <c r="F322" s="4" t="str">
        <f>IFERROR(__xludf.DUMMYFUNCTION("""COMPUTED_VALUE""")," Airport Parking and Transportation")</f>
        <v> Airport Parking and Transportation</v>
      </c>
      <c r="G322" s="4"/>
      <c r="H322" s="4"/>
      <c r="I322" s="5" t="s">
        <v>15</v>
      </c>
      <c r="J322" s="5" t="s">
        <v>16</v>
      </c>
      <c r="K322" s="5" t="s">
        <v>55</v>
      </c>
      <c r="L322" s="6" t="s">
        <v>518</v>
      </c>
      <c r="M322" s="5" t="s">
        <v>19</v>
      </c>
      <c r="N322" s="5" t="s">
        <v>52</v>
      </c>
      <c r="O322" s="5">
        <v>141165.0</v>
      </c>
      <c r="P322" s="5">
        <v>250.0</v>
      </c>
      <c r="Q322" s="5">
        <v>102776.0</v>
      </c>
      <c r="R322" s="5">
        <v>128004.0</v>
      </c>
      <c r="S322" s="5">
        <v>28.0</v>
      </c>
      <c r="T322" s="5">
        <v>7222.211408</v>
      </c>
      <c r="V322" s="21">
        <f t="shared" si="1"/>
        <v>51.16148768</v>
      </c>
      <c r="W322" s="21">
        <f t="shared" si="2"/>
        <v>70.27138056</v>
      </c>
      <c r="X322" s="21">
        <f t="shared" si="3"/>
        <v>11.2</v>
      </c>
      <c r="Y322" s="21">
        <f t="shared" si="4"/>
        <v>257.9361217</v>
      </c>
      <c r="Z322" s="21">
        <f t="shared" si="5"/>
        <v>28.88884563</v>
      </c>
      <c r="AA322" s="21">
        <f t="shared" si="6"/>
        <v>0.1770977225</v>
      </c>
    </row>
    <row r="323">
      <c r="A323" s="4" t="s">
        <v>1357</v>
      </c>
      <c r="B323" s="4" t="str">
        <f>IFERROR(__xludf.DUMMYFUNCTION("SPLIT(A323:A1047, ""&gt;"")"),"Online Behavior")</f>
        <v>Online Behavior</v>
      </c>
      <c r="C323" s="4" t="str">
        <f>IFERROR(__xludf.DUMMYFUNCTION("""COMPUTED_VALUE"""),"United States")</f>
        <v>United States</v>
      </c>
      <c r="D323" s="4" t="str">
        <f>IFERROR(__xludf.DUMMYFUNCTION("""COMPUTED_VALUE"""),"Sports")</f>
        <v>Sports</v>
      </c>
      <c r="E323" s="4" t="str">
        <f>IFERROR(__xludf.DUMMYFUNCTION("""COMPUTED_VALUE"""),"Individual Sports ")</f>
        <v>Individual Sports </v>
      </c>
      <c r="F323" s="4" t="str">
        <f>IFERROR(__xludf.DUMMYFUNCTION("""COMPUTED_VALUE""")," Track and Field")</f>
        <v> Track and Field</v>
      </c>
      <c r="G323" s="4"/>
      <c r="H323" s="4"/>
      <c r="I323" s="5" t="s">
        <v>22</v>
      </c>
      <c r="J323" s="5" t="s">
        <v>31</v>
      </c>
      <c r="K323" s="5" t="s">
        <v>35</v>
      </c>
      <c r="L323" s="6" t="s">
        <v>518</v>
      </c>
      <c r="M323" s="5" t="s">
        <v>19</v>
      </c>
      <c r="N323" s="5" t="s">
        <v>27</v>
      </c>
      <c r="O323" s="5">
        <v>7514.0</v>
      </c>
      <c r="P323" s="5">
        <v>20.0</v>
      </c>
      <c r="Q323" s="5">
        <v>2646.0</v>
      </c>
      <c r="R323" s="5">
        <v>3373.0</v>
      </c>
      <c r="S323" s="5">
        <v>3.0</v>
      </c>
      <c r="T323" s="5">
        <v>6756.295179</v>
      </c>
      <c r="V323" s="21">
        <f t="shared" si="1"/>
        <v>899.1609235</v>
      </c>
      <c r="W323" s="21">
        <f t="shared" si="2"/>
        <v>2553.399539</v>
      </c>
      <c r="X323" s="21">
        <f t="shared" si="3"/>
        <v>15</v>
      </c>
      <c r="Y323" s="21">
        <f t="shared" si="4"/>
        <v>2252.098393</v>
      </c>
      <c r="Z323" s="21">
        <f t="shared" si="5"/>
        <v>337.814759</v>
      </c>
      <c r="AA323" s="21">
        <f t="shared" si="6"/>
        <v>0.2661698163</v>
      </c>
    </row>
    <row r="324">
      <c r="A324" s="4" t="s">
        <v>1358</v>
      </c>
      <c r="B324" s="4" t="str">
        <f>IFERROR(__xludf.DUMMYFUNCTION("SPLIT(A324:A1048, ""&gt;"")"),"Online Behavior")</f>
        <v>Online Behavior</v>
      </c>
      <c r="C324" s="4" t="str">
        <f>IFERROR(__xludf.DUMMYFUNCTION("""COMPUTED_VALUE"""),"United States")</f>
        <v>United States</v>
      </c>
      <c r="D324" s="4" t="str">
        <f>IFERROR(__xludf.DUMMYFUNCTION("""COMPUTED_VALUE"""),"Sports")</f>
        <v>Sports</v>
      </c>
      <c r="E324" s="4" t="str">
        <f>IFERROR(__xludf.DUMMYFUNCTION("""COMPUTED_VALUE"""),"Individual Sports ")</f>
        <v>Individual Sports </v>
      </c>
      <c r="F324" s="4" t="str">
        <f>IFERROR(__xludf.DUMMYFUNCTION("""COMPUTED_VALUE""")," Bowling")</f>
        <v> Bowling</v>
      </c>
      <c r="G324" s="4"/>
      <c r="H324" s="4"/>
      <c r="I324" s="5" t="s">
        <v>15</v>
      </c>
      <c r="J324" s="5" t="s">
        <v>23</v>
      </c>
      <c r="K324" s="5" t="s">
        <v>32</v>
      </c>
      <c r="L324" s="6" t="s">
        <v>518</v>
      </c>
      <c r="M324" s="5" t="s">
        <v>136</v>
      </c>
      <c r="N324" s="5" t="s">
        <v>52</v>
      </c>
      <c r="O324" s="5">
        <v>30460.0</v>
      </c>
      <c r="P324" s="5">
        <v>95.0</v>
      </c>
      <c r="Q324" s="5">
        <v>21830.0</v>
      </c>
      <c r="R324" s="5">
        <v>27750.0</v>
      </c>
      <c r="S324" s="5">
        <v>25.0</v>
      </c>
      <c r="T324" s="5">
        <v>6643.966542</v>
      </c>
      <c r="V324" s="21">
        <f t="shared" si="1"/>
        <v>218.121029</v>
      </c>
      <c r="W324" s="21">
        <f t="shared" si="2"/>
        <v>304.3502768</v>
      </c>
      <c r="X324" s="21">
        <f t="shared" si="3"/>
        <v>26.31578947</v>
      </c>
      <c r="Y324" s="21">
        <f t="shared" si="4"/>
        <v>265.7586617</v>
      </c>
      <c r="Z324" s="21">
        <f t="shared" si="5"/>
        <v>69.93648992</v>
      </c>
      <c r="AA324" s="21">
        <f t="shared" si="6"/>
        <v>0.3118844386</v>
      </c>
    </row>
    <row r="325">
      <c r="A325" s="4" t="s">
        <v>1359</v>
      </c>
      <c r="B325" s="4" t="str">
        <f>IFERROR(__xludf.DUMMYFUNCTION("SPLIT(A325:A1049, ""&gt;"")"),"Online Behavior")</f>
        <v>Online Behavior</v>
      </c>
      <c r="C325" s="4" t="str">
        <f>IFERROR(__xludf.DUMMYFUNCTION("""COMPUTED_VALUE"""),"United States")</f>
        <v>United States</v>
      </c>
      <c r="D325" s="4" t="str">
        <f>IFERROR(__xludf.DUMMYFUNCTION("""COMPUTED_VALUE"""),"Autos and Vehicles ")</f>
        <v>Autos and Vehicles </v>
      </c>
      <c r="E325" s="4" t="str">
        <f>IFERROR(__xludf.DUMMYFUNCTION("""COMPUTED_VALUE""")," Brands")</f>
        <v> Brands</v>
      </c>
      <c r="F325" s="4" t="str">
        <f>IFERROR(__xludf.DUMMYFUNCTION("""COMPUTED_VALUE"""),"SEAT")</f>
        <v>SEAT</v>
      </c>
      <c r="G325" s="4"/>
      <c r="H325" s="4"/>
      <c r="I325" s="5" t="s">
        <v>15</v>
      </c>
      <c r="J325" s="5" t="s">
        <v>31</v>
      </c>
      <c r="K325" s="5" t="s">
        <v>35</v>
      </c>
      <c r="L325" s="6" t="s">
        <v>518</v>
      </c>
      <c r="M325" s="5" t="s">
        <v>46</v>
      </c>
      <c r="N325" s="5" t="s">
        <v>27</v>
      </c>
      <c r="O325" s="5">
        <v>14083.0</v>
      </c>
      <c r="P325" s="5">
        <v>97.0</v>
      </c>
      <c r="Q325" s="5">
        <v>9945.0</v>
      </c>
      <c r="R325" s="5">
        <v>12878.0</v>
      </c>
      <c r="S325" s="5">
        <v>11.0</v>
      </c>
      <c r="T325" s="5">
        <v>5979.67</v>
      </c>
      <c r="V325" s="21">
        <f t="shared" si="1"/>
        <v>424.6020024</v>
      </c>
      <c r="W325" s="21">
        <f t="shared" si="2"/>
        <v>601.274007</v>
      </c>
      <c r="X325" s="21">
        <f t="shared" si="3"/>
        <v>11.34020619</v>
      </c>
      <c r="Y325" s="21">
        <f t="shared" si="4"/>
        <v>543.6063636</v>
      </c>
      <c r="Z325" s="21">
        <f t="shared" si="5"/>
        <v>61.64608247</v>
      </c>
      <c r="AA325" s="21">
        <f t="shared" si="6"/>
        <v>0.6887736988</v>
      </c>
    </row>
    <row r="326">
      <c r="A326" s="4" t="s">
        <v>1360</v>
      </c>
      <c r="B326" s="4" t="str">
        <f>IFERROR(__xludf.DUMMYFUNCTION("SPLIT(A326:A1050, ""&gt;"")"),"Online Behavior")</f>
        <v>Online Behavior</v>
      </c>
      <c r="C326" s="4" t="str">
        <f>IFERROR(__xludf.DUMMYFUNCTION("""COMPUTED_VALUE"""),"United States")</f>
        <v>United States</v>
      </c>
      <c r="D326" s="4" t="str">
        <f>IFERROR(__xludf.DUMMYFUNCTION("""COMPUTED_VALUE"""),"Intent ")</f>
        <v>Intent </v>
      </c>
      <c r="E326" s="4" t="str">
        <f>IFERROR(__xludf.DUMMYFUNCTION("""COMPUTED_VALUE""")," Services")</f>
        <v> Services</v>
      </c>
      <c r="F326" s="4" t="str">
        <f>IFERROR(__xludf.DUMMYFUNCTION("""COMPUTED_VALUE"""),"Photography")</f>
        <v>Photography</v>
      </c>
      <c r="G326" s="4"/>
      <c r="H326" s="4"/>
      <c r="I326" s="5" t="s">
        <v>61</v>
      </c>
      <c r="J326" s="5" t="s">
        <v>42</v>
      </c>
      <c r="K326" s="5" t="s">
        <v>35</v>
      </c>
      <c r="L326" s="6" t="s">
        <v>518</v>
      </c>
      <c r="M326" s="5" t="s">
        <v>19</v>
      </c>
      <c r="N326" s="5" t="s">
        <v>27</v>
      </c>
      <c r="O326" s="5">
        <v>100058.0</v>
      </c>
      <c r="P326" s="5">
        <v>435.0</v>
      </c>
      <c r="Q326" s="5">
        <v>73422.0</v>
      </c>
      <c r="R326" s="5">
        <v>91976.0</v>
      </c>
      <c r="S326" s="5">
        <v>8.0</v>
      </c>
      <c r="T326" s="5">
        <v>5831.225793</v>
      </c>
      <c r="V326" s="21">
        <f t="shared" si="1"/>
        <v>58.27845643</v>
      </c>
      <c r="W326" s="21">
        <f t="shared" si="2"/>
        <v>79.42068853</v>
      </c>
      <c r="X326" s="21">
        <f t="shared" si="3"/>
        <v>1.83908046</v>
      </c>
      <c r="Y326" s="21">
        <f t="shared" si="4"/>
        <v>728.9032241</v>
      </c>
      <c r="Z326" s="21">
        <f t="shared" si="5"/>
        <v>13.40511677</v>
      </c>
      <c r="AA326" s="21">
        <f t="shared" si="6"/>
        <v>0.4347478462</v>
      </c>
    </row>
    <row r="327">
      <c r="A327" s="4" t="s">
        <v>1361</v>
      </c>
      <c r="B327" s="4" t="str">
        <f>IFERROR(__xludf.DUMMYFUNCTION("SPLIT(A327:A1051, ""&gt;"")"),"Online Behavior")</f>
        <v>Online Behavior</v>
      </c>
      <c r="C327" s="4" t="str">
        <f>IFERROR(__xludf.DUMMYFUNCTION("""COMPUTED_VALUE"""),"United States")</f>
        <v>United States</v>
      </c>
      <c r="D327" s="4" t="str">
        <f>IFERROR(__xludf.DUMMYFUNCTION("""COMPUTED_VALUE"""),"Autos and Vehicles ")</f>
        <v>Autos and Vehicles </v>
      </c>
      <c r="E327" s="4" t="str">
        <f>IFERROR(__xludf.DUMMYFUNCTION("""COMPUTED_VALUE""")," Brands")</f>
        <v> Brands</v>
      </c>
      <c r="F327" s="4" t="str">
        <f>IFERROR(__xludf.DUMMYFUNCTION("""COMPUTED_VALUE"""),"Acura")</f>
        <v>Acura</v>
      </c>
      <c r="G327" s="4"/>
      <c r="H327" s="4"/>
      <c r="I327" s="5" t="s">
        <v>15</v>
      </c>
      <c r="J327" s="5" t="s">
        <v>16</v>
      </c>
      <c r="K327" s="5" t="s">
        <v>78</v>
      </c>
      <c r="L327" s="6" t="s">
        <v>518</v>
      </c>
      <c r="M327" s="5" t="s">
        <v>19</v>
      </c>
      <c r="N327" s="5" t="s">
        <v>52</v>
      </c>
      <c r="O327" s="5">
        <v>83854.0</v>
      </c>
      <c r="P327" s="5">
        <v>197.0</v>
      </c>
      <c r="Q327" s="5">
        <v>60626.0</v>
      </c>
      <c r="R327" s="5">
        <v>76071.0</v>
      </c>
      <c r="S327" s="5">
        <v>15.0</v>
      </c>
      <c r="T327" s="5">
        <v>5783.843758</v>
      </c>
      <c r="V327" s="21">
        <f t="shared" si="1"/>
        <v>68.97516824</v>
      </c>
      <c r="W327" s="21">
        <f t="shared" si="2"/>
        <v>95.40203474</v>
      </c>
      <c r="X327" s="21">
        <f t="shared" si="3"/>
        <v>7.614213198</v>
      </c>
      <c r="Y327" s="21">
        <f t="shared" si="4"/>
        <v>385.5895839</v>
      </c>
      <c r="Z327" s="21">
        <f t="shared" si="5"/>
        <v>29.35961298</v>
      </c>
      <c r="AA327" s="21">
        <f t="shared" si="6"/>
        <v>0.234932144</v>
      </c>
    </row>
    <row r="328">
      <c r="A328" s="4" t="s">
        <v>524</v>
      </c>
      <c r="B328" s="4" t="str">
        <f>IFERROR(__xludf.DUMMYFUNCTION("SPLIT(A328:A1052, ""&gt;"")"),"Online Behavior")</f>
        <v>Online Behavior</v>
      </c>
      <c r="C328" s="4" t="str">
        <f>IFERROR(__xludf.DUMMYFUNCTION("""COMPUTED_VALUE"""),"United States")</f>
        <v>United States</v>
      </c>
      <c r="D328" s="4" t="str">
        <f>IFERROR(__xludf.DUMMYFUNCTION("""COMPUTED_VALUE"""),"The Changing Consumer")</f>
        <v>The Changing Consumer</v>
      </c>
      <c r="E328" s="4" t="str">
        <f>IFERROR(__xludf.DUMMYFUNCTION("""COMPUTED_VALUE"""),"Delivery Services and Quick Service Restaurants")</f>
        <v>Delivery Services and Quick Service Restaurants</v>
      </c>
      <c r="F328" s="4"/>
      <c r="G328" s="4"/>
      <c r="H328" s="4"/>
      <c r="I328" s="5" t="s">
        <v>15</v>
      </c>
      <c r="J328" s="5" t="s">
        <v>16</v>
      </c>
      <c r="K328" s="5" t="s">
        <v>17</v>
      </c>
      <c r="L328" s="6" t="s">
        <v>518</v>
      </c>
      <c r="M328" s="5" t="s">
        <v>26</v>
      </c>
      <c r="N328" s="5" t="s">
        <v>27</v>
      </c>
      <c r="O328" s="5">
        <v>103665.0</v>
      </c>
      <c r="P328" s="5">
        <v>270.0</v>
      </c>
      <c r="Q328" s="5">
        <v>77283.0</v>
      </c>
      <c r="R328" s="5">
        <v>94019.0</v>
      </c>
      <c r="S328" s="5">
        <v>4.0</v>
      </c>
      <c r="T328" s="5">
        <v>5284.685565</v>
      </c>
      <c r="V328" s="21">
        <f t="shared" si="1"/>
        <v>50.97849385</v>
      </c>
      <c r="W328" s="21">
        <f t="shared" si="2"/>
        <v>68.38095784</v>
      </c>
      <c r="X328" s="21">
        <f t="shared" si="3"/>
        <v>1.481481481</v>
      </c>
      <c r="Y328" s="21">
        <f t="shared" si="4"/>
        <v>1321.171391</v>
      </c>
      <c r="Z328" s="21">
        <f t="shared" si="5"/>
        <v>19.5729095</v>
      </c>
      <c r="AA328" s="21">
        <f t="shared" si="6"/>
        <v>0.2604543481</v>
      </c>
    </row>
    <row r="329">
      <c r="A329" s="4" t="s">
        <v>1362</v>
      </c>
      <c r="B329" s="4" t="str">
        <f>IFERROR(__xludf.DUMMYFUNCTION("SPLIT(A329:A1053, ""&gt;"")"),"Online Behavior")</f>
        <v>Online Behavior</v>
      </c>
      <c r="C329" s="4" t="str">
        <f>IFERROR(__xludf.DUMMYFUNCTION("""COMPUTED_VALUE"""),"United States")</f>
        <v>United States</v>
      </c>
      <c r="D329" s="4" t="str">
        <f>IFERROR(__xludf.DUMMYFUNCTION("""COMPUTED_VALUE"""),"Intent ")</f>
        <v>Intent </v>
      </c>
      <c r="E329" s="4" t="str">
        <f>IFERROR(__xludf.DUMMYFUNCTION("""COMPUTED_VALUE""")," Auto Buyers ")</f>
        <v> Auto Buyers </v>
      </c>
      <c r="F329" s="4" t="str">
        <f>IFERROR(__xludf.DUMMYFUNCTION("""COMPUTED_VALUE""")," Type")</f>
        <v> Type</v>
      </c>
      <c r="G329" s="4" t="str">
        <f>IFERROR(__xludf.DUMMYFUNCTION("""COMPUTED_VALUE"""),"Sedan")</f>
        <v>Sedan</v>
      </c>
      <c r="H329" s="4"/>
      <c r="I329" s="5" t="s">
        <v>15</v>
      </c>
      <c r="J329" s="5" t="s">
        <v>23</v>
      </c>
      <c r="K329" s="5" t="s">
        <v>35</v>
      </c>
      <c r="L329" s="6" t="s">
        <v>518</v>
      </c>
      <c r="M329" s="5" t="s">
        <v>117</v>
      </c>
      <c r="N329" s="5" t="s">
        <v>52</v>
      </c>
      <c r="O329" s="5">
        <v>25889.0</v>
      </c>
      <c r="P329" s="5">
        <v>110.0</v>
      </c>
      <c r="Q329" s="5">
        <v>18382.0</v>
      </c>
      <c r="R329" s="5">
        <v>23328.0</v>
      </c>
      <c r="S329" s="5">
        <v>15.0</v>
      </c>
      <c r="T329" s="5">
        <v>4977.784794</v>
      </c>
      <c r="V329" s="21">
        <f t="shared" si="1"/>
        <v>192.2741239</v>
      </c>
      <c r="W329" s="21">
        <f t="shared" si="2"/>
        <v>270.7966921</v>
      </c>
      <c r="X329" s="21">
        <f t="shared" si="3"/>
        <v>13.63636364</v>
      </c>
      <c r="Y329" s="21">
        <f t="shared" si="4"/>
        <v>331.8523196</v>
      </c>
      <c r="Z329" s="21">
        <f t="shared" si="5"/>
        <v>45.25258904</v>
      </c>
      <c r="AA329" s="21">
        <f t="shared" si="6"/>
        <v>0.4248908803</v>
      </c>
    </row>
    <row r="330">
      <c r="A330" s="4" t="s">
        <v>1363</v>
      </c>
      <c r="B330" s="4" t="str">
        <f>IFERROR(__xludf.DUMMYFUNCTION("SPLIT(A330:A1054, ""&gt;"")"),"Online Behavior")</f>
        <v>Online Behavior</v>
      </c>
      <c r="C330" s="4" t="str">
        <f>IFERROR(__xludf.DUMMYFUNCTION("""COMPUTED_VALUE"""),"United States")</f>
        <v>United States</v>
      </c>
      <c r="D330" s="4" t="str">
        <f>IFERROR(__xludf.DUMMYFUNCTION("""COMPUTED_VALUE"""),"Finance ")</f>
        <v>Finance </v>
      </c>
      <c r="E330" s="4" t="str">
        <f>IFERROR(__xludf.DUMMYFUNCTION("""COMPUTED_VALUE""")," Grants, Scholarships and Financial Aid")</f>
        <v> Grants, Scholarships and Financial Aid</v>
      </c>
      <c r="F330" s="4" t="str">
        <f>IFERROR(__xludf.DUMMYFUNCTION("""COMPUTED_VALUE"""),"Study Grants and Scholarships")</f>
        <v>Study Grants and Scholarships</v>
      </c>
      <c r="G330" s="4"/>
      <c r="H330" s="4"/>
      <c r="I330" s="5" t="s">
        <v>61</v>
      </c>
      <c r="J330" s="5" t="s">
        <v>42</v>
      </c>
      <c r="K330" s="5" t="s">
        <v>24</v>
      </c>
      <c r="L330" s="6" t="s">
        <v>518</v>
      </c>
      <c r="M330" s="5" t="s">
        <v>19</v>
      </c>
      <c r="N330" s="5" t="s">
        <v>27</v>
      </c>
      <c r="O330" s="5">
        <v>39844.0</v>
      </c>
      <c r="P330" s="5">
        <v>101.0</v>
      </c>
      <c r="Q330" s="5">
        <v>28001.0</v>
      </c>
      <c r="R330" s="5">
        <v>36335.0</v>
      </c>
      <c r="S330" s="5">
        <v>3.0</v>
      </c>
      <c r="T330" s="5">
        <v>4439.368082</v>
      </c>
      <c r="V330" s="21">
        <f t="shared" si="1"/>
        <v>111.4187351</v>
      </c>
      <c r="W330" s="21">
        <f t="shared" si="2"/>
        <v>158.5431978</v>
      </c>
      <c r="X330" s="21">
        <f t="shared" si="3"/>
        <v>2.97029703</v>
      </c>
      <c r="Y330" s="21">
        <f t="shared" si="4"/>
        <v>1479.789361</v>
      </c>
      <c r="Z330" s="21">
        <f t="shared" si="5"/>
        <v>43.95413943</v>
      </c>
      <c r="AA330" s="21">
        <f t="shared" si="6"/>
        <v>0.2534886056</v>
      </c>
    </row>
    <row r="331">
      <c r="A331" s="4" t="s">
        <v>1364</v>
      </c>
      <c r="B331" s="4" t="str">
        <f>IFERROR(__xludf.DUMMYFUNCTION("SPLIT(A331:A1055, ""&gt;"")"),"Online Behavior")</f>
        <v>Online Behavior</v>
      </c>
      <c r="C331" s="4" t="str">
        <f>IFERROR(__xludf.DUMMYFUNCTION("""COMPUTED_VALUE"""),"United States")</f>
        <v>United States</v>
      </c>
      <c r="D331" s="4" t="str">
        <f>IFERROR(__xludf.DUMMYFUNCTION("""COMPUTED_VALUE"""),"Arts and Entertainment")</f>
        <v>Arts and Entertainment</v>
      </c>
      <c r="E331" s="4" t="str">
        <f>IFERROR(__xludf.DUMMYFUNCTION("""COMPUTED_VALUE"""),"Events and Listings ")</f>
        <v>Events and Listings </v>
      </c>
      <c r="F331" s="4" t="str">
        <f>IFERROR(__xludf.DUMMYFUNCTION("""COMPUTED_VALUE""")," Food and Beverage Events")</f>
        <v> Food and Beverage Events</v>
      </c>
      <c r="G331" s="4"/>
      <c r="H331" s="4"/>
      <c r="I331" s="5" t="s">
        <v>15</v>
      </c>
      <c r="J331" s="5" t="s">
        <v>23</v>
      </c>
      <c r="K331" s="5" t="s">
        <v>17</v>
      </c>
      <c r="L331" s="6" t="s">
        <v>518</v>
      </c>
      <c r="M331" s="5" t="s">
        <v>19</v>
      </c>
      <c r="N331" s="5" t="s">
        <v>27</v>
      </c>
      <c r="O331" s="5">
        <v>224359.0</v>
      </c>
      <c r="P331" s="5">
        <v>480.0</v>
      </c>
      <c r="Q331" s="5">
        <v>163149.0</v>
      </c>
      <c r="R331" s="5">
        <v>200859.0</v>
      </c>
      <c r="S331" s="5">
        <v>5.0</v>
      </c>
      <c r="T331" s="5">
        <v>4196.936777</v>
      </c>
      <c r="V331" s="21">
        <f t="shared" si="1"/>
        <v>18.70634464</v>
      </c>
      <c r="W331" s="21">
        <f t="shared" si="2"/>
        <v>25.72456329</v>
      </c>
      <c r="X331" s="21">
        <f t="shared" si="3"/>
        <v>1.041666667</v>
      </c>
      <c r="Y331" s="21">
        <f t="shared" si="4"/>
        <v>839.3873554</v>
      </c>
      <c r="Z331" s="21">
        <f t="shared" si="5"/>
        <v>8.743618285</v>
      </c>
      <c r="AA331" s="21">
        <f t="shared" si="6"/>
        <v>0.2139428327</v>
      </c>
    </row>
    <row r="332">
      <c r="A332" s="4" t="s">
        <v>1836</v>
      </c>
      <c r="B332" s="4" t="str">
        <f>IFERROR(__xludf.DUMMYFUNCTION("SPLIT(A332:A1056, ""&gt;"")"),"US ")</f>
        <v>US </v>
      </c>
      <c r="C332" s="4" t="str">
        <f>IFERROR(__xludf.DUMMYFUNCTION("""COMPUTED_VALUE""")," Reach ")</f>
        <v> Reach </v>
      </c>
      <c r="D332" s="4" t="str">
        <f>IFERROR(__xludf.DUMMYFUNCTION("""COMPUTED_VALUE""")," Propensity Models ")</f>
        <v> Propensity Models </v>
      </c>
      <c r="E332" s="4" t="str">
        <f>IFERROR(__xludf.DUMMYFUNCTION("""COMPUTED_VALUE""")," Hobbies and Interest ")</f>
        <v> Hobbies and Interest </v>
      </c>
      <c r="F332" s="4" t="str">
        <f>IFERROR(__xludf.DUMMYFUNCTION("""COMPUTED_VALUE""")," Music ")</f>
        <v> Music </v>
      </c>
      <c r="G332" s="4" t="str">
        <f>IFERROR(__xludf.DUMMYFUNCTION("""COMPUTED_VALUE""")," Streaming")</f>
        <v> Streaming</v>
      </c>
      <c r="H332" s="4"/>
      <c r="I332" s="5" t="s">
        <v>22</v>
      </c>
      <c r="J332" s="5" t="s">
        <v>16</v>
      </c>
      <c r="K332" s="5" t="s">
        <v>240</v>
      </c>
      <c r="L332" s="6" t="s">
        <v>518</v>
      </c>
      <c r="M332" s="5" t="s">
        <v>36</v>
      </c>
      <c r="N332" s="5" t="s">
        <v>27</v>
      </c>
      <c r="O332" s="5">
        <v>15399.0</v>
      </c>
      <c r="P332" s="5">
        <v>35.0</v>
      </c>
      <c r="Q332" s="5">
        <v>3398.0</v>
      </c>
      <c r="R332" s="5">
        <v>4324.0</v>
      </c>
      <c r="S332" s="5">
        <v>3.0</v>
      </c>
      <c r="T332" s="5">
        <v>3434.731153</v>
      </c>
      <c r="V332" s="21">
        <f t="shared" si="1"/>
        <v>223.0489742</v>
      </c>
      <c r="W332" s="21">
        <f t="shared" si="2"/>
        <v>1010.809639</v>
      </c>
      <c r="X332" s="21">
        <f t="shared" si="3"/>
        <v>8.571428571</v>
      </c>
      <c r="Y332" s="21">
        <f t="shared" si="4"/>
        <v>1144.910384</v>
      </c>
      <c r="Z332" s="21">
        <f t="shared" si="5"/>
        <v>98.1351758</v>
      </c>
      <c r="AA332" s="21">
        <f t="shared" si="6"/>
        <v>0.2272874862</v>
      </c>
    </row>
    <row r="333">
      <c r="A333" s="4" t="s">
        <v>1837</v>
      </c>
      <c r="B333" s="4" t="str">
        <f>IFERROR(__xludf.DUMMYFUNCTION("SPLIT(A333:A1057, ""&gt;"")"),"US ")</f>
        <v>US </v>
      </c>
      <c r="C333" s="4" t="str">
        <f>IFERROR(__xludf.DUMMYFUNCTION("""COMPUTED_VALUE""")," B2B ")</f>
        <v> B2B </v>
      </c>
      <c r="D333" s="4" t="str">
        <f>IFERROR(__xludf.DUMMYFUNCTION("""COMPUTED_VALUE""")," B2B Decision Maker Responsibilities ")</f>
        <v> B2B Decision Maker Responsibilities </v>
      </c>
      <c r="E333" s="4" t="str">
        <f>IFERROR(__xludf.DUMMYFUNCTION("""COMPUTED_VALUE""")," Computer Software")</f>
        <v> Computer Software</v>
      </c>
      <c r="F333" s="4"/>
      <c r="G333" s="4"/>
      <c r="H333" s="4"/>
      <c r="I333" s="5" t="s">
        <v>15</v>
      </c>
      <c r="J333" s="5" t="s">
        <v>16</v>
      </c>
      <c r="K333" s="5" t="s">
        <v>17</v>
      </c>
      <c r="L333" s="6" t="s">
        <v>518</v>
      </c>
      <c r="M333" s="5" t="s">
        <v>46</v>
      </c>
      <c r="N333" s="5" t="s">
        <v>27</v>
      </c>
      <c r="O333" s="5">
        <v>136733.0</v>
      </c>
      <c r="P333" s="5">
        <v>110.0</v>
      </c>
      <c r="Q333" s="5">
        <v>102728.0</v>
      </c>
      <c r="R333" s="5">
        <v>127130.0</v>
      </c>
      <c r="S333" s="5">
        <v>4.0</v>
      </c>
      <c r="T333" s="5">
        <v>1946.050447</v>
      </c>
      <c r="V333" s="21">
        <f t="shared" si="1"/>
        <v>14.23248555</v>
      </c>
      <c r="W333" s="21">
        <f t="shared" si="2"/>
        <v>18.94371979</v>
      </c>
      <c r="X333" s="21">
        <f t="shared" si="3"/>
        <v>3.636363636</v>
      </c>
      <c r="Y333" s="21">
        <f t="shared" si="4"/>
        <v>486.5126118</v>
      </c>
      <c r="Z333" s="21">
        <f t="shared" si="5"/>
        <v>17.6913677</v>
      </c>
      <c r="AA333" s="21">
        <f t="shared" si="6"/>
        <v>0.0804487578</v>
      </c>
    </row>
    <row r="334">
      <c r="A334" s="4" t="s">
        <v>1838</v>
      </c>
      <c r="B334" s="4" t="str">
        <f>IFERROR(__xludf.DUMMYFUNCTION("SPLIT(A334:A1058, ""&gt;"")"),"US ")</f>
        <v>US </v>
      </c>
      <c r="C334" s="4" t="str">
        <f>IFERROR(__xludf.DUMMYFUNCTION("""COMPUTED_VALUE""")," Brand Propensities ")</f>
        <v> Brand Propensities </v>
      </c>
      <c r="D334" s="4" t="str">
        <f>IFERROR(__xludf.DUMMYFUNCTION("""COMPUTED_VALUE""")," Health ")</f>
        <v> Health </v>
      </c>
      <c r="E334" s="4" t="str">
        <f>IFERROR(__xludf.DUMMYFUNCTION("""COMPUTED_VALUE""")," Beauty and Cosmetics ")</f>
        <v> Beauty and Cosmetics </v>
      </c>
      <c r="F334" s="4" t="str">
        <f>IFERROR(__xludf.DUMMYFUNCTION("""COMPUTED_VALUE""")," ULTA Buyer Propensity")</f>
        <v> ULTA Buyer Propensity</v>
      </c>
      <c r="G334" s="4"/>
      <c r="H334" s="4"/>
      <c r="I334" s="5" t="s">
        <v>22</v>
      </c>
      <c r="J334" s="5" t="s">
        <v>31</v>
      </c>
      <c r="K334" s="5" t="s">
        <v>531</v>
      </c>
      <c r="L334" s="6" t="s">
        <v>518</v>
      </c>
      <c r="M334" s="5" t="s">
        <v>19</v>
      </c>
      <c r="N334" s="5" t="s">
        <v>27</v>
      </c>
      <c r="O334" s="5">
        <v>198754.0</v>
      </c>
      <c r="P334" s="5">
        <v>480.0</v>
      </c>
      <c r="Q334" s="5">
        <v>137649.0</v>
      </c>
      <c r="R334" s="5">
        <v>178415.0</v>
      </c>
      <c r="S334" s="5">
        <v>4.0</v>
      </c>
      <c r="T334" s="5">
        <v>1803.081497</v>
      </c>
      <c r="V334" s="21">
        <f t="shared" si="1"/>
        <v>9.071925581</v>
      </c>
      <c r="W334" s="21">
        <f t="shared" si="2"/>
        <v>13.09912529</v>
      </c>
      <c r="X334" s="21">
        <f t="shared" si="3"/>
        <v>0.8333333333</v>
      </c>
      <c r="Y334" s="21">
        <f t="shared" si="4"/>
        <v>450.7703743</v>
      </c>
      <c r="Z334" s="21">
        <f t="shared" si="5"/>
        <v>3.756419785</v>
      </c>
      <c r="AA334" s="21">
        <f t="shared" si="6"/>
        <v>0.2415045735</v>
      </c>
    </row>
    <row r="335">
      <c r="A335" s="4" t="s">
        <v>1839</v>
      </c>
      <c r="B335" s="4" t="str">
        <f>IFERROR(__xludf.DUMMYFUNCTION("SPLIT(A335:A1059, ""&gt;"")"),"US ")</f>
        <v>US </v>
      </c>
      <c r="C335" s="4" t="str">
        <f>IFERROR(__xludf.DUMMYFUNCTION("""COMPUTED_VALUE""")," Home and Garden Interests ")</f>
        <v> Home and Garden Interests </v>
      </c>
      <c r="D335" s="4" t="str">
        <f>IFERROR(__xludf.DUMMYFUNCTION("""COMPUTED_VALUE""")," House and Garden Merchandise Buyers")</f>
        <v> House and Garden Merchandise Buyers</v>
      </c>
      <c r="E335" s="4"/>
      <c r="F335" s="4"/>
      <c r="G335" s="4"/>
      <c r="H335" s="4"/>
      <c r="I335" s="5" t="s">
        <v>15</v>
      </c>
      <c r="J335" s="5" t="s">
        <v>16</v>
      </c>
      <c r="K335" s="5" t="s">
        <v>84</v>
      </c>
      <c r="L335" s="6" t="s">
        <v>518</v>
      </c>
      <c r="M335" s="5" t="s">
        <v>117</v>
      </c>
      <c r="N335" s="5" t="s">
        <v>27</v>
      </c>
      <c r="O335" s="5">
        <v>15033.0</v>
      </c>
      <c r="P335" s="5">
        <v>76.0</v>
      </c>
      <c r="Q335" s="5">
        <v>5495.0</v>
      </c>
      <c r="R335" s="5">
        <v>7050.0</v>
      </c>
      <c r="S335" s="5">
        <v>3.0</v>
      </c>
      <c r="T335" s="5">
        <v>1650.72301</v>
      </c>
      <c r="V335" s="21">
        <f t="shared" si="1"/>
        <v>109.8066261</v>
      </c>
      <c r="W335" s="21">
        <f t="shared" si="2"/>
        <v>300.4045514</v>
      </c>
      <c r="X335" s="21">
        <f t="shared" si="3"/>
        <v>3.947368421</v>
      </c>
      <c r="Y335" s="21">
        <f t="shared" si="4"/>
        <v>550.2410033</v>
      </c>
      <c r="Z335" s="21">
        <f t="shared" si="5"/>
        <v>21.72003961</v>
      </c>
      <c r="AA335" s="21">
        <f t="shared" si="6"/>
        <v>0.5055544469</v>
      </c>
    </row>
    <row r="336">
      <c r="A336" s="4" t="s">
        <v>1369</v>
      </c>
      <c r="B336" s="4" t="str">
        <f>IFERROR(__xludf.DUMMYFUNCTION("SPLIT(A336:A1060, ""&gt;"")"),"Lotame ")</f>
        <v>Lotame </v>
      </c>
      <c r="C336" s="4" t="str">
        <f>IFERROR(__xludf.DUMMYFUNCTION("""COMPUTED_VALUE""")," Offline CPG Purchasers ")</f>
        <v> Offline CPG Purchasers </v>
      </c>
      <c r="D336" s="4" t="str">
        <f>IFERROR(__xludf.DUMMYFUNCTION("""COMPUTED_VALUE""")," Product Segment")</f>
        <v> Product Segment</v>
      </c>
      <c r="E336" s="4"/>
      <c r="F336" s="4"/>
      <c r="G336" s="4"/>
      <c r="H336" s="4"/>
      <c r="I336" s="5" t="s">
        <v>15</v>
      </c>
      <c r="J336" s="5" t="s">
        <v>16</v>
      </c>
      <c r="K336" s="5" t="s">
        <v>78</v>
      </c>
      <c r="L336" s="6" t="s">
        <v>518</v>
      </c>
      <c r="M336" s="5" t="s">
        <v>19</v>
      </c>
      <c r="N336" s="5" t="s">
        <v>27</v>
      </c>
      <c r="O336" s="5">
        <v>92806.0</v>
      </c>
      <c r="P336" s="5">
        <v>212.0</v>
      </c>
      <c r="Q336" s="5">
        <v>67534.0</v>
      </c>
      <c r="R336" s="5">
        <v>85013.0</v>
      </c>
      <c r="S336" s="5">
        <v>11.0</v>
      </c>
      <c r="T336" s="5">
        <v>1579.379602</v>
      </c>
      <c r="V336" s="21">
        <f t="shared" si="1"/>
        <v>17.01807644</v>
      </c>
      <c r="W336" s="21">
        <f t="shared" si="2"/>
        <v>23.38643649</v>
      </c>
      <c r="X336" s="21">
        <f t="shared" si="3"/>
        <v>5.188679245</v>
      </c>
      <c r="Y336" s="21">
        <f t="shared" si="4"/>
        <v>143.5799638</v>
      </c>
      <c r="Z336" s="21">
        <f t="shared" si="5"/>
        <v>7.449903783</v>
      </c>
      <c r="AA336" s="21">
        <f t="shared" si="6"/>
        <v>0.2284335065</v>
      </c>
    </row>
    <row r="337">
      <c r="A337" s="4" t="s">
        <v>1840</v>
      </c>
      <c r="B337" s="4" t="str">
        <f>IFERROR(__xludf.DUMMYFUNCTION("SPLIT(A337:A1061, ""&gt;"")"),"US ")</f>
        <v>US </v>
      </c>
      <c r="C337" s="4" t="str">
        <f>IFERROR(__xludf.DUMMYFUNCTION("""COMPUTED_VALUE""")," Brand Propensities ")</f>
        <v> Brand Propensities </v>
      </c>
      <c r="D337" s="4" t="str">
        <f>IFERROR(__xludf.DUMMYFUNCTION("""COMPUTED_VALUE""")," Apparel ")</f>
        <v> Apparel </v>
      </c>
      <c r="E337" s="4" t="str">
        <f>IFERROR(__xludf.DUMMYFUNCTION("""COMPUTED_VALUE""")," Bare Necessities Buyer Propensity")</f>
        <v> Bare Necessities Buyer Propensity</v>
      </c>
      <c r="F337" s="4"/>
      <c r="G337" s="4"/>
      <c r="H337" s="4"/>
      <c r="I337" s="5" t="s">
        <v>22</v>
      </c>
      <c r="J337" s="5" t="s">
        <v>16</v>
      </c>
      <c r="K337" s="5" t="s">
        <v>29</v>
      </c>
      <c r="L337" s="6" t="s">
        <v>518</v>
      </c>
      <c r="M337" s="5" t="s">
        <v>46</v>
      </c>
      <c r="N337" s="5" t="s">
        <v>27</v>
      </c>
      <c r="O337" s="5">
        <v>186702.0</v>
      </c>
      <c r="P337" s="5">
        <v>370.0</v>
      </c>
      <c r="Q337" s="5">
        <v>132038.0</v>
      </c>
      <c r="R337" s="5">
        <v>167406.0</v>
      </c>
      <c r="S337" s="5">
        <v>4.0</v>
      </c>
      <c r="T337" s="5">
        <v>1568.73602</v>
      </c>
      <c r="V337" s="21">
        <f t="shared" si="1"/>
        <v>8.402352519</v>
      </c>
      <c r="W337" s="21">
        <f t="shared" si="2"/>
        <v>11.88094352</v>
      </c>
      <c r="X337" s="21">
        <f t="shared" si="3"/>
        <v>1.081081081</v>
      </c>
      <c r="Y337" s="21">
        <f t="shared" si="4"/>
        <v>392.184005</v>
      </c>
      <c r="Z337" s="21">
        <f t="shared" si="5"/>
        <v>4.239827081</v>
      </c>
      <c r="AA337" s="21">
        <f t="shared" si="6"/>
        <v>0.1981767737</v>
      </c>
    </row>
    <row r="338">
      <c r="A338" s="4" t="s">
        <v>1841</v>
      </c>
      <c r="B338" s="4" t="str">
        <f>IFERROR(__xludf.DUMMYFUNCTION("SPLIT(A338:A1062, ""&gt;"")"),"Mobile - US ")</f>
        <v>Mobile - US </v>
      </c>
      <c r="C338" s="4" t="str">
        <f>IFERROR(__xludf.DUMMYFUNCTION("""COMPUTED_VALUE""")," Travel ")</f>
        <v> Travel </v>
      </c>
      <c r="D338" s="4" t="str">
        <f>IFERROR(__xludf.DUMMYFUNCTION("""COMPUTED_VALUE""")," Destination ")</f>
        <v> Destination </v>
      </c>
      <c r="E338" s="4" t="str">
        <f>IFERROR(__xludf.DUMMYFUNCTION("""COMPUTED_VALUE""")," International Travelers ")</f>
        <v> International Travelers </v>
      </c>
      <c r="F338" s="4" t="str">
        <f>IFERROR(__xludf.DUMMYFUNCTION("""COMPUTED_VALUE""")," yes")</f>
        <v> yes</v>
      </c>
      <c r="G338" s="4"/>
      <c r="H338" s="4"/>
      <c r="I338" s="5" t="s">
        <v>22</v>
      </c>
      <c r="J338" s="5" t="s">
        <v>23</v>
      </c>
      <c r="K338" s="5" t="s">
        <v>29</v>
      </c>
      <c r="L338" s="6" t="s">
        <v>518</v>
      </c>
      <c r="M338" s="5" t="s">
        <v>46</v>
      </c>
      <c r="N338" s="5" t="s">
        <v>27</v>
      </c>
      <c r="O338" s="5">
        <v>69136.0</v>
      </c>
      <c r="P338" s="5">
        <v>190.0</v>
      </c>
      <c r="Q338" s="5">
        <v>40571.0</v>
      </c>
      <c r="R338" s="5">
        <v>63614.0</v>
      </c>
      <c r="S338" s="5">
        <v>3.0</v>
      </c>
      <c r="T338" s="5">
        <v>1507.946851</v>
      </c>
      <c r="V338" s="21">
        <f t="shared" si="1"/>
        <v>21.81131178</v>
      </c>
      <c r="W338" s="21">
        <f t="shared" si="2"/>
        <v>37.16809669</v>
      </c>
      <c r="X338" s="21">
        <f t="shared" si="3"/>
        <v>1.578947368</v>
      </c>
      <c r="Y338" s="21">
        <f t="shared" si="4"/>
        <v>502.6489503</v>
      </c>
      <c r="Z338" s="21">
        <f t="shared" si="5"/>
        <v>7.936562374</v>
      </c>
      <c r="AA338" s="21">
        <f t="shared" si="6"/>
        <v>0.2748206434</v>
      </c>
    </row>
    <row r="339">
      <c r="A339" s="4" t="s">
        <v>1842</v>
      </c>
      <c r="B339" s="4" t="str">
        <f>IFERROR(__xludf.DUMMYFUNCTION("SPLIT(A339:A1063, ""&gt;"")"),"US ")</f>
        <v>US </v>
      </c>
      <c r="C339" s="4" t="str">
        <f>IFERROR(__xludf.DUMMYFUNCTION("""COMPUTED_VALUE""")," Brand Propensities ")</f>
        <v> Brand Propensities </v>
      </c>
      <c r="D339" s="4" t="str">
        <f>IFERROR(__xludf.DUMMYFUNCTION("""COMPUTED_VALUE""")," Media and Entertainment ")</f>
        <v> Media and Entertainment </v>
      </c>
      <c r="E339" s="4" t="str">
        <f>IFERROR(__xludf.DUMMYFUNCTION("""COMPUTED_VALUE""")," Sony Network Entertainment International Buyer Propensity")</f>
        <v> Sony Network Entertainment International Buyer Propensity</v>
      </c>
      <c r="F339" s="4"/>
      <c r="G339" s="4"/>
      <c r="H339" s="4"/>
      <c r="I339" s="5" t="s">
        <v>15</v>
      </c>
      <c r="J339" s="5" t="s">
        <v>42</v>
      </c>
      <c r="K339" s="5" t="s">
        <v>95</v>
      </c>
      <c r="L339" s="6" t="s">
        <v>518</v>
      </c>
      <c r="M339" s="5" t="s">
        <v>26</v>
      </c>
      <c r="N339" s="5" t="s">
        <v>52</v>
      </c>
      <c r="O339" s="5">
        <v>32173.0</v>
      </c>
      <c r="P339" s="5">
        <v>104.0</v>
      </c>
      <c r="Q339" s="5">
        <v>24427.0</v>
      </c>
      <c r="R339" s="5">
        <v>30084.0</v>
      </c>
      <c r="S339" s="5">
        <v>11.0</v>
      </c>
      <c r="T339" s="5">
        <v>1498.29154</v>
      </c>
      <c r="V339" s="21">
        <f t="shared" si="1"/>
        <v>46.56984241</v>
      </c>
      <c r="W339" s="21">
        <f t="shared" si="2"/>
        <v>61.3375175</v>
      </c>
      <c r="X339" s="21">
        <f t="shared" si="3"/>
        <v>10.57692308</v>
      </c>
      <c r="Y339" s="21">
        <f t="shared" si="4"/>
        <v>136.2083218</v>
      </c>
      <c r="Z339" s="21">
        <f t="shared" si="5"/>
        <v>14.40664942</v>
      </c>
      <c r="AA339" s="21">
        <f t="shared" si="6"/>
        <v>0.3232524166</v>
      </c>
    </row>
    <row r="340">
      <c r="A340" s="4" t="s">
        <v>1373</v>
      </c>
      <c r="B340" s="4" t="str">
        <f>IFERROR(__xludf.DUMMYFUNCTION("SPLIT(A340:A1064, ""&gt;"")"),"Travel and Tourism ")</f>
        <v>Travel and Tourism </v>
      </c>
      <c r="C340" s="4" t="str">
        <f>IFERROR(__xludf.DUMMYFUNCTION("""COMPUTED_VALUE""")," Interest (Affinity) ")</f>
        <v> Interest (Affinity) </v>
      </c>
      <c r="D340" s="4" t="str">
        <f>IFERROR(__xludf.DUMMYFUNCTION("""COMPUTED_VALUE""")," Destinations ")</f>
        <v> Destinations </v>
      </c>
      <c r="E340" s="4" t="str">
        <f>IFERROR(__xludf.DUMMYFUNCTION("""COMPUTED_VALUE""")," Europe")</f>
        <v> Europe</v>
      </c>
      <c r="F340" s="4"/>
      <c r="G340" s="4"/>
      <c r="H340" s="4"/>
      <c r="I340" s="5" t="s">
        <v>22</v>
      </c>
      <c r="J340" s="5" t="s">
        <v>23</v>
      </c>
      <c r="K340" s="5" t="s">
        <v>24</v>
      </c>
      <c r="L340" s="6" t="s">
        <v>518</v>
      </c>
      <c r="M340" s="5" t="s">
        <v>36</v>
      </c>
      <c r="N340" s="5" t="s">
        <v>27</v>
      </c>
      <c r="O340" s="5">
        <v>88819.0</v>
      </c>
      <c r="P340" s="5">
        <v>200.0</v>
      </c>
      <c r="Q340" s="5">
        <v>65488.0</v>
      </c>
      <c r="R340" s="5">
        <v>80451.0</v>
      </c>
      <c r="S340" s="5">
        <v>6.0</v>
      </c>
      <c r="T340" s="5">
        <v>1442.22799</v>
      </c>
      <c r="V340" s="21">
        <f t="shared" si="1"/>
        <v>16.23783188</v>
      </c>
      <c r="W340" s="21">
        <f t="shared" si="2"/>
        <v>22.02278265</v>
      </c>
      <c r="X340" s="21">
        <f t="shared" si="3"/>
        <v>3</v>
      </c>
      <c r="Y340" s="21">
        <f t="shared" si="4"/>
        <v>240.3713317</v>
      </c>
      <c r="Z340" s="21">
        <f t="shared" si="5"/>
        <v>7.21113995</v>
      </c>
      <c r="AA340" s="21">
        <f t="shared" si="6"/>
        <v>0.2251770455</v>
      </c>
    </row>
    <row r="341">
      <c r="A341" s="4" t="s">
        <v>1374</v>
      </c>
      <c r="B341" s="4" t="str">
        <f>IFERROR(__xludf.DUMMYFUNCTION("SPLIT(A341:A1065, ""&gt;"")"),"Online Behavior")</f>
        <v>Online Behavior</v>
      </c>
      <c r="C341" s="4" t="str">
        <f>IFERROR(__xludf.DUMMYFUNCTION("""COMPUTED_VALUE"""),"United States")</f>
        <v>United States</v>
      </c>
      <c r="D341" s="4" t="str">
        <f>IFERROR(__xludf.DUMMYFUNCTION("""COMPUTED_VALUE"""),"Finance ")</f>
        <v>Finance </v>
      </c>
      <c r="E341" s="4" t="str">
        <f>IFERROR(__xludf.DUMMYFUNCTION("""COMPUTED_VALUE""")," Financial Planning and Management")</f>
        <v> Financial Planning and Management</v>
      </c>
      <c r="F341" s="4" t="str">
        <f>IFERROR(__xludf.DUMMYFUNCTION("""COMPUTED_VALUE"""),"Financial Planning and Management")</f>
        <v>Financial Planning and Management</v>
      </c>
      <c r="G341" s="4"/>
      <c r="H341" s="4"/>
      <c r="I341" s="5" t="s">
        <v>22</v>
      </c>
      <c r="J341" s="5" t="s">
        <v>42</v>
      </c>
      <c r="K341" s="5" t="s">
        <v>35</v>
      </c>
      <c r="L341" s="6" t="s">
        <v>539</v>
      </c>
      <c r="M341" s="5" t="s">
        <v>33</v>
      </c>
      <c r="N341" s="5" t="s">
        <v>27</v>
      </c>
      <c r="O341" s="5">
        <v>1323451.0</v>
      </c>
      <c r="P341" s="5">
        <v>3414.0</v>
      </c>
      <c r="Q341" s="5">
        <v>737990.0</v>
      </c>
      <c r="R341" s="5">
        <v>1177859.0</v>
      </c>
      <c r="S341" s="5">
        <v>123.0</v>
      </c>
      <c r="T341" s="5">
        <v>8187.114541</v>
      </c>
      <c r="V341" s="21">
        <f t="shared" si="1"/>
        <v>6.186186373</v>
      </c>
      <c r="W341" s="21">
        <f t="shared" si="2"/>
        <v>11.09380146</v>
      </c>
      <c r="X341" s="21">
        <f t="shared" si="3"/>
        <v>3.602811951</v>
      </c>
      <c r="Y341" s="21">
        <f t="shared" si="4"/>
        <v>66.56190684</v>
      </c>
      <c r="Z341" s="21">
        <f t="shared" si="5"/>
        <v>2.398100334</v>
      </c>
      <c r="AA341" s="21">
        <f t="shared" si="6"/>
        <v>0.2579619495</v>
      </c>
    </row>
    <row r="342">
      <c r="A342" s="4" t="s">
        <v>540</v>
      </c>
      <c r="B342" s="4" t="str">
        <f>IFERROR(__xludf.DUMMYFUNCTION("SPLIT(A342:A1066, ""&gt;"")"),"Online Behavior")</f>
        <v>Online Behavior</v>
      </c>
      <c r="C342" s="4" t="str">
        <f>IFERROR(__xludf.DUMMYFUNCTION("""COMPUTED_VALUE"""),"United States")</f>
        <v>United States</v>
      </c>
      <c r="D342" s="4" t="str">
        <f>IFERROR(__xludf.DUMMYFUNCTION("""COMPUTED_VALUE"""),"Beauty and Fitness")</f>
        <v>Beauty and Fitness</v>
      </c>
      <c r="E342" s="4" t="str">
        <f>IFERROR(__xludf.DUMMYFUNCTION("""COMPUTED_VALUE"""),"Fitness")</f>
        <v>Fitness</v>
      </c>
      <c r="F342" s="4"/>
      <c r="G342" s="4"/>
      <c r="H342" s="4"/>
      <c r="I342" s="5" t="s">
        <v>15</v>
      </c>
      <c r="J342" s="5" t="s">
        <v>42</v>
      </c>
      <c r="K342" s="5" t="s">
        <v>35</v>
      </c>
      <c r="L342" s="6" t="s">
        <v>539</v>
      </c>
      <c r="M342" s="5" t="s">
        <v>46</v>
      </c>
      <c r="N342" s="5" t="s">
        <v>27</v>
      </c>
      <c r="O342" s="5">
        <v>728841.0</v>
      </c>
      <c r="P342" s="5">
        <v>2174.0</v>
      </c>
      <c r="Q342" s="5">
        <v>424340.0</v>
      </c>
      <c r="R342" s="5">
        <v>634059.0</v>
      </c>
      <c r="S342" s="5">
        <v>37.0</v>
      </c>
      <c r="T342" s="5">
        <v>8054.141368</v>
      </c>
      <c r="V342" s="21">
        <f t="shared" si="1"/>
        <v>11.05061511</v>
      </c>
      <c r="W342" s="21">
        <f t="shared" si="2"/>
        <v>18.9803963</v>
      </c>
      <c r="X342" s="21">
        <f t="shared" si="3"/>
        <v>1.701931923</v>
      </c>
      <c r="Y342" s="21">
        <f t="shared" si="4"/>
        <v>217.6794964</v>
      </c>
      <c r="Z342" s="21">
        <f t="shared" si="5"/>
        <v>3.704756839</v>
      </c>
      <c r="AA342" s="21">
        <f t="shared" si="6"/>
        <v>0.2982817926</v>
      </c>
    </row>
    <row r="343">
      <c r="A343" s="4" t="s">
        <v>1843</v>
      </c>
      <c r="B343" s="4" t="str">
        <f>IFERROR(__xludf.DUMMYFUNCTION("SPLIT(A343:A1067, ""&gt;"")"),"Online Behavior")</f>
        <v>Online Behavior</v>
      </c>
      <c r="C343" s="4" t="str">
        <f>IFERROR(__xludf.DUMMYFUNCTION("""COMPUTED_VALUE"""),"United States")</f>
        <v>United States</v>
      </c>
      <c r="D343" s="4" t="str">
        <f>IFERROR(__xludf.DUMMYFUNCTION("""COMPUTED_VALUE"""),"The Changing Consumer")</f>
        <v>The Changing Consumer</v>
      </c>
      <c r="E343" s="4" t="str">
        <f>IFERROR(__xludf.DUMMYFUNCTION("""COMPUTED_VALUE"""),"Data For Good ")</f>
        <v>Data For Good </v>
      </c>
      <c r="F343" s="4" t="str">
        <f>IFERROR(__xludf.DUMMYFUNCTION("""COMPUTED_VALUE""")," Current Affairs - Social Justice")</f>
        <v> Current Affairs - Social Justice</v>
      </c>
      <c r="G343" s="4"/>
      <c r="H343" s="4"/>
      <c r="I343" s="5" t="s">
        <v>22</v>
      </c>
      <c r="J343" s="5" t="s">
        <v>31</v>
      </c>
      <c r="K343" s="5" t="s">
        <v>78</v>
      </c>
      <c r="L343" s="6" t="s">
        <v>539</v>
      </c>
      <c r="M343" s="5" t="s">
        <v>36</v>
      </c>
      <c r="N343" s="5" t="s">
        <v>27</v>
      </c>
      <c r="O343" s="5">
        <v>1010148.0</v>
      </c>
      <c r="P343" s="5">
        <v>2874.0</v>
      </c>
      <c r="Q343" s="5">
        <v>699834.0</v>
      </c>
      <c r="R343" s="5">
        <v>955905.0</v>
      </c>
      <c r="S343" s="5">
        <v>31.0</v>
      </c>
      <c r="T343" s="5">
        <v>7788.701621</v>
      </c>
      <c r="V343" s="21">
        <f t="shared" si="1"/>
        <v>7.710455914</v>
      </c>
      <c r="W343" s="21">
        <f t="shared" si="2"/>
        <v>11.12935585</v>
      </c>
      <c r="X343" s="21">
        <f t="shared" si="3"/>
        <v>1.078636047</v>
      </c>
      <c r="Y343" s="21">
        <f t="shared" si="4"/>
        <v>251.2484394</v>
      </c>
      <c r="Z343" s="21">
        <f t="shared" si="5"/>
        <v>2.710056236</v>
      </c>
      <c r="AA343" s="21">
        <f t="shared" si="6"/>
        <v>0.2845127645</v>
      </c>
    </row>
    <row r="344">
      <c r="A344" s="4" t="s">
        <v>1376</v>
      </c>
      <c r="B344" s="4" t="str">
        <f>IFERROR(__xludf.DUMMYFUNCTION("SPLIT(A344:A1068, ""&gt;"")"),"Online Behavior")</f>
        <v>Online Behavior</v>
      </c>
      <c r="C344" s="4" t="str">
        <f>IFERROR(__xludf.DUMMYFUNCTION("""COMPUTED_VALUE"""),"United States")</f>
        <v>United States</v>
      </c>
      <c r="D344" s="4" t="str">
        <f>IFERROR(__xludf.DUMMYFUNCTION("""COMPUTED_VALUE"""),"Sports")</f>
        <v>Sports</v>
      </c>
      <c r="E344" s="4" t="str">
        <f>IFERROR(__xludf.DUMMYFUNCTION("""COMPUTED_VALUE"""),"Team Sports ")</f>
        <v>Team Sports </v>
      </c>
      <c r="F344" s="4" t="str">
        <f>IFERROR(__xludf.DUMMYFUNCTION("""COMPUTED_VALUE""")," Rugby")</f>
        <v> Rugby</v>
      </c>
      <c r="G344" s="4"/>
      <c r="H344" s="4"/>
      <c r="I344" s="5" t="s">
        <v>15</v>
      </c>
      <c r="J344" s="5" t="s">
        <v>42</v>
      </c>
      <c r="K344" s="5" t="s">
        <v>78</v>
      </c>
      <c r="L344" s="6" t="s">
        <v>539</v>
      </c>
      <c r="M344" s="5" t="s">
        <v>46</v>
      </c>
      <c r="N344" s="5" t="s">
        <v>27</v>
      </c>
      <c r="O344" s="5">
        <v>1956642.0</v>
      </c>
      <c r="P344" s="5">
        <v>4563.0</v>
      </c>
      <c r="Q344" s="5">
        <v>981461.0</v>
      </c>
      <c r="R344" s="5">
        <v>1731673.0</v>
      </c>
      <c r="S344" s="5">
        <v>106.0</v>
      </c>
      <c r="T344" s="5">
        <v>7730.240616</v>
      </c>
      <c r="V344" s="21">
        <f t="shared" si="1"/>
        <v>3.95076903</v>
      </c>
      <c r="W344" s="21">
        <f t="shared" si="2"/>
        <v>7.876258574</v>
      </c>
      <c r="X344" s="21">
        <f t="shared" si="3"/>
        <v>2.323033092</v>
      </c>
      <c r="Y344" s="21">
        <f t="shared" si="4"/>
        <v>72.92679826</v>
      </c>
      <c r="Z344" s="21">
        <f t="shared" si="5"/>
        <v>1.694113657</v>
      </c>
      <c r="AA344" s="21">
        <f t="shared" si="6"/>
        <v>0.2332056656</v>
      </c>
    </row>
    <row r="345">
      <c r="A345" s="4" t="s">
        <v>1377</v>
      </c>
      <c r="B345" s="4" t="str">
        <f>IFERROR(__xludf.DUMMYFUNCTION("SPLIT(A345:A1069, ""&gt;"")"),"Online Behavior")</f>
        <v>Online Behavior</v>
      </c>
      <c r="C345" s="4" t="str">
        <f>IFERROR(__xludf.DUMMYFUNCTION("""COMPUTED_VALUE"""),"United States")</f>
        <v>United States</v>
      </c>
      <c r="D345" s="4" t="str">
        <f>IFERROR(__xludf.DUMMYFUNCTION("""COMPUTED_VALUE"""),"Beauty and Fitness")</f>
        <v>Beauty and Fitness</v>
      </c>
      <c r="E345" s="4" t="str">
        <f>IFERROR(__xludf.DUMMYFUNCTION("""COMPUTED_VALUE"""),"Fashion and Style ")</f>
        <v>Fashion and Style </v>
      </c>
      <c r="F345" s="4" t="str">
        <f>IFERROR(__xludf.DUMMYFUNCTION("""COMPUTED_VALUE""")," Fashion Designers and Collections")</f>
        <v> Fashion Designers and Collections</v>
      </c>
      <c r="G345" s="4"/>
      <c r="H345" s="4"/>
      <c r="I345" s="5" t="s">
        <v>15</v>
      </c>
      <c r="J345" s="5" t="s">
        <v>31</v>
      </c>
      <c r="K345" s="5" t="s">
        <v>55</v>
      </c>
      <c r="L345" s="6" t="s">
        <v>539</v>
      </c>
      <c r="M345" s="5" t="s">
        <v>19</v>
      </c>
      <c r="N345" s="5" t="s">
        <v>27</v>
      </c>
      <c r="O345" s="5">
        <v>23774.0</v>
      </c>
      <c r="P345" s="5">
        <v>60.0</v>
      </c>
      <c r="Q345" s="5">
        <v>10735.0</v>
      </c>
      <c r="R345" s="5">
        <v>21076.0</v>
      </c>
      <c r="S345" s="5">
        <v>24.0</v>
      </c>
      <c r="T345" s="5">
        <v>7657.108034</v>
      </c>
      <c r="V345" s="21">
        <f t="shared" si="1"/>
        <v>322.0790794</v>
      </c>
      <c r="W345" s="21">
        <f t="shared" si="2"/>
        <v>713.2844</v>
      </c>
      <c r="X345" s="21">
        <f t="shared" si="3"/>
        <v>40</v>
      </c>
      <c r="Y345" s="21">
        <f t="shared" si="4"/>
        <v>319.0461681</v>
      </c>
      <c r="Z345" s="21">
        <f t="shared" si="5"/>
        <v>127.6184672</v>
      </c>
      <c r="AA345" s="21">
        <f t="shared" si="6"/>
        <v>0.2523765458</v>
      </c>
    </row>
    <row r="346">
      <c r="A346" s="4" t="s">
        <v>544</v>
      </c>
      <c r="B346" s="4" t="str">
        <f>IFERROR(__xludf.DUMMYFUNCTION("SPLIT(A346:A1070, ""&gt;"")"),"Online Behavior")</f>
        <v>Online Behavior</v>
      </c>
      <c r="C346" s="4" t="str">
        <f>IFERROR(__xludf.DUMMYFUNCTION("""COMPUTED_VALUE"""),"United States")</f>
        <v>United States</v>
      </c>
      <c r="D346" s="4" t="str">
        <f>IFERROR(__xludf.DUMMYFUNCTION("""COMPUTED_VALUE"""),"Beauty and Fitness")</f>
        <v>Beauty and Fitness</v>
      </c>
      <c r="E346" s="4" t="str">
        <f>IFERROR(__xludf.DUMMYFUNCTION("""COMPUTED_VALUE"""),"Weight Loss")</f>
        <v>Weight Loss</v>
      </c>
      <c r="F346" s="4"/>
      <c r="G346" s="4"/>
      <c r="H346" s="4"/>
      <c r="I346" s="5" t="s">
        <v>61</v>
      </c>
      <c r="J346" s="5" t="s">
        <v>31</v>
      </c>
      <c r="K346" s="5" t="s">
        <v>35</v>
      </c>
      <c r="L346" s="6" t="s">
        <v>539</v>
      </c>
      <c r="M346" s="5" t="s">
        <v>36</v>
      </c>
      <c r="N346" s="5" t="s">
        <v>27</v>
      </c>
      <c r="O346" s="5">
        <v>1083050.0</v>
      </c>
      <c r="P346" s="5">
        <v>3984.0</v>
      </c>
      <c r="Q346" s="5">
        <v>590156.0</v>
      </c>
      <c r="R346" s="5">
        <v>953556.0</v>
      </c>
      <c r="S346" s="5">
        <v>19.0</v>
      </c>
      <c r="T346" s="5">
        <v>7495.749847</v>
      </c>
      <c r="V346" s="21">
        <f t="shared" si="1"/>
        <v>6.920963803</v>
      </c>
      <c r="W346" s="21">
        <f t="shared" si="2"/>
        <v>12.70130245</v>
      </c>
      <c r="X346" s="21">
        <f t="shared" si="3"/>
        <v>0.4769076305</v>
      </c>
      <c r="Y346" s="21">
        <f t="shared" si="4"/>
        <v>394.5131498</v>
      </c>
      <c r="Z346" s="21">
        <f t="shared" si="5"/>
        <v>1.881463315</v>
      </c>
      <c r="AA346" s="21">
        <f t="shared" si="6"/>
        <v>0.3678500531</v>
      </c>
    </row>
    <row r="347">
      <c r="A347" s="4" t="s">
        <v>545</v>
      </c>
      <c r="B347" s="4" t="str">
        <f>IFERROR(__xludf.DUMMYFUNCTION("SPLIT(A347:A1071, ""&gt;"")"),"Online Behavior")</f>
        <v>Online Behavior</v>
      </c>
      <c r="C347" s="4" t="str">
        <f>IFERROR(__xludf.DUMMYFUNCTION("""COMPUTED_VALUE"""),"United States")</f>
        <v>United States</v>
      </c>
      <c r="D347" s="4" t="str">
        <f>IFERROR(__xludf.DUMMYFUNCTION("""COMPUTED_VALUE"""),"Travel")</f>
        <v>Travel</v>
      </c>
      <c r="E347" s="4" t="str">
        <f>IFERROR(__xludf.DUMMYFUNCTION("""COMPUTED_VALUE"""),"Travel Agencies and Services")</f>
        <v>Travel Agencies and Services</v>
      </c>
      <c r="F347" s="4"/>
      <c r="G347" s="4"/>
      <c r="H347" s="4"/>
      <c r="I347" s="5" t="s">
        <v>61</v>
      </c>
      <c r="J347" s="5" t="s">
        <v>16</v>
      </c>
      <c r="K347" s="5" t="s">
        <v>78</v>
      </c>
      <c r="L347" s="6" t="s">
        <v>539</v>
      </c>
      <c r="M347" s="5" t="s">
        <v>19</v>
      </c>
      <c r="N347" s="5" t="s">
        <v>27</v>
      </c>
      <c r="O347" s="5">
        <v>184622.0</v>
      </c>
      <c r="P347" s="5">
        <v>180.0</v>
      </c>
      <c r="Q347" s="5">
        <v>98938.0</v>
      </c>
      <c r="R347" s="5">
        <v>161848.0</v>
      </c>
      <c r="S347" s="5">
        <v>13.0</v>
      </c>
      <c r="T347" s="5">
        <v>7149.816075</v>
      </c>
      <c r="V347" s="21">
        <f t="shared" si="1"/>
        <v>38.7267827</v>
      </c>
      <c r="W347" s="21">
        <f t="shared" si="2"/>
        <v>72.26562165</v>
      </c>
      <c r="X347" s="21">
        <f t="shared" si="3"/>
        <v>7.222222222</v>
      </c>
      <c r="Y347" s="21">
        <f t="shared" si="4"/>
        <v>549.9858519</v>
      </c>
      <c r="Z347" s="21">
        <f t="shared" si="5"/>
        <v>39.72120042</v>
      </c>
      <c r="AA347" s="21">
        <f t="shared" si="6"/>
        <v>0.09749650638</v>
      </c>
    </row>
    <row r="348">
      <c r="A348" s="4" t="s">
        <v>1378</v>
      </c>
      <c r="B348" s="4" t="str">
        <f>IFERROR(__xludf.DUMMYFUNCTION("SPLIT(A348:A1072, ""&gt;"")"),"Online Behavior")</f>
        <v>Online Behavior</v>
      </c>
      <c r="C348" s="4" t="str">
        <f>IFERROR(__xludf.DUMMYFUNCTION("""COMPUTED_VALUE"""),"United States")</f>
        <v>United States</v>
      </c>
      <c r="D348" s="4" t="str">
        <f>IFERROR(__xludf.DUMMYFUNCTION("""COMPUTED_VALUE"""),"Validated Demographic ")</f>
        <v>Validated Demographic </v>
      </c>
      <c r="E348" s="4" t="str">
        <f>IFERROR(__xludf.DUMMYFUNCTION("""COMPUTED_VALUE""")," Gender and Age Combined")</f>
        <v> Gender and Age Combined</v>
      </c>
      <c r="F348" s="4" t="str">
        <f>IFERROR(__xludf.DUMMYFUNCTION("""COMPUTED_VALUE"""),"Females 18-64")</f>
        <v>Females 18-64</v>
      </c>
      <c r="G348" s="4"/>
      <c r="H348" s="4"/>
      <c r="I348" s="5" t="s">
        <v>22</v>
      </c>
      <c r="J348" s="5" t="s">
        <v>31</v>
      </c>
      <c r="K348" s="5" t="s">
        <v>35</v>
      </c>
      <c r="L348" s="6" t="s">
        <v>539</v>
      </c>
      <c r="M348" s="5" t="s">
        <v>50</v>
      </c>
      <c r="N348" s="5" t="s">
        <v>27</v>
      </c>
      <c r="O348" s="5">
        <v>742281.0</v>
      </c>
      <c r="P348" s="5">
        <v>1999.0</v>
      </c>
      <c r="Q348" s="5">
        <v>432673.0</v>
      </c>
      <c r="R348" s="5">
        <v>642404.0</v>
      </c>
      <c r="S348" s="5">
        <v>11.0</v>
      </c>
      <c r="T348" s="5">
        <v>6024.422487</v>
      </c>
      <c r="V348" s="21">
        <f t="shared" si="1"/>
        <v>8.116094157</v>
      </c>
      <c r="W348" s="21">
        <f t="shared" si="2"/>
        <v>13.92373106</v>
      </c>
      <c r="X348" s="21">
        <f t="shared" si="3"/>
        <v>0.5502751376</v>
      </c>
      <c r="Y348" s="21">
        <f t="shared" si="4"/>
        <v>547.6747715</v>
      </c>
      <c r="Z348" s="21">
        <f t="shared" si="5"/>
        <v>3.013718103</v>
      </c>
      <c r="AA348" s="21">
        <f t="shared" si="6"/>
        <v>0.2693050206</v>
      </c>
    </row>
    <row r="349">
      <c r="A349" s="4" t="s">
        <v>1379</v>
      </c>
      <c r="B349" s="4" t="str">
        <f>IFERROR(__xludf.DUMMYFUNCTION("SPLIT(A349:A1073, ""&gt;"")"),"Online Behavior")</f>
        <v>Online Behavior</v>
      </c>
      <c r="C349" s="4" t="str">
        <f>IFERROR(__xludf.DUMMYFUNCTION("""COMPUTED_VALUE"""),"United States")</f>
        <v>United States</v>
      </c>
      <c r="D349" s="4" t="str">
        <f>IFERROR(__xludf.DUMMYFUNCTION("""COMPUTED_VALUE"""),"Travel")</f>
        <v>Travel</v>
      </c>
      <c r="E349" s="4" t="str">
        <f>IFERROR(__xludf.DUMMYFUNCTION("""COMPUTED_VALUE"""),"Specialty Travel ")</f>
        <v>Specialty Travel </v>
      </c>
      <c r="F349" s="4" t="str">
        <f>IFERROR(__xludf.DUMMYFUNCTION("""COMPUTED_VALUE""")," Agritourism")</f>
        <v> Agritourism</v>
      </c>
      <c r="G349" s="4"/>
      <c r="H349" s="4"/>
      <c r="I349" s="5" t="s">
        <v>15</v>
      </c>
      <c r="J349" s="5" t="s">
        <v>16</v>
      </c>
      <c r="K349" s="5" t="s">
        <v>17</v>
      </c>
      <c r="L349" s="6" t="s">
        <v>539</v>
      </c>
      <c r="M349" s="5" t="s">
        <v>26</v>
      </c>
      <c r="N349" s="5" t="s">
        <v>27</v>
      </c>
      <c r="O349" s="5">
        <v>1720462.0</v>
      </c>
      <c r="P349" s="5">
        <v>4865.0</v>
      </c>
      <c r="Q349" s="5">
        <v>940296.0</v>
      </c>
      <c r="R349" s="5">
        <v>1516537.0</v>
      </c>
      <c r="S349" s="5">
        <v>20.0</v>
      </c>
      <c r="T349" s="5">
        <v>5906.464967</v>
      </c>
      <c r="V349" s="21">
        <f t="shared" si="1"/>
        <v>3.433069122</v>
      </c>
      <c r="W349" s="21">
        <f t="shared" si="2"/>
        <v>6.281495366</v>
      </c>
      <c r="X349" s="21">
        <f t="shared" si="3"/>
        <v>0.4110996917</v>
      </c>
      <c r="Y349" s="21">
        <f t="shared" si="4"/>
        <v>295.3232484</v>
      </c>
      <c r="Z349" s="21">
        <f t="shared" si="5"/>
        <v>1.214072963</v>
      </c>
      <c r="AA349" s="21">
        <f t="shared" si="6"/>
        <v>0.2827728831</v>
      </c>
    </row>
    <row r="350">
      <c r="A350" s="4" t="s">
        <v>1380</v>
      </c>
      <c r="B350" s="4" t="str">
        <f>IFERROR(__xludf.DUMMYFUNCTION("SPLIT(A350:A1074, ""&gt;"")"),"Online Behavior")</f>
        <v>Online Behavior</v>
      </c>
      <c r="C350" s="4" t="str">
        <f>IFERROR(__xludf.DUMMYFUNCTION("""COMPUTED_VALUE"""),"United States")</f>
        <v>United States</v>
      </c>
      <c r="D350" s="4" t="str">
        <f>IFERROR(__xludf.DUMMYFUNCTION("""COMPUTED_VALUE"""),"Validated Demographic ")</f>
        <v>Validated Demographic </v>
      </c>
      <c r="E350" s="4" t="str">
        <f>IFERROR(__xludf.DUMMYFUNCTION("""COMPUTED_VALUE""")," Gender and Age Combined")</f>
        <v> Gender and Age Combined</v>
      </c>
      <c r="F350" s="4" t="str">
        <f>IFERROR(__xludf.DUMMYFUNCTION("""COMPUTED_VALUE"""),"Females 25-64")</f>
        <v>Females 25-64</v>
      </c>
      <c r="G350" s="4"/>
      <c r="H350" s="4"/>
      <c r="I350" s="5" t="s">
        <v>15</v>
      </c>
      <c r="J350" s="5" t="s">
        <v>16</v>
      </c>
      <c r="K350" s="5" t="s">
        <v>45</v>
      </c>
      <c r="L350" s="6" t="s">
        <v>539</v>
      </c>
      <c r="M350" s="5" t="s">
        <v>19</v>
      </c>
      <c r="N350" s="5" t="s">
        <v>27</v>
      </c>
      <c r="O350" s="5">
        <v>766674.0</v>
      </c>
      <c r="P350" s="5">
        <v>1984.0</v>
      </c>
      <c r="Q350" s="5">
        <v>344201.0</v>
      </c>
      <c r="R350" s="5">
        <v>720606.0</v>
      </c>
      <c r="S350" s="5">
        <v>17.0</v>
      </c>
      <c r="T350" s="5">
        <v>5816.234619</v>
      </c>
      <c r="V350" s="21">
        <f t="shared" si="1"/>
        <v>7.586320417</v>
      </c>
      <c r="W350" s="21">
        <f t="shared" si="2"/>
        <v>16.89778536</v>
      </c>
      <c r="X350" s="21">
        <f t="shared" si="3"/>
        <v>0.8568548387</v>
      </c>
      <c r="Y350" s="21">
        <f t="shared" si="4"/>
        <v>342.1314482</v>
      </c>
      <c r="Z350" s="21">
        <f t="shared" si="5"/>
        <v>2.931569868</v>
      </c>
      <c r="AA350" s="21">
        <f t="shared" si="6"/>
        <v>0.2587801334</v>
      </c>
    </row>
    <row r="351">
      <c r="A351" s="4" t="s">
        <v>549</v>
      </c>
      <c r="B351" s="4" t="str">
        <f>IFERROR(__xludf.DUMMYFUNCTION("SPLIT(A351:A1075, ""&gt;"")"),"Online Behavior")</f>
        <v>Online Behavior</v>
      </c>
      <c r="C351" s="4" t="str">
        <f>IFERROR(__xludf.DUMMYFUNCTION("""COMPUTED_VALUE"""),"United States")</f>
        <v>United States</v>
      </c>
      <c r="D351" s="4" t="str">
        <f>IFERROR(__xludf.DUMMYFUNCTION("""COMPUTED_VALUE"""),"The Changing Consumer")</f>
        <v>The Changing Consumer</v>
      </c>
      <c r="E351" s="4" t="str">
        <f>IFERROR(__xludf.DUMMYFUNCTION("""COMPUTED_VALUE"""),"Home Entertaining")</f>
        <v>Home Entertaining</v>
      </c>
      <c r="F351" s="4"/>
      <c r="G351" s="4"/>
      <c r="H351" s="4"/>
      <c r="I351" s="5" t="s">
        <v>15</v>
      </c>
      <c r="J351" s="5" t="s">
        <v>23</v>
      </c>
      <c r="K351" s="5" t="s">
        <v>131</v>
      </c>
      <c r="L351" s="6" t="s">
        <v>539</v>
      </c>
      <c r="M351" s="5" t="s">
        <v>19</v>
      </c>
      <c r="N351" s="5" t="s">
        <v>27</v>
      </c>
      <c r="O351" s="5">
        <v>14730.0</v>
      </c>
      <c r="P351" s="5">
        <v>86.0</v>
      </c>
      <c r="Q351" s="5">
        <v>6410.0</v>
      </c>
      <c r="R351" s="5">
        <v>10860.0</v>
      </c>
      <c r="S351" s="5">
        <v>6.0</v>
      </c>
      <c r="T351" s="5">
        <v>5287.567528</v>
      </c>
      <c r="V351" s="21">
        <f t="shared" si="1"/>
        <v>358.9658878</v>
      </c>
      <c r="W351" s="21">
        <f t="shared" si="2"/>
        <v>824.8935301</v>
      </c>
      <c r="X351" s="21">
        <f t="shared" si="3"/>
        <v>6.976744186</v>
      </c>
      <c r="Y351" s="21">
        <f t="shared" si="4"/>
        <v>881.2612547</v>
      </c>
      <c r="Z351" s="21">
        <f t="shared" si="5"/>
        <v>61.48334335</v>
      </c>
      <c r="AA351" s="21">
        <f t="shared" si="6"/>
        <v>0.5838424983</v>
      </c>
    </row>
    <row r="352">
      <c r="A352" s="4" t="s">
        <v>1381</v>
      </c>
      <c r="B352" s="4" t="str">
        <f>IFERROR(__xludf.DUMMYFUNCTION("SPLIT(A352:A1076, ""&gt;"")"),"Online Behavior")</f>
        <v>Online Behavior</v>
      </c>
      <c r="C352" s="4" t="str">
        <f>IFERROR(__xludf.DUMMYFUNCTION("""COMPUTED_VALUE"""),"United States")</f>
        <v>United States</v>
      </c>
      <c r="D352" s="4" t="str">
        <f>IFERROR(__xludf.DUMMYFUNCTION("""COMPUTED_VALUE"""),"Validated Demographic ")</f>
        <v>Validated Demographic </v>
      </c>
      <c r="E352" s="4" t="str">
        <f>IFERROR(__xludf.DUMMYFUNCTION("""COMPUTED_VALUE""")," Gender and Age Combined")</f>
        <v> Gender and Age Combined</v>
      </c>
      <c r="F352" s="4" t="str">
        <f>IFERROR(__xludf.DUMMYFUNCTION("""COMPUTED_VALUE"""),"Females 18-44")</f>
        <v>Females 18-44</v>
      </c>
      <c r="G352" s="4"/>
      <c r="H352" s="4"/>
      <c r="I352" s="5" t="s">
        <v>22</v>
      </c>
      <c r="J352" s="5" t="s">
        <v>42</v>
      </c>
      <c r="K352" s="5" t="s">
        <v>121</v>
      </c>
      <c r="L352" s="6" t="s">
        <v>539</v>
      </c>
      <c r="M352" s="5" t="s">
        <v>26</v>
      </c>
      <c r="N352" s="5" t="s">
        <v>27</v>
      </c>
      <c r="O352" s="5">
        <v>207685.0</v>
      </c>
      <c r="P352" s="5">
        <v>512.0</v>
      </c>
      <c r="Q352" s="5">
        <v>20134.0</v>
      </c>
      <c r="R352" s="5">
        <v>30708.0</v>
      </c>
      <c r="S352" s="5">
        <v>34.0</v>
      </c>
      <c r="T352" s="5">
        <v>5239.204787</v>
      </c>
      <c r="V352" s="21">
        <f t="shared" si="1"/>
        <v>25.22668843</v>
      </c>
      <c r="W352" s="21">
        <f t="shared" si="2"/>
        <v>260.2167869</v>
      </c>
      <c r="X352" s="21">
        <f t="shared" si="3"/>
        <v>6.640625</v>
      </c>
      <c r="Y352" s="21">
        <f t="shared" si="4"/>
        <v>154.0942584</v>
      </c>
      <c r="Z352" s="21">
        <f t="shared" si="5"/>
        <v>10.23282185</v>
      </c>
      <c r="AA352" s="21">
        <f t="shared" si="6"/>
        <v>0.2465271926</v>
      </c>
    </row>
    <row r="353">
      <c r="A353" s="4" t="s">
        <v>551</v>
      </c>
      <c r="B353" s="4" t="str">
        <f>IFERROR(__xludf.DUMMYFUNCTION("SPLIT(A353:A1077, ""&gt;"")"),"Online Behavior")</f>
        <v>Online Behavior</v>
      </c>
      <c r="C353" s="4" t="str">
        <f>IFERROR(__xludf.DUMMYFUNCTION("""COMPUTED_VALUE"""),"United States")</f>
        <v>United States</v>
      </c>
      <c r="D353" s="4" t="str">
        <f>IFERROR(__xludf.DUMMYFUNCTION("""COMPUTED_VALUE"""),"Food and Drink")</f>
        <v>Food and Drink</v>
      </c>
      <c r="E353" s="4" t="str">
        <f>IFERROR(__xludf.DUMMYFUNCTION("""COMPUTED_VALUE"""),"Restaurants")</f>
        <v>Restaurants</v>
      </c>
      <c r="F353" s="4"/>
      <c r="G353" s="4"/>
      <c r="H353" s="4"/>
      <c r="I353" s="5" t="s">
        <v>15</v>
      </c>
      <c r="J353" s="5" t="s">
        <v>23</v>
      </c>
      <c r="K353" s="5" t="s">
        <v>17</v>
      </c>
      <c r="L353" s="6" t="s">
        <v>539</v>
      </c>
      <c r="M353" s="5" t="s">
        <v>80</v>
      </c>
      <c r="N353" s="5" t="s">
        <v>27</v>
      </c>
      <c r="O353" s="5">
        <v>908899.0</v>
      </c>
      <c r="P353" s="5">
        <v>1984.0</v>
      </c>
      <c r="Q353" s="5">
        <v>644697.0</v>
      </c>
      <c r="R353" s="5">
        <v>853964.0</v>
      </c>
      <c r="S353" s="5">
        <v>32.0</v>
      </c>
      <c r="T353" s="5">
        <v>5181.087383</v>
      </c>
      <c r="V353" s="21">
        <f t="shared" si="1"/>
        <v>5.700399476</v>
      </c>
      <c r="W353" s="21">
        <f t="shared" si="2"/>
        <v>8.036468888</v>
      </c>
      <c r="X353" s="21">
        <f t="shared" si="3"/>
        <v>1.612903226</v>
      </c>
      <c r="Y353" s="21">
        <f t="shared" si="4"/>
        <v>161.9089807</v>
      </c>
      <c r="Z353" s="21">
        <f t="shared" si="5"/>
        <v>2.611435173</v>
      </c>
      <c r="AA353" s="21">
        <f t="shared" si="6"/>
        <v>0.2182860802</v>
      </c>
    </row>
    <row r="354">
      <c r="A354" s="4" t="s">
        <v>1382</v>
      </c>
      <c r="B354" s="4" t="str">
        <f>IFERROR(__xludf.DUMMYFUNCTION("SPLIT(A354:A1078, ""&gt;"")"),"Online Behavior")</f>
        <v>Online Behavior</v>
      </c>
      <c r="C354" s="4" t="str">
        <f>IFERROR(__xludf.DUMMYFUNCTION("""COMPUTED_VALUE"""),"United States")</f>
        <v>United States</v>
      </c>
      <c r="D354" s="4" t="str">
        <f>IFERROR(__xludf.DUMMYFUNCTION("""COMPUTED_VALUE"""),"Sports")</f>
        <v>Sports</v>
      </c>
      <c r="E354" s="4" t="str">
        <f>IFERROR(__xludf.DUMMYFUNCTION("""COMPUTED_VALUE"""),"Winter Sports ")</f>
        <v>Winter Sports </v>
      </c>
      <c r="F354" s="4" t="str">
        <f>IFERROR(__xludf.DUMMYFUNCTION("""COMPUTED_VALUE""")," Ice Skating")</f>
        <v> Ice Skating</v>
      </c>
      <c r="G354" s="4"/>
      <c r="H354" s="4"/>
      <c r="I354" s="5" t="s">
        <v>15</v>
      </c>
      <c r="J354" s="5" t="s">
        <v>31</v>
      </c>
      <c r="K354" s="5" t="s">
        <v>35</v>
      </c>
      <c r="L354" s="6" t="s">
        <v>539</v>
      </c>
      <c r="M354" s="5" t="s">
        <v>19</v>
      </c>
      <c r="N354" s="5" t="s">
        <v>27</v>
      </c>
      <c r="O354" s="5">
        <v>470192.0</v>
      </c>
      <c r="P354" s="5">
        <v>940.0</v>
      </c>
      <c r="Q354" s="5">
        <v>336480.0</v>
      </c>
      <c r="R354" s="5">
        <v>443202.0</v>
      </c>
      <c r="S354" s="5">
        <v>3.0</v>
      </c>
      <c r="T354" s="5">
        <v>4963.966251</v>
      </c>
      <c r="V354" s="21">
        <f t="shared" si="1"/>
        <v>10.55731754</v>
      </c>
      <c r="W354" s="21">
        <f t="shared" si="2"/>
        <v>14.75263389</v>
      </c>
      <c r="X354" s="21">
        <f t="shared" si="3"/>
        <v>0.3191489362</v>
      </c>
      <c r="Y354" s="21">
        <f t="shared" si="4"/>
        <v>1654.655417</v>
      </c>
      <c r="Z354" s="21">
        <f t="shared" si="5"/>
        <v>5.280815161</v>
      </c>
      <c r="AA354" s="21">
        <f t="shared" si="6"/>
        <v>0.1999183312</v>
      </c>
    </row>
    <row r="355">
      <c r="A355" s="4" t="s">
        <v>1844</v>
      </c>
      <c r="B355" s="4" t="str">
        <f>IFERROR(__xludf.DUMMYFUNCTION("SPLIT(A355:A1079, ""&gt;"")"),"US ")</f>
        <v>US </v>
      </c>
      <c r="C355" s="4" t="str">
        <f>IFERROR(__xludf.DUMMYFUNCTION("""COMPUTED_VALUE""")," Reach ")</f>
        <v> Reach </v>
      </c>
      <c r="D355" s="4" t="str">
        <f>IFERROR(__xludf.DUMMYFUNCTION("""COMPUTED_VALUE""")," Propensity Models ")</f>
        <v> Propensity Models </v>
      </c>
      <c r="E355" s="4" t="str">
        <f>IFERROR(__xludf.DUMMYFUNCTION("""COMPUTED_VALUE""")," Hobbies and Interest ")</f>
        <v> Hobbies and Interest </v>
      </c>
      <c r="F355" s="4" t="str">
        <f>IFERROR(__xludf.DUMMYFUNCTION("""COMPUTED_VALUE""")," Sports ")</f>
        <v> Sports </v>
      </c>
      <c r="G355" s="4" t="str">
        <f>IFERROR(__xludf.DUMMYFUNCTION("""COMPUTED_VALUE""")," PGA Tour Enthusiast")</f>
        <v> PGA Tour Enthusiast</v>
      </c>
      <c r="H355" s="4"/>
      <c r="I355" s="5" t="s">
        <v>22</v>
      </c>
      <c r="J355" s="5" t="s">
        <v>31</v>
      </c>
      <c r="K355" s="5" t="s">
        <v>78</v>
      </c>
      <c r="L355" s="6" t="s">
        <v>539</v>
      </c>
      <c r="M355" s="5" t="s">
        <v>26</v>
      </c>
      <c r="N355" s="5" t="s">
        <v>27</v>
      </c>
      <c r="O355" s="5">
        <v>65257.0</v>
      </c>
      <c r="P355" s="5">
        <v>201.0</v>
      </c>
      <c r="Q355" s="5">
        <v>12749.0</v>
      </c>
      <c r="R355" s="5">
        <v>19274.0</v>
      </c>
      <c r="S355" s="5">
        <v>3.0</v>
      </c>
      <c r="T355" s="5">
        <v>2468.135837</v>
      </c>
      <c r="V355" s="21">
        <f t="shared" si="1"/>
        <v>37.82177907</v>
      </c>
      <c r="W355" s="21">
        <f t="shared" si="2"/>
        <v>193.5944652</v>
      </c>
      <c r="X355" s="21">
        <f t="shared" si="3"/>
        <v>1.492537313</v>
      </c>
      <c r="Y355" s="21">
        <f t="shared" si="4"/>
        <v>822.7119457</v>
      </c>
      <c r="Z355" s="21">
        <f t="shared" si="5"/>
        <v>12.27928277</v>
      </c>
      <c r="AA355" s="21">
        <f t="shared" si="6"/>
        <v>0.3080129335</v>
      </c>
    </row>
    <row r="356">
      <c r="A356" s="4" t="s">
        <v>1845</v>
      </c>
      <c r="B356" s="4" t="str">
        <f>IFERROR(__xludf.DUMMYFUNCTION("SPLIT(A356:A1080, ""&gt;"")"),"US ")</f>
        <v>US </v>
      </c>
      <c r="C356" s="4" t="str">
        <f>IFERROR(__xludf.DUMMYFUNCTION("""COMPUTED_VALUE""")," Sociodemographic ")</f>
        <v> Sociodemographic </v>
      </c>
      <c r="D356" s="4" t="str">
        <f>IFERROR(__xludf.DUMMYFUNCTION("""COMPUTED_VALUE""")," ConneXions Lifestage ")</f>
        <v> ConneXions Lifestage </v>
      </c>
      <c r="E356" s="4" t="str">
        <f>IFERROR(__xludf.DUMMYFUNCTION("""COMPUTED_VALUE""")," M4 Elderly Traditionalists")</f>
        <v> M4 Elderly Traditionalists</v>
      </c>
      <c r="F356" s="4"/>
      <c r="G356" s="4"/>
      <c r="H356" s="4"/>
      <c r="I356" s="5" t="s">
        <v>22</v>
      </c>
      <c r="J356" s="5" t="s">
        <v>23</v>
      </c>
      <c r="K356" s="5" t="s">
        <v>66</v>
      </c>
      <c r="L356" s="6" t="s">
        <v>539</v>
      </c>
      <c r="M356" s="5" t="s">
        <v>19</v>
      </c>
      <c r="N356" s="5" t="s">
        <v>27</v>
      </c>
      <c r="O356" s="5">
        <v>31003.0</v>
      </c>
      <c r="P356" s="5">
        <v>87.0</v>
      </c>
      <c r="Q356" s="5">
        <v>12591.0</v>
      </c>
      <c r="R356" s="5">
        <v>22656.0</v>
      </c>
      <c r="S356" s="5">
        <v>8.0</v>
      </c>
      <c r="T356" s="5">
        <v>2294.003778</v>
      </c>
      <c r="V356" s="21">
        <f t="shared" si="1"/>
        <v>73.99296126</v>
      </c>
      <c r="W356" s="21">
        <f t="shared" si="2"/>
        <v>182.1939304</v>
      </c>
      <c r="X356" s="21">
        <f t="shared" si="3"/>
        <v>9.195402299</v>
      </c>
      <c r="Y356" s="21">
        <f t="shared" si="4"/>
        <v>286.7504723</v>
      </c>
      <c r="Z356" s="21">
        <f t="shared" si="5"/>
        <v>26.36785952</v>
      </c>
      <c r="AA356" s="21">
        <f t="shared" si="6"/>
        <v>0.2806180047</v>
      </c>
    </row>
    <row r="357">
      <c r="A357" s="4" t="s">
        <v>1846</v>
      </c>
      <c r="B357" s="4" t="str">
        <f>IFERROR(__xludf.DUMMYFUNCTION("SPLIT(A357:A1081, ""&gt;"")"),"US ")</f>
        <v>US </v>
      </c>
      <c r="C357" s="4" t="str">
        <f>IFERROR(__xludf.DUMMYFUNCTION("""COMPUTED_VALUE""")," Reach ")</f>
        <v> Reach </v>
      </c>
      <c r="D357" s="4" t="str">
        <f>IFERROR(__xludf.DUMMYFUNCTION("""COMPUTED_VALUE""")," Propensity Models ")</f>
        <v> Propensity Models </v>
      </c>
      <c r="E357" s="4" t="str">
        <f>IFERROR(__xludf.DUMMYFUNCTION("""COMPUTED_VALUE""")," Hobbies and Interest ")</f>
        <v> Hobbies and Interest </v>
      </c>
      <c r="F357" s="4" t="str">
        <f>IFERROR(__xludf.DUMMYFUNCTION("""COMPUTED_VALUE""")," Sports ")</f>
        <v> Sports </v>
      </c>
      <c r="G357" s="4" t="str">
        <f>IFERROR(__xludf.DUMMYFUNCTION("""COMPUTED_VALUE""")," NASCAR Enthusiast")</f>
        <v> NASCAR Enthusiast</v>
      </c>
      <c r="H357" s="4"/>
      <c r="I357" s="5" t="s">
        <v>15</v>
      </c>
      <c r="J357" s="5" t="s">
        <v>31</v>
      </c>
      <c r="K357" s="5" t="s">
        <v>55</v>
      </c>
      <c r="L357" s="6" t="s">
        <v>539</v>
      </c>
      <c r="M357" s="5" t="s">
        <v>19</v>
      </c>
      <c r="N357" s="5" t="s">
        <v>27</v>
      </c>
      <c r="O357" s="5">
        <v>12988.0</v>
      </c>
      <c r="P357" s="5">
        <v>69.0</v>
      </c>
      <c r="Q357" s="5">
        <v>6514.0</v>
      </c>
      <c r="R357" s="5">
        <v>9378.0</v>
      </c>
      <c r="S357" s="5">
        <v>4.0</v>
      </c>
      <c r="T357" s="5">
        <v>2236.485099</v>
      </c>
      <c r="V357" s="21">
        <f t="shared" si="1"/>
        <v>172.1962657</v>
      </c>
      <c r="W357" s="21">
        <f t="shared" si="2"/>
        <v>343.3351395</v>
      </c>
      <c r="X357" s="21">
        <f t="shared" si="3"/>
        <v>5.797101449</v>
      </c>
      <c r="Y357" s="21">
        <f t="shared" si="4"/>
        <v>559.1212748</v>
      </c>
      <c r="Z357" s="21">
        <f t="shared" si="5"/>
        <v>32.41282752</v>
      </c>
      <c r="AA357" s="21">
        <f t="shared" si="6"/>
        <v>0.5312596243</v>
      </c>
    </row>
    <row r="358">
      <c r="A358" s="4" t="s">
        <v>1847</v>
      </c>
      <c r="B358" s="4" t="str">
        <f>IFERROR(__xludf.DUMMYFUNCTION("SPLIT(A358:A1082, ""&gt;"")"),"Mobile - US ")</f>
        <v>Mobile - US </v>
      </c>
      <c r="C358" s="4" t="str">
        <f>IFERROR(__xludf.DUMMYFUNCTION("""COMPUTED_VALUE""")," Automotive ")</f>
        <v> Automotive </v>
      </c>
      <c r="D358" s="4" t="str">
        <f>IFERROR(__xludf.DUMMYFUNCTION("""COMPUTED_VALUE""")," Vehicle Ownership ")</f>
        <v> Vehicle Ownership </v>
      </c>
      <c r="E358" s="4" t="str">
        <f>IFERROR(__xludf.DUMMYFUNCTION("""COMPUTED_VALUE""")," yes")</f>
        <v> yes</v>
      </c>
      <c r="F358" s="4"/>
      <c r="G358" s="4"/>
      <c r="H358" s="4"/>
      <c r="I358" s="5" t="s">
        <v>61</v>
      </c>
      <c r="J358" s="5" t="s">
        <v>23</v>
      </c>
      <c r="K358" s="5" t="s">
        <v>35</v>
      </c>
      <c r="L358" s="6" t="s">
        <v>539</v>
      </c>
      <c r="M358" s="5" t="s">
        <v>19</v>
      </c>
      <c r="N358" s="5" t="s">
        <v>27</v>
      </c>
      <c r="O358" s="5">
        <v>562103.0</v>
      </c>
      <c r="P358" s="5">
        <v>1450.0</v>
      </c>
      <c r="Q358" s="5">
        <v>340616.0</v>
      </c>
      <c r="R358" s="5">
        <v>488921.0</v>
      </c>
      <c r="S358" s="5">
        <v>8.0</v>
      </c>
      <c r="T358" s="5">
        <v>1733.830172</v>
      </c>
      <c r="V358" s="21">
        <f t="shared" si="1"/>
        <v>3.084541751</v>
      </c>
      <c r="W358" s="21">
        <f t="shared" si="2"/>
        <v>5.09027812</v>
      </c>
      <c r="X358" s="21">
        <f t="shared" si="3"/>
        <v>0.5517241379</v>
      </c>
      <c r="Y358" s="21">
        <f t="shared" si="4"/>
        <v>216.7287715</v>
      </c>
      <c r="Z358" s="21">
        <f t="shared" si="5"/>
        <v>1.195744946</v>
      </c>
      <c r="AA358" s="21">
        <f t="shared" si="6"/>
        <v>0.2579598401</v>
      </c>
    </row>
    <row r="359">
      <c r="A359" s="4" t="s">
        <v>1848</v>
      </c>
      <c r="B359" s="4" t="str">
        <f>IFERROR(__xludf.DUMMYFUNCTION("SPLIT(A359:A1083, ""&gt;"")"),"US ")</f>
        <v>US </v>
      </c>
      <c r="C359" s="4" t="str">
        <f>IFERROR(__xludf.DUMMYFUNCTION("""COMPUTED_VALUE""")," Brand Propensities ")</f>
        <v> Brand Propensities </v>
      </c>
      <c r="D359" s="4" t="str">
        <f>IFERROR(__xludf.DUMMYFUNCTION("""COMPUTED_VALUE""")," Media and Entertainment ")</f>
        <v> Media and Entertainment </v>
      </c>
      <c r="E359" s="4" t="str">
        <f>IFERROR(__xludf.DUMMYFUNCTION("""COMPUTED_VALUE""")," Steam Community Buyer Propensity")</f>
        <v> Steam Community Buyer Propensity</v>
      </c>
      <c r="F359" s="4"/>
      <c r="G359" s="4"/>
      <c r="H359" s="4"/>
      <c r="I359" s="5" t="s">
        <v>22</v>
      </c>
      <c r="J359" s="5" t="s">
        <v>23</v>
      </c>
      <c r="K359" s="5" t="s">
        <v>29</v>
      </c>
      <c r="L359" s="6" t="s">
        <v>539</v>
      </c>
      <c r="M359" s="5" t="s">
        <v>19</v>
      </c>
      <c r="N359" s="5" t="s">
        <v>27</v>
      </c>
      <c r="O359" s="5">
        <v>780475.0</v>
      </c>
      <c r="P359" s="5">
        <v>2186.0</v>
      </c>
      <c r="Q359" s="5">
        <v>453974.0</v>
      </c>
      <c r="R359" s="5">
        <v>691696.0</v>
      </c>
      <c r="S359" s="5">
        <v>11.0</v>
      </c>
      <c r="T359" s="5">
        <v>1726.249457</v>
      </c>
      <c r="V359" s="21">
        <f t="shared" si="1"/>
        <v>2.211793404</v>
      </c>
      <c r="W359" s="21">
        <f t="shared" si="2"/>
        <v>3.802529345</v>
      </c>
      <c r="X359" s="21">
        <f t="shared" si="3"/>
        <v>0.5032021958</v>
      </c>
      <c r="Y359" s="21">
        <f t="shared" si="4"/>
        <v>156.9317688</v>
      </c>
      <c r="Z359" s="21">
        <f t="shared" si="5"/>
        <v>0.7896841066</v>
      </c>
      <c r="AA359" s="21">
        <f t="shared" si="6"/>
        <v>0.2800858452</v>
      </c>
    </row>
    <row r="360">
      <c r="A360" s="4" t="s">
        <v>1388</v>
      </c>
      <c r="B360" s="4" t="str">
        <f>IFERROR(__xludf.DUMMYFUNCTION("SPLIT(A360:A1084, ""&gt;"")"),"OnAudience ")</f>
        <v>OnAudience </v>
      </c>
      <c r="C360" s="4" t="str">
        <f>IFERROR(__xludf.DUMMYFUNCTION("""COMPUTED_VALUE""")," Interest ")</f>
        <v> Interest </v>
      </c>
      <c r="D360" s="4" t="str">
        <f>IFERROR(__xludf.DUMMYFUNCTION("""COMPUTED_VALUE""")," Travel")</f>
        <v> Travel</v>
      </c>
      <c r="E360" s="4"/>
      <c r="F360" s="4"/>
      <c r="G360" s="4"/>
      <c r="H360" s="4"/>
      <c r="I360" s="5" t="s">
        <v>15</v>
      </c>
      <c r="J360" s="5" t="s">
        <v>16</v>
      </c>
      <c r="K360" s="5" t="s">
        <v>78</v>
      </c>
      <c r="L360" s="6" t="s">
        <v>539</v>
      </c>
      <c r="M360" s="5" t="s">
        <v>46</v>
      </c>
      <c r="N360" s="5" t="s">
        <v>27</v>
      </c>
      <c r="O360" s="5">
        <v>7540.0</v>
      </c>
      <c r="P360" s="5">
        <v>10.0</v>
      </c>
      <c r="Q360" s="5">
        <v>1475.0</v>
      </c>
      <c r="R360" s="5">
        <v>2054.0</v>
      </c>
      <c r="S360" s="5">
        <v>1.0</v>
      </c>
      <c r="T360" s="5">
        <v>1713.978863</v>
      </c>
      <c r="V360" s="21">
        <f t="shared" si="1"/>
        <v>227.3181516</v>
      </c>
      <c r="W360" s="21">
        <f t="shared" si="2"/>
        <v>1162.019568</v>
      </c>
      <c r="X360" s="21">
        <f t="shared" si="3"/>
        <v>10</v>
      </c>
      <c r="Y360" s="21">
        <f t="shared" si="4"/>
        <v>1713.978863</v>
      </c>
      <c r="Z360" s="21">
        <f t="shared" si="5"/>
        <v>171.3978863</v>
      </c>
      <c r="AA360" s="21">
        <f t="shared" si="6"/>
        <v>0.1326259947</v>
      </c>
    </row>
    <row r="361">
      <c r="A361" s="4" t="s">
        <v>1849</v>
      </c>
      <c r="B361" s="4" t="str">
        <f>IFERROR(__xludf.DUMMYFUNCTION("SPLIT(A361:A1085, ""&gt;"")"),"US ")</f>
        <v>US </v>
      </c>
      <c r="C361" s="4" t="str">
        <f>IFERROR(__xludf.DUMMYFUNCTION("""COMPUTED_VALUE""")," Brand Propensities ")</f>
        <v> Brand Propensities </v>
      </c>
      <c r="D361" s="4" t="str">
        <f>IFERROR(__xludf.DUMMYFUNCTION("""COMPUTED_VALUE""")," Automotive ")</f>
        <v> Automotive </v>
      </c>
      <c r="E361" s="4" t="str">
        <f>IFERROR(__xludf.DUMMYFUNCTION("""COMPUTED_VALUE""")," Tirerack.com Buyer Propensity")</f>
        <v> Tirerack.com Buyer Propensity</v>
      </c>
      <c r="F361" s="4"/>
      <c r="G361" s="4"/>
      <c r="H361" s="4"/>
      <c r="I361" s="5" t="s">
        <v>15</v>
      </c>
      <c r="J361" s="5" t="s">
        <v>23</v>
      </c>
      <c r="K361" s="5" t="s">
        <v>39</v>
      </c>
      <c r="L361" s="6" t="s">
        <v>539</v>
      </c>
      <c r="M361" s="5" t="s">
        <v>19</v>
      </c>
      <c r="N361" s="5" t="s">
        <v>27</v>
      </c>
      <c r="O361" s="5">
        <v>482834.0</v>
      </c>
      <c r="P361" s="5">
        <v>1269.0</v>
      </c>
      <c r="Q361" s="5">
        <v>292059.0</v>
      </c>
      <c r="R361" s="5">
        <v>428761.0</v>
      </c>
      <c r="S361" s="5">
        <v>7.0</v>
      </c>
      <c r="T361" s="5">
        <v>1594.463397</v>
      </c>
      <c r="V361" s="21">
        <f t="shared" si="1"/>
        <v>3.302301406</v>
      </c>
      <c r="W361" s="21">
        <f t="shared" si="2"/>
        <v>5.45938799</v>
      </c>
      <c r="X361" s="21">
        <f t="shared" si="3"/>
        <v>0.5516154452</v>
      </c>
      <c r="Y361" s="21">
        <f t="shared" si="4"/>
        <v>227.7804853</v>
      </c>
      <c r="Z361" s="21">
        <f t="shared" si="5"/>
        <v>1.256472338</v>
      </c>
      <c r="AA361" s="21">
        <f t="shared" si="6"/>
        <v>0.2628232477</v>
      </c>
    </row>
    <row r="362">
      <c r="A362" s="4" t="s">
        <v>1390</v>
      </c>
      <c r="B362" s="4" t="str">
        <f>IFERROR(__xludf.DUMMYFUNCTION("SPLIT(A362:A1086, ""&gt;"")"),"Lotame ")</f>
        <v>Lotame </v>
      </c>
      <c r="C362" s="4" t="str">
        <f>IFERROR(__xludf.DUMMYFUNCTION("""COMPUTED_VALUE""")," Style, Fashion &amp; Clothing ")</f>
        <v> Style, Fashion &amp; Clothing </v>
      </c>
      <c r="D362" s="4" t="str">
        <f>IFERROR(__xludf.DUMMYFUNCTION("""COMPUTED_VALUE""")," Clothing Shoppers")</f>
        <v> Clothing Shoppers</v>
      </c>
      <c r="E362" s="4"/>
      <c r="F362" s="4"/>
      <c r="G362" s="4"/>
      <c r="H362" s="4"/>
      <c r="I362" s="5" t="s">
        <v>15</v>
      </c>
      <c r="J362" s="5" t="s">
        <v>16</v>
      </c>
      <c r="K362" s="5" t="s">
        <v>39</v>
      </c>
      <c r="L362" s="6" t="s">
        <v>539</v>
      </c>
      <c r="M362" s="5" t="s">
        <v>117</v>
      </c>
      <c r="N362" s="5" t="s">
        <v>27</v>
      </c>
      <c r="O362" s="5">
        <v>19464.0</v>
      </c>
      <c r="P362" s="5">
        <v>68.0</v>
      </c>
      <c r="Q362" s="5">
        <v>11814.0</v>
      </c>
      <c r="R362" s="5">
        <v>17040.0</v>
      </c>
      <c r="S362" s="5">
        <v>9.0</v>
      </c>
      <c r="T362" s="5">
        <v>1540.46935</v>
      </c>
      <c r="V362" s="21">
        <f t="shared" si="1"/>
        <v>79.1445412</v>
      </c>
      <c r="W362" s="21">
        <f t="shared" si="2"/>
        <v>130.3935458</v>
      </c>
      <c r="X362" s="21">
        <f t="shared" si="3"/>
        <v>13.23529412</v>
      </c>
      <c r="Y362" s="21">
        <f t="shared" si="4"/>
        <v>171.1632611</v>
      </c>
      <c r="Z362" s="21">
        <f t="shared" si="5"/>
        <v>22.65396103</v>
      </c>
      <c r="AA362" s="21">
        <f t="shared" si="6"/>
        <v>0.3493629264</v>
      </c>
    </row>
    <row r="363">
      <c r="A363" s="4" t="s">
        <v>1391</v>
      </c>
      <c r="B363" s="4" t="str">
        <f>IFERROR(__xludf.DUMMYFUNCTION("SPLIT(A363:A1087, ""&gt;"")"),"Transactional ")</f>
        <v>Transactional </v>
      </c>
      <c r="C363" s="4" t="str">
        <f>IFERROR(__xludf.DUMMYFUNCTION("""COMPUTED_VALUE""")," Q3 Home Entertainers")</f>
        <v> Q3 Home Entertainers</v>
      </c>
      <c r="D363" s="4"/>
      <c r="E363" s="4"/>
      <c r="F363" s="4"/>
      <c r="G363" s="4"/>
      <c r="H363" s="4"/>
      <c r="I363" s="5" t="s">
        <v>22</v>
      </c>
      <c r="J363" s="5" t="s">
        <v>16</v>
      </c>
      <c r="K363" s="5" t="s">
        <v>17</v>
      </c>
      <c r="L363" s="6" t="s">
        <v>539</v>
      </c>
      <c r="M363" s="5" t="s">
        <v>26</v>
      </c>
      <c r="N363" s="5" t="s">
        <v>27</v>
      </c>
      <c r="O363" s="5">
        <v>50838.0</v>
      </c>
      <c r="P363" s="5">
        <v>130.0</v>
      </c>
      <c r="Q363" s="5">
        <v>23274.0</v>
      </c>
      <c r="R363" s="5">
        <v>35934.0</v>
      </c>
      <c r="S363" s="5">
        <v>11.0</v>
      </c>
      <c r="T363" s="5">
        <v>1521.372273</v>
      </c>
      <c r="V363" s="21">
        <f t="shared" si="1"/>
        <v>29.92588758</v>
      </c>
      <c r="W363" s="21">
        <f t="shared" si="2"/>
        <v>65.36789005</v>
      </c>
      <c r="X363" s="21">
        <f t="shared" si="3"/>
        <v>8.461538462</v>
      </c>
      <c r="Y363" s="21">
        <f t="shared" si="4"/>
        <v>138.3065703</v>
      </c>
      <c r="Z363" s="21">
        <f t="shared" si="5"/>
        <v>11.70286364</v>
      </c>
      <c r="AA363" s="21">
        <f t="shared" si="6"/>
        <v>0.2557142295</v>
      </c>
    </row>
    <row r="364">
      <c r="A364" s="4" t="s">
        <v>1392</v>
      </c>
      <c r="B364" s="4" t="str">
        <f>IFERROR(__xludf.DUMMYFUNCTION("SPLIT(A364:A1088, ""&gt;"")"),"Travel and Tourism ")</f>
        <v>Travel and Tourism </v>
      </c>
      <c r="C364" s="4" t="str">
        <f>IFERROR(__xludf.DUMMYFUNCTION("""COMPUTED_VALUE""")," Interest (Affinity) ")</f>
        <v> Interest (Affinity) </v>
      </c>
      <c r="D364" s="4" t="str">
        <f>IFERROR(__xludf.DUMMYFUNCTION("""COMPUTED_VALUE""")," Products ")</f>
        <v> Products </v>
      </c>
      <c r="E364" s="4" t="str">
        <f>IFERROR(__xludf.DUMMYFUNCTION("""COMPUTED_VALUE""")," Hotels and Lodging")</f>
        <v> Hotels and Lodging</v>
      </c>
      <c r="F364" s="4"/>
      <c r="G364" s="4"/>
      <c r="H364" s="4"/>
      <c r="I364" s="5" t="s">
        <v>15</v>
      </c>
      <c r="J364" s="5" t="s">
        <v>23</v>
      </c>
      <c r="K364" s="5" t="s">
        <v>55</v>
      </c>
      <c r="L364" s="6" t="s">
        <v>539</v>
      </c>
      <c r="M364" s="5" t="s">
        <v>136</v>
      </c>
      <c r="N364" s="5" t="s">
        <v>27</v>
      </c>
      <c r="O364" s="5">
        <v>679098.0</v>
      </c>
      <c r="P364" s="5">
        <v>1984.0</v>
      </c>
      <c r="Q364" s="5">
        <v>467726.0</v>
      </c>
      <c r="R364" s="5">
        <v>634589.0</v>
      </c>
      <c r="S364" s="5">
        <v>9.0</v>
      </c>
      <c r="T364" s="5">
        <v>1477.424856</v>
      </c>
      <c r="V364" s="21">
        <f t="shared" si="1"/>
        <v>2.175569441</v>
      </c>
      <c r="W364" s="21">
        <f t="shared" si="2"/>
        <v>3.158740066</v>
      </c>
      <c r="X364" s="21">
        <f t="shared" si="3"/>
        <v>0.4536290323</v>
      </c>
      <c r="Y364" s="21">
        <f t="shared" si="4"/>
        <v>164.1583173</v>
      </c>
      <c r="Z364" s="21">
        <f t="shared" si="5"/>
        <v>0.7446697863</v>
      </c>
      <c r="AA364" s="21">
        <f t="shared" si="6"/>
        <v>0.2921522372</v>
      </c>
    </row>
    <row r="365">
      <c r="A365" s="4" t="s">
        <v>1850</v>
      </c>
      <c r="B365" s="4" t="str">
        <f>IFERROR(__xludf.DUMMYFUNCTION("SPLIT(A365:A1089, ""&gt;"")"),"US ")</f>
        <v>US </v>
      </c>
      <c r="C365" s="4" t="str">
        <f>IFERROR(__xludf.DUMMYFUNCTION("""COMPUTED_VALUE""")," Demographic ")</f>
        <v> Demographic </v>
      </c>
      <c r="D365" s="4" t="str">
        <f>IFERROR(__xludf.DUMMYFUNCTION("""COMPUTED_VALUE""")," Family ")</f>
        <v> Family </v>
      </c>
      <c r="E365" s="4" t="str">
        <f>IFERROR(__xludf.DUMMYFUNCTION("""COMPUTED_VALUE""")," Households with 3 Adults")</f>
        <v> Households with 3 Adults</v>
      </c>
      <c r="F365" s="4"/>
      <c r="G365" s="4"/>
      <c r="H365" s="4"/>
      <c r="I365" s="5" t="s">
        <v>15</v>
      </c>
      <c r="J365" s="5" t="s">
        <v>42</v>
      </c>
      <c r="K365" s="5" t="s">
        <v>29</v>
      </c>
      <c r="L365" s="6" t="s">
        <v>539</v>
      </c>
      <c r="M365" s="5" t="s">
        <v>19</v>
      </c>
      <c r="N365" s="5" t="s">
        <v>52</v>
      </c>
      <c r="O365" s="5">
        <v>32436.0</v>
      </c>
      <c r="P365" s="5">
        <v>56.0</v>
      </c>
      <c r="Q365" s="5">
        <v>17531.0</v>
      </c>
      <c r="R365" s="5">
        <v>28429.0</v>
      </c>
      <c r="S365" s="5">
        <v>6.0</v>
      </c>
      <c r="T365" s="5">
        <v>1470.670167</v>
      </c>
      <c r="V365" s="21">
        <f t="shared" si="1"/>
        <v>45.34067601</v>
      </c>
      <c r="W365" s="21">
        <f t="shared" si="2"/>
        <v>83.88969066</v>
      </c>
      <c r="X365" s="21">
        <f t="shared" si="3"/>
        <v>10.71428571</v>
      </c>
      <c r="Y365" s="21">
        <f t="shared" si="4"/>
        <v>245.1116945</v>
      </c>
      <c r="Z365" s="21">
        <f t="shared" si="5"/>
        <v>26.26196727</v>
      </c>
      <c r="AA365" s="21">
        <f t="shared" si="6"/>
        <v>0.1726476754</v>
      </c>
    </row>
    <row r="366">
      <c r="A366" s="4" t="s">
        <v>1394</v>
      </c>
      <c r="B366" s="4" t="str">
        <f>IFERROR(__xludf.DUMMYFUNCTION("SPLIT(A366:A1090, ""&gt;"")"),"Online Behavior")</f>
        <v>Online Behavior</v>
      </c>
      <c r="C366" s="4" t="str">
        <f>IFERROR(__xludf.DUMMYFUNCTION("""COMPUTED_VALUE"""),"United States")</f>
        <v>United States</v>
      </c>
      <c r="D366" s="4" t="str">
        <f>IFERROR(__xludf.DUMMYFUNCTION("""COMPUTED_VALUE"""),"Intent ")</f>
        <v>Intent </v>
      </c>
      <c r="E366" s="4" t="str">
        <f>IFERROR(__xludf.DUMMYFUNCTION("""COMPUTED_VALUE""")," Shopping")</f>
        <v> Shopping</v>
      </c>
      <c r="F366" s="4" t="str">
        <f>IFERROR(__xludf.DUMMYFUNCTION("""COMPUTED_VALUE"""),"Entertainment")</f>
        <v>Entertainment</v>
      </c>
      <c r="G366" s="4"/>
      <c r="H366" s="4"/>
      <c r="I366" s="5" t="s">
        <v>61</v>
      </c>
      <c r="J366" s="5" t="s">
        <v>23</v>
      </c>
      <c r="K366" s="5" t="s">
        <v>78</v>
      </c>
      <c r="L366" s="6" t="s">
        <v>565</v>
      </c>
      <c r="M366" s="5" t="s">
        <v>117</v>
      </c>
      <c r="N366" s="5" t="s">
        <v>27</v>
      </c>
      <c r="O366" s="5">
        <v>11734.0</v>
      </c>
      <c r="P366" s="5">
        <v>78.0</v>
      </c>
      <c r="Q366" s="5">
        <v>8741.0</v>
      </c>
      <c r="R366" s="5">
        <v>10606.0</v>
      </c>
      <c r="S366" s="5">
        <v>5.0</v>
      </c>
      <c r="T366" s="5">
        <v>6439.283498</v>
      </c>
      <c r="V366" s="21">
        <f t="shared" si="1"/>
        <v>548.7713907</v>
      </c>
      <c r="W366" s="21">
        <f t="shared" si="2"/>
        <v>736.6758378</v>
      </c>
      <c r="X366" s="21">
        <f t="shared" si="3"/>
        <v>6.41025641</v>
      </c>
      <c r="Y366" s="21">
        <f t="shared" si="4"/>
        <v>1287.8567</v>
      </c>
      <c r="Z366" s="21">
        <f t="shared" si="5"/>
        <v>82.55491664</v>
      </c>
      <c r="AA366" s="21">
        <f t="shared" si="6"/>
        <v>0.6647349582</v>
      </c>
    </row>
    <row r="367">
      <c r="A367" s="4" t="s">
        <v>566</v>
      </c>
      <c r="B367" s="4" t="str">
        <f>IFERROR(__xludf.DUMMYFUNCTION("SPLIT(A367:A1091, ""&gt;"")"),"Online Behavior")</f>
        <v>Online Behavior</v>
      </c>
      <c r="C367" s="4" t="str">
        <f>IFERROR(__xludf.DUMMYFUNCTION("""COMPUTED_VALUE"""),"United States")</f>
        <v>United States</v>
      </c>
      <c r="D367" s="4" t="str">
        <f>IFERROR(__xludf.DUMMYFUNCTION("""COMPUTED_VALUE"""),"The Changing Consumer")</f>
        <v>The Changing Consumer</v>
      </c>
      <c r="E367" s="4" t="str">
        <f>IFERROR(__xludf.DUMMYFUNCTION("""COMPUTED_VALUE"""),"Personal Budgeting")</f>
        <v>Personal Budgeting</v>
      </c>
      <c r="F367" s="4"/>
      <c r="G367" s="4"/>
      <c r="H367" s="4"/>
      <c r="I367" s="5" t="s">
        <v>22</v>
      </c>
      <c r="J367" s="5" t="s">
        <v>23</v>
      </c>
      <c r="K367" s="5" t="s">
        <v>147</v>
      </c>
      <c r="L367" s="6" t="s">
        <v>565</v>
      </c>
      <c r="M367" s="5" t="s">
        <v>36</v>
      </c>
      <c r="N367" s="5" t="s">
        <v>27</v>
      </c>
      <c r="O367" s="5">
        <v>27371.0</v>
      </c>
      <c r="P367" s="5">
        <v>60.0</v>
      </c>
      <c r="Q367" s="5">
        <v>22256.0</v>
      </c>
      <c r="R367" s="5">
        <v>25986.0</v>
      </c>
      <c r="S367" s="5">
        <v>5.0</v>
      </c>
      <c r="T367" s="5">
        <v>4984.485583</v>
      </c>
      <c r="V367" s="21">
        <f t="shared" si="1"/>
        <v>182.1082746</v>
      </c>
      <c r="W367" s="21">
        <f t="shared" si="2"/>
        <v>223.9614299</v>
      </c>
      <c r="X367" s="21">
        <f t="shared" si="3"/>
        <v>8.333333333</v>
      </c>
      <c r="Y367" s="21">
        <f t="shared" si="4"/>
        <v>996.8971166</v>
      </c>
      <c r="Z367" s="21">
        <f t="shared" si="5"/>
        <v>83.07475972</v>
      </c>
      <c r="AA367" s="21">
        <f t="shared" si="6"/>
        <v>0.2192101129</v>
      </c>
    </row>
    <row r="368">
      <c r="A368" s="4" t="s">
        <v>1851</v>
      </c>
      <c r="B368" s="4" t="str">
        <f>IFERROR(__xludf.DUMMYFUNCTION("SPLIT(A368:A1092, ""&gt;"")"),"Mobile - US ")</f>
        <v>Mobile - US </v>
      </c>
      <c r="C368" s="4" t="str">
        <f>IFERROR(__xludf.DUMMYFUNCTION("""COMPUTED_VALUE""")," Food ")</f>
        <v> Food </v>
      </c>
      <c r="D368" s="4" t="str">
        <f>IFERROR(__xludf.DUMMYFUNCTION("""COMPUTED_VALUE""")," Restaurant ")</f>
        <v> Restaurant </v>
      </c>
      <c r="E368" s="4" t="str">
        <f>IFERROR(__xludf.DUMMYFUNCTION("""COMPUTED_VALUE""")," Brand ")</f>
        <v> Brand </v>
      </c>
      <c r="F368" s="4" t="str">
        <f>IFERROR(__xludf.DUMMYFUNCTION("""COMPUTED_VALUE""")," Moes Southwest Grill")</f>
        <v> Moes Southwest Grill</v>
      </c>
      <c r="G368" s="4"/>
      <c r="H368" s="4"/>
      <c r="I368" s="5" t="s">
        <v>22</v>
      </c>
      <c r="J368" s="5" t="s">
        <v>23</v>
      </c>
      <c r="K368" s="5" t="s">
        <v>84</v>
      </c>
      <c r="L368" s="6" t="s">
        <v>565</v>
      </c>
      <c r="M368" s="5" t="s">
        <v>117</v>
      </c>
      <c r="N368" s="5" t="s">
        <v>27</v>
      </c>
      <c r="O368" s="5">
        <v>21903.0</v>
      </c>
      <c r="P368" s="5">
        <v>124.0</v>
      </c>
      <c r="Q368" s="5">
        <v>18831.0</v>
      </c>
      <c r="R368" s="5">
        <v>20922.0</v>
      </c>
      <c r="S368" s="5">
        <v>4.0</v>
      </c>
      <c r="T368" s="5">
        <v>1661.167909</v>
      </c>
      <c r="V368" s="21">
        <f t="shared" si="1"/>
        <v>75.84202662</v>
      </c>
      <c r="W368" s="21">
        <f t="shared" si="2"/>
        <v>88.21453502</v>
      </c>
      <c r="X368" s="21">
        <f t="shared" si="3"/>
        <v>3.225806452</v>
      </c>
      <c r="Y368" s="21">
        <f t="shared" si="4"/>
        <v>415.2919773</v>
      </c>
      <c r="Z368" s="21">
        <f t="shared" si="5"/>
        <v>13.3965154</v>
      </c>
      <c r="AA368" s="21">
        <f t="shared" si="6"/>
        <v>0.5661324933</v>
      </c>
    </row>
    <row r="369">
      <c r="A369" s="4" t="s">
        <v>1396</v>
      </c>
      <c r="B369" s="4" t="str">
        <f>IFERROR(__xludf.DUMMYFUNCTION("SPLIT(A369:A1093, ""&gt;"")"),"Online Behavior")</f>
        <v>Online Behavior</v>
      </c>
      <c r="C369" s="4" t="str">
        <f>IFERROR(__xludf.DUMMYFUNCTION("""COMPUTED_VALUE"""),"United States")</f>
        <v>United States</v>
      </c>
      <c r="D369" s="4" t="str">
        <f>IFERROR(__xludf.DUMMYFUNCTION("""COMPUTED_VALUE"""),"Validated Demographic ")</f>
        <v>Validated Demographic </v>
      </c>
      <c r="E369" s="4" t="str">
        <f>IFERROR(__xludf.DUMMYFUNCTION("""COMPUTED_VALUE""")," Gender and Age Combined")</f>
        <v> Gender and Age Combined</v>
      </c>
      <c r="F369" s="4" t="str">
        <f>IFERROR(__xludf.DUMMYFUNCTION("""COMPUTED_VALUE"""),"Males 25-54")</f>
        <v>Males 25-54</v>
      </c>
      <c r="G369" s="4"/>
      <c r="H369" s="4"/>
      <c r="I369" s="5" t="s">
        <v>15</v>
      </c>
      <c r="J369" s="5" t="s">
        <v>16</v>
      </c>
      <c r="K369" s="5" t="s">
        <v>35</v>
      </c>
      <c r="L369" s="6" t="s">
        <v>569</v>
      </c>
      <c r="M369" s="5" t="s">
        <v>184</v>
      </c>
      <c r="N369" s="5" t="s">
        <v>27</v>
      </c>
      <c r="O369" s="5">
        <v>9725.0</v>
      </c>
      <c r="P369" s="5">
        <v>80.0</v>
      </c>
      <c r="Q369" s="5">
        <v>6616.0</v>
      </c>
      <c r="R369" s="5">
        <v>8778.0</v>
      </c>
      <c r="S369" s="5">
        <v>1.0</v>
      </c>
      <c r="T369" s="5">
        <v>4942.283987</v>
      </c>
      <c r="V369" s="21">
        <f t="shared" si="1"/>
        <v>508.2040089</v>
      </c>
      <c r="W369" s="21">
        <f t="shared" si="2"/>
        <v>747.0199497</v>
      </c>
      <c r="X369" s="21">
        <f t="shared" si="3"/>
        <v>1.25</v>
      </c>
      <c r="Y369" s="21">
        <f t="shared" si="4"/>
        <v>4942.283987</v>
      </c>
      <c r="Z369" s="21">
        <f t="shared" si="5"/>
        <v>61.77854984</v>
      </c>
      <c r="AA369" s="21">
        <f t="shared" si="6"/>
        <v>0.822622108</v>
      </c>
    </row>
    <row r="370">
      <c r="A370" s="4" t="s">
        <v>570</v>
      </c>
      <c r="B370" s="4" t="str">
        <f>IFERROR(__xludf.DUMMYFUNCTION("SPLIT(A370:A1094, ""&gt;"")"),"Online Behavior")</f>
        <v>Online Behavior</v>
      </c>
      <c r="C370" s="4" t="str">
        <f>IFERROR(__xludf.DUMMYFUNCTION("""COMPUTED_VALUE"""),"United States")</f>
        <v>United States</v>
      </c>
      <c r="D370" s="4" t="str">
        <f>IFERROR(__xludf.DUMMYFUNCTION("""COMPUTED_VALUE"""),"Travel")</f>
        <v>Travel</v>
      </c>
      <c r="E370" s="4" t="str">
        <f>IFERROR(__xludf.DUMMYFUNCTION("""COMPUTED_VALUE"""),"Business Travel")</f>
        <v>Business Travel</v>
      </c>
      <c r="F370" s="4"/>
      <c r="G370" s="4"/>
      <c r="H370" s="4"/>
      <c r="I370" s="5" t="s">
        <v>22</v>
      </c>
      <c r="J370" s="5" t="s">
        <v>23</v>
      </c>
      <c r="K370" s="5" t="s">
        <v>35</v>
      </c>
      <c r="L370" s="6" t="s">
        <v>569</v>
      </c>
      <c r="M370" s="5" t="s">
        <v>19</v>
      </c>
      <c r="N370" s="5" t="s">
        <v>27</v>
      </c>
      <c r="O370" s="5">
        <v>45965.0</v>
      </c>
      <c r="P370" s="5">
        <v>190.0</v>
      </c>
      <c r="Q370" s="5">
        <v>10028.0</v>
      </c>
      <c r="R370" s="5">
        <v>37295.0</v>
      </c>
      <c r="S370" s="5">
        <v>1.0</v>
      </c>
      <c r="T370" s="5">
        <v>4718.836114</v>
      </c>
      <c r="V370" s="21">
        <f t="shared" si="1"/>
        <v>102.6615058</v>
      </c>
      <c r="W370" s="21">
        <f t="shared" si="2"/>
        <v>470.5660265</v>
      </c>
      <c r="X370" s="21">
        <f t="shared" si="3"/>
        <v>0.5263157895</v>
      </c>
      <c r="Y370" s="21">
        <f t="shared" si="4"/>
        <v>4718.836114</v>
      </c>
      <c r="Z370" s="21">
        <f t="shared" si="5"/>
        <v>24.83597955</v>
      </c>
      <c r="AA370" s="21">
        <f t="shared" si="6"/>
        <v>0.4133579898</v>
      </c>
    </row>
    <row r="371">
      <c r="A371" s="4" t="s">
        <v>1852</v>
      </c>
      <c r="B371" s="4" t="str">
        <f>IFERROR(__xludf.DUMMYFUNCTION("SPLIT(A371:A1095, ""&gt;"")"),"US Financial ")</f>
        <v>US Financial </v>
      </c>
      <c r="C371" s="4" t="str">
        <f>IFERROR(__xludf.DUMMYFUNCTION("""COMPUTED_VALUE""")," Likely In Market Timing ")</f>
        <v> Likely In Market Timing </v>
      </c>
      <c r="D371" s="4" t="str">
        <f>IFERROR(__xludf.DUMMYFUNCTION("""COMPUTED_VALUE""")," Not At All Likely to Purchase ")</f>
        <v> Not At All Likely to Purchase </v>
      </c>
      <c r="E371" s="4" t="str">
        <f>IFERROR(__xludf.DUMMYFUNCTION("""COMPUTED_VALUE""")," Second House/Residence In The Next Year (Financial)")</f>
        <v> Second House/Residence In The Next Year (Financial)</v>
      </c>
      <c r="F371" s="4"/>
      <c r="G371" s="4"/>
      <c r="H371" s="4"/>
      <c r="I371" s="5" t="s">
        <v>15</v>
      </c>
      <c r="J371" s="5" t="s">
        <v>31</v>
      </c>
      <c r="K371" s="5" t="s">
        <v>17</v>
      </c>
      <c r="L371" s="6" t="s">
        <v>572</v>
      </c>
      <c r="M371" s="5" t="s">
        <v>19</v>
      </c>
      <c r="N371" s="5" t="s">
        <v>27</v>
      </c>
      <c r="O371" s="5">
        <v>8944.0</v>
      </c>
      <c r="P371" s="5">
        <v>45.0</v>
      </c>
      <c r="Q371" s="5">
        <v>3002.0</v>
      </c>
      <c r="R371" s="5">
        <v>6361.0</v>
      </c>
      <c r="S371" s="5">
        <v>6.0</v>
      </c>
      <c r="T371" s="5">
        <v>1755.484542</v>
      </c>
      <c r="V371" s="21">
        <f t="shared" si="1"/>
        <v>196.2751053</v>
      </c>
      <c r="W371" s="21">
        <f t="shared" si="2"/>
        <v>584.7716662</v>
      </c>
      <c r="X371" s="21">
        <f t="shared" si="3"/>
        <v>13.33333333</v>
      </c>
      <c r="Y371" s="21">
        <f t="shared" si="4"/>
        <v>292.580757</v>
      </c>
      <c r="Z371" s="21">
        <f t="shared" si="5"/>
        <v>39.0107676</v>
      </c>
      <c r="AA371" s="21">
        <f t="shared" si="6"/>
        <v>0.5031305903</v>
      </c>
    </row>
    <row r="372">
      <c r="A372" s="4" t="s">
        <v>1399</v>
      </c>
      <c r="B372" s="4" t="str">
        <f>IFERROR(__xludf.DUMMYFUNCTION("SPLIT(A372:A1096, ""&gt;"")"),"Online Behavior")</f>
        <v>Online Behavior</v>
      </c>
      <c r="C372" s="4" t="str">
        <f>IFERROR(__xludf.DUMMYFUNCTION("""COMPUTED_VALUE"""),"United States")</f>
        <v>United States</v>
      </c>
      <c r="D372" s="4" t="str">
        <f>IFERROR(__xludf.DUMMYFUNCTION("""COMPUTED_VALUE"""),"Hobbies and Leisure")</f>
        <v>Hobbies and Leisure</v>
      </c>
      <c r="E372" s="4" t="str">
        <f>IFERROR(__xludf.DUMMYFUNCTION("""COMPUTED_VALUE"""),"Special Occasions ")</f>
        <v>Special Occasions </v>
      </c>
      <c r="F372" s="4" t="str">
        <f>IFERROR(__xludf.DUMMYFUNCTION("""COMPUTED_VALUE""")," Party Planning")</f>
        <v> Party Planning</v>
      </c>
      <c r="G372" s="4"/>
      <c r="H372" s="4"/>
      <c r="I372" s="5" t="s">
        <v>15</v>
      </c>
      <c r="J372" s="5" t="s">
        <v>42</v>
      </c>
      <c r="K372" s="5" t="s">
        <v>29</v>
      </c>
      <c r="L372" s="6" t="s">
        <v>574</v>
      </c>
      <c r="M372" s="5" t="s">
        <v>117</v>
      </c>
      <c r="N372" s="5" t="s">
        <v>27</v>
      </c>
      <c r="O372" s="5">
        <v>14398.0</v>
      </c>
      <c r="P372" s="5">
        <v>30.0</v>
      </c>
      <c r="Q372" s="5">
        <v>2807.0</v>
      </c>
      <c r="R372" s="5">
        <v>13393.0</v>
      </c>
      <c r="S372" s="5">
        <v>7.0</v>
      </c>
      <c r="T372" s="5">
        <v>5154.644555</v>
      </c>
      <c r="V372" s="21">
        <f t="shared" si="1"/>
        <v>358.0111512</v>
      </c>
      <c r="W372" s="21">
        <f t="shared" si="2"/>
        <v>1836.3536</v>
      </c>
      <c r="X372" s="21">
        <f t="shared" si="3"/>
        <v>23.33333333</v>
      </c>
      <c r="Y372" s="21">
        <f t="shared" si="4"/>
        <v>736.3777936</v>
      </c>
      <c r="Z372" s="21">
        <f t="shared" si="5"/>
        <v>171.8214852</v>
      </c>
      <c r="AA372" s="21">
        <f t="shared" si="6"/>
        <v>0.2083622725</v>
      </c>
    </row>
    <row r="373">
      <c r="A373" s="4" t="s">
        <v>1400</v>
      </c>
      <c r="B373" s="4" t="str">
        <f>IFERROR(__xludf.DUMMYFUNCTION("SPLIT(A373:A1097, ""&gt;"")"),"Online Behavior")</f>
        <v>Online Behavior</v>
      </c>
      <c r="C373" s="4" t="str">
        <f>IFERROR(__xludf.DUMMYFUNCTION("""COMPUTED_VALUE"""),"United States")</f>
        <v>United States</v>
      </c>
      <c r="D373" s="4" t="str">
        <f>IFERROR(__xludf.DUMMYFUNCTION("""COMPUTED_VALUE"""),"Sports")</f>
        <v>Sports</v>
      </c>
      <c r="E373" s="4" t="str">
        <f>IFERROR(__xludf.DUMMYFUNCTION("""COMPUTED_VALUE"""),"Individual Sports ")</f>
        <v>Individual Sports </v>
      </c>
      <c r="F373" s="4" t="str">
        <f>IFERROR(__xludf.DUMMYFUNCTION("""COMPUTED_VALUE""")," Skate Sports")</f>
        <v> Skate Sports</v>
      </c>
      <c r="G373" s="4"/>
      <c r="H373" s="4"/>
      <c r="I373" s="5" t="s">
        <v>22</v>
      </c>
      <c r="J373" s="5" t="s">
        <v>23</v>
      </c>
      <c r="K373" s="5" t="s">
        <v>214</v>
      </c>
      <c r="L373" s="6" t="s">
        <v>576</v>
      </c>
      <c r="M373" s="5" t="s">
        <v>50</v>
      </c>
      <c r="N373" s="5" t="s">
        <v>27</v>
      </c>
      <c r="O373" s="5">
        <v>117879.0</v>
      </c>
      <c r="P373" s="5">
        <v>390.0</v>
      </c>
      <c r="Q373" s="5">
        <v>52098.0</v>
      </c>
      <c r="R373" s="5">
        <v>86127.0</v>
      </c>
      <c r="S373" s="5">
        <v>1.0</v>
      </c>
      <c r="T373" s="5">
        <v>5102.706729</v>
      </c>
      <c r="V373" s="21">
        <f t="shared" si="1"/>
        <v>43.28766556</v>
      </c>
      <c r="W373" s="21">
        <f t="shared" si="2"/>
        <v>97.94438806</v>
      </c>
      <c r="X373" s="21">
        <f t="shared" si="3"/>
        <v>0.2564102564</v>
      </c>
      <c r="Y373" s="21">
        <f t="shared" si="4"/>
        <v>5102.706729</v>
      </c>
      <c r="Z373" s="21">
        <f t="shared" si="5"/>
        <v>13.08386341</v>
      </c>
      <c r="AA373" s="21">
        <f t="shared" si="6"/>
        <v>0.3308477337</v>
      </c>
    </row>
    <row r="374">
      <c r="A374" s="4" t="s">
        <v>1853</v>
      </c>
      <c r="B374" s="4" t="str">
        <f>IFERROR(__xludf.DUMMYFUNCTION("SPLIT(A374:A1098, ""&gt;"")"),"US ")</f>
        <v>US </v>
      </c>
      <c r="C374" s="4" t="str">
        <f>IFERROR(__xludf.DUMMYFUNCTION("""COMPUTED_VALUE""")," Reach ")</f>
        <v> Reach </v>
      </c>
      <c r="D374" s="4" t="str">
        <f>IFERROR(__xludf.DUMMYFUNCTION("""COMPUTED_VALUE""")," Propensity Models ")</f>
        <v> Propensity Models </v>
      </c>
      <c r="E374" s="4" t="str">
        <f>IFERROR(__xludf.DUMMYFUNCTION("""COMPUTED_VALUE""")," Hobbies and Interest ")</f>
        <v> Hobbies and Interest </v>
      </c>
      <c r="F374" s="4" t="str">
        <f>IFERROR(__xludf.DUMMYFUNCTION("""COMPUTED_VALUE""")," Sports ")</f>
        <v> Sports </v>
      </c>
      <c r="G374" s="4" t="str">
        <f>IFERROR(__xludf.DUMMYFUNCTION("""COMPUTED_VALUE""")," NFL Enthusiast")</f>
        <v> NFL Enthusiast</v>
      </c>
      <c r="H374" s="4"/>
      <c r="I374" s="5" t="s">
        <v>15</v>
      </c>
      <c r="J374" s="5" t="s">
        <v>31</v>
      </c>
      <c r="K374" s="5" t="s">
        <v>32</v>
      </c>
      <c r="L374" s="6" t="s">
        <v>578</v>
      </c>
      <c r="M374" s="5" t="s">
        <v>19</v>
      </c>
      <c r="N374" s="5" t="s">
        <v>27</v>
      </c>
      <c r="O374" s="5">
        <v>22444.0</v>
      </c>
      <c r="P374" s="5">
        <v>160.0</v>
      </c>
      <c r="Q374" s="5">
        <v>12672.0</v>
      </c>
      <c r="R374" s="5">
        <v>21345.0</v>
      </c>
      <c r="S374" s="5">
        <v>5.0</v>
      </c>
      <c r="T374" s="5">
        <v>2539.200563</v>
      </c>
      <c r="V374" s="21">
        <f t="shared" si="1"/>
        <v>113.1349386</v>
      </c>
      <c r="W374" s="21">
        <f t="shared" si="2"/>
        <v>200.3788323</v>
      </c>
      <c r="X374" s="21">
        <f t="shared" si="3"/>
        <v>3.125</v>
      </c>
      <c r="Y374" s="21">
        <f t="shared" si="4"/>
        <v>507.8401126</v>
      </c>
      <c r="Z374" s="21">
        <f t="shared" si="5"/>
        <v>15.87000352</v>
      </c>
      <c r="AA374" s="21">
        <f t="shared" si="6"/>
        <v>0.7128854037</v>
      </c>
    </row>
    <row r="375">
      <c r="A375" s="4" t="s">
        <v>1854</v>
      </c>
      <c r="B375" s="4" t="str">
        <f>IFERROR(__xludf.DUMMYFUNCTION("SPLIT(A375:A1099, ""&gt;"")"),"Mobile - US ")</f>
        <v>Mobile - US </v>
      </c>
      <c r="C375" s="4" t="str">
        <f>IFERROR(__xludf.DUMMYFUNCTION("""COMPUTED_VALUE""")," Device Ownership ")</f>
        <v> Device Ownership </v>
      </c>
      <c r="D375" s="4" t="str">
        <f>IFERROR(__xludf.DUMMYFUNCTION("""COMPUTED_VALUE""")," Tablets ")</f>
        <v> Tablets </v>
      </c>
      <c r="E375" s="4" t="str">
        <f>IFERROR(__xludf.DUMMYFUNCTION("""COMPUTED_VALUE""")," yes")</f>
        <v> yes</v>
      </c>
      <c r="F375" s="4"/>
      <c r="G375" s="4"/>
      <c r="H375" s="4"/>
      <c r="I375" s="5" t="s">
        <v>15</v>
      </c>
      <c r="J375" s="5" t="s">
        <v>31</v>
      </c>
      <c r="K375" s="5" t="s">
        <v>173</v>
      </c>
      <c r="L375" s="6" t="s">
        <v>578</v>
      </c>
      <c r="M375" s="5" t="s">
        <v>46</v>
      </c>
      <c r="N375" s="5" t="s">
        <v>20</v>
      </c>
      <c r="O375" s="5">
        <v>17645.0</v>
      </c>
      <c r="P375" s="5">
        <v>40.0</v>
      </c>
      <c r="Q375" s="5">
        <v>9673.0</v>
      </c>
      <c r="R375" s="5">
        <v>15088.0</v>
      </c>
      <c r="S375" s="5">
        <v>15.0</v>
      </c>
      <c r="T375" s="5">
        <v>1591.772246</v>
      </c>
      <c r="V375" s="21">
        <f t="shared" si="1"/>
        <v>90.21095188</v>
      </c>
      <c r="W375" s="21">
        <f t="shared" si="2"/>
        <v>164.5582804</v>
      </c>
      <c r="X375" s="21">
        <f t="shared" si="3"/>
        <v>37.5</v>
      </c>
      <c r="Y375" s="21">
        <f t="shared" si="4"/>
        <v>106.1181497</v>
      </c>
      <c r="Z375" s="21">
        <f t="shared" si="5"/>
        <v>39.79430615</v>
      </c>
      <c r="AA375" s="21">
        <f t="shared" si="6"/>
        <v>0.2266931142</v>
      </c>
    </row>
    <row r="376">
      <c r="A376" s="4" t="s">
        <v>1855</v>
      </c>
      <c r="B376" s="4" t="str">
        <f>IFERROR(__xludf.DUMMYFUNCTION("SPLIT(A376:A1100, ""&gt;"")"),"US ")</f>
        <v>US </v>
      </c>
      <c r="C376" s="4" t="str">
        <f>IFERROR(__xludf.DUMMYFUNCTION("""COMPUTED_VALUE""")," Health and Wellbeing ")</f>
        <v> Health and Wellbeing </v>
      </c>
      <c r="D376" s="4" t="str">
        <f>IFERROR(__xludf.DUMMYFUNCTION("""COMPUTED_VALUE""")," Health and Wellbeing")</f>
        <v> Health and Wellbeing</v>
      </c>
      <c r="E376" s="4"/>
      <c r="F376" s="4"/>
      <c r="G376" s="4"/>
      <c r="H376" s="4"/>
      <c r="I376" s="5" t="s">
        <v>22</v>
      </c>
      <c r="J376" s="5" t="s">
        <v>23</v>
      </c>
      <c r="K376" s="5" t="s">
        <v>35</v>
      </c>
      <c r="L376" s="6" t="s">
        <v>578</v>
      </c>
      <c r="M376" s="5" t="s">
        <v>36</v>
      </c>
      <c r="N376" s="5" t="s">
        <v>27</v>
      </c>
      <c r="O376" s="5">
        <v>9881.0</v>
      </c>
      <c r="P376" s="5">
        <v>15.0</v>
      </c>
      <c r="Q376" s="5">
        <v>2344.0</v>
      </c>
      <c r="R376" s="5">
        <v>7324.0</v>
      </c>
      <c r="S376" s="5">
        <v>1.0</v>
      </c>
      <c r="T376" s="5">
        <v>1505.01155</v>
      </c>
      <c r="V376" s="21">
        <f t="shared" si="1"/>
        <v>152.3136879</v>
      </c>
      <c r="W376" s="21">
        <f t="shared" si="2"/>
        <v>642.0697739</v>
      </c>
      <c r="X376" s="21">
        <f t="shared" si="3"/>
        <v>6.666666667</v>
      </c>
      <c r="Y376" s="21">
        <f t="shared" si="4"/>
        <v>1505.01155</v>
      </c>
      <c r="Z376" s="21">
        <f t="shared" si="5"/>
        <v>100.3341033</v>
      </c>
      <c r="AA376" s="21">
        <f t="shared" si="6"/>
        <v>0.1518064973</v>
      </c>
    </row>
    <row r="377">
      <c r="A377" s="4" t="s">
        <v>1856</v>
      </c>
      <c r="B377" s="4" t="str">
        <f>IFERROR(__xludf.DUMMYFUNCTION("SPLIT(A377:A1101, ""&gt;"")"),"US ")</f>
        <v>US </v>
      </c>
      <c r="C377" s="4" t="str">
        <f>IFERROR(__xludf.DUMMYFUNCTION("""COMPUTED_VALUE""")," Brand Propensities ")</f>
        <v> Brand Propensities </v>
      </c>
      <c r="D377" s="4" t="str">
        <f>IFERROR(__xludf.DUMMYFUNCTION("""COMPUTED_VALUE""")," Telecom and Service Providers ")</f>
        <v> Telecom and Service Providers </v>
      </c>
      <c r="E377" s="4" t="str">
        <f>IFERROR(__xludf.DUMMYFUNCTION("""COMPUTED_VALUE""")," Page Plus Cellular Buyer Propensity")</f>
        <v> Page Plus Cellular Buyer Propensity</v>
      </c>
      <c r="F377" s="4"/>
      <c r="G377" s="4"/>
      <c r="H377" s="4"/>
      <c r="I377" s="5" t="s">
        <v>22</v>
      </c>
      <c r="J377" s="5" t="s">
        <v>23</v>
      </c>
      <c r="K377" s="5" t="s">
        <v>273</v>
      </c>
      <c r="L377" s="6" t="s">
        <v>582</v>
      </c>
      <c r="M377" s="5" t="s">
        <v>167</v>
      </c>
      <c r="N377" s="5" t="s">
        <v>27</v>
      </c>
      <c r="O377" s="5">
        <v>12148.0</v>
      </c>
      <c r="P377" s="5">
        <v>40.0</v>
      </c>
      <c r="Q377" s="5">
        <v>7950.0</v>
      </c>
      <c r="R377" s="5">
        <v>11360.0</v>
      </c>
      <c r="S377" s="5">
        <v>9.0</v>
      </c>
      <c r="T377" s="5">
        <v>1936.008049</v>
      </c>
      <c r="V377" s="21">
        <f t="shared" si="1"/>
        <v>159.3684597</v>
      </c>
      <c r="W377" s="21">
        <f t="shared" si="2"/>
        <v>243.523025</v>
      </c>
      <c r="X377" s="21">
        <f t="shared" si="3"/>
        <v>22.5</v>
      </c>
      <c r="Y377" s="21">
        <f t="shared" si="4"/>
        <v>215.1120054</v>
      </c>
      <c r="Z377" s="21">
        <f t="shared" si="5"/>
        <v>48.40020123</v>
      </c>
      <c r="AA377" s="21">
        <f t="shared" si="6"/>
        <v>0.3292723082</v>
      </c>
    </row>
    <row r="378">
      <c r="A378" s="4" t="s">
        <v>1857</v>
      </c>
      <c r="B378" s="4" t="str">
        <f>IFERROR(__xludf.DUMMYFUNCTION("SPLIT(A378:A1102, ""&gt;"")"),"US ")</f>
        <v>US </v>
      </c>
      <c r="C378" s="4" t="str">
        <f>IFERROR(__xludf.DUMMYFUNCTION("""COMPUTED_VALUE""")," Reach ")</f>
        <v> Reach </v>
      </c>
      <c r="D378" s="4" t="str">
        <f>IFERROR(__xludf.DUMMYFUNCTION("""COMPUTED_VALUE""")," Propensity Models ")</f>
        <v> Propensity Models </v>
      </c>
      <c r="E378" s="4" t="str">
        <f>IFERROR(__xludf.DUMMYFUNCTION("""COMPUTED_VALUE""")," Hobbies and Interest ")</f>
        <v> Hobbies and Interest </v>
      </c>
      <c r="F378" s="4" t="str">
        <f>IFERROR(__xludf.DUMMYFUNCTION("""COMPUTED_VALUE""")," Music ")</f>
        <v> Music </v>
      </c>
      <c r="G378" s="4" t="str">
        <f>IFERROR(__xludf.DUMMYFUNCTION("""COMPUTED_VALUE""")," Listens to Pop Music")</f>
        <v> Listens to Pop Music</v>
      </c>
      <c r="H378" s="4"/>
      <c r="I378" s="5" t="s">
        <v>22</v>
      </c>
      <c r="J378" s="5" t="s">
        <v>23</v>
      </c>
      <c r="K378" s="5" t="s">
        <v>29</v>
      </c>
      <c r="L378" s="6" t="s">
        <v>584</v>
      </c>
      <c r="M378" s="5" t="s">
        <v>19</v>
      </c>
      <c r="N378" s="5" t="s">
        <v>27</v>
      </c>
      <c r="O378" s="5">
        <v>18771.0</v>
      </c>
      <c r="P378" s="5">
        <v>69.0</v>
      </c>
      <c r="Q378" s="5">
        <v>10871.0</v>
      </c>
      <c r="R378" s="5">
        <v>17138.0</v>
      </c>
      <c r="S378" s="5">
        <v>6.0</v>
      </c>
      <c r="T378" s="5">
        <v>3827.366381</v>
      </c>
      <c r="V378" s="21">
        <f t="shared" si="1"/>
        <v>203.8978414</v>
      </c>
      <c r="W378" s="21">
        <f t="shared" si="2"/>
        <v>352.0712336</v>
      </c>
      <c r="X378" s="21">
        <f t="shared" si="3"/>
        <v>8.695652174</v>
      </c>
      <c r="Y378" s="21">
        <f t="shared" si="4"/>
        <v>637.8943968</v>
      </c>
      <c r="Z378" s="21">
        <f t="shared" si="5"/>
        <v>55.46907799</v>
      </c>
      <c r="AA378" s="21">
        <f t="shared" si="6"/>
        <v>0.3675883011</v>
      </c>
    </row>
    <row r="379">
      <c r="A379" s="4" t="s">
        <v>1406</v>
      </c>
      <c r="B379" s="4" t="str">
        <f>IFERROR(__xludf.DUMMYFUNCTION("SPLIT(A379:A1103, ""&gt;"")"),"Media and Entertainment ")</f>
        <v>Media and Entertainment </v>
      </c>
      <c r="C379" s="4" t="str">
        <f>IFERROR(__xludf.DUMMYFUNCTION("""COMPUTED_VALUE""")," Sports and Recreational Activities ")</f>
        <v> Sports and Recreational Activities </v>
      </c>
      <c r="D379" s="4" t="str">
        <f>IFERROR(__xludf.DUMMYFUNCTION("""COMPUTED_VALUE""")," Interest (Affinity) ")</f>
        <v> Interest (Affinity) </v>
      </c>
      <c r="E379" s="4" t="str">
        <f>IFERROR(__xludf.DUMMYFUNCTION("""COMPUTED_VALUE""")," Team Sports ")</f>
        <v> Team Sports </v>
      </c>
      <c r="F379" s="4" t="str">
        <f>IFERROR(__xludf.DUMMYFUNCTION("""COMPUTED_VALUE""")," Soccer (Football)")</f>
        <v> Soccer (Football)</v>
      </c>
      <c r="G379" s="4"/>
      <c r="H379" s="4"/>
      <c r="I379" s="5" t="s">
        <v>15</v>
      </c>
      <c r="J379" s="5" t="s">
        <v>23</v>
      </c>
      <c r="K379" s="5" t="s">
        <v>39</v>
      </c>
      <c r="L379" s="6" t="s">
        <v>584</v>
      </c>
      <c r="M379" s="5" t="s">
        <v>46</v>
      </c>
      <c r="N379" s="5" t="s">
        <v>27</v>
      </c>
      <c r="O379" s="5">
        <v>7402.0</v>
      </c>
      <c r="P379" s="5">
        <v>9.0</v>
      </c>
      <c r="Q379" s="5">
        <v>3860.0</v>
      </c>
      <c r="R379" s="5">
        <v>6406.0</v>
      </c>
      <c r="S379" s="5">
        <v>1.0</v>
      </c>
      <c r="T379" s="5">
        <v>1560.449936</v>
      </c>
      <c r="V379" s="21">
        <f t="shared" si="1"/>
        <v>210.814636</v>
      </c>
      <c r="W379" s="21">
        <f t="shared" si="2"/>
        <v>404.2616415</v>
      </c>
      <c r="X379" s="21">
        <f t="shared" si="3"/>
        <v>11.11111111</v>
      </c>
      <c r="Y379" s="21">
        <f t="shared" si="4"/>
        <v>1560.449936</v>
      </c>
      <c r="Z379" s="21">
        <f t="shared" si="5"/>
        <v>173.3833262</v>
      </c>
      <c r="AA379" s="21">
        <f t="shared" si="6"/>
        <v>0.1215887598</v>
      </c>
    </row>
    <row r="380">
      <c r="A380" s="4" t="s">
        <v>1407</v>
      </c>
      <c r="B380" s="4" t="str">
        <f>IFERROR(__xludf.DUMMYFUNCTION("SPLIT(A380:A1104, ""&gt;"")"),"Online Behavior")</f>
        <v>Online Behavior</v>
      </c>
      <c r="C380" s="4" t="str">
        <f>IFERROR(__xludf.DUMMYFUNCTION("""COMPUTED_VALUE"""),"United States")</f>
        <v>United States</v>
      </c>
      <c r="D380" s="4" t="str">
        <f>IFERROR(__xludf.DUMMYFUNCTION("""COMPUTED_VALUE"""),"B2B ")</f>
        <v>B2B </v>
      </c>
      <c r="E380" s="4" t="str">
        <f>IFERROR(__xludf.DUMMYFUNCTION("""COMPUTED_VALUE""")," Occupation")</f>
        <v> Occupation</v>
      </c>
      <c r="F380" s="4" t="str">
        <f>IFERROR(__xludf.DUMMYFUNCTION("""COMPUTED_VALUE"""),"ElectricalEngineer")</f>
        <v>ElectricalEngineer</v>
      </c>
      <c r="G380" s="4"/>
      <c r="H380" s="4"/>
      <c r="I380" s="5" t="s">
        <v>22</v>
      </c>
      <c r="J380" s="5" t="s">
        <v>23</v>
      </c>
      <c r="K380" s="5" t="s">
        <v>35</v>
      </c>
      <c r="L380" s="6" t="s">
        <v>587</v>
      </c>
      <c r="M380" s="5" t="s">
        <v>19</v>
      </c>
      <c r="N380" s="5" t="s">
        <v>27</v>
      </c>
      <c r="O380" s="5">
        <v>38735.0</v>
      </c>
      <c r="P380" s="5">
        <v>114.0</v>
      </c>
      <c r="Q380" s="5">
        <v>28719.0</v>
      </c>
      <c r="R380" s="5">
        <v>36629.0</v>
      </c>
      <c r="S380" s="5">
        <v>4.0</v>
      </c>
      <c r="T380" s="5">
        <v>2127.824066</v>
      </c>
      <c r="V380" s="21">
        <f t="shared" si="1"/>
        <v>54.93285313</v>
      </c>
      <c r="W380" s="21">
        <f t="shared" si="2"/>
        <v>74.09116146</v>
      </c>
      <c r="X380" s="21">
        <f t="shared" si="3"/>
        <v>3.50877193</v>
      </c>
      <c r="Y380" s="21">
        <f t="shared" si="4"/>
        <v>531.9560165</v>
      </c>
      <c r="Z380" s="21">
        <f t="shared" si="5"/>
        <v>18.66512339</v>
      </c>
      <c r="AA380" s="21">
        <f t="shared" si="6"/>
        <v>0.2943074739</v>
      </c>
    </row>
    <row r="381">
      <c r="A381" s="4" t="s">
        <v>588</v>
      </c>
      <c r="B381" s="4" t="str">
        <f>IFERROR(__xludf.DUMMYFUNCTION("SPLIT(A381:A1105, ""&gt;"")"),"Online Behavior")</f>
        <v>Online Behavior</v>
      </c>
      <c r="C381" s="4" t="str">
        <f>IFERROR(__xludf.DUMMYFUNCTION("""COMPUTED_VALUE"""),"United States")</f>
        <v>United States</v>
      </c>
      <c r="D381" s="4" t="str">
        <f>IFERROR(__xludf.DUMMYFUNCTION("""COMPUTED_VALUE"""),"Beauty and Fitness")</f>
        <v>Beauty and Fitness</v>
      </c>
      <c r="E381" s="4" t="str">
        <f>IFERROR(__xludf.DUMMYFUNCTION("""COMPUTED_VALUE"""),"Fashion and Style")</f>
        <v>Fashion and Style</v>
      </c>
      <c r="F381" s="4"/>
      <c r="G381" s="4"/>
      <c r="H381" s="4"/>
      <c r="I381" s="5" t="s">
        <v>22</v>
      </c>
      <c r="J381" s="5" t="s">
        <v>42</v>
      </c>
      <c r="K381" s="5" t="s">
        <v>55</v>
      </c>
      <c r="L381" s="6" t="s">
        <v>587</v>
      </c>
      <c r="M381" s="5" t="s">
        <v>33</v>
      </c>
      <c r="N381" s="5" t="s">
        <v>27</v>
      </c>
      <c r="O381" s="5">
        <v>7320.0</v>
      </c>
      <c r="P381" s="5">
        <v>33.0</v>
      </c>
      <c r="Q381" s="5">
        <v>4020.0</v>
      </c>
      <c r="R381" s="5">
        <v>6692.0</v>
      </c>
      <c r="S381" s="5">
        <v>15.0</v>
      </c>
      <c r="T381" s="5">
        <v>1730.37357</v>
      </c>
      <c r="V381" s="21">
        <f t="shared" si="1"/>
        <v>236.389832</v>
      </c>
      <c r="W381" s="21">
        <f t="shared" si="2"/>
        <v>430.4411866</v>
      </c>
      <c r="X381" s="21">
        <f t="shared" si="3"/>
        <v>45.45454545</v>
      </c>
      <c r="Y381" s="21">
        <f t="shared" si="4"/>
        <v>115.358238</v>
      </c>
      <c r="Z381" s="21">
        <f t="shared" si="5"/>
        <v>52.43556273</v>
      </c>
      <c r="AA381" s="21">
        <f t="shared" si="6"/>
        <v>0.4508196721</v>
      </c>
    </row>
    <row r="382">
      <c r="A382" s="4" t="s">
        <v>1408</v>
      </c>
      <c r="B382" s="4" t="str">
        <f>IFERROR(__xludf.DUMMYFUNCTION("SPLIT(A382:A1106, ""&gt;"")"),"Online Behavior")</f>
        <v>Online Behavior</v>
      </c>
      <c r="C382" s="4" t="str">
        <f>IFERROR(__xludf.DUMMYFUNCTION("""COMPUTED_VALUE"""),"United States")</f>
        <v>United States</v>
      </c>
      <c r="D382" s="4" t="str">
        <f>IFERROR(__xludf.DUMMYFUNCTION("""COMPUTED_VALUE"""),"Autos and Vehicles ")</f>
        <v>Autos and Vehicles </v>
      </c>
      <c r="E382" s="4" t="str">
        <f>IFERROR(__xludf.DUMMYFUNCTION("""COMPUTED_VALUE""")," Brands")</f>
        <v> Brands</v>
      </c>
      <c r="F382" s="4" t="str">
        <f>IFERROR(__xludf.DUMMYFUNCTION("""COMPUTED_VALUE"""),"Honda")</f>
        <v>Honda</v>
      </c>
      <c r="G382" s="4"/>
      <c r="H382" s="4"/>
      <c r="I382" s="5" t="s">
        <v>22</v>
      </c>
      <c r="J382" s="5" t="s">
        <v>42</v>
      </c>
      <c r="K382" s="5" t="s">
        <v>356</v>
      </c>
      <c r="L382" s="6" t="s">
        <v>590</v>
      </c>
      <c r="M382" s="5" t="s">
        <v>26</v>
      </c>
      <c r="N382" s="5" t="s">
        <v>27</v>
      </c>
      <c r="O382" s="5">
        <v>90463.0</v>
      </c>
      <c r="P382" s="5">
        <v>204.0</v>
      </c>
      <c r="Q382" s="5">
        <v>803.0</v>
      </c>
      <c r="R382" s="5">
        <v>2465.0</v>
      </c>
      <c r="S382" s="5">
        <v>9.0</v>
      </c>
      <c r="T382" s="5">
        <v>6120.602514</v>
      </c>
      <c r="V382" s="21">
        <f t="shared" si="1"/>
        <v>67.65862854</v>
      </c>
      <c r="W382" s="21">
        <f t="shared" si="2"/>
        <v>7622.170005</v>
      </c>
      <c r="X382" s="21">
        <f t="shared" si="3"/>
        <v>4.411764706</v>
      </c>
      <c r="Y382" s="21">
        <f t="shared" si="4"/>
        <v>680.066946</v>
      </c>
      <c r="Z382" s="21">
        <f t="shared" si="5"/>
        <v>30.0029535</v>
      </c>
      <c r="AA382" s="21">
        <f t="shared" si="6"/>
        <v>0.2255065607</v>
      </c>
    </row>
    <row r="383">
      <c r="A383" s="4" t="s">
        <v>1409</v>
      </c>
      <c r="B383" s="4" t="str">
        <f>IFERROR(__xludf.DUMMYFUNCTION("SPLIT(A383:A1107, ""&gt;"")"),"Online Behavior")</f>
        <v>Online Behavior</v>
      </c>
      <c r="C383" s="4" t="str">
        <f>IFERROR(__xludf.DUMMYFUNCTION("""COMPUTED_VALUE"""),"United States")</f>
        <v>United States</v>
      </c>
      <c r="D383" s="4" t="str">
        <f>IFERROR(__xludf.DUMMYFUNCTION("""COMPUTED_VALUE"""),"Validated Demographic ")</f>
        <v>Validated Demographic </v>
      </c>
      <c r="E383" s="4" t="str">
        <f>IFERROR(__xludf.DUMMYFUNCTION("""COMPUTED_VALUE""")," Age")</f>
        <v> Age</v>
      </c>
      <c r="F383" s="4" t="str">
        <f>IFERROR(__xludf.DUMMYFUNCTION("""COMPUTED_VALUE"""),"25-64")</f>
        <v>25-64</v>
      </c>
      <c r="G383" s="4"/>
      <c r="H383" s="4"/>
      <c r="I383" s="5" t="s">
        <v>22</v>
      </c>
      <c r="J383" s="5" t="s">
        <v>31</v>
      </c>
      <c r="K383" s="5" t="s">
        <v>304</v>
      </c>
      <c r="L383" s="6" t="s">
        <v>590</v>
      </c>
      <c r="M383" s="5" t="s">
        <v>36</v>
      </c>
      <c r="N383" s="5" t="s">
        <v>27</v>
      </c>
      <c r="O383" s="5">
        <v>252170.0</v>
      </c>
      <c r="P383" s="5">
        <v>650.0</v>
      </c>
      <c r="Q383" s="5">
        <v>9248.0</v>
      </c>
      <c r="R383" s="5">
        <v>14192.0</v>
      </c>
      <c r="S383" s="5">
        <v>1.0</v>
      </c>
      <c r="T383" s="5">
        <v>5874.00478</v>
      </c>
      <c r="V383" s="21">
        <f t="shared" si="1"/>
        <v>23.29382869</v>
      </c>
      <c r="W383" s="21">
        <f t="shared" si="2"/>
        <v>635.1648767</v>
      </c>
      <c r="X383" s="21">
        <f t="shared" si="3"/>
        <v>0.1538461538</v>
      </c>
      <c r="Y383" s="21">
        <f t="shared" si="4"/>
        <v>5874.00478</v>
      </c>
      <c r="Z383" s="21">
        <f t="shared" si="5"/>
        <v>9.036930431</v>
      </c>
      <c r="AA383" s="21">
        <f t="shared" si="6"/>
        <v>0.2577626205</v>
      </c>
    </row>
    <row r="384">
      <c r="A384" s="4" t="s">
        <v>1858</v>
      </c>
      <c r="B384" s="4" t="str">
        <f>IFERROR(__xludf.DUMMYFUNCTION("SPLIT(A384:A1108, ""&gt;"")"),"US ")</f>
        <v>US </v>
      </c>
      <c r="C384" s="4" t="str">
        <f>IFERROR(__xludf.DUMMYFUNCTION("""COMPUTED_VALUE""")," Reach ")</f>
        <v> Reach </v>
      </c>
      <c r="D384" s="4" t="str">
        <f>IFERROR(__xludf.DUMMYFUNCTION("""COMPUTED_VALUE""")," Propensity Models ")</f>
        <v> Propensity Models </v>
      </c>
      <c r="E384" s="4" t="str">
        <f>IFERROR(__xludf.DUMMYFUNCTION("""COMPUTED_VALUE""")," Household Consumer Expenditures ")</f>
        <v> Household Consumer Expenditures </v>
      </c>
      <c r="F384" s="4" t="str">
        <f>IFERROR(__xludf.DUMMYFUNCTION("""COMPUTED_VALUE""")," Furniture")</f>
        <v> Furniture</v>
      </c>
      <c r="G384" s="4"/>
      <c r="H384" s="4"/>
      <c r="I384" s="5" t="s">
        <v>22</v>
      </c>
      <c r="J384" s="5" t="s">
        <v>16</v>
      </c>
      <c r="K384" s="5" t="s">
        <v>593</v>
      </c>
      <c r="L384" s="6" t="s">
        <v>590</v>
      </c>
      <c r="M384" s="5" t="s">
        <v>26</v>
      </c>
      <c r="N384" s="5" t="s">
        <v>27</v>
      </c>
      <c r="O384" s="5">
        <v>68114.0</v>
      </c>
      <c r="P384" s="5">
        <v>174.0</v>
      </c>
      <c r="Q384" s="5">
        <v>569.0</v>
      </c>
      <c r="R384" s="5">
        <v>2059.0</v>
      </c>
      <c r="S384" s="5">
        <v>15.0</v>
      </c>
      <c r="T384" s="5">
        <v>2753.711986</v>
      </c>
      <c r="V384" s="21">
        <f t="shared" si="1"/>
        <v>40.42798817</v>
      </c>
      <c r="W384" s="21">
        <f t="shared" si="2"/>
        <v>4839.564123</v>
      </c>
      <c r="X384" s="21">
        <f t="shared" si="3"/>
        <v>8.620689655</v>
      </c>
      <c r="Y384" s="21">
        <f t="shared" si="4"/>
        <v>183.5807991</v>
      </c>
      <c r="Z384" s="21">
        <f t="shared" si="5"/>
        <v>15.82593095</v>
      </c>
      <c r="AA384" s="21">
        <f t="shared" si="6"/>
        <v>0.2554540917</v>
      </c>
    </row>
    <row r="385">
      <c r="A385" s="4" t="s">
        <v>1859</v>
      </c>
      <c r="B385" s="4" t="str">
        <f>IFERROR(__xludf.DUMMYFUNCTION("SPLIT(A385:A1109, ""&gt;"")"),"US ")</f>
        <v>US </v>
      </c>
      <c r="C385" s="4" t="str">
        <f>IFERROR(__xludf.DUMMYFUNCTION("""COMPUTED_VALUE""")," Reach ")</f>
        <v> Reach </v>
      </c>
      <c r="D385" s="4" t="str">
        <f>IFERROR(__xludf.DUMMYFUNCTION("""COMPUTED_VALUE""")," Propensity Models ")</f>
        <v> Propensity Models </v>
      </c>
      <c r="E385" s="4" t="str">
        <f>IFERROR(__xludf.DUMMYFUNCTION("""COMPUTED_VALUE""")," Hobbies and Interest ")</f>
        <v> Hobbies and Interest </v>
      </c>
      <c r="F385" s="4" t="str">
        <f>IFERROR(__xludf.DUMMYFUNCTION("""COMPUTED_VALUE""")," Music ")</f>
        <v> Music </v>
      </c>
      <c r="G385" s="4" t="str">
        <f>IFERROR(__xludf.DUMMYFUNCTION("""COMPUTED_VALUE""")," Listens to Country Music")</f>
        <v> Listens to Country Music</v>
      </c>
      <c r="H385" s="4"/>
      <c r="I385" s="5" t="s">
        <v>15</v>
      </c>
      <c r="J385" s="5" t="s">
        <v>42</v>
      </c>
      <c r="K385" s="5" t="s">
        <v>29</v>
      </c>
      <c r="L385" s="6" t="s">
        <v>590</v>
      </c>
      <c r="M385" s="5" t="s">
        <v>231</v>
      </c>
      <c r="N385" s="5" t="s">
        <v>27</v>
      </c>
      <c r="O385" s="5">
        <v>292578.0</v>
      </c>
      <c r="P385" s="5">
        <v>812.0</v>
      </c>
      <c r="Q385" s="5">
        <v>6474.0</v>
      </c>
      <c r="R385" s="5">
        <v>12323.0</v>
      </c>
      <c r="S385" s="5">
        <v>4.0</v>
      </c>
      <c r="T385" s="5">
        <v>1826.318738</v>
      </c>
      <c r="V385" s="21">
        <f t="shared" si="1"/>
        <v>6.242160169</v>
      </c>
      <c r="W385" s="21">
        <f t="shared" si="2"/>
        <v>282.1005156</v>
      </c>
      <c r="X385" s="21">
        <f t="shared" si="3"/>
        <v>0.4926108374</v>
      </c>
      <c r="Y385" s="21">
        <f t="shared" si="4"/>
        <v>456.5796845</v>
      </c>
      <c r="Z385" s="21">
        <f t="shared" si="5"/>
        <v>2.249161007</v>
      </c>
      <c r="AA385" s="21">
        <f t="shared" si="6"/>
        <v>0.2775328289</v>
      </c>
    </row>
    <row r="386">
      <c r="A386" s="4" t="s">
        <v>1412</v>
      </c>
      <c r="B386" s="4" t="str">
        <f>IFERROR(__xludf.DUMMYFUNCTION("SPLIT(A386:A1110, ""&gt;"")"),"Online Behavior")</f>
        <v>Online Behavior</v>
      </c>
      <c r="C386" s="4" t="str">
        <f>IFERROR(__xludf.DUMMYFUNCTION("""COMPUTED_VALUE"""),"United States")</f>
        <v>United States</v>
      </c>
      <c r="D386" s="4" t="str">
        <f>IFERROR(__xludf.DUMMYFUNCTION("""COMPUTED_VALUE"""),"Intent ")</f>
        <v>Intent </v>
      </c>
      <c r="E386" s="4" t="str">
        <f>IFERROR(__xludf.DUMMYFUNCTION("""COMPUTED_VALUE""")," Shopping")</f>
        <v> Shopping</v>
      </c>
      <c r="F386" s="4" t="str">
        <f>IFERROR(__xludf.DUMMYFUNCTION("""COMPUTED_VALUE"""),"Wireless Providers")</f>
        <v>Wireless Providers</v>
      </c>
      <c r="G386" s="4"/>
      <c r="H386" s="4"/>
      <c r="I386" s="5" t="s">
        <v>15</v>
      </c>
      <c r="J386" s="5" t="s">
        <v>42</v>
      </c>
      <c r="K386" s="5" t="s">
        <v>17</v>
      </c>
      <c r="L386" s="6" t="s">
        <v>596</v>
      </c>
      <c r="M386" s="5" t="s">
        <v>19</v>
      </c>
      <c r="N386" s="5" t="s">
        <v>20</v>
      </c>
      <c r="O386" s="5">
        <v>39725.0</v>
      </c>
      <c r="P386" s="5">
        <v>144.0</v>
      </c>
      <c r="Q386" s="5">
        <v>5402.0</v>
      </c>
      <c r="R386" s="5">
        <v>36080.0</v>
      </c>
      <c r="S386" s="5">
        <v>12.0</v>
      </c>
      <c r="T386" s="5">
        <v>6431.555152</v>
      </c>
      <c r="V386" s="21">
        <f t="shared" si="1"/>
        <v>161.9019547</v>
      </c>
      <c r="W386" s="21">
        <f t="shared" si="2"/>
        <v>1190.587773</v>
      </c>
      <c r="X386" s="21">
        <f t="shared" si="3"/>
        <v>8.333333333</v>
      </c>
      <c r="Y386" s="21">
        <f t="shared" si="4"/>
        <v>535.9629293</v>
      </c>
      <c r="Z386" s="21">
        <f t="shared" si="5"/>
        <v>44.66357744</v>
      </c>
      <c r="AA386" s="21">
        <f t="shared" si="6"/>
        <v>0.3624921334</v>
      </c>
    </row>
    <row r="387">
      <c r="A387" s="4" t="s">
        <v>1413</v>
      </c>
      <c r="B387" s="4" t="str">
        <f>IFERROR(__xludf.DUMMYFUNCTION("SPLIT(A387:A1111, ""&gt;"")"),"Online Behavior")</f>
        <v>Online Behavior</v>
      </c>
      <c r="C387" s="4" t="str">
        <f>IFERROR(__xludf.DUMMYFUNCTION("""COMPUTED_VALUE"""),"United States")</f>
        <v>United States</v>
      </c>
      <c r="D387" s="4" t="str">
        <f>IFERROR(__xludf.DUMMYFUNCTION("""COMPUTED_VALUE"""),"Hobbies and Leisure")</f>
        <v>Hobbies and Leisure</v>
      </c>
      <c r="E387" s="4" t="str">
        <f>IFERROR(__xludf.DUMMYFUNCTION("""COMPUTED_VALUE"""),"Outdoors ")</f>
        <v>Outdoors </v>
      </c>
      <c r="F387" s="4" t="str">
        <f>IFERROR(__xludf.DUMMYFUNCTION("""COMPUTED_VALUE""")," Fishing")</f>
        <v> Fishing</v>
      </c>
      <c r="G387" s="4"/>
      <c r="H387" s="4"/>
      <c r="I387" s="5" t="s">
        <v>15</v>
      </c>
      <c r="J387" s="5" t="s">
        <v>23</v>
      </c>
      <c r="K387" s="5" t="s">
        <v>78</v>
      </c>
      <c r="L387" s="6" t="s">
        <v>598</v>
      </c>
      <c r="M387" s="5" t="s">
        <v>26</v>
      </c>
      <c r="N387" s="5" t="s">
        <v>52</v>
      </c>
      <c r="O387" s="5">
        <v>25206.0</v>
      </c>
      <c r="P387" s="5">
        <v>75.0</v>
      </c>
      <c r="Q387" s="5">
        <v>3588.0</v>
      </c>
      <c r="R387" s="5">
        <v>23556.0</v>
      </c>
      <c r="S387" s="5">
        <v>19.0</v>
      </c>
      <c r="T387" s="5">
        <v>6846.356434</v>
      </c>
      <c r="V387" s="21">
        <f t="shared" si="1"/>
        <v>271.6161404</v>
      </c>
      <c r="W387" s="21">
        <f t="shared" si="2"/>
        <v>1908.126096</v>
      </c>
      <c r="X387" s="21">
        <f t="shared" si="3"/>
        <v>25.33333333</v>
      </c>
      <c r="Y387" s="21">
        <f t="shared" si="4"/>
        <v>360.3345492</v>
      </c>
      <c r="Z387" s="21">
        <f t="shared" si="5"/>
        <v>91.28475245</v>
      </c>
      <c r="AA387" s="21">
        <f t="shared" si="6"/>
        <v>0.2975482028</v>
      </c>
    </row>
    <row r="388">
      <c r="A388" s="4" t="s">
        <v>1414</v>
      </c>
      <c r="B388" s="4" t="str">
        <f>IFERROR(__xludf.DUMMYFUNCTION("SPLIT(A388:A1112, ""&gt;"")"),"Online Behavior")</f>
        <v>Online Behavior</v>
      </c>
      <c r="C388" s="4" t="str">
        <f>IFERROR(__xludf.DUMMYFUNCTION("""COMPUTED_VALUE"""),"United States")</f>
        <v>United States</v>
      </c>
      <c r="D388" s="4" t="str">
        <f>IFERROR(__xludf.DUMMYFUNCTION("""COMPUTED_VALUE"""),"Autos and Vehicles ")</f>
        <v>Autos and Vehicles </v>
      </c>
      <c r="E388" s="4" t="str">
        <f>IFERROR(__xludf.DUMMYFUNCTION("""COMPUTED_VALUE""")," Brands")</f>
        <v> Brands</v>
      </c>
      <c r="F388" s="4" t="str">
        <f>IFERROR(__xludf.DUMMYFUNCTION("""COMPUTED_VALUE"""),"Volkswagen")</f>
        <v>Volkswagen</v>
      </c>
      <c r="G388" s="4"/>
      <c r="H388" s="4"/>
      <c r="I388" s="5" t="s">
        <v>15</v>
      </c>
      <c r="J388" s="5" t="s">
        <v>16</v>
      </c>
      <c r="K388" s="5" t="s">
        <v>45</v>
      </c>
      <c r="L388" s="6" t="s">
        <v>598</v>
      </c>
      <c r="M388" s="5" t="s">
        <v>19</v>
      </c>
      <c r="N388" s="5" t="s">
        <v>27</v>
      </c>
      <c r="O388" s="5">
        <v>7789.0</v>
      </c>
      <c r="P388" s="5">
        <v>30.0</v>
      </c>
      <c r="Q388" s="5">
        <v>4655.0</v>
      </c>
      <c r="R388" s="5">
        <v>7434.0</v>
      </c>
      <c r="S388" s="5">
        <v>1.0</v>
      </c>
      <c r="T388" s="5">
        <v>6396.868763</v>
      </c>
      <c r="V388" s="21">
        <f t="shared" si="1"/>
        <v>821.2695806</v>
      </c>
      <c r="W388" s="21">
        <f t="shared" si="2"/>
        <v>1374.193075</v>
      </c>
      <c r="X388" s="21">
        <f t="shared" si="3"/>
        <v>3.333333333</v>
      </c>
      <c r="Y388" s="21">
        <f t="shared" si="4"/>
        <v>6396.868763</v>
      </c>
      <c r="Z388" s="21">
        <f t="shared" si="5"/>
        <v>213.2289588</v>
      </c>
      <c r="AA388" s="21">
        <f t="shared" si="6"/>
        <v>0.3851585569</v>
      </c>
    </row>
    <row r="389">
      <c r="A389" s="4" t="s">
        <v>1415</v>
      </c>
      <c r="B389" s="4" t="str">
        <f>IFERROR(__xludf.DUMMYFUNCTION("SPLIT(A389:A1113, ""&gt;"")"),"Online Behavior")</f>
        <v>Online Behavior</v>
      </c>
      <c r="C389" s="4" t="str">
        <f>IFERROR(__xludf.DUMMYFUNCTION("""COMPUTED_VALUE"""),"United States")</f>
        <v>United States</v>
      </c>
      <c r="D389" s="4" t="str">
        <f>IFERROR(__xludf.DUMMYFUNCTION("""COMPUTED_VALUE"""),"Autos and Vehicles ")</f>
        <v>Autos and Vehicles </v>
      </c>
      <c r="E389" s="4" t="str">
        <f>IFERROR(__xludf.DUMMYFUNCTION("""COMPUTED_VALUE""")," Brands")</f>
        <v> Brands</v>
      </c>
      <c r="F389" s="4" t="str">
        <f>IFERROR(__xludf.DUMMYFUNCTION("""COMPUTED_VALUE"""),"Jaguar")</f>
        <v>Jaguar</v>
      </c>
      <c r="G389" s="4"/>
      <c r="H389" s="4"/>
      <c r="I389" s="5" t="s">
        <v>22</v>
      </c>
      <c r="J389" s="5" t="s">
        <v>31</v>
      </c>
      <c r="K389" s="5" t="s">
        <v>35</v>
      </c>
      <c r="L389" s="6" t="s">
        <v>598</v>
      </c>
      <c r="M389" s="5" t="s">
        <v>19</v>
      </c>
      <c r="N389" s="5" t="s">
        <v>27</v>
      </c>
      <c r="O389" s="5">
        <v>38396.0</v>
      </c>
      <c r="P389" s="5">
        <v>87.0</v>
      </c>
      <c r="Q389" s="5">
        <v>6305.0</v>
      </c>
      <c r="R389" s="5">
        <v>35118.0</v>
      </c>
      <c r="S389" s="5">
        <v>9.0</v>
      </c>
      <c r="T389" s="5">
        <v>5740.164546</v>
      </c>
      <c r="V389" s="21">
        <f t="shared" si="1"/>
        <v>149.4990245</v>
      </c>
      <c r="W389" s="21">
        <f t="shared" si="2"/>
        <v>910.4146782</v>
      </c>
      <c r="X389" s="21">
        <f t="shared" si="3"/>
        <v>10.34482759</v>
      </c>
      <c r="Y389" s="21">
        <f t="shared" si="4"/>
        <v>637.7960607</v>
      </c>
      <c r="Z389" s="21">
        <f t="shared" si="5"/>
        <v>65.97890283</v>
      </c>
      <c r="AA389" s="21">
        <f t="shared" si="6"/>
        <v>0.2265861027</v>
      </c>
    </row>
    <row r="390">
      <c r="A390" s="4" t="s">
        <v>1860</v>
      </c>
      <c r="B390" s="4" t="str">
        <f>IFERROR(__xludf.DUMMYFUNCTION("SPLIT(A390:A1114, ""&gt;"")"),"US ")</f>
        <v>US </v>
      </c>
      <c r="C390" s="4" t="str">
        <f>IFERROR(__xludf.DUMMYFUNCTION("""COMPUTED_VALUE""")," Interest Propensities ")</f>
        <v> Interest Propensities </v>
      </c>
      <c r="D390" s="4" t="str">
        <f>IFERROR(__xludf.DUMMYFUNCTION("""COMPUTED_VALUE""")," Celebrities ")</f>
        <v> Celebrities </v>
      </c>
      <c r="E390" s="4" t="str">
        <f>IFERROR(__xludf.DUMMYFUNCTION("""COMPUTED_VALUE""")," Celebrity Fan Gossip")</f>
        <v> Celebrity Fan Gossip</v>
      </c>
      <c r="F390" s="4"/>
      <c r="G390" s="4"/>
      <c r="H390" s="4"/>
      <c r="I390" s="5" t="s">
        <v>22</v>
      </c>
      <c r="J390" s="5" t="s">
        <v>16</v>
      </c>
      <c r="K390" s="5" t="s">
        <v>78</v>
      </c>
      <c r="L390" s="6" t="s">
        <v>598</v>
      </c>
      <c r="M390" s="5" t="s">
        <v>19</v>
      </c>
      <c r="N390" s="5" t="s">
        <v>27</v>
      </c>
      <c r="O390" s="5">
        <v>10012.0</v>
      </c>
      <c r="P390" s="5">
        <v>25.0</v>
      </c>
      <c r="Q390" s="5">
        <v>5734.0</v>
      </c>
      <c r="R390" s="5">
        <v>9413.0</v>
      </c>
      <c r="S390" s="5">
        <v>4.0</v>
      </c>
      <c r="T390" s="5">
        <v>1805.926086</v>
      </c>
      <c r="V390" s="21">
        <f t="shared" si="1"/>
        <v>180.3761572</v>
      </c>
      <c r="W390" s="21">
        <f t="shared" si="2"/>
        <v>314.9504859</v>
      </c>
      <c r="X390" s="21">
        <f t="shared" si="3"/>
        <v>16</v>
      </c>
      <c r="Y390" s="21">
        <f t="shared" si="4"/>
        <v>451.4815215</v>
      </c>
      <c r="Z390" s="21">
        <f t="shared" si="5"/>
        <v>72.23704344</v>
      </c>
      <c r="AA390" s="21">
        <f t="shared" si="6"/>
        <v>0.2497003596</v>
      </c>
    </row>
    <row r="391">
      <c r="A391" s="4" t="s">
        <v>1861</v>
      </c>
      <c r="B391" s="4" t="str">
        <f>IFERROR(__xludf.DUMMYFUNCTION("SPLIT(A391:A1115, ""&gt;"")"),"US ")</f>
        <v>US </v>
      </c>
      <c r="C391" s="4" t="str">
        <f>IFERROR(__xludf.DUMMYFUNCTION("""COMPUTED_VALUE""")," Interest Propensities ")</f>
        <v> Interest Propensities </v>
      </c>
      <c r="D391" s="4" t="str">
        <f>IFERROR(__xludf.DUMMYFUNCTION("""COMPUTED_VALUE""")," Insurance ")</f>
        <v> Insurance </v>
      </c>
      <c r="E391" s="4" t="str">
        <f>IFERROR(__xludf.DUMMYFUNCTION("""COMPUTED_VALUE""")," Humana")</f>
        <v> Humana</v>
      </c>
      <c r="F391" s="4"/>
      <c r="G391" s="4"/>
      <c r="H391" s="4"/>
      <c r="I391" s="5" t="s">
        <v>61</v>
      </c>
      <c r="J391" s="5" t="s">
        <v>23</v>
      </c>
      <c r="K391" s="5" t="s">
        <v>45</v>
      </c>
      <c r="L391" s="6" t="s">
        <v>598</v>
      </c>
      <c r="M391" s="5" t="s">
        <v>603</v>
      </c>
      <c r="N391" s="5" t="s">
        <v>27</v>
      </c>
      <c r="O391" s="5">
        <v>12459.0</v>
      </c>
      <c r="P391" s="5">
        <v>84.0</v>
      </c>
      <c r="Q391" s="5">
        <v>7290.0</v>
      </c>
      <c r="R391" s="5">
        <v>11731.0</v>
      </c>
      <c r="S391" s="5">
        <v>14.0</v>
      </c>
      <c r="T391" s="5">
        <v>1593.010399</v>
      </c>
      <c r="V391" s="21">
        <f t="shared" si="1"/>
        <v>127.8602134</v>
      </c>
      <c r="W391" s="21">
        <f t="shared" si="2"/>
        <v>218.519945</v>
      </c>
      <c r="X391" s="21">
        <f t="shared" si="3"/>
        <v>16.66666667</v>
      </c>
      <c r="Y391" s="21">
        <f t="shared" si="4"/>
        <v>113.7864571</v>
      </c>
      <c r="Z391" s="21">
        <f t="shared" si="5"/>
        <v>18.96440951</v>
      </c>
      <c r="AA391" s="21">
        <f t="shared" si="6"/>
        <v>0.6742114134</v>
      </c>
    </row>
    <row r="392">
      <c r="A392" s="4" t="s">
        <v>1862</v>
      </c>
      <c r="B392" s="4" t="str">
        <f>IFERROR(__xludf.DUMMYFUNCTION("SPLIT(A392:A1116, ""&gt;"")"),"US ")</f>
        <v>US </v>
      </c>
      <c r="C392" s="4" t="str">
        <f>IFERROR(__xludf.DUMMYFUNCTION("""COMPUTED_VALUE""")," Interest Propensities ")</f>
        <v> Interest Propensities </v>
      </c>
      <c r="D392" s="4" t="str">
        <f>IFERROR(__xludf.DUMMYFUNCTION("""COMPUTED_VALUE""")," Activities and Interests ")</f>
        <v> Activities and Interests </v>
      </c>
      <c r="E392" s="4" t="str">
        <f>IFERROR(__xludf.DUMMYFUNCTION("""COMPUTED_VALUE""")," B2B Job Search")</f>
        <v> B2B Job Search</v>
      </c>
      <c r="F392" s="4"/>
      <c r="G392" s="4"/>
      <c r="H392" s="4"/>
      <c r="I392" s="5" t="s">
        <v>22</v>
      </c>
      <c r="J392" s="5" t="s">
        <v>23</v>
      </c>
      <c r="K392" s="5" t="s">
        <v>183</v>
      </c>
      <c r="L392" s="6" t="s">
        <v>598</v>
      </c>
      <c r="M392" s="5" t="s">
        <v>46</v>
      </c>
      <c r="N392" s="5" t="s">
        <v>27</v>
      </c>
      <c r="O392" s="5">
        <v>32714.0</v>
      </c>
      <c r="P392" s="5">
        <v>69.0</v>
      </c>
      <c r="Q392" s="5">
        <v>3756.0</v>
      </c>
      <c r="R392" s="5">
        <v>30764.0</v>
      </c>
      <c r="S392" s="5">
        <v>15.0</v>
      </c>
      <c r="T392" s="5">
        <v>1506.624304</v>
      </c>
      <c r="V392" s="21">
        <f t="shared" si="1"/>
        <v>46.05442025</v>
      </c>
      <c r="W392" s="21">
        <f t="shared" si="2"/>
        <v>401.1246816</v>
      </c>
      <c r="X392" s="21">
        <f t="shared" si="3"/>
        <v>21.73913043</v>
      </c>
      <c r="Y392" s="21">
        <f t="shared" si="4"/>
        <v>100.4416203</v>
      </c>
      <c r="Z392" s="21">
        <f t="shared" si="5"/>
        <v>21.83513484</v>
      </c>
      <c r="AA392" s="21">
        <f t="shared" si="6"/>
        <v>0.2109188727</v>
      </c>
    </row>
    <row r="393">
      <c r="A393" s="4" t="s">
        <v>1419</v>
      </c>
      <c r="B393" s="4" t="str">
        <f>IFERROR(__xludf.DUMMYFUNCTION("SPLIT(A393:A1117, ""&gt;"")"),"Online Behavior")</f>
        <v>Online Behavior</v>
      </c>
      <c r="C393" s="4" t="str">
        <f>IFERROR(__xludf.DUMMYFUNCTION("""COMPUTED_VALUE"""),"United States")</f>
        <v>United States</v>
      </c>
      <c r="D393" s="4" t="str">
        <f>IFERROR(__xludf.DUMMYFUNCTION("""COMPUTED_VALUE"""),"Autos and Vehicles ")</f>
        <v>Autos and Vehicles </v>
      </c>
      <c r="E393" s="4" t="str">
        <f>IFERROR(__xludf.DUMMYFUNCTION("""COMPUTED_VALUE""")," Brands")</f>
        <v> Brands</v>
      </c>
      <c r="F393" s="4" t="str">
        <f>IFERROR(__xludf.DUMMYFUNCTION("""COMPUTED_VALUE"""),"Bugatti")</f>
        <v>Bugatti</v>
      </c>
      <c r="G393" s="4"/>
      <c r="H393" s="4"/>
      <c r="I393" s="5" t="s">
        <v>22</v>
      </c>
      <c r="J393" s="5" t="s">
        <v>23</v>
      </c>
      <c r="K393" s="5" t="s">
        <v>84</v>
      </c>
      <c r="L393" s="6" t="s">
        <v>606</v>
      </c>
      <c r="M393" s="5" t="s">
        <v>19</v>
      </c>
      <c r="N393" s="5" t="s">
        <v>27</v>
      </c>
      <c r="O393" s="5">
        <v>98509.0</v>
      </c>
      <c r="P393" s="5">
        <v>299.0</v>
      </c>
      <c r="Q393" s="5">
        <v>30688.0</v>
      </c>
      <c r="R393" s="5">
        <v>109518.0</v>
      </c>
      <c r="S393" s="5">
        <v>15.0</v>
      </c>
      <c r="T393" s="5">
        <v>2059.270294</v>
      </c>
      <c r="V393" s="21">
        <f t="shared" si="1"/>
        <v>20.90438736</v>
      </c>
      <c r="W393" s="21">
        <f t="shared" si="2"/>
        <v>67.10343763</v>
      </c>
      <c r="X393" s="21">
        <f t="shared" si="3"/>
        <v>5.016722408</v>
      </c>
      <c r="Y393" s="21">
        <f t="shared" si="4"/>
        <v>137.2846863</v>
      </c>
      <c r="Z393" s="21">
        <f t="shared" si="5"/>
        <v>6.887191619</v>
      </c>
      <c r="AA393" s="21">
        <f t="shared" si="6"/>
        <v>0.3035255662</v>
      </c>
    </row>
    <row r="394">
      <c r="A394" s="4" t="s">
        <v>1420</v>
      </c>
      <c r="B394" s="4" t="str">
        <f>IFERROR(__xludf.DUMMYFUNCTION("SPLIT(A394:A1118, ""&gt;"")"),"Media and Entertainment ")</f>
        <v>Media and Entertainment </v>
      </c>
      <c r="C394" s="4" t="str">
        <f>IFERROR(__xludf.DUMMYFUNCTION("""COMPUTED_VALUE""")," Gaming ")</f>
        <v> Gaming </v>
      </c>
      <c r="D394" s="4" t="str">
        <f>IFERROR(__xludf.DUMMYFUNCTION("""COMPUTED_VALUE""")," In-Market")</f>
        <v> In-Market</v>
      </c>
      <c r="E394" s="4"/>
      <c r="F394" s="4"/>
      <c r="G394" s="4"/>
      <c r="H394" s="4"/>
      <c r="I394" s="5" t="s">
        <v>15</v>
      </c>
      <c r="J394" s="5" t="s">
        <v>23</v>
      </c>
      <c r="K394" s="5" t="s">
        <v>29</v>
      </c>
      <c r="L394" s="6" t="s">
        <v>608</v>
      </c>
      <c r="M394" s="5" t="s">
        <v>33</v>
      </c>
      <c r="N394" s="5" t="s">
        <v>52</v>
      </c>
      <c r="O394" s="5">
        <v>37076.0</v>
      </c>
      <c r="P394" s="5">
        <v>113.0</v>
      </c>
      <c r="Q394" s="5">
        <v>9246.0</v>
      </c>
      <c r="R394" s="5">
        <v>22565.0</v>
      </c>
      <c r="S394" s="5">
        <v>12.0</v>
      </c>
      <c r="T394" s="5">
        <v>1487.996078</v>
      </c>
      <c r="V394" s="21">
        <f t="shared" si="1"/>
        <v>40.13367348</v>
      </c>
      <c r="W394" s="21">
        <f t="shared" si="2"/>
        <v>160.934034</v>
      </c>
      <c r="X394" s="21">
        <f t="shared" si="3"/>
        <v>10.61946903</v>
      </c>
      <c r="Y394" s="21">
        <f t="shared" si="4"/>
        <v>123.9996732</v>
      </c>
      <c r="Z394" s="21">
        <f t="shared" si="5"/>
        <v>13.16810688</v>
      </c>
      <c r="AA394" s="21">
        <f t="shared" si="6"/>
        <v>0.3047793721</v>
      </c>
    </row>
    <row r="395">
      <c r="A395" s="4" t="s">
        <v>1421</v>
      </c>
      <c r="B395" s="4" t="str">
        <f>IFERROR(__xludf.DUMMYFUNCTION("SPLIT(A395:A1119, ""&gt;"")"),"Media and Entertainment ")</f>
        <v>Media and Entertainment </v>
      </c>
      <c r="C395" s="4" t="str">
        <f>IFERROR(__xludf.DUMMYFUNCTION("""COMPUTED_VALUE""")," Events and Attractions")</f>
        <v> Events and Attractions</v>
      </c>
      <c r="D395" s="4"/>
      <c r="E395" s="4"/>
      <c r="F395" s="4"/>
      <c r="G395" s="4"/>
      <c r="H395" s="4"/>
      <c r="I395" s="5" t="s">
        <v>15</v>
      </c>
      <c r="J395" s="5" t="s">
        <v>42</v>
      </c>
      <c r="K395" s="5" t="s">
        <v>131</v>
      </c>
      <c r="L395" s="6" t="s">
        <v>610</v>
      </c>
      <c r="M395" s="5" t="s">
        <v>26</v>
      </c>
      <c r="N395" s="5" t="s">
        <v>52</v>
      </c>
      <c r="O395" s="5">
        <v>70506.0</v>
      </c>
      <c r="P395" s="5">
        <v>270.0</v>
      </c>
      <c r="Q395" s="5">
        <v>26779.0</v>
      </c>
      <c r="R395" s="5">
        <v>48902.0</v>
      </c>
      <c r="S395" s="5">
        <v>3.0</v>
      </c>
      <c r="T395" s="5">
        <v>1912.966882</v>
      </c>
      <c r="V395" s="21">
        <f t="shared" si="1"/>
        <v>27.13197291</v>
      </c>
      <c r="W395" s="21">
        <f t="shared" si="2"/>
        <v>71.43533672</v>
      </c>
      <c r="X395" s="21">
        <f t="shared" si="3"/>
        <v>1.111111111</v>
      </c>
      <c r="Y395" s="21">
        <f t="shared" si="4"/>
        <v>637.6556273</v>
      </c>
      <c r="Z395" s="21">
        <f t="shared" si="5"/>
        <v>7.085062526</v>
      </c>
      <c r="AA395" s="21">
        <f t="shared" si="6"/>
        <v>0.3829461322</v>
      </c>
    </row>
    <row r="396">
      <c r="A396" s="4" t="s">
        <v>1422</v>
      </c>
      <c r="B396" s="4" t="str">
        <f>IFERROR(__xludf.DUMMYFUNCTION("SPLIT(A396:A1120, ""&gt;"")"),"Online Behavior")</f>
        <v>Online Behavior</v>
      </c>
      <c r="C396" s="4" t="str">
        <f>IFERROR(__xludf.DUMMYFUNCTION("""COMPUTED_VALUE"""),"United States")</f>
        <v>United States</v>
      </c>
      <c r="D396" s="4" t="str">
        <f>IFERROR(__xludf.DUMMYFUNCTION("""COMPUTED_VALUE"""),"Finance ")</f>
        <v>Finance </v>
      </c>
      <c r="E396" s="4" t="str">
        <f>IFERROR(__xludf.DUMMYFUNCTION("""COMPUTED_VALUE""")," Banking")</f>
        <v> Banking</v>
      </c>
      <c r="F396" s="4" t="str">
        <f>IFERROR(__xludf.DUMMYFUNCTION("""COMPUTED_VALUE"""),"Banking")</f>
        <v>Banking</v>
      </c>
      <c r="G396" s="4"/>
      <c r="H396" s="4"/>
      <c r="I396" s="5" t="s">
        <v>22</v>
      </c>
      <c r="J396" s="5" t="s">
        <v>42</v>
      </c>
      <c r="K396" s="5" t="s">
        <v>17</v>
      </c>
      <c r="L396" s="6" t="s">
        <v>612</v>
      </c>
      <c r="M396" s="5" t="s">
        <v>19</v>
      </c>
      <c r="N396" s="5" t="s">
        <v>27</v>
      </c>
      <c r="O396" s="5">
        <v>921791.0</v>
      </c>
      <c r="P396" s="5">
        <v>2150.0</v>
      </c>
      <c r="Q396" s="5">
        <v>668449.0</v>
      </c>
      <c r="R396" s="5">
        <v>852442.0</v>
      </c>
      <c r="S396" s="5">
        <v>69.0</v>
      </c>
      <c r="T396" s="5">
        <v>8042.897949</v>
      </c>
      <c r="V396" s="21">
        <f t="shared" si="1"/>
        <v>8.725294507</v>
      </c>
      <c r="W396" s="21">
        <f t="shared" si="2"/>
        <v>12.03217889</v>
      </c>
      <c r="X396" s="21">
        <f t="shared" si="3"/>
        <v>3.209302326</v>
      </c>
      <c r="Y396" s="21">
        <f t="shared" si="4"/>
        <v>116.5637384</v>
      </c>
      <c r="Z396" s="21">
        <f t="shared" si="5"/>
        <v>3.740882767</v>
      </c>
      <c r="AA396" s="21">
        <f t="shared" si="6"/>
        <v>0.2332415916</v>
      </c>
    </row>
    <row r="397">
      <c r="A397" s="4" t="s">
        <v>1423</v>
      </c>
      <c r="B397" s="4" t="str">
        <f>IFERROR(__xludf.DUMMYFUNCTION("SPLIT(A397:A1121, ""&gt;"")"),"Online Behavior")</f>
        <v>Online Behavior</v>
      </c>
      <c r="C397" s="4" t="str">
        <f>IFERROR(__xludf.DUMMYFUNCTION("""COMPUTED_VALUE"""),"United States")</f>
        <v>United States</v>
      </c>
      <c r="D397" s="4" t="str">
        <f>IFERROR(__xludf.DUMMYFUNCTION("""COMPUTED_VALUE"""),"Finance ")</f>
        <v>Finance </v>
      </c>
      <c r="E397" s="4" t="str">
        <f>IFERROR(__xludf.DUMMYFUNCTION("""COMPUTED_VALUE""")," Credit and Lending")</f>
        <v> Credit and Lending</v>
      </c>
      <c r="F397" s="4" t="str">
        <f>IFERROR(__xludf.DUMMYFUNCTION("""COMPUTED_VALUE"""),"Credit and Lending")</f>
        <v>Credit and Lending</v>
      </c>
      <c r="G397" s="4"/>
      <c r="H397" s="4"/>
      <c r="I397" s="5" t="s">
        <v>22</v>
      </c>
      <c r="J397" s="5" t="s">
        <v>42</v>
      </c>
      <c r="K397" s="5" t="s">
        <v>35</v>
      </c>
      <c r="L397" s="6" t="s">
        <v>612</v>
      </c>
      <c r="M397" s="5" t="s">
        <v>26</v>
      </c>
      <c r="N397" s="5" t="s">
        <v>27</v>
      </c>
      <c r="O397" s="5">
        <v>4154911.0</v>
      </c>
      <c r="P397" s="5">
        <v>1254.0</v>
      </c>
      <c r="Q397" s="5">
        <v>2338732.0</v>
      </c>
      <c r="R397" s="5">
        <v>3445626.0</v>
      </c>
      <c r="S397" s="5">
        <v>154.0</v>
      </c>
      <c r="T397" s="5">
        <v>8038.570371</v>
      </c>
      <c r="V397" s="21">
        <f t="shared" si="1"/>
        <v>1.934715418</v>
      </c>
      <c r="W397" s="21">
        <f t="shared" si="2"/>
        <v>3.437149007</v>
      </c>
      <c r="X397" s="21">
        <f t="shared" si="3"/>
        <v>12.28070175</v>
      </c>
      <c r="Y397" s="21">
        <f t="shared" si="4"/>
        <v>52.1985089</v>
      </c>
      <c r="Z397" s="21">
        <f t="shared" si="5"/>
        <v>6.410343199</v>
      </c>
      <c r="AA397" s="21">
        <f t="shared" si="6"/>
        <v>0.03018115189</v>
      </c>
    </row>
    <row r="398">
      <c r="A398" s="4" t="s">
        <v>1424</v>
      </c>
      <c r="B398" s="4" t="str">
        <f>IFERROR(__xludf.DUMMYFUNCTION("SPLIT(A398:A1122, ""&gt;"")"),"Online Behavior")</f>
        <v>Online Behavior</v>
      </c>
      <c r="C398" s="4" t="str">
        <f>IFERROR(__xludf.DUMMYFUNCTION("""COMPUTED_VALUE"""),"United States")</f>
        <v>United States</v>
      </c>
      <c r="D398" s="4" t="str">
        <f>IFERROR(__xludf.DUMMYFUNCTION("""COMPUTED_VALUE"""),"Finance ")</f>
        <v>Finance </v>
      </c>
      <c r="E398" s="4" t="str">
        <f>IFERROR(__xludf.DUMMYFUNCTION("""COMPUTED_VALUE""")," Investing")</f>
        <v> Investing</v>
      </c>
      <c r="F398" s="4" t="str">
        <f>IFERROR(__xludf.DUMMYFUNCTION("""COMPUTED_VALUE"""),"Investing")</f>
        <v>Investing</v>
      </c>
      <c r="G398" s="4"/>
      <c r="H398" s="4"/>
      <c r="I398" s="5" t="s">
        <v>22</v>
      </c>
      <c r="J398" s="5" t="s">
        <v>16</v>
      </c>
      <c r="K398" s="5" t="s">
        <v>55</v>
      </c>
      <c r="L398" s="6" t="s">
        <v>612</v>
      </c>
      <c r="M398" s="5" t="s">
        <v>19</v>
      </c>
      <c r="N398" s="5" t="s">
        <v>27</v>
      </c>
      <c r="O398" s="5">
        <v>1222302.0</v>
      </c>
      <c r="P398" s="5">
        <v>3142.0</v>
      </c>
      <c r="Q398" s="5">
        <v>553773.0</v>
      </c>
      <c r="R398" s="5">
        <v>1120128.0</v>
      </c>
      <c r="S398" s="5">
        <v>42.0</v>
      </c>
      <c r="T398" s="5">
        <v>7880.770406</v>
      </c>
      <c r="V398" s="21">
        <f t="shared" si="1"/>
        <v>6.447482215</v>
      </c>
      <c r="W398" s="21">
        <f t="shared" si="2"/>
        <v>14.23104847</v>
      </c>
      <c r="X398" s="21">
        <f t="shared" si="3"/>
        <v>1.336728199</v>
      </c>
      <c r="Y398" s="21">
        <f t="shared" si="4"/>
        <v>187.6373906</v>
      </c>
      <c r="Z398" s="21">
        <f t="shared" si="5"/>
        <v>2.508201912</v>
      </c>
      <c r="AA398" s="21">
        <f t="shared" si="6"/>
        <v>0.2570559485</v>
      </c>
    </row>
    <row r="399">
      <c r="A399" s="4" t="s">
        <v>615</v>
      </c>
      <c r="B399" s="4" t="str">
        <f>IFERROR(__xludf.DUMMYFUNCTION("SPLIT(A399:A1123, ""&gt;"")"),"Online Behavior")</f>
        <v>Online Behavior</v>
      </c>
      <c r="C399" s="4" t="str">
        <f>IFERROR(__xludf.DUMMYFUNCTION("""COMPUTED_VALUE"""),"United States")</f>
        <v>United States</v>
      </c>
      <c r="D399" s="4" t="str">
        <f>IFERROR(__xludf.DUMMYFUNCTION("""COMPUTED_VALUE"""),"Beauty and Fitness")</f>
        <v>Beauty and Fitness</v>
      </c>
      <c r="E399" s="4" t="str">
        <f>IFERROR(__xludf.DUMMYFUNCTION("""COMPUTED_VALUE"""),"Hair Care")</f>
        <v>Hair Care</v>
      </c>
      <c r="F399" s="4"/>
      <c r="G399" s="4"/>
      <c r="H399" s="4"/>
      <c r="I399" s="5" t="s">
        <v>22</v>
      </c>
      <c r="J399" s="5" t="s">
        <v>23</v>
      </c>
      <c r="K399" s="5" t="s">
        <v>29</v>
      </c>
      <c r="L399" s="6" t="s">
        <v>612</v>
      </c>
      <c r="M399" s="5" t="s">
        <v>19</v>
      </c>
      <c r="N399" s="5" t="s">
        <v>27</v>
      </c>
      <c r="O399" s="5">
        <v>999915.0</v>
      </c>
      <c r="P399" s="5">
        <v>2748.0</v>
      </c>
      <c r="Q399" s="5">
        <v>618816.0</v>
      </c>
      <c r="R399" s="5">
        <v>829942.0</v>
      </c>
      <c r="S399" s="5">
        <v>23.0</v>
      </c>
      <c r="T399" s="5">
        <v>7879.316787</v>
      </c>
      <c r="V399" s="21">
        <f t="shared" si="1"/>
        <v>7.879986586</v>
      </c>
      <c r="W399" s="21">
        <f t="shared" si="2"/>
        <v>12.73289118</v>
      </c>
      <c r="X399" s="21">
        <f t="shared" si="3"/>
        <v>0.8369723435</v>
      </c>
      <c r="Y399" s="21">
        <f t="shared" si="4"/>
        <v>342.5789907</v>
      </c>
      <c r="Z399" s="21">
        <f t="shared" si="5"/>
        <v>2.867291407</v>
      </c>
      <c r="AA399" s="21">
        <f t="shared" si="6"/>
        <v>0.27482336</v>
      </c>
    </row>
    <row r="400">
      <c r="A400" s="4" t="s">
        <v>616</v>
      </c>
      <c r="B400" s="4" t="str">
        <f>IFERROR(__xludf.DUMMYFUNCTION("SPLIT(A400:A1124, ""&gt;"")"),"Online Behavior")</f>
        <v>Online Behavior</v>
      </c>
      <c r="C400" s="4" t="str">
        <f>IFERROR(__xludf.DUMMYFUNCTION("""COMPUTED_VALUE"""),"United States")</f>
        <v>United States</v>
      </c>
      <c r="D400" s="4" t="str">
        <f>IFERROR(__xludf.DUMMYFUNCTION("""COMPUTED_VALUE"""),"Life Event")</f>
        <v>Life Event</v>
      </c>
      <c r="E400" s="4" t="str">
        <f>IFERROR(__xludf.DUMMYFUNCTION("""COMPUTED_VALUE"""),"College Graduation")</f>
        <v>College Graduation</v>
      </c>
      <c r="F400" s="4"/>
      <c r="G400" s="4"/>
      <c r="H400" s="4"/>
      <c r="I400" s="5" t="s">
        <v>22</v>
      </c>
      <c r="J400" s="5" t="s">
        <v>42</v>
      </c>
      <c r="K400" s="5" t="s">
        <v>17</v>
      </c>
      <c r="L400" s="6" t="s">
        <v>612</v>
      </c>
      <c r="M400" s="5" t="s">
        <v>19</v>
      </c>
      <c r="N400" s="5" t="s">
        <v>27</v>
      </c>
      <c r="O400" s="5">
        <v>1515751.0</v>
      </c>
      <c r="P400" s="5">
        <v>3874.0</v>
      </c>
      <c r="Q400" s="5">
        <v>1151776.0</v>
      </c>
      <c r="R400" s="5">
        <v>1396230.0</v>
      </c>
      <c r="S400" s="5">
        <v>49.0</v>
      </c>
      <c r="T400" s="5">
        <v>7850.644244</v>
      </c>
      <c r="V400" s="21">
        <f t="shared" si="1"/>
        <v>5.179375929</v>
      </c>
      <c r="W400" s="21">
        <f t="shared" si="2"/>
        <v>6.816120707</v>
      </c>
      <c r="X400" s="21">
        <f t="shared" si="3"/>
        <v>1.26484254</v>
      </c>
      <c r="Y400" s="21">
        <f t="shared" si="4"/>
        <v>160.2172295</v>
      </c>
      <c r="Z400" s="21">
        <f t="shared" si="5"/>
        <v>2.026495675</v>
      </c>
      <c r="AA400" s="21">
        <f t="shared" si="6"/>
        <v>0.2555828761</v>
      </c>
    </row>
    <row r="401">
      <c r="A401" s="4" t="s">
        <v>617</v>
      </c>
      <c r="B401" s="4" t="str">
        <f>IFERROR(__xludf.DUMMYFUNCTION("SPLIT(A401:A1125, ""&gt;"")"),"Online Behavior")</f>
        <v>Online Behavior</v>
      </c>
      <c r="C401" s="4" t="str">
        <f>IFERROR(__xludf.DUMMYFUNCTION("""COMPUTED_VALUE"""),"United States")</f>
        <v>United States</v>
      </c>
      <c r="D401" s="4" t="str">
        <f>IFERROR(__xludf.DUMMYFUNCTION("""COMPUTED_VALUE"""),"The Changing Consumer")</f>
        <v>The Changing Consumer</v>
      </c>
      <c r="E401" s="4" t="str">
        <f>IFERROR(__xludf.DUMMYFUNCTION("""COMPUTED_VALUE"""),"Happy at Home")</f>
        <v>Happy at Home</v>
      </c>
      <c r="F401" s="4"/>
      <c r="G401" s="4"/>
      <c r="H401" s="4"/>
      <c r="I401" s="5" t="s">
        <v>15</v>
      </c>
      <c r="J401" s="5" t="s">
        <v>31</v>
      </c>
      <c r="K401" s="5" t="s">
        <v>17</v>
      </c>
      <c r="L401" s="6" t="s">
        <v>612</v>
      </c>
      <c r="M401" s="5" t="s">
        <v>117</v>
      </c>
      <c r="N401" s="5" t="s">
        <v>27</v>
      </c>
      <c r="O401" s="5">
        <v>1575592.0</v>
      </c>
      <c r="P401" s="5">
        <v>3874.0</v>
      </c>
      <c r="Q401" s="5">
        <v>1155869.0</v>
      </c>
      <c r="R401" s="5">
        <v>1447900.0</v>
      </c>
      <c r="S401" s="5">
        <v>88.0</v>
      </c>
      <c r="T401" s="5">
        <v>7818.648297</v>
      </c>
      <c r="V401" s="21">
        <f t="shared" si="1"/>
        <v>4.962355925</v>
      </c>
      <c r="W401" s="21">
        <f t="shared" si="2"/>
        <v>6.764303132</v>
      </c>
      <c r="X401" s="21">
        <f t="shared" si="3"/>
        <v>2.271553949</v>
      </c>
      <c r="Y401" s="21">
        <f t="shared" si="4"/>
        <v>88.8482761</v>
      </c>
      <c r="Z401" s="21">
        <f t="shared" si="5"/>
        <v>2.018236525</v>
      </c>
      <c r="AA401" s="21">
        <f t="shared" si="6"/>
        <v>0.2458758359</v>
      </c>
    </row>
    <row r="402">
      <c r="A402" s="4" t="s">
        <v>1425</v>
      </c>
      <c r="B402" s="4" t="str">
        <f>IFERROR(__xludf.DUMMYFUNCTION("SPLIT(A402:A1126, ""&gt;"")"),"Online Behavior")</f>
        <v>Online Behavior</v>
      </c>
      <c r="C402" s="4" t="str">
        <f>IFERROR(__xludf.DUMMYFUNCTION("""COMPUTED_VALUE"""),"United States")</f>
        <v>United States</v>
      </c>
      <c r="D402" s="4" t="str">
        <f>IFERROR(__xludf.DUMMYFUNCTION("""COMPUTED_VALUE"""),"Sports")</f>
        <v>Sports</v>
      </c>
      <c r="E402" s="4" t="str">
        <f>IFERROR(__xludf.DUMMYFUNCTION("""COMPUTED_VALUE"""),"Team Sports ")</f>
        <v>Team Sports </v>
      </c>
      <c r="F402" s="4" t="str">
        <f>IFERROR(__xludf.DUMMYFUNCTION("""COMPUTED_VALUE""")," American Football")</f>
        <v> American Football</v>
      </c>
      <c r="G402" s="4"/>
      <c r="H402" s="4"/>
      <c r="I402" s="5" t="s">
        <v>22</v>
      </c>
      <c r="J402" s="5" t="s">
        <v>23</v>
      </c>
      <c r="K402" s="5" t="s">
        <v>39</v>
      </c>
      <c r="L402" s="6" t="s">
        <v>612</v>
      </c>
      <c r="M402" s="5" t="s">
        <v>26</v>
      </c>
      <c r="N402" s="5" t="s">
        <v>27</v>
      </c>
      <c r="O402" s="5">
        <v>458931.0</v>
      </c>
      <c r="P402" s="5">
        <v>974.0</v>
      </c>
      <c r="Q402" s="5">
        <v>264325.0</v>
      </c>
      <c r="R402" s="5">
        <v>378011.0</v>
      </c>
      <c r="S402" s="5">
        <v>30.0</v>
      </c>
      <c r="T402" s="5">
        <v>7462.677935</v>
      </c>
      <c r="V402" s="21">
        <f t="shared" si="1"/>
        <v>16.26100206</v>
      </c>
      <c r="W402" s="21">
        <f t="shared" si="2"/>
        <v>28.23296296</v>
      </c>
      <c r="X402" s="21">
        <f t="shared" si="3"/>
        <v>3.080082136</v>
      </c>
      <c r="Y402" s="21">
        <f t="shared" si="4"/>
        <v>248.7559312</v>
      </c>
      <c r="Z402" s="21">
        <f t="shared" si="5"/>
        <v>7.661886997</v>
      </c>
      <c r="AA402" s="21">
        <f t="shared" si="6"/>
        <v>0.2122323399</v>
      </c>
    </row>
    <row r="403">
      <c r="A403" s="4" t="s">
        <v>619</v>
      </c>
      <c r="B403" s="4" t="str">
        <f>IFERROR(__xludf.DUMMYFUNCTION("SPLIT(A403:A1127, ""&gt;"")"),"Online Behavior")</f>
        <v>Online Behavior</v>
      </c>
      <c r="C403" s="4" t="str">
        <f>IFERROR(__xludf.DUMMYFUNCTION("""COMPUTED_VALUE"""),"United States")</f>
        <v>United States</v>
      </c>
      <c r="D403" s="4" t="str">
        <f>IFERROR(__xludf.DUMMYFUNCTION("""COMPUTED_VALUE"""),"Autos and Vehicles")</f>
        <v>Autos and Vehicles</v>
      </c>
      <c r="E403" s="4" t="str">
        <f>IFERROR(__xludf.DUMMYFUNCTION("""COMPUTED_VALUE"""),"Electric and Plug-In Vehicles")</f>
        <v>Electric and Plug-In Vehicles</v>
      </c>
      <c r="F403" s="4"/>
      <c r="G403" s="4"/>
      <c r="H403" s="4"/>
      <c r="I403" s="5" t="s">
        <v>22</v>
      </c>
      <c r="J403" s="5" t="s">
        <v>42</v>
      </c>
      <c r="K403" s="5" t="s">
        <v>29</v>
      </c>
      <c r="L403" s="6" t="s">
        <v>612</v>
      </c>
      <c r="M403" s="5" t="s">
        <v>26</v>
      </c>
      <c r="N403" s="5" t="s">
        <v>27</v>
      </c>
      <c r="O403" s="5">
        <v>1601933.0</v>
      </c>
      <c r="P403" s="5">
        <v>4265.0</v>
      </c>
      <c r="Q403" s="5">
        <v>1135085.0</v>
      </c>
      <c r="R403" s="5">
        <v>1487426.0</v>
      </c>
      <c r="S403" s="5">
        <v>29.0</v>
      </c>
      <c r="T403" s="5">
        <v>6785.70979</v>
      </c>
      <c r="V403" s="21">
        <f t="shared" si="1"/>
        <v>4.23595106</v>
      </c>
      <c r="W403" s="21">
        <f t="shared" si="2"/>
        <v>5.978151231</v>
      </c>
      <c r="X403" s="21">
        <f t="shared" si="3"/>
        <v>0.6799531067</v>
      </c>
      <c r="Y403" s="21">
        <f t="shared" si="4"/>
        <v>233.9899928</v>
      </c>
      <c r="Z403" s="21">
        <f t="shared" si="5"/>
        <v>1.591022225</v>
      </c>
      <c r="AA403" s="21">
        <f t="shared" si="6"/>
        <v>0.2662408478</v>
      </c>
    </row>
    <row r="404">
      <c r="A404" s="4" t="s">
        <v>1426</v>
      </c>
      <c r="B404" s="4" t="str">
        <f>IFERROR(__xludf.DUMMYFUNCTION("SPLIT(A404:A1128, ""&gt;"")"),"Online Behavior")</f>
        <v>Online Behavior</v>
      </c>
      <c r="C404" s="4" t="str">
        <f>IFERROR(__xludf.DUMMYFUNCTION("""COMPUTED_VALUE"""),"United States")</f>
        <v>United States</v>
      </c>
      <c r="D404" s="4" t="str">
        <f>IFERROR(__xludf.DUMMYFUNCTION("""COMPUTED_VALUE"""),"Intent ")</f>
        <v>Intent </v>
      </c>
      <c r="E404" s="4" t="str">
        <f>IFERROR(__xludf.DUMMYFUNCTION("""COMPUTED_VALUE""")," Shopping")</f>
        <v> Shopping</v>
      </c>
      <c r="F404" s="4" t="str">
        <f>IFERROR(__xludf.DUMMYFUNCTION("""COMPUTED_VALUE"""),"Home and Garden")</f>
        <v>Home and Garden</v>
      </c>
      <c r="G404" s="4"/>
      <c r="H404" s="4"/>
      <c r="I404" s="5" t="s">
        <v>22</v>
      </c>
      <c r="J404" s="5" t="s">
        <v>23</v>
      </c>
      <c r="K404" s="5" t="s">
        <v>45</v>
      </c>
      <c r="L404" s="6" t="s">
        <v>612</v>
      </c>
      <c r="M404" s="5" t="s">
        <v>19</v>
      </c>
      <c r="N404" s="5" t="s">
        <v>27</v>
      </c>
      <c r="O404" s="5">
        <v>26270.0</v>
      </c>
      <c r="P404" s="5">
        <v>63.0</v>
      </c>
      <c r="Q404" s="5">
        <v>12813.0</v>
      </c>
      <c r="R404" s="5">
        <v>21893.0</v>
      </c>
      <c r="S404" s="5">
        <v>12.0</v>
      </c>
      <c r="T404" s="5">
        <v>6417.264564</v>
      </c>
      <c r="V404" s="21">
        <f t="shared" si="1"/>
        <v>244.2811026</v>
      </c>
      <c r="W404" s="21">
        <f t="shared" si="2"/>
        <v>500.8401283</v>
      </c>
      <c r="X404" s="21">
        <f t="shared" si="3"/>
        <v>19.04761905</v>
      </c>
      <c r="Y404" s="21">
        <f t="shared" si="4"/>
        <v>534.772047</v>
      </c>
      <c r="Z404" s="21">
        <f t="shared" si="5"/>
        <v>101.8613423</v>
      </c>
      <c r="AA404" s="21">
        <f t="shared" si="6"/>
        <v>0.2398172821</v>
      </c>
    </row>
    <row r="405">
      <c r="A405" s="4" t="s">
        <v>1427</v>
      </c>
      <c r="B405" s="4" t="str">
        <f>IFERROR(__xludf.DUMMYFUNCTION("SPLIT(A405:A1129, ""&gt;"")"),"Online Behavior")</f>
        <v>Online Behavior</v>
      </c>
      <c r="C405" s="4" t="str">
        <f>IFERROR(__xludf.DUMMYFUNCTION("""COMPUTED_VALUE"""),"United States")</f>
        <v>United States</v>
      </c>
      <c r="D405" s="4" t="str">
        <f>IFERROR(__xludf.DUMMYFUNCTION("""COMPUTED_VALUE"""),"Intent ")</f>
        <v>Intent </v>
      </c>
      <c r="E405" s="4" t="str">
        <f>IFERROR(__xludf.DUMMYFUNCTION("""COMPUTED_VALUE""")," Auto Buyers ")</f>
        <v> Auto Buyers </v>
      </c>
      <c r="F405" s="4" t="str">
        <f>IFERROR(__xludf.DUMMYFUNCTION("""COMPUTED_VALUE""")," Type")</f>
        <v> Type</v>
      </c>
      <c r="G405" s="4" t="str">
        <f>IFERROR(__xludf.DUMMYFUNCTION("""COMPUTED_VALUE"""),"Truck")</f>
        <v>Truck</v>
      </c>
      <c r="H405" s="4"/>
      <c r="I405" s="5" t="s">
        <v>15</v>
      </c>
      <c r="J405" s="5" t="s">
        <v>31</v>
      </c>
      <c r="K405" s="5" t="s">
        <v>66</v>
      </c>
      <c r="L405" s="6" t="s">
        <v>612</v>
      </c>
      <c r="M405" s="5" t="s">
        <v>46</v>
      </c>
      <c r="N405" s="5" t="s">
        <v>27</v>
      </c>
      <c r="O405" s="5">
        <v>12974.0</v>
      </c>
      <c r="P405" s="5">
        <v>84.0</v>
      </c>
      <c r="Q405" s="5">
        <v>7521.0</v>
      </c>
      <c r="R405" s="5">
        <v>10959.0</v>
      </c>
      <c r="S405" s="5">
        <v>7.0</v>
      </c>
      <c r="T405" s="5">
        <v>6301.868847</v>
      </c>
      <c r="V405" s="21">
        <f t="shared" si="1"/>
        <v>485.7306033</v>
      </c>
      <c r="W405" s="21">
        <f t="shared" si="2"/>
        <v>837.9030511</v>
      </c>
      <c r="X405" s="21">
        <f t="shared" si="3"/>
        <v>8.333333333</v>
      </c>
      <c r="Y405" s="21">
        <f t="shared" si="4"/>
        <v>900.2669781</v>
      </c>
      <c r="Z405" s="21">
        <f t="shared" si="5"/>
        <v>75.02224818</v>
      </c>
      <c r="AA405" s="21">
        <f t="shared" si="6"/>
        <v>0.6474487436</v>
      </c>
    </row>
    <row r="406">
      <c r="A406" s="4" t="s">
        <v>1428</v>
      </c>
      <c r="B406" s="4" t="str">
        <f>IFERROR(__xludf.DUMMYFUNCTION("SPLIT(A406:A1130, ""&gt;"")"),"Online Behavior")</f>
        <v>Online Behavior</v>
      </c>
      <c r="C406" s="4" t="str">
        <f>IFERROR(__xludf.DUMMYFUNCTION("""COMPUTED_VALUE"""),"United States")</f>
        <v>United States</v>
      </c>
      <c r="D406" s="4" t="str">
        <f>IFERROR(__xludf.DUMMYFUNCTION("""COMPUTED_VALUE"""),"Intent ")</f>
        <v>Intent </v>
      </c>
      <c r="E406" s="4" t="str">
        <f>IFERROR(__xludf.DUMMYFUNCTION("""COMPUTED_VALUE""")," Shopping")</f>
        <v> Shopping</v>
      </c>
      <c r="F406" s="4" t="str">
        <f>IFERROR(__xludf.DUMMYFUNCTION("""COMPUTED_VALUE"""),"Consumer Electronics ")</f>
        <v>Consumer Electronics </v>
      </c>
      <c r="G406" s="4" t="str">
        <f>IFERROR(__xludf.DUMMYFUNCTION("""COMPUTED_VALUE""")," Televisions/TVs")</f>
        <v> Televisions/TVs</v>
      </c>
      <c r="H406" s="4"/>
      <c r="I406" s="5" t="s">
        <v>22</v>
      </c>
      <c r="J406" s="5" t="s">
        <v>16</v>
      </c>
      <c r="K406" s="5" t="s">
        <v>35</v>
      </c>
      <c r="L406" s="6" t="s">
        <v>612</v>
      </c>
      <c r="M406" s="5" t="s">
        <v>26</v>
      </c>
      <c r="N406" s="5" t="s">
        <v>27</v>
      </c>
      <c r="O406" s="5">
        <v>192201.0</v>
      </c>
      <c r="P406" s="5">
        <v>489.0</v>
      </c>
      <c r="Q406" s="5">
        <v>113707.0</v>
      </c>
      <c r="R406" s="5">
        <v>157940.0</v>
      </c>
      <c r="S406" s="5">
        <v>3.0</v>
      </c>
      <c r="T406" s="5">
        <v>6176.004154</v>
      </c>
      <c r="V406" s="21">
        <f t="shared" si="1"/>
        <v>32.13304902</v>
      </c>
      <c r="W406" s="21">
        <f t="shared" si="2"/>
        <v>54.31507431</v>
      </c>
      <c r="X406" s="21">
        <f t="shared" si="3"/>
        <v>0.6134969325</v>
      </c>
      <c r="Y406" s="21">
        <f t="shared" si="4"/>
        <v>2058.668051</v>
      </c>
      <c r="Z406" s="21">
        <f t="shared" si="5"/>
        <v>12.62986535</v>
      </c>
      <c r="AA406" s="21">
        <f t="shared" si="6"/>
        <v>0.2544211529</v>
      </c>
    </row>
    <row r="407">
      <c r="A407" s="4" t="s">
        <v>1429</v>
      </c>
      <c r="B407" s="4" t="str">
        <f>IFERROR(__xludf.DUMMYFUNCTION("SPLIT(A407:A1131, ""&gt;"")"),"Online Behavior")</f>
        <v>Online Behavior</v>
      </c>
      <c r="C407" s="4" t="str">
        <f>IFERROR(__xludf.DUMMYFUNCTION("""COMPUTED_VALUE"""),"United States")</f>
        <v>United States</v>
      </c>
      <c r="D407" s="4" t="str">
        <f>IFERROR(__xludf.DUMMYFUNCTION("""COMPUTED_VALUE"""),"Intent ")</f>
        <v>Intent </v>
      </c>
      <c r="E407" s="4" t="str">
        <f>IFERROR(__xludf.DUMMYFUNCTION("""COMPUTED_VALUE""")," Services")</f>
        <v> Services</v>
      </c>
      <c r="F407" s="4" t="str">
        <f>IFERROR(__xludf.DUMMYFUNCTION("""COMPUTED_VALUE"""),"Arts and Entertainment")</f>
        <v>Arts and Entertainment</v>
      </c>
      <c r="G407" s="4"/>
      <c r="H407" s="4"/>
      <c r="I407" s="5" t="s">
        <v>15</v>
      </c>
      <c r="J407" s="5" t="s">
        <v>23</v>
      </c>
      <c r="K407" s="5" t="s">
        <v>35</v>
      </c>
      <c r="L407" s="6" t="s">
        <v>612</v>
      </c>
      <c r="M407" s="5" t="s">
        <v>19</v>
      </c>
      <c r="N407" s="5" t="s">
        <v>20</v>
      </c>
      <c r="O407" s="5">
        <v>29834.0</v>
      </c>
      <c r="P407" s="5">
        <v>99.0</v>
      </c>
      <c r="Q407" s="5">
        <v>14599.0</v>
      </c>
      <c r="R407" s="5">
        <v>24656.0</v>
      </c>
      <c r="S407" s="5">
        <v>14.0</v>
      </c>
      <c r="T407" s="5">
        <v>6032.837114</v>
      </c>
      <c r="V407" s="21">
        <f t="shared" si="1"/>
        <v>202.2134851</v>
      </c>
      <c r="W407" s="21">
        <f t="shared" si="2"/>
        <v>413.2363254</v>
      </c>
      <c r="X407" s="21">
        <f t="shared" si="3"/>
        <v>14.14141414</v>
      </c>
      <c r="Y407" s="21">
        <f t="shared" si="4"/>
        <v>430.9169367</v>
      </c>
      <c r="Z407" s="21">
        <f t="shared" si="5"/>
        <v>60.93774863</v>
      </c>
      <c r="AA407" s="21">
        <f t="shared" si="6"/>
        <v>0.3318361601</v>
      </c>
    </row>
    <row r="408">
      <c r="A408" s="4" t="s">
        <v>1430</v>
      </c>
      <c r="B408" s="4" t="str">
        <f>IFERROR(__xludf.DUMMYFUNCTION("SPLIT(A408:A1132, ""&gt;"")"),"Online Behavior")</f>
        <v>Online Behavior</v>
      </c>
      <c r="C408" s="4" t="str">
        <f>IFERROR(__xludf.DUMMYFUNCTION("""COMPUTED_VALUE"""),"United States")</f>
        <v>United States</v>
      </c>
      <c r="D408" s="4" t="str">
        <f>IFERROR(__xludf.DUMMYFUNCTION("""COMPUTED_VALUE"""),"Sports")</f>
        <v>Sports</v>
      </c>
      <c r="E408" s="4" t="str">
        <f>IFERROR(__xludf.DUMMYFUNCTION("""COMPUTED_VALUE"""),"Individual Sports ")</f>
        <v>Individual Sports </v>
      </c>
      <c r="F408" s="4" t="str">
        <f>IFERROR(__xludf.DUMMYFUNCTION("""COMPUTED_VALUE""")," Cycling")</f>
        <v> Cycling</v>
      </c>
      <c r="G408" s="4"/>
      <c r="H408" s="4"/>
      <c r="I408" s="5" t="s">
        <v>15</v>
      </c>
      <c r="J408" s="5" t="s">
        <v>42</v>
      </c>
      <c r="K408" s="5" t="s">
        <v>183</v>
      </c>
      <c r="L408" s="6" t="s">
        <v>612</v>
      </c>
      <c r="M408" s="5" t="s">
        <v>161</v>
      </c>
      <c r="N408" s="5" t="s">
        <v>52</v>
      </c>
      <c r="O408" s="5">
        <v>117518.0</v>
      </c>
      <c r="P408" s="5">
        <v>299.0</v>
      </c>
      <c r="Q408" s="5">
        <v>66458.0</v>
      </c>
      <c r="R408" s="5">
        <v>86571.0</v>
      </c>
      <c r="S408" s="5">
        <v>1.0</v>
      </c>
      <c r="T408" s="5">
        <v>5999.993781</v>
      </c>
      <c r="V408" s="21">
        <f t="shared" si="1"/>
        <v>51.05595552</v>
      </c>
      <c r="W408" s="21">
        <f t="shared" si="2"/>
        <v>90.28249091</v>
      </c>
      <c r="X408" s="21">
        <f t="shared" si="3"/>
        <v>0.3344481605</v>
      </c>
      <c r="Y408" s="21">
        <f t="shared" si="4"/>
        <v>5999.993781</v>
      </c>
      <c r="Z408" s="21">
        <f t="shared" si="5"/>
        <v>20.06686883</v>
      </c>
      <c r="AA408" s="21">
        <f t="shared" si="6"/>
        <v>0.2544291087</v>
      </c>
    </row>
    <row r="409">
      <c r="A409" s="4" t="s">
        <v>1431</v>
      </c>
      <c r="B409" s="4" t="str">
        <f>IFERROR(__xludf.DUMMYFUNCTION("SPLIT(A409:A1133, ""&gt;"")"),"Online Behavior")</f>
        <v>Online Behavior</v>
      </c>
      <c r="C409" s="4" t="str">
        <f>IFERROR(__xludf.DUMMYFUNCTION("""COMPUTED_VALUE"""),"United States")</f>
        <v>United States</v>
      </c>
      <c r="D409" s="4" t="str">
        <f>IFERROR(__xludf.DUMMYFUNCTION("""COMPUTED_VALUE"""),"Autos and Vehicles ")</f>
        <v>Autos and Vehicles </v>
      </c>
      <c r="E409" s="4" t="str">
        <f>IFERROR(__xludf.DUMMYFUNCTION("""COMPUTED_VALUE""")," Brands")</f>
        <v> Brands</v>
      </c>
      <c r="F409" s="4" t="str">
        <f>IFERROR(__xludf.DUMMYFUNCTION("""COMPUTED_VALUE"""),"Porsche")</f>
        <v>Porsche</v>
      </c>
      <c r="G409" s="4"/>
      <c r="H409" s="4"/>
      <c r="I409" s="5" t="s">
        <v>22</v>
      </c>
      <c r="J409" s="5" t="s">
        <v>23</v>
      </c>
      <c r="K409" s="5" t="s">
        <v>35</v>
      </c>
      <c r="L409" s="6" t="s">
        <v>612</v>
      </c>
      <c r="M409" s="5" t="s">
        <v>48</v>
      </c>
      <c r="N409" s="5" t="s">
        <v>27</v>
      </c>
      <c r="O409" s="5">
        <v>3196231.0</v>
      </c>
      <c r="P409" s="5">
        <v>8745.0</v>
      </c>
      <c r="Q409" s="5">
        <v>2013324.0</v>
      </c>
      <c r="R409" s="5">
        <v>2669103.0</v>
      </c>
      <c r="S409" s="5">
        <v>70.0</v>
      </c>
      <c r="T409" s="5">
        <v>5756.271172</v>
      </c>
      <c r="V409" s="21">
        <f t="shared" si="1"/>
        <v>1.80095593</v>
      </c>
      <c r="W409" s="21">
        <f t="shared" si="2"/>
        <v>2.859088339</v>
      </c>
      <c r="X409" s="21">
        <f t="shared" si="3"/>
        <v>0.8004574042</v>
      </c>
      <c r="Y409" s="21">
        <f t="shared" si="4"/>
        <v>82.23244531</v>
      </c>
      <c r="Z409" s="21">
        <f t="shared" si="5"/>
        <v>0.6582356972</v>
      </c>
      <c r="AA409" s="21">
        <f t="shared" si="6"/>
        <v>0.2736035036</v>
      </c>
    </row>
    <row r="410">
      <c r="A410" s="4" t="s">
        <v>1432</v>
      </c>
      <c r="B410" s="4" t="str">
        <f>IFERROR(__xludf.DUMMYFUNCTION("SPLIT(A410:A1134, ""&gt;"")"),"Online Behavior")</f>
        <v>Online Behavior</v>
      </c>
      <c r="C410" s="4" t="str">
        <f>IFERROR(__xludf.DUMMYFUNCTION("""COMPUTED_VALUE"""),"United States")</f>
        <v>United States</v>
      </c>
      <c r="D410" s="4" t="str">
        <f>IFERROR(__xludf.DUMMYFUNCTION("""COMPUTED_VALUE"""),"Beauty and Fitness")</f>
        <v>Beauty and Fitness</v>
      </c>
      <c r="E410" s="4" t="str">
        <f>IFERROR(__xludf.DUMMYFUNCTION("""COMPUTED_VALUE"""),"Spas and Beauty Services ")</f>
        <v>Spas and Beauty Services </v>
      </c>
      <c r="F410" s="4" t="str">
        <f>IFERROR(__xludf.DUMMYFUNCTION("""COMPUTED_VALUE""")," Massage Therapy")</f>
        <v> Massage Therapy</v>
      </c>
      <c r="G410" s="4"/>
      <c r="H410" s="4"/>
      <c r="I410" s="5" t="s">
        <v>15</v>
      </c>
      <c r="J410" s="5" t="s">
        <v>42</v>
      </c>
      <c r="K410" s="5" t="s">
        <v>29</v>
      </c>
      <c r="L410" s="6" t="s">
        <v>612</v>
      </c>
      <c r="M410" s="5" t="s">
        <v>19</v>
      </c>
      <c r="N410" s="5" t="s">
        <v>27</v>
      </c>
      <c r="O410" s="5">
        <v>109128.0</v>
      </c>
      <c r="P410" s="5">
        <v>470.0</v>
      </c>
      <c r="Q410" s="5">
        <v>38487.0</v>
      </c>
      <c r="R410" s="5">
        <v>90615.0</v>
      </c>
      <c r="S410" s="5">
        <v>3.0</v>
      </c>
      <c r="T410" s="5">
        <v>5153.117204</v>
      </c>
      <c r="V410" s="21">
        <f t="shared" si="1"/>
        <v>47.22085261</v>
      </c>
      <c r="W410" s="21">
        <f t="shared" si="2"/>
        <v>133.8924105</v>
      </c>
      <c r="X410" s="21">
        <f t="shared" si="3"/>
        <v>0.6382978723</v>
      </c>
      <c r="Y410" s="21">
        <f t="shared" si="4"/>
        <v>1717.705735</v>
      </c>
      <c r="Z410" s="21">
        <f t="shared" si="5"/>
        <v>10.96407916</v>
      </c>
      <c r="AA410" s="21">
        <f t="shared" si="6"/>
        <v>0.4306868998</v>
      </c>
    </row>
    <row r="411">
      <c r="A411" s="4" t="s">
        <v>627</v>
      </c>
      <c r="B411" s="4" t="str">
        <f>IFERROR(__xludf.DUMMYFUNCTION("SPLIT(A411:A1135, ""&gt;"")"),"Online Behavior")</f>
        <v>Online Behavior</v>
      </c>
      <c r="C411" s="4" t="str">
        <f>IFERROR(__xludf.DUMMYFUNCTION("""COMPUTED_VALUE"""),"United States")</f>
        <v>United States</v>
      </c>
      <c r="D411" s="4" t="str">
        <f>IFERROR(__xludf.DUMMYFUNCTION("""COMPUTED_VALUE"""),"Arts and Entertainment")</f>
        <v>Arts and Entertainment</v>
      </c>
      <c r="E411" s="4" t="str">
        <f>IFERROR(__xludf.DUMMYFUNCTION("""COMPUTED_VALUE"""),"TV and Video")</f>
        <v>TV and Video</v>
      </c>
      <c r="F411" s="4"/>
      <c r="G411" s="4"/>
      <c r="H411" s="4"/>
      <c r="I411" s="5" t="s">
        <v>61</v>
      </c>
      <c r="J411" s="5" t="s">
        <v>16</v>
      </c>
      <c r="K411" s="5" t="s">
        <v>78</v>
      </c>
      <c r="L411" s="6" t="s">
        <v>612</v>
      </c>
      <c r="M411" s="5" t="s">
        <v>46</v>
      </c>
      <c r="N411" s="5" t="s">
        <v>27</v>
      </c>
      <c r="O411" s="5">
        <v>13946.0</v>
      </c>
      <c r="P411" s="5">
        <v>40.0</v>
      </c>
      <c r="Q411" s="5">
        <v>3142.0</v>
      </c>
      <c r="R411" s="5">
        <v>8823.0</v>
      </c>
      <c r="S411" s="5">
        <v>8.0</v>
      </c>
      <c r="T411" s="5">
        <v>4920.23463</v>
      </c>
      <c r="V411" s="21">
        <f t="shared" si="1"/>
        <v>352.8061545</v>
      </c>
      <c r="W411" s="21">
        <f t="shared" si="2"/>
        <v>1565.956279</v>
      </c>
      <c r="X411" s="21">
        <f t="shared" si="3"/>
        <v>20</v>
      </c>
      <c r="Y411" s="21">
        <f t="shared" si="4"/>
        <v>615.0293288</v>
      </c>
      <c r="Z411" s="21">
        <f t="shared" si="5"/>
        <v>123.0058658</v>
      </c>
      <c r="AA411" s="21">
        <f t="shared" si="6"/>
        <v>0.2868205937</v>
      </c>
    </row>
    <row r="412">
      <c r="A412" s="4" t="s">
        <v>1433</v>
      </c>
      <c r="B412" s="4" t="str">
        <f>IFERROR(__xludf.DUMMYFUNCTION("SPLIT(A412:A1136, ""&gt;"")"),"Online Behavior")</f>
        <v>Online Behavior</v>
      </c>
      <c r="C412" s="4" t="str">
        <f>IFERROR(__xludf.DUMMYFUNCTION("""COMPUTED_VALUE"""),"United States")</f>
        <v>United States</v>
      </c>
      <c r="D412" s="4" t="str">
        <f>IFERROR(__xludf.DUMMYFUNCTION("""COMPUTED_VALUE"""),"Autos and Vehicles ")</f>
        <v>Autos and Vehicles </v>
      </c>
      <c r="E412" s="4" t="str">
        <f>IFERROR(__xludf.DUMMYFUNCTION("""COMPUTED_VALUE""")," Brands")</f>
        <v> Brands</v>
      </c>
      <c r="F412" s="4" t="str">
        <f>IFERROR(__xludf.DUMMYFUNCTION("""COMPUTED_VALUE"""),"Mitsubishi")</f>
        <v>Mitsubishi</v>
      </c>
      <c r="G412" s="4"/>
      <c r="H412" s="4"/>
      <c r="I412" s="5" t="s">
        <v>15</v>
      </c>
      <c r="J412" s="5" t="s">
        <v>23</v>
      </c>
      <c r="K412" s="5" t="s">
        <v>29</v>
      </c>
      <c r="L412" s="6" t="s">
        <v>612</v>
      </c>
      <c r="M412" s="5" t="s">
        <v>136</v>
      </c>
      <c r="N412" s="5" t="s">
        <v>27</v>
      </c>
      <c r="O412" s="5">
        <v>335461.0</v>
      </c>
      <c r="P412" s="5">
        <v>963.0</v>
      </c>
      <c r="Q412" s="5">
        <v>171464.0</v>
      </c>
      <c r="R412" s="5">
        <v>247450.0</v>
      </c>
      <c r="S412" s="5">
        <v>5.0</v>
      </c>
      <c r="T412" s="5">
        <v>4445.874629</v>
      </c>
      <c r="V412" s="21">
        <f t="shared" si="1"/>
        <v>13.2530298</v>
      </c>
      <c r="W412" s="21">
        <f t="shared" si="2"/>
        <v>25.92891003</v>
      </c>
      <c r="X412" s="21">
        <f t="shared" si="3"/>
        <v>0.5192107996</v>
      </c>
      <c r="Y412" s="21">
        <f t="shared" si="4"/>
        <v>889.1749258</v>
      </c>
      <c r="Z412" s="21">
        <f t="shared" si="5"/>
        <v>4.616692242</v>
      </c>
      <c r="AA412" s="21">
        <f t="shared" si="6"/>
        <v>0.2870676472</v>
      </c>
    </row>
    <row r="413">
      <c r="A413" s="4" t="s">
        <v>1434</v>
      </c>
      <c r="B413" s="4" t="str">
        <f>IFERROR(__xludf.DUMMYFUNCTION("SPLIT(A413:A1137, ""&gt;"")"),"Online Behavior")</f>
        <v>Online Behavior</v>
      </c>
      <c r="C413" s="4" t="str">
        <f>IFERROR(__xludf.DUMMYFUNCTION("""COMPUTED_VALUE"""),"United States")</f>
        <v>United States</v>
      </c>
      <c r="D413" s="4" t="str">
        <f>IFERROR(__xludf.DUMMYFUNCTION("""COMPUTED_VALUE"""),"Autos and Vehicles ")</f>
        <v>Autos and Vehicles </v>
      </c>
      <c r="E413" s="4" t="str">
        <f>IFERROR(__xludf.DUMMYFUNCTION("""COMPUTED_VALUE""")," Brands")</f>
        <v> Brands</v>
      </c>
      <c r="F413" s="4" t="str">
        <f>IFERROR(__xludf.DUMMYFUNCTION("""COMPUTED_VALUE"""),"GM-Daewoo")</f>
        <v>GM-Daewoo</v>
      </c>
      <c r="G413" s="4"/>
      <c r="H413" s="4"/>
      <c r="I413" s="5" t="s">
        <v>22</v>
      </c>
      <c r="J413" s="5" t="s">
        <v>31</v>
      </c>
      <c r="K413" s="5" t="s">
        <v>155</v>
      </c>
      <c r="L413" s="6" t="s">
        <v>612</v>
      </c>
      <c r="M413" s="5" t="s">
        <v>19</v>
      </c>
      <c r="N413" s="5" t="s">
        <v>27</v>
      </c>
      <c r="O413" s="5">
        <v>48436.0</v>
      </c>
      <c r="P413" s="5">
        <v>171.0</v>
      </c>
      <c r="Q413" s="5">
        <v>16543.0</v>
      </c>
      <c r="R413" s="5">
        <v>42427.0</v>
      </c>
      <c r="S413" s="5">
        <v>6.0</v>
      </c>
      <c r="T413" s="5">
        <v>4386.648215</v>
      </c>
      <c r="V413" s="21">
        <f t="shared" si="1"/>
        <v>90.56586454</v>
      </c>
      <c r="W413" s="21">
        <f t="shared" si="2"/>
        <v>265.1664278</v>
      </c>
      <c r="X413" s="21">
        <f t="shared" si="3"/>
        <v>3.50877193</v>
      </c>
      <c r="Y413" s="21">
        <f t="shared" si="4"/>
        <v>731.1080358</v>
      </c>
      <c r="Z413" s="21">
        <f t="shared" si="5"/>
        <v>25.65291354</v>
      </c>
      <c r="AA413" s="21">
        <f t="shared" si="6"/>
        <v>0.353043191</v>
      </c>
    </row>
    <row r="414">
      <c r="A414" s="4" t="s">
        <v>1863</v>
      </c>
      <c r="B414" s="4" t="str">
        <f>IFERROR(__xludf.DUMMYFUNCTION("SPLIT(A414:A1138, ""&gt;"")"),"US ")</f>
        <v>US </v>
      </c>
      <c r="C414" s="4" t="str">
        <f>IFERROR(__xludf.DUMMYFUNCTION("""COMPUTED_VALUE""")," Demo ")</f>
        <v> Demo </v>
      </c>
      <c r="D414" s="4" t="str">
        <f>IFERROR(__xludf.DUMMYFUNCTION("""COMPUTED_VALUE""")," Age ")</f>
        <v> Age </v>
      </c>
      <c r="E414" s="4" t="str">
        <f>IFERROR(__xludf.DUMMYFUNCTION("""COMPUTED_VALUE""")," 65+")</f>
        <v> 65+</v>
      </c>
      <c r="F414" s="4"/>
      <c r="G414" s="4"/>
      <c r="H414" s="4"/>
      <c r="I414" s="5" t="s">
        <v>22</v>
      </c>
      <c r="J414" s="5" t="s">
        <v>31</v>
      </c>
      <c r="K414" s="5" t="s">
        <v>39</v>
      </c>
      <c r="L414" s="6" t="s">
        <v>612</v>
      </c>
      <c r="M414" s="5" t="s">
        <v>19</v>
      </c>
      <c r="N414" s="5" t="s">
        <v>27</v>
      </c>
      <c r="O414" s="5">
        <v>58738.0</v>
      </c>
      <c r="P414" s="5">
        <v>165.0</v>
      </c>
      <c r="Q414" s="5">
        <v>33538.0</v>
      </c>
      <c r="R414" s="5">
        <v>47535.0</v>
      </c>
      <c r="S414" s="5">
        <v>14.0</v>
      </c>
      <c r="T414" s="5">
        <v>2801.584386</v>
      </c>
      <c r="V414" s="21">
        <f t="shared" si="1"/>
        <v>47.69628496</v>
      </c>
      <c r="W414" s="21">
        <f t="shared" si="2"/>
        <v>83.53462896</v>
      </c>
      <c r="X414" s="21">
        <f t="shared" si="3"/>
        <v>8.484848485</v>
      </c>
      <c r="Y414" s="21">
        <f t="shared" si="4"/>
        <v>200.1131704</v>
      </c>
      <c r="Z414" s="21">
        <f t="shared" si="5"/>
        <v>16.97929931</v>
      </c>
      <c r="AA414" s="21">
        <f t="shared" si="6"/>
        <v>0.2809084409</v>
      </c>
    </row>
    <row r="415">
      <c r="A415" s="4" t="s">
        <v>1864</v>
      </c>
      <c r="B415" s="4" t="str">
        <f>IFERROR(__xludf.DUMMYFUNCTION("SPLIT(A415:A1139, ""&gt;"")"),"US ")</f>
        <v>US </v>
      </c>
      <c r="C415" s="4" t="str">
        <f>IFERROR(__xludf.DUMMYFUNCTION("""COMPUTED_VALUE""")," Sociodemographic ")</f>
        <v> Sociodemographic </v>
      </c>
      <c r="D415" s="4" t="str">
        <f>IFERROR(__xludf.DUMMYFUNCTION("""COMPUTED_VALUE""")," P$YCLE Premier Lifestage ")</f>
        <v> P$YCLE Premier Lifestage </v>
      </c>
      <c r="E415" s="4" t="str">
        <f>IFERROR(__xludf.DUMMYFUNCTION("""COMPUTED_VALUE""")," Y3 Fiscal Fledglings")</f>
        <v> Y3 Fiscal Fledglings</v>
      </c>
      <c r="F415" s="4"/>
      <c r="G415" s="4"/>
      <c r="H415" s="4"/>
      <c r="I415" s="5" t="s">
        <v>22</v>
      </c>
      <c r="J415" s="5" t="s">
        <v>31</v>
      </c>
      <c r="K415" s="5" t="s">
        <v>35</v>
      </c>
      <c r="L415" s="6" t="s">
        <v>612</v>
      </c>
      <c r="M415" s="5" t="s">
        <v>19</v>
      </c>
      <c r="N415" s="5" t="s">
        <v>27</v>
      </c>
      <c r="O415" s="5">
        <v>297347.0</v>
      </c>
      <c r="P415" s="5">
        <v>751.0</v>
      </c>
      <c r="Q415" s="5">
        <v>166412.0</v>
      </c>
      <c r="R415" s="5">
        <v>251319.0</v>
      </c>
      <c r="S415" s="5">
        <v>4.0</v>
      </c>
      <c r="T415" s="5">
        <v>2255.522409</v>
      </c>
      <c r="V415" s="21">
        <f t="shared" si="1"/>
        <v>7.585489038</v>
      </c>
      <c r="W415" s="21">
        <f t="shared" si="2"/>
        <v>13.55384473</v>
      </c>
      <c r="X415" s="21">
        <f t="shared" si="3"/>
        <v>0.5326231691</v>
      </c>
      <c r="Y415" s="21">
        <f t="shared" si="4"/>
        <v>563.8806023</v>
      </c>
      <c r="Z415" s="21">
        <f t="shared" si="5"/>
        <v>3.003358734</v>
      </c>
      <c r="AA415" s="21">
        <f t="shared" si="6"/>
        <v>0.2525668663</v>
      </c>
    </row>
    <row r="416">
      <c r="A416" s="4" t="s">
        <v>1437</v>
      </c>
      <c r="B416" s="4" t="str">
        <f>IFERROR(__xludf.DUMMYFUNCTION("SPLIT(A416:A1140, ""&gt;"")"),"OnAudience ")</f>
        <v>OnAudience </v>
      </c>
      <c r="C416" s="4" t="str">
        <f>IFERROR(__xludf.DUMMYFUNCTION("""COMPUTED_VALUE""")," Interest ")</f>
        <v> Interest </v>
      </c>
      <c r="D416" s="4" t="str">
        <f>IFERROR(__xludf.DUMMYFUNCTION("""COMPUTED_VALUE""")," News &amp; Magazines")</f>
        <v> News &amp; Magazines</v>
      </c>
      <c r="E416" s="4"/>
      <c r="F416" s="4"/>
      <c r="G416" s="4"/>
      <c r="H416" s="4"/>
      <c r="I416" s="5" t="s">
        <v>22</v>
      </c>
      <c r="J416" s="5" t="s">
        <v>31</v>
      </c>
      <c r="K416" s="5" t="s">
        <v>35</v>
      </c>
      <c r="L416" s="6" t="s">
        <v>612</v>
      </c>
      <c r="M416" s="5" t="s">
        <v>19</v>
      </c>
      <c r="N416" s="5" t="s">
        <v>27</v>
      </c>
      <c r="O416" s="5">
        <v>80456.0</v>
      </c>
      <c r="P416" s="5">
        <v>204.0</v>
      </c>
      <c r="Q416" s="5">
        <v>46039.0</v>
      </c>
      <c r="R416" s="5">
        <v>65383.0</v>
      </c>
      <c r="S416" s="5">
        <v>3.0</v>
      </c>
      <c r="T416" s="5">
        <v>2039.848792</v>
      </c>
      <c r="V416" s="21">
        <f t="shared" si="1"/>
        <v>25.35359441</v>
      </c>
      <c r="W416" s="21">
        <f t="shared" si="2"/>
        <v>44.30697435</v>
      </c>
      <c r="X416" s="21">
        <f t="shared" si="3"/>
        <v>1.470588235</v>
      </c>
      <c r="Y416" s="21">
        <f t="shared" si="4"/>
        <v>679.9495973</v>
      </c>
      <c r="Z416" s="21">
        <f t="shared" si="5"/>
        <v>9.999258784</v>
      </c>
      <c r="AA416" s="21">
        <f t="shared" si="6"/>
        <v>0.253554738</v>
      </c>
    </row>
    <row r="417">
      <c r="A417" s="4" t="s">
        <v>1865</v>
      </c>
      <c r="B417" s="4" t="str">
        <f>IFERROR(__xludf.DUMMYFUNCTION("SPLIT(A417:A1141, ""&gt;"")"),"US ")</f>
        <v>US </v>
      </c>
      <c r="C417" s="4" t="str">
        <f>IFERROR(__xludf.DUMMYFUNCTION("""COMPUTED_VALUE""")," Brand Propensities ")</f>
        <v> Brand Propensities </v>
      </c>
      <c r="D417" s="4" t="str">
        <f>IFERROR(__xludf.DUMMYFUNCTION("""COMPUTED_VALUE""")," Electronics ")</f>
        <v> Electronics </v>
      </c>
      <c r="E417" s="4" t="str">
        <f>IFERROR(__xludf.DUMMYFUNCTION("""COMPUTED_VALUE""")," RadioShack Buyer Propensity")</f>
        <v> RadioShack Buyer Propensity</v>
      </c>
      <c r="F417" s="4"/>
      <c r="G417" s="4"/>
      <c r="H417" s="4"/>
      <c r="I417" s="5" t="s">
        <v>15</v>
      </c>
      <c r="J417" s="5" t="s">
        <v>42</v>
      </c>
      <c r="K417" s="5" t="s">
        <v>39</v>
      </c>
      <c r="L417" s="6" t="s">
        <v>612</v>
      </c>
      <c r="M417" s="5" t="s">
        <v>19</v>
      </c>
      <c r="N417" s="5" t="s">
        <v>52</v>
      </c>
      <c r="O417" s="5">
        <v>60412.0</v>
      </c>
      <c r="P417" s="5">
        <v>169.0</v>
      </c>
      <c r="Q417" s="5">
        <v>33457.0</v>
      </c>
      <c r="R417" s="5">
        <v>52172.0</v>
      </c>
      <c r="S417" s="5">
        <v>24.0</v>
      </c>
      <c r="T417" s="5">
        <v>1679.572708</v>
      </c>
      <c r="V417" s="21">
        <f t="shared" si="1"/>
        <v>27.8019716</v>
      </c>
      <c r="W417" s="21">
        <f t="shared" si="2"/>
        <v>50.20093577</v>
      </c>
      <c r="X417" s="21">
        <f t="shared" si="3"/>
        <v>14.20118343</v>
      </c>
      <c r="Y417" s="21">
        <f t="shared" si="4"/>
        <v>69.98219617</v>
      </c>
      <c r="Z417" s="21">
        <f t="shared" si="5"/>
        <v>9.938300047</v>
      </c>
      <c r="AA417" s="21">
        <f t="shared" si="6"/>
        <v>0.2797457459</v>
      </c>
    </row>
    <row r="418">
      <c r="A418" s="4" t="s">
        <v>1866</v>
      </c>
      <c r="B418" s="4" t="str">
        <f>IFERROR(__xludf.DUMMYFUNCTION("SPLIT(A418:A1142, ""&gt;"")"),"US ")</f>
        <v>US </v>
      </c>
      <c r="C418" s="4" t="str">
        <f>IFERROR(__xludf.DUMMYFUNCTION("""COMPUTED_VALUE""")," Interest Propensities ")</f>
        <v> Interest Propensities </v>
      </c>
      <c r="D418" s="4" t="str">
        <f>IFERROR(__xludf.DUMMYFUNCTION("""COMPUTED_VALUE""")," Activities and Interests ")</f>
        <v> Activities and Interests </v>
      </c>
      <c r="E418" s="4" t="str">
        <f>IFERROR(__xludf.DUMMYFUNCTION("""COMPUTED_VALUE""")," College Life")</f>
        <v> College Life</v>
      </c>
      <c r="F418" s="4"/>
      <c r="G418" s="4"/>
      <c r="H418" s="4"/>
      <c r="I418" s="5" t="s">
        <v>22</v>
      </c>
      <c r="J418" s="5" t="s">
        <v>16</v>
      </c>
      <c r="K418" s="5" t="s">
        <v>433</v>
      </c>
      <c r="L418" s="6" t="s">
        <v>612</v>
      </c>
      <c r="M418" s="5" t="s">
        <v>33</v>
      </c>
      <c r="N418" s="5" t="s">
        <v>27</v>
      </c>
      <c r="O418" s="5">
        <v>171575.0</v>
      </c>
      <c r="P418" s="5">
        <v>499.0</v>
      </c>
      <c r="Q418" s="5">
        <v>101487.0</v>
      </c>
      <c r="R418" s="5">
        <v>136036.0</v>
      </c>
      <c r="S418" s="5">
        <v>8.0</v>
      </c>
      <c r="T418" s="5">
        <v>1658.332426</v>
      </c>
      <c r="V418" s="21">
        <f t="shared" si="1"/>
        <v>9.665349999</v>
      </c>
      <c r="W418" s="21">
        <f t="shared" si="2"/>
        <v>16.34034335</v>
      </c>
      <c r="X418" s="21">
        <f t="shared" si="3"/>
        <v>1.603206413</v>
      </c>
      <c r="Y418" s="21">
        <f t="shared" si="4"/>
        <v>207.2915533</v>
      </c>
      <c r="Z418" s="21">
        <f t="shared" si="5"/>
        <v>3.323311475</v>
      </c>
      <c r="AA418" s="21">
        <f t="shared" si="6"/>
        <v>0.2908349118</v>
      </c>
    </row>
    <row r="419">
      <c r="A419" s="4" t="s">
        <v>1440</v>
      </c>
      <c r="B419" s="4" t="str">
        <f>IFERROR(__xludf.DUMMYFUNCTION("SPLIT(A419:A1143, ""&gt;"")"),"Lotame ")</f>
        <v>Lotame </v>
      </c>
      <c r="C419" s="4" t="str">
        <f>IFERROR(__xludf.DUMMYFUNCTION("""COMPUTED_VALUE""")," Social Media")</f>
        <v> Social Media</v>
      </c>
      <c r="D419" s="4"/>
      <c r="E419" s="4"/>
      <c r="F419" s="4"/>
      <c r="G419" s="4"/>
      <c r="H419" s="4"/>
      <c r="I419" s="5" t="s">
        <v>15</v>
      </c>
      <c r="J419" s="5" t="s">
        <v>31</v>
      </c>
      <c r="K419" s="5" t="s">
        <v>35</v>
      </c>
      <c r="L419" s="6" t="s">
        <v>612</v>
      </c>
      <c r="M419" s="5" t="s">
        <v>19</v>
      </c>
      <c r="N419" s="5" t="s">
        <v>27</v>
      </c>
      <c r="O419" s="5">
        <v>554980.0</v>
      </c>
      <c r="P419" s="5">
        <v>1542.0</v>
      </c>
      <c r="Q419" s="5">
        <v>323498.0</v>
      </c>
      <c r="R419" s="5">
        <v>467646.0</v>
      </c>
      <c r="S419" s="5">
        <v>8.0</v>
      </c>
      <c r="T419" s="5">
        <v>1600.769588</v>
      </c>
      <c r="V419" s="21">
        <f t="shared" si="1"/>
        <v>2.884373469</v>
      </c>
      <c r="W419" s="21">
        <f t="shared" si="2"/>
        <v>4.948313708</v>
      </c>
      <c r="X419" s="21">
        <f t="shared" si="3"/>
        <v>0.5188067445</v>
      </c>
      <c r="Y419" s="21">
        <f t="shared" si="4"/>
        <v>200.0961985</v>
      </c>
      <c r="Z419" s="21">
        <f t="shared" si="5"/>
        <v>1.038112573</v>
      </c>
      <c r="AA419" s="21">
        <f t="shared" si="6"/>
        <v>0.2778478504</v>
      </c>
    </row>
    <row r="420">
      <c r="A420" s="4" t="s">
        <v>1867</v>
      </c>
      <c r="B420" s="4" t="str">
        <f>IFERROR(__xludf.DUMMYFUNCTION("SPLIT(A420:A1144, ""&gt;"")"),"US ")</f>
        <v>US </v>
      </c>
      <c r="C420" s="4" t="str">
        <f>IFERROR(__xludf.DUMMYFUNCTION("""COMPUTED_VALUE""")," Reach ")</f>
        <v> Reach </v>
      </c>
      <c r="D420" s="4" t="str">
        <f>IFERROR(__xludf.DUMMYFUNCTION("""COMPUTED_VALUE""")," Propensity Models ")</f>
        <v> Propensity Models </v>
      </c>
      <c r="E420" s="4" t="str">
        <f>IFERROR(__xludf.DUMMYFUNCTION("""COMPUTED_VALUE""")," Hobbies and Interest ")</f>
        <v> Hobbies and Interest </v>
      </c>
      <c r="F420" s="4" t="str">
        <f>IFERROR(__xludf.DUMMYFUNCTION("""COMPUTED_VALUE""")," Pets ")</f>
        <v> Pets </v>
      </c>
      <c r="G420" s="4" t="str">
        <f>IFERROR(__xludf.DUMMYFUNCTION("""COMPUTED_VALUE""")," Pet Enthusiast")</f>
        <v> Pet Enthusiast</v>
      </c>
      <c r="H420" s="4"/>
      <c r="I420" s="5" t="s">
        <v>15</v>
      </c>
      <c r="J420" s="5" t="s">
        <v>31</v>
      </c>
      <c r="K420" s="5" t="s">
        <v>17</v>
      </c>
      <c r="L420" s="6" t="s">
        <v>612</v>
      </c>
      <c r="M420" s="5" t="s">
        <v>19</v>
      </c>
      <c r="N420" s="5" t="s">
        <v>27</v>
      </c>
      <c r="O420" s="5">
        <v>321263.0</v>
      </c>
      <c r="P420" s="5">
        <v>852.0</v>
      </c>
      <c r="Q420" s="5">
        <v>172887.0</v>
      </c>
      <c r="R420" s="5">
        <v>263424.0</v>
      </c>
      <c r="S420" s="5">
        <v>6.0</v>
      </c>
      <c r="T420" s="5">
        <v>1576.051434</v>
      </c>
      <c r="V420" s="21">
        <f t="shared" si="1"/>
        <v>4.905798159</v>
      </c>
      <c r="W420" s="21">
        <f t="shared" si="2"/>
        <v>9.116078329</v>
      </c>
      <c r="X420" s="21">
        <f t="shared" si="3"/>
        <v>0.7042253521</v>
      </c>
      <c r="Y420" s="21">
        <f t="shared" si="4"/>
        <v>262.675239</v>
      </c>
      <c r="Z420" s="21">
        <f t="shared" si="5"/>
        <v>1.849825627</v>
      </c>
      <c r="AA420" s="21">
        <f t="shared" si="6"/>
        <v>0.2652032758</v>
      </c>
    </row>
    <row r="421">
      <c r="A421" s="4" t="s">
        <v>1868</v>
      </c>
      <c r="B421" s="4" t="str">
        <f>IFERROR(__xludf.DUMMYFUNCTION("SPLIT(A421:A1145, ""&gt;"")"),"US ")</f>
        <v>US </v>
      </c>
      <c r="C421" s="4" t="str">
        <f>IFERROR(__xludf.DUMMYFUNCTION("""COMPUTED_VALUE""")," Financially in Charge ")</f>
        <v> Financially in Charge </v>
      </c>
      <c r="D421" s="4" t="str">
        <f>IFERROR(__xludf.DUMMYFUNCTION("""COMPUTED_VALUE""")," Performance Score: Top 25%")</f>
        <v> Performance Score: Top 25%</v>
      </c>
      <c r="E421" s="4"/>
      <c r="F421" s="4"/>
      <c r="G421" s="4"/>
      <c r="H421" s="4"/>
      <c r="I421" s="5" t="s">
        <v>15</v>
      </c>
      <c r="J421" s="5" t="s">
        <v>23</v>
      </c>
      <c r="K421" s="5" t="s">
        <v>147</v>
      </c>
      <c r="L421" s="6" t="s">
        <v>612</v>
      </c>
      <c r="M421" s="5" t="s">
        <v>19</v>
      </c>
      <c r="N421" s="5" t="s">
        <v>27</v>
      </c>
      <c r="O421" s="5">
        <v>311753.0</v>
      </c>
      <c r="P421" s="5">
        <v>763.0</v>
      </c>
      <c r="Q421" s="5">
        <v>170122.0</v>
      </c>
      <c r="R421" s="5">
        <v>256841.0</v>
      </c>
      <c r="S421" s="5">
        <v>6.0</v>
      </c>
      <c r="T421" s="5">
        <v>1543.612655</v>
      </c>
      <c r="V421" s="21">
        <f t="shared" si="1"/>
        <v>4.951396314</v>
      </c>
      <c r="W421" s="21">
        <f t="shared" si="2"/>
        <v>9.073562826</v>
      </c>
      <c r="X421" s="21">
        <f t="shared" si="3"/>
        <v>0.7863695937</v>
      </c>
      <c r="Y421" s="21">
        <f t="shared" si="4"/>
        <v>257.2687758</v>
      </c>
      <c r="Z421" s="21">
        <f t="shared" si="5"/>
        <v>2.023083427</v>
      </c>
      <c r="AA421" s="21">
        <f t="shared" si="6"/>
        <v>0.2447450385</v>
      </c>
    </row>
    <row r="422">
      <c r="A422" s="4" t="s">
        <v>1443</v>
      </c>
      <c r="B422" s="4" t="str">
        <f>IFERROR(__xludf.DUMMYFUNCTION("SPLIT(A422:A1146, ""&gt;"")"),"OnAudience ")</f>
        <v>OnAudience </v>
      </c>
      <c r="C422" s="4" t="str">
        <f>IFERROR(__xludf.DUMMYFUNCTION("""COMPUTED_VALUE""")," Intent ")</f>
        <v> Intent </v>
      </c>
      <c r="D422" s="4" t="str">
        <f>IFERROR(__xludf.DUMMYFUNCTION("""COMPUTED_VALUE""")," Travel")</f>
        <v> Travel</v>
      </c>
      <c r="E422" s="4"/>
      <c r="F422" s="4"/>
      <c r="G422" s="4"/>
      <c r="H422" s="4"/>
      <c r="I422" s="5" t="s">
        <v>15</v>
      </c>
      <c r="J422" s="5" t="s">
        <v>16</v>
      </c>
      <c r="K422" s="5" t="s">
        <v>35</v>
      </c>
      <c r="L422" s="6" t="s">
        <v>612</v>
      </c>
      <c r="M422" s="5" t="s">
        <v>46</v>
      </c>
      <c r="N422" s="5" t="s">
        <v>20</v>
      </c>
      <c r="O422" s="5">
        <v>96031.0</v>
      </c>
      <c r="P422" s="5">
        <v>311.0</v>
      </c>
      <c r="Q422" s="5">
        <v>57187.0</v>
      </c>
      <c r="R422" s="5">
        <v>78396.0</v>
      </c>
      <c r="S422" s="5">
        <v>21.0</v>
      </c>
      <c r="T422" s="5">
        <v>1508.90767</v>
      </c>
      <c r="V422" s="21">
        <f t="shared" si="1"/>
        <v>15.71271433</v>
      </c>
      <c r="W422" s="21">
        <f t="shared" si="2"/>
        <v>26.38550143</v>
      </c>
      <c r="X422" s="21">
        <f t="shared" si="3"/>
        <v>6.752411576</v>
      </c>
      <c r="Y422" s="21">
        <f t="shared" si="4"/>
        <v>71.85274619</v>
      </c>
      <c r="Z422" s="21">
        <f t="shared" si="5"/>
        <v>4.851793151</v>
      </c>
      <c r="AA422" s="21">
        <f t="shared" si="6"/>
        <v>0.3238537556</v>
      </c>
    </row>
    <row r="423">
      <c r="A423" s="4" t="s">
        <v>1444</v>
      </c>
      <c r="B423" s="4" t="str">
        <f>IFERROR(__xludf.DUMMYFUNCTION("SPLIT(A423:A1147, ""&gt;"")"),"Media and Entertainment ")</f>
        <v>Media and Entertainment </v>
      </c>
      <c r="C423" s="4" t="str">
        <f>IFERROR(__xludf.DUMMYFUNCTION("""COMPUTED_VALUE""")," Sports and Recreational Activities ")</f>
        <v> Sports and Recreational Activities </v>
      </c>
      <c r="D423" s="4" t="str">
        <f>IFERROR(__xludf.DUMMYFUNCTION("""COMPUTED_VALUE""")," Interest (Affinity) ")</f>
        <v> Interest (Affinity) </v>
      </c>
      <c r="E423" s="4" t="str">
        <f>IFERROR(__xludf.DUMMYFUNCTION("""COMPUTED_VALUE""")," Team Sports ")</f>
        <v> Team Sports </v>
      </c>
      <c r="F423" s="4" t="str">
        <f>IFERROR(__xludf.DUMMYFUNCTION("""COMPUTED_VALUE""")," Football (American)")</f>
        <v> Football (American)</v>
      </c>
      <c r="G423" s="4"/>
      <c r="H423" s="4"/>
      <c r="I423" s="5" t="s">
        <v>22</v>
      </c>
      <c r="J423" s="5" t="s">
        <v>16</v>
      </c>
      <c r="K423" s="5" t="s">
        <v>142</v>
      </c>
      <c r="L423" s="6" t="s">
        <v>612</v>
      </c>
      <c r="M423" s="5" t="s">
        <v>19</v>
      </c>
      <c r="N423" s="5" t="s">
        <v>27</v>
      </c>
      <c r="O423" s="5">
        <v>47931.0</v>
      </c>
      <c r="P423" s="5">
        <v>170.0</v>
      </c>
      <c r="Q423" s="5">
        <v>15989.0</v>
      </c>
      <c r="R423" s="5">
        <v>38916.0</v>
      </c>
      <c r="S423" s="5">
        <v>4.0</v>
      </c>
      <c r="T423" s="5">
        <v>1487.228625</v>
      </c>
      <c r="V423" s="21">
        <f t="shared" si="1"/>
        <v>31.0285332</v>
      </c>
      <c r="W423" s="21">
        <f t="shared" si="2"/>
        <v>93.01573738</v>
      </c>
      <c r="X423" s="21">
        <f t="shared" si="3"/>
        <v>2.352941176</v>
      </c>
      <c r="Y423" s="21">
        <f t="shared" si="4"/>
        <v>371.8071563</v>
      </c>
      <c r="Z423" s="21">
        <f t="shared" si="5"/>
        <v>8.748403676</v>
      </c>
      <c r="AA423" s="21">
        <f t="shared" si="6"/>
        <v>0.3546765142</v>
      </c>
    </row>
    <row r="424">
      <c r="A424" s="4" t="s">
        <v>1869</v>
      </c>
      <c r="B424" s="4" t="str">
        <f>IFERROR(__xludf.DUMMYFUNCTION("SPLIT(A424:A1148, ""&gt;"")"),"US Financial ")</f>
        <v>US Financial </v>
      </c>
      <c r="C424" s="4" t="str">
        <f>IFERROR(__xludf.DUMMYFUNCTION("""COMPUTED_VALUE""")," Likely Bank Account and Services ")</f>
        <v> Likely Bank Account and Services </v>
      </c>
      <c r="D424" s="4" t="str">
        <f>IFERROR(__xludf.DUMMYFUNCTION("""COMPUTED_VALUE""")," Saving Account ")</f>
        <v> Saving Account </v>
      </c>
      <c r="E424" s="4" t="str">
        <f>IFERROR(__xludf.DUMMYFUNCTION("""COMPUTED_VALUE""")," Personal or Join (Financial)")</f>
        <v> Personal or Join (Financial)</v>
      </c>
      <c r="F424" s="4"/>
      <c r="G424" s="4"/>
      <c r="H424" s="4"/>
      <c r="I424" s="5" t="s">
        <v>15</v>
      </c>
      <c r="J424" s="5" t="s">
        <v>23</v>
      </c>
      <c r="K424" s="5" t="s">
        <v>641</v>
      </c>
      <c r="L424" s="6" t="s">
        <v>612</v>
      </c>
      <c r="M424" s="5" t="s">
        <v>36</v>
      </c>
      <c r="N424" s="5" t="s">
        <v>27</v>
      </c>
      <c r="O424" s="5">
        <v>177632.0</v>
      </c>
      <c r="P424" s="5">
        <v>485.0</v>
      </c>
      <c r="Q424" s="5">
        <v>70865.0</v>
      </c>
      <c r="R424" s="5">
        <v>95871.0</v>
      </c>
      <c r="S424" s="5">
        <v>5.0</v>
      </c>
      <c r="T424" s="5">
        <v>1483.384404</v>
      </c>
      <c r="V424" s="21">
        <f t="shared" si="1"/>
        <v>8.350884998</v>
      </c>
      <c r="W424" s="21">
        <f t="shared" si="2"/>
        <v>20.93253939</v>
      </c>
      <c r="X424" s="21">
        <f t="shared" si="3"/>
        <v>1.030927835</v>
      </c>
      <c r="Y424" s="21">
        <f t="shared" si="4"/>
        <v>296.6768808</v>
      </c>
      <c r="Z424" s="21">
        <f t="shared" si="5"/>
        <v>3.058524544</v>
      </c>
      <c r="AA424" s="21">
        <f t="shared" si="6"/>
        <v>0.2730363898</v>
      </c>
    </row>
    <row r="425">
      <c r="A425" s="4" t="s">
        <v>1447</v>
      </c>
      <c r="B425" s="4" t="str">
        <f>IFERROR(__xludf.DUMMYFUNCTION("SPLIT(A425:A1150, ""&gt;"")"),"Online Behavior")</f>
        <v>Online Behavior</v>
      </c>
      <c r="C425" s="4" t="str">
        <f>IFERROR(__xludf.DUMMYFUNCTION("""COMPUTED_VALUE"""),"United States")</f>
        <v>United States</v>
      </c>
      <c r="D425" s="4" t="str">
        <f>IFERROR(__xludf.DUMMYFUNCTION("""COMPUTED_VALUE"""),"People and Society")</f>
        <v>People and Society</v>
      </c>
      <c r="E425" s="4" t="str">
        <f>IFERROR(__xludf.DUMMYFUNCTION("""COMPUTED_VALUE"""),"Family and Relationships ")</f>
        <v>Family and Relationships </v>
      </c>
      <c r="F425" s="4" t="str">
        <f>IFERROR(__xludf.DUMMYFUNCTION("""COMPUTED_VALUE""")," Moms")</f>
        <v> Moms</v>
      </c>
      <c r="G425" s="4"/>
      <c r="H425" s="4"/>
      <c r="I425" s="5" t="s">
        <v>22</v>
      </c>
      <c r="J425" s="5" t="s">
        <v>16</v>
      </c>
      <c r="K425" s="5" t="s">
        <v>131</v>
      </c>
      <c r="L425" s="6" t="s">
        <v>645</v>
      </c>
      <c r="M425" s="5" t="s">
        <v>46</v>
      </c>
      <c r="N425" s="5" t="s">
        <v>27</v>
      </c>
      <c r="O425" s="5">
        <v>26784.0</v>
      </c>
      <c r="P425" s="5">
        <v>85.0</v>
      </c>
      <c r="Q425" s="5">
        <v>12708.0</v>
      </c>
      <c r="R425" s="5">
        <v>22261.0</v>
      </c>
      <c r="S425" s="5">
        <v>9.0</v>
      </c>
      <c r="T425" s="5">
        <v>6643.161647</v>
      </c>
      <c r="V425" s="21">
        <f t="shared" si="1"/>
        <v>248.0272419</v>
      </c>
      <c r="W425" s="21">
        <f t="shared" si="2"/>
        <v>522.7543002</v>
      </c>
      <c r="X425" s="21">
        <f t="shared" si="3"/>
        <v>10.58823529</v>
      </c>
      <c r="Y425" s="21">
        <f t="shared" si="4"/>
        <v>738.1290719</v>
      </c>
      <c r="Z425" s="21">
        <f t="shared" si="5"/>
        <v>78.15484291</v>
      </c>
      <c r="AA425" s="21">
        <f t="shared" si="6"/>
        <v>0.317353644</v>
      </c>
    </row>
    <row r="426">
      <c r="A426" s="4" t="s">
        <v>1448</v>
      </c>
      <c r="B426" s="4" t="str">
        <f>IFERROR(__xludf.DUMMYFUNCTION("SPLIT(A426:A1151, ""&gt;"")"),"Online Behavior")</f>
        <v>Online Behavior</v>
      </c>
      <c r="C426" s="4" t="str">
        <f>IFERROR(__xludf.DUMMYFUNCTION("""COMPUTED_VALUE"""),"United States")</f>
        <v>United States</v>
      </c>
      <c r="D426" s="4" t="str">
        <f>IFERROR(__xludf.DUMMYFUNCTION("""COMPUTED_VALUE"""),"Arts and Entertainment")</f>
        <v>Arts and Entertainment</v>
      </c>
      <c r="E426" s="4" t="str">
        <f>IFERROR(__xludf.DUMMYFUNCTION("""COMPUTED_VALUE"""),"Events and Listings ")</f>
        <v>Events and Listings </v>
      </c>
      <c r="F426" s="4" t="str">
        <f>IFERROR(__xludf.DUMMYFUNCTION("""COMPUTED_VALUE""")," Live Sporting Events")</f>
        <v> Live Sporting Events</v>
      </c>
      <c r="G426" s="4"/>
      <c r="H426" s="4"/>
      <c r="I426" s="5" t="s">
        <v>22</v>
      </c>
      <c r="J426" s="5" t="s">
        <v>16</v>
      </c>
      <c r="K426" s="5" t="s">
        <v>35</v>
      </c>
      <c r="L426" s="6" t="s">
        <v>645</v>
      </c>
      <c r="M426" s="5" t="s">
        <v>19</v>
      </c>
      <c r="N426" s="5" t="s">
        <v>27</v>
      </c>
      <c r="O426" s="5">
        <v>21028.0</v>
      </c>
      <c r="P426" s="5">
        <v>10.0</v>
      </c>
      <c r="Q426" s="5">
        <v>5781.0</v>
      </c>
      <c r="R426" s="5">
        <v>16134.0</v>
      </c>
      <c r="S426" s="5">
        <v>11.0</v>
      </c>
      <c r="T426" s="5">
        <v>5101.321655</v>
      </c>
      <c r="V426" s="21">
        <f t="shared" si="1"/>
        <v>242.5966167</v>
      </c>
      <c r="W426" s="21">
        <f t="shared" si="2"/>
        <v>882.4289318</v>
      </c>
      <c r="X426" s="21">
        <f t="shared" si="3"/>
        <v>110</v>
      </c>
      <c r="Y426" s="21">
        <f t="shared" si="4"/>
        <v>463.7565141</v>
      </c>
      <c r="Z426" s="21">
        <f t="shared" si="5"/>
        <v>510.1321655</v>
      </c>
      <c r="AA426" s="21">
        <f t="shared" si="6"/>
        <v>0.0475556401</v>
      </c>
    </row>
    <row r="427">
      <c r="A427" s="4" t="s">
        <v>1449</v>
      </c>
      <c r="B427" s="4" t="str">
        <f>IFERROR(__xludf.DUMMYFUNCTION("SPLIT(A427:A1152, ""&gt;"")"),"Online Behavior")</f>
        <v>Online Behavior</v>
      </c>
      <c r="C427" s="4" t="str">
        <f>IFERROR(__xludf.DUMMYFUNCTION("""COMPUTED_VALUE"""),"United States")</f>
        <v>United States</v>
      </c>
      <c r="D427" s="4" t="str">
        <f>IFERROR(__xludf.DUMMYFUNCTION("""COMPUTED_VALUE"""),"Intent ")</f>
        <v>Intent </v>
      </c>
      <c r="E427" s="4" t="str">
        <f>IFERROR(__xludf.DUMMYFUNCTION("""COMPUTED_VALUE""")," Financial Intent")</f>
        <v> Financial Intent</v>
      </c>
      <c r="F427" s="4" t="str">
        <f>IFERROR(__xludf.DUMMYFUNCTION("""COMPUTED_VALUE"""),"Banking")</f>
        <v>Banking</v>
      </c>
      <c r="G427" s="4"/>
      <c r="H427" s="4"/>
      <c r="I427" s="5" t="s">
        <v>61</v>
      </c>
      <c r="J427" s="5" t="s">
        <v>16</v>
      </c>
      <c r="K427" s="5" t="s">
        <v>29</v>
      </c>
      <c r="L427" s="6" t="s">
        <v>648</v>
      </c>
      <c r="M427" s="5" t="s">
        <v>19</v>
      </c>
      <c r="N427" s="5" t="s">
        <v>27</v>
      </c>
      <c r="O427" s="5">
        <v>9238.0</v>
      </c>
      <c r="P427" s="5">
        <v>84.0</v>
      </c>
      <c r="Q427" s="5">
        <v>4626.0</v>
      </c>
      <c r="R427" s="5">
        <v>8264.0</v>
      </c>
      <c r="S427" s="5">
        <v>15.0</v>
      </c>
      <c r="T427" s="5">
        <v>6683.225487</v>
      </c>
      <c r="V427" s="21">
        <f t="shared" si="1"/>
        <v>723.4493924</v>
      </c>
      <c r="W427" s="21">
        <f t="shared" si="2"/>
        <v>1444.709357</v>
      </c>
      <c r="X427" s="21">
        <f t="shared" si="3"/>
        <v>17.85714286</v>
      </c>
      <c r="Y427" s="21">
        <f t="shared" si="4"/>
        <v>445.5483658</v>
      </c>
      <c r="Z427" s="21">
        <f t="shared" si="5"/>
        <v>79.56220818</v>
      </c>
      <c r="AA427" s="21">
        <f t="shared" si="6"/>
        <v>0.9092877246</v>
      </c>
    </row>
    <row r="428">
      <c r="A428" s="4" t="s">
        <v>1450</v>
      </c>
      <c r="B428" s="4" t="str">
        <f>IFERROR(__xludf.DUMMYFUNCTION("SPLIT(A428:A1153, ""&gt;"")"),"Online Behavior")</f>
        <v>Online Behavior</v>
      </c>
      <c r="C428" s="4" t="str">
        <f>IFERROR(__xludf.DUMMYFUNCTION("""COMPUTED_VALUE"""),"United States")</f>
        <v>United States</v>
      </c>
      <c r="D428" s="4" t="str">
        <f>IFERROR(__xludf.DUMMYFUNCTION("""COMPUTED_VALUE"""),"Finance ")</f>
        <v>Finance </v>
      </c>
      <c r="E428" s="4" t="str">
        <f>IFERROR(__xludf.DUMMYFUNCTION("""COMPUTED_VALUE""")," Insurance")</f>
        <v> Insurance</v>
      </c>
      <c r="F428" s="4" t="str">
        <f>IFERROR(__xludf.DUMMYFUNCTION("""COMPUTED_VALUE"""),"Health Insurance")</f>
        <v>Health Insurance</v>
      </c>
      <c r="G428" s="4"/>
      <c r="H428" s="4"/>
      <c r="I428" s="5" t="s">
        <v>22</v>
      </c>
      <c r="J428" s="5" t="s">
        <v>23</v>
      </c>
      <c r="K428" s="5" t="s">
        <v>29</v>
      </c>
      <c r="L428" s="6" t="s">
        <v>650</v>
      </c>
      <c r="M428" s="5" t="s">
        <v>26</v>
      </c>
      <c r="N428" s="5" t="s">
        <v>27</v>
      </c>
      <c r="O428" s="5">
        <v>39881.0</v>
      </c>
      <c r="P428" s="5">
        <v>125.0</v>
      </c>
      <c r="Q428" s="5">
        <v>6331.0</v>
      </c>
      <c r="R428" s="5">
        <v>36245.0</v>
      </c>
      <c r="S428" s="5">
        <v>10.0</v>
      </c>
      <c r="T428" s="5">
        <v>7098.889706</v>
      </c>
      <c r="V428" s="21">
        <f t="shared" si="1"/>
        <v>178.001798</v>
      </c>
      <c r="W428" s="21">
        <f t="shared" si="2"/>
        <v>1121.290429</v>
      </c>
      <c r="X428" s="21">
        <f t="shared" si="3"/>
        <v>8</v>
      </c>
      <c r="Y428" s="21">
        <f t="shared" si="4"/>
        <v>709.8889706</v>
      </c>
      <c r="Z428" s="21">
        <f t="shared" si="5"/>
        <v>56.79111765</v>
      </c>
      <c r="AA428" s="21">
        <f t="shared" si="6"/>
        <v>0.3134324616</v>
      </c>
    </row>
    <row r="429">
      <c r="A429" s="4" t="s">
        <v>1451</v>
      </c>
      <c r="B429" s="4" t="str">
        <f>IFERROR(__xludf.DUMMYFUNCTION("SPLIT(A429:A1154, ""&gt;"")"),"Media and Entertainment ")</f>
        <v>Media and Entertainment </v>
      </c>
      <c r="C429" s="4" t="str">
        <f>IFERROR(__xludf.DUMMYFUNCTION("""COMPUTED_VALUE""")," Sports and Recreational Activities ")</f>
        <v> Sports and Recreational Activities </v>
      </c>
      <c r="D429" s="4" t="str">
        <f>IFERROR(__xludf.DUMMYFUNCTION("""COMPUTED_VALUE""")," Interest (Affinity) ")</f>
        <v> Interest (Affinity) </v>
      </c>
      <c r="E429" s="4" t="str">
        <f>IFERROR(__xludf.DUMMYFUNCTION("""COMPUTED_VALUE""")," Olympics")</f>
        <v> Olympics</v>
      </c>
      <c r="F429" s="4"/>
      <c r="G429" s="4"/>
      <c r="H429" s="4"/>
      <c r="I429" s="5" t="s">
        <v>15</v>
      </c>
      <c r="J429" s="5" t="s">
        <v>16</v>
      </c>
      <c r="K429" s="5" t="s">
        <v>471</v>
      </c>
      <c r="L429" s="6" t="s">
        <v>652</v>
      </c>
      <c r="M429" s="5" t="s">
        <v>19</v>
      </c>
      <c r="N429" s="5" t="s">
        <v>27</v>
      </c>
      <c r="O429" s="5">
        <v>10883.0</v>
      </c>
      <c r="P429" s="5">
        <v>46.0</v>
      </c>
      <c r="Q429" s="5">
        <v>1652.0</v>
      </c>
      <c r="R429" s="5">
        <v>8869.0</v>
      </c>
      <c r="S429" s="5">
        <v>16.0</v>
      </c>
      <c r="T429" s="5">
        <v>1942.482395</v>
      </c>
      <c r="V429" s="21">
        <f t="shared" si="1"/>
        <v>178.4877695</v>
      </c>
      <c r="W429" s="21">
        <f t="shared" si="2"/>
        <v>1175.836801</v>
      </c>
      <c r="X429" s="21">
        <f t="shared" si="3"/>
        <v>34.7826087</v>
      </c>
      <c r="Y429" s="21">
        <f t="shared" si="4"/>
        <v>121.4051497</v>
      </c>
      <c r="Z429" s="21">
        <f t="shared" si="5"/>
        <v>42.22787815</v>
      </c>
      <c r="AA429" s="21">
        <f t="shared" si="6"/>
        <v>0.4226775705</v>
      </c>
    </row>
    <row r="430">
      <c r="A430" s="4" t="s">
        <v>1870</v>
      </c>
      <c r="B430" s="4" t="str">
        <f>IFERROR(__xludf.DUMMYFUNCTION("SPLIT(A430:A1155, ""&gt;"")"),"US ")</f>
        <v>US </v>
      </c>
      <c r="C430" s="4" t="str">
        <f>IFERROR(__xludf.DUMMYFUNCTION("""COMPUTED_VALUE""")," Brand Propensities ")</f>
        <v> Brand Propensities </v>
      </c>
      <c r="D430" s="4" t="str">
        <f>IFERROR(__xludf.DUMMYFUNCTION("""COMPUTED_VALUE""")," Kids Products ")</f>
        <v> Kids Products </v>
      </c>
      <c r="E430" s="4" t="str">
        <f>IFERROR(__xludf.DUMMYFUNCTION("""COMPUTED_VALUE""")," Disney Buyer Propensity")</f>
        <v> Disney Buyer Propensity</v>
      </c>
      <c r="F430" s="4"/>
      <c r="G430" s="4"/>
      <c r="H430" s="4"/>
      <c r="I430" s="5" t="s">
        <v>15</v>
      </c>
      <c r="J430" s="5" t="s">
        <v>16</v>
      </c>
      <c r="K430" s="5" t="s">
        <v>78</v>
      </c>
      <c r="L430" s="6" t="s">
        <v>654</v>
      </c>
      <c r="M430" s="5" t="s">
        <v>19</v>
      </c>
      <c r="N430" s="5" t="s">
        <v>20</v>
      </c>
      <c r="O430" s="5">
        <v>50517.0</v>
      </c>
      <c r="P430" s="5">
        <v>270.0</v>
      </c>
      <c r="Q430" s="5">
        <v>17179.0</v>
      </c>
      <c r="R430" s="5">
        <v>48389.0</v>
      </c>
      <c r="S430" s="5">
        <v>2.0</v>
      </c>
      <c r="T430" s="5">
        <v>1718.471077</v>
      </c>
      <c r="V430" s="21">
        <f t="shared" si="1"/>
        <v>34.01767874</v>
      </c>
      <c r="W430" s="21">
        <f t="shared" si="2"/>
        <v>100.0332427</v>
      </c>
      <c r="X430" s="21">
        <f t="shared" si="3"/>
        <v>0.7407407407</v>
      </c>
      <c r="Y430" s="21">
        <f t="shared" si="4"/>
        <v>859.2355385</v>
      </c>
      <c r="Z430" s="21">
        <f t="shared" si="5"/>
        <v>6.364707693</v>
      </c>
      <c r="AA430" s="21">
        <f t="shared" si="6"/>
        <v>0.5344735436</v>
      </c>
    </row>
    <row r="431">
      <c r="A431" s="4" t="s">
        <v>655</v>
      </c>
      <c r="B431" s="4" t="str">
        <f>IFERROR(__xludf.DUMMYFUNCTION("SPLIT(A431:A1156, ""&gt;"")"),"Online Behavior")</f>
        <v>Online Behavior</v>
      </c>
      <c r="C431" s="4" t="str">
        <f>IFERROR(__xludf.DUMMYFUNCTION("""COMPUTED_VALUE"""),"United States")</f>
        <v>United States</v>
      </c>
      <c r="D431" s="4" t="str">
        <f>IFERROR(__xludf.DUMMYFUNCTION("""COMPUTED_VALUE"""),"Arts and Entertainment")</f>
        <v>Arts and Entertainment</v>
      </c>
      <c r="E431" s="4" t="str">
        <f>IFERROR(__xludf.DUMMYFUNCTION("""COMPUTED_VALUE"""),"Arts and Entertainment")</f>
        <v>Arts and Entertainment</v>
      </c>
      <c r="F431" s="4"/>
      <c r="G431" s="4"/>
      <c r="H431" s="4"/>
      <c r="I431" s="5" t="s">
        <v>22</v>
      </c>
      <c r="J431" s="5" t="s">
        <v>16</v>
      </c>
      <c r="K431" s="5" t="s">
        <v>24</v>
      </c>
      <c r="L431" s="6" t="s">
        <v>654</v>
      </c>
      <c r="M431" s="5" t="s">
        <v>19</v>
      </c>
      <c r="N431" s="5" t="s">
        <v>27</v>
      </c>
      <c r="O431" s="5">
        <v>7248.0</v>
      </c>
      <c r="P431" s="5">
        <v>10.0</v>
      </c>
      <c r="Q431" s="5">
        <v>3988.0</v>
      </c>
      <c r="R431" s="5">
        <v>6863.0</v>
      </c>
      <c r="S431" s="5">
        <v>7.0</v>
      </c>
      <c r="T431" s="5">
        <v>1247.0</v>
      </c>
      <c r="V431" s="21">
        <f t="shared" si="1"/>
        <v>172.0474614</v>
      </c>
      <c r="W431" s="21">
        <f t="shared" si="2"/>
        <v>312.6880642</v>
      </c>
      <c r="X431" s="21">
        <f t="shared" si="3"/>
        <v>70</v>
      </c>
      <c r="Y431" s="21">
        <f t="shared" si="4"/>
        <v>178.1428571</v>
      </c>
      <c r="Z431" s="21">
        <f t="shared" si="5"/>
        <v>124.7</v>
      </c>
      <c r="AA431" s="21">
        <f t="shared" si="6"/>
        <v>0.1379690949</v>
      </c>
    </row>
    <row r="432">
      <c r="A432" s="4" t="s">
        <v>1453</v>
      </c>
      <c r="B432" s="4" t="str">
        <f>IFERROR(__xludf.DUMMYFUNCTION("SPLIT(A432:A1157, ""&gt;"")"),"Online Behavior")</f>
        <v>Online Behavior</v>
      </c>
      <c r="C432" s="4" t="str">
        <f>IFERROR(__xludf.DUMMYFUNCTION("""COMPUTED_VALUE"""),"United States")</f>
        <v>United States</v>
      </c>
      <c r="D432" s="4" t="str">
        <f>IFERROR(__xludf.DUMMYFUNCTION("""COMPUTED_VALUE"""),"Validated Demographic ")</f>
        <v>Validated Demographic </v>
      </c>
      <c r="E432" s="4" t="str">
        <f>IFERROR(__xludf.DUMMYFUNCTION("""COMPUTED_VALUE""")," Gender and Age Combined")</f>
        <v> Gender and Age Combined</v>
      </c>
      <c r="F432" s="4" t="str">
        <f>IFERROR(__xludf.DUMMYFUNCTION("""COMPUTED_VALUE"""),"Males 18-34")</f>
        <v>Males 18-34</v>
      </c>
      <c r="G432" s="4"/>
      <c r="H432" s="4"/>
      <c r="I432" s="5" t="s">
        <v>22</v>
      </c>
      <c r="J432" s="5" t="s">
        <v>42</v>
      </c>
      <c r="K432" s="5" t="s">
        <v>29</v>
      </c>
      <c r="L432" s="6" t="s">
        <v>657</v>
      </c>
      <c r="M432" s="5" t="s">
        <v>46</v>
      </c>
      <c r="N432" s="5" t="s">
        <v>27</v>
      </c>
      <c r="O432" s="5">
        <v>10835.0</v>
      </c>
      <c r="P432" s="5">
        <v>25.0</v>
      </c>
      <c r="Q432" s="5">
        <v>2888.0</v>
      </c>
      <c r="R432" s="5">
        <v>10487.0</v>
      </c>
      <c r="S432" s="5">
        <v>3.0</v>
      </c>
      <c r="T432" s="5">
        <v>4704.249956</v>
      </c>
      <c r="V432" s="21">
        <f t="shared" si="1"/>
        <v>434.1716618</v>
      </c>
      <c r="W432" s="21">
        <f t="shared" si="2"/>
        <v>1628.895414</v>
      </c>
      <c r="X432" s="21">
        <f t="shared" si="3"/>
        <v>12</v>
      </c>
      <c r="Y432" s="21">
        <f t="shared" si="4"/>
        <v>1568.083319</v>
      </c>
      <c r="Z432" s="21">
        <f t="shared" si="5"/>
        <v>188.1699982</v>
      </c>
      <c r="AA432" s="21">
        <f t="shared" si="6"/>
        <v>0.2307337333</v>
      </c>
    </row>
    <row r="433">
      <c r="A433" s="4" t="s">
        <v>1454</v>
      </c>
      <c r="B433" s="4" t="str">
        <f>IFERROR(__xludf.DUMMYFUNCTION("SPLIT(A433:A1158, ""&gt;"")"),"Online Behavior")</f>
        <v>Online Behavior</v>
      </c>
      <c r="C433" s="4" t="str">
        <f>IFERROR(__xludf.DUMMYFUNCTION("""COMPUTED_VALUE"""),"United States")</f>
        <v>United States</v>
      </c>
      <c r="D433" s="4" t="str">
        <f>IFERROR(__xludf.DUMMYFUNCTION("""COMPUTED_VALUE"""),"Finance ")</f>
        <v>Finance </v>
      </c>
      <c r="E433" s="4" t="str">
        <f>IFERROR(__xludf.DUMMYFUNCTION("""COMPUTED_VALUE""")," Investing")</f>
        <v> Investing</v>
      </c>
      <c r="F433" s="4" t="str">
        <f>IFERROR(__xludf.DUMMYFUNCTION("""COMPUTED_VALUE"""),"Commodities and Futures Trading")</f>
        <v>Commodities and Futures Trading</v>
      </c>
      <c r="G433" s="4"/>
      <c r="H433" s="4"/>
      <c r="I433" s="5" t="s">
        <v>15</v>
      </c>
      <c r="J433" s="5" t="s">
        <v>31</v>
      </c>
      <c r="K433" s="5" t="s">
        <v>17</v>
      </c>
      <c r="L433" s="6" t="s">
        <v>659</v>
      </c>
      <c r="M433" s="5" t="s">
        <v>19</v>
      </c>
      <c r="N433" s="5" t="s">
        <v>27</v>
      </c>
      <c r="O433" s="5">
        <v>11476.0</v>
      </c>
      <c r="P433" s="5">
        <v>45.0</v>
      </c>
      <c r="Q433" s="5">
        <v>4963.0</v>
      </c>
      <c r="R433" s="5">
        <v>10991.0</v>
      </c>
      <c r="S433" s="5">
        <v>8.0</v>
      </c>
      <c r="T433" s="5">
        <v>7227.417349</v>
      </c>
      <c r="V433" s="21">
        <f t="shared" si="1"/>
        <v>629.7854086</v>
      </c>
      <c r="W433" s="21">
        <f t="shared" si="2"/>
        <v>1456.259792</v>
      </c>
      <c r="X433" s="21">
        <f t="shared" si="3"/>
        <v>17.77777778</v>
      </c>
      <c r="Y433" s="21">
        <f t="shared" si="4"/>
        <v>903.4271686</v>
      </c>
      <c r="Z433" s="21">
        <f t="shared" si="5"/>
        <v>160.6092744</v>
      </c>
      <c r="AA433" s="21">
        <f t="shared" si="6"/>
        <v>0.3921226908</v>
      </c>
    </row>
    <row r="434">
      <c r="A434" s="4" t="s">
        <v>1455</v>
      </c>
      <c r="B434" s="4" t="str">
        <f>IFERROR(__xludf.DUMMYFUNCTION("SPLIT(A434:A1159, ""&gt;"")"),"Online Behavior")</f>
        <v>Online Behavior</v>
      </c>
      <c r="C434" s="4" t="str">
        <f>IFERROR(__xludf.DUMMYFUNCTION("""COMPUTED_VALUE"""),"United States")</f>
        <v>United States</v>
      </c>
      <c r="D434" s="4" t="str">
        <f>IFERROR(__xludf.DUMMYFUNCTION("""COMPUTED_VALUE"""),"Autos and Vehicles")</f>
        <v>Autos and Vehicles</v>
      </c>
      <c r="E434" s="4" t="str">
        <f>IFERROR(__xludf.DUMMYFUNCTION("""COMPUTED_VALUE"""),"Vehicle Shopping ")</f>
        <v>Vehicle Shopping </v>
      </c>
      <c r="F434" s="4" t="str">
        <f>IFERROR(__xludf.DUMMYFUNCTION("""COMPUTED_VALUE""")," Fuel Economy and Gas Prices")</f>
        <v> Fuel Economy and Gas Prices</v>
      </c>
      <c r="G434" s="4"/>
      <c r="H434" s="4"/>
      <c r="I434" s="5" t="s">
        <v>22</v>
      </c>
      <c r="J434" s="5" t="s">
        <v>23</v>
      </c>
      <c r="K434" s="5" t="s">
        <v>78</v>
      </c>
      <c r="L434" s="6" t="s">
        <v>661</v>
      </c>
      <c r="M434" s="5" t="s">
        <v>19</v>
      </c>
      <c r="N434" s="5" t="s">
        <v>27</v>
      </c>
      <c r="O434" s="5">
        <v>92764.0</v>
      </c>
      <c r="P434" s="5">
        <v>320.0</v>
      </c>
      <c r="Q434" s="5">
        <v>19625.0</v>
      </c>
      <c r="R434" s="5">
        <v>76531.0</v>
      </c>
      <c r="S434" s="5">
        <v>14.0</v>
      </c>
      <c r="T434" s="5">
        <v>6730.012549</v>
      </c>
      <c r="V434" s="21">
        <f t="shared" si="1"/>
        <v>72.54983128</v>
      </c>
      <c r="W434" s="21">
        <f t="shared" si="2"/>
        <v>342.9305757</v>
      </c>
      <c r="X434" s="21">
        <f t="shared" si="3"/>
        <v>4.375</v>
      </c>
      <c r="Y434" s="21">
        <f t="shared" si="4"/>
        <v>480.7151821</v>
      </c>
      <c r="Z434" s="21">
        <f t="shared" si="5"/>
        <v>21.03128922</v>
      </c>
      <c r="AA434" s="21">
        <f t="shared" si="6"/>
        <v>0.3449614074</v>
      </c>
    </row>
    <row r="435">
      <c r="A435" s="4" t="s">
        <v>1456</v>
      </c>
      <c r="B435" s="4" t="str">
        <f>IFERROR(__xludf.DUMMYFUNCTION("SPLIT(A435:A1160, ""&gt;"")"),"Online Behavior")</f>
        <v>Online Behavior</v>
      </c>
      <c r="C435" s="4" t="str">
        <f>IFERROR(__xludf.DUMMYFUNCTION("""COMPUTED_VALUE"""),"United States")</f>
        <v>United States</v>
      </c>
      <c r="D435" s="4" t="str">
        <f>IFERROR(__xludf.DUMMYFUNCTION("""COMPUTED_VALUE"""),"Travel")</f>
        <v>Travel</v>
      </c>
      <c r="E435" s="4" t="str">
        <f>IFERROR(__xludf.DUMMYFUNCTION("""COMPUTED_VALUE"""),"Travel Agencies and Services ")</f>
        <v>Travel Agencies and Services </v>
      </c>
      <c r="F435" s="4" t="str">
        <f>IFERROR(__xludf.DUMMYFUNCTION("""COMPUTED_VALUE""")," Tourist Boards and Visitor Centers")</f>
        <v> Tourist Boards and Visitor Centers</v>
      </c>
      <c r="G435" s="4"/>
      <c r="H435" s="4"/>
      <c r="I435" s="5" t="s">
        <v>22</v>
      </c>
      <c r="J435" s="5" t="s">
        <v>23</v>
      </c>
      <c r="K435" s="5" t="s">
        <v>273</v>
      </c>
      <c r="L435" s="6" t="s">
        <v>661</v>
      </c>
      <c r="M435" s="5" t="s">
        <v>36</v>
      </c>
      <c r="N435" s="5" t="s">
        <v>27</v>
      </c>
      <c r="O435" s="5">
        <v>189571.0</v>
      </c>
      <c r="P435" s="5">
        <v>500.0</v>
      </c>
      <c r="Q435" s="5">
        <v>130676.0</v>
      </c>
      <c r="R435" s="5">
        <v>183688.0</v>
      </c>
      <c r="S435" s="5">
        <v>39.0</v>
      </c>
      <c r="T435" s="5">
        <v>6335.948388</v>
      </c>
      <c r="V435" s="21">
        <f t="shared" si="1"/>
        <v>33.4225614</v>
      </c>
      <c r="W435" s="21">
        <f t="shared" si="2"/>
        <v>48.48593765</v>
      </c>
      <c r="X435" s="21">
        <f t="shared" si="3"/>
        <v>7.8</v>
      </c>
      <c r="Y435" s="21">
        <f t="shared" si="4"/>
        <v>162.4602151</v>
      </c>
      <c r="Z435" s="21">
        <f t="shared" si="5"/>
        <v>12.67189678</v>
      </c>
      <c r="AA435" s="21">
        <f t="shared" si="6"/>
        <v>0.2637534222</v>
      </c>
    </row>
    <row r="436">
      <c r="A436" s="4" t="s">
        <v>1457</v>
      </c>
      <c r="B436" s="4" t="str">
        <f>IFERROR(__xludf.DUMMYFUNCTION("SPLIT(A436:A1161, ""&gt;"")"),"Online Behavior")</f>
        <v>Online Behavior</v>
      </c>
      <c r="C436" s="4" t="str">
        <f>IFERROR(__xludf.DUMMYFUNCTION("""COMPUTED_VALUE"""),"United States")</f>
        <v>United States</v>
      </c>
      <c r="D436" s="4" t="str">
        <f>IFERROR(__xludf.DUMMYFUNCTION("""COMPUTED_VALUE"""),"Beauty and Fitness")</f>
        <v>Beauty and Fitness</v>
      </c>
      <c r="E436" s="4" t="str">
        <f>IFERROR(__xludf.DUMMYFUNCTION("""COMPUTED_VALUE"""),"Fitness ")</f>
        <v>Fitness </v>
      </c>
      <c r="F436" s="4" t="str">
        <f>IFERROR(__xludf.DUMMYFUNCTION("""COMPUTED_VALUE""")," Home Exercise")</f>
        <v> Home Exercise</v>
      </c>
      <c r="G436" s="4"/>
      <c r="H436" s="4"/>
      <c r="I436" s="5" t="s">
        <v>15</v>
      </c>
      <c r="J436" s="5" t="s">
        <v>42</v>
      </c>
      <c r="K436" s="5" t="s">
        <v>24</v>
      </c>
      <c r="L436" s="6" t="s">
        <v>661</v>
      </c>
      <c r="M436" s="5" t="s">
        <v>50</v>
      </c>
      <c r="N436" s="5" t="s">
        <v>27</v>
      </c>
      <c r="O436" s="5">
        <v>14224.0</v>
      </c>
      <c r="P436" s="5">
        <v>30.0</v>
      </c>
      <c r="Q436" s="5">
        <v>2549.0</v>
      </c>
      <c r="R436" s="5">
        <v>11974.0</v>
      </c>
      <c r="S436" s="5">
        <v>7.0</v>
      </c>
      <c r="T436" s="5">
        <v>5637.303497</v>
      </c>
      <c r="V436" s="21">
        <f t="shared" si="1"/>
        <v>396.3233617</v>
      </c>
      <c r="W436" s="21">
        <f t="shared" si="2"/>
        <v>2211.574538</v>
      </c>
      <c r="X436" s="21">
        <f t="shared" si="3"/>
        <v>23.33333333</v>
      </c>
      <c r="Y436" s="21">
        <f t="shared" si="4"/>
        <v>805.329071</v>
      </c>
      <c r="Z436" s="21">
        <f t="shared" si="5"/>
        <v>187.9101166</v>
      </c>
      <c r="AA436" s="21">
        <f t="shared" si="6"/>
        <v>0.2109111361</v>
      </c>
    </row>
    <row r="437">
      <c r="A437" s="4" t="s">
        <v>1458</v>
      </c>
      <c r="B437" s="4" t="str">
        <f>IFERROR(__xludf.DUMMYFUNCTION("SPLIT(A437:A1162, ""&gt;"")"),"Media and Entertainment ")</f>
        <v>Media and Entertainment </v>
      </c>
      <c r="C437" s="4" t="str">
        <f>IFERROR(__xludf.DUMMYFUNCTION("""COMPUTED_VALUE""")," News and Current Events")</f>
        <v> News and Current Events</v>
      </c>
      <c r="D437" s="4"/>
      <c r="E437" s="4"/>
      <c r="F437" s="4"/>
      <c r="G437" s="4"/>
      <c r="H437" s="4"/>
      <c r="I437" s="5" t="s">
        <v>15</v>
      </c>
      <c r="J437" s="5" t="s">
        <v>31</v>
      </c>
      <c r="K437" s="5" t="s">
        <v>17</v>
      </c>
      <c r="L437" s="6" t="s">
        <v>661</v>
      </c>
      <c r="M437" s="5" t="s">
        <v>19</v>
      </c>
      <c r="N437" s="5" t="s">
        <v>27</v>
      </c>
      <c r="O437" s="5">
        <v>183208.0</v>
      </c>
      <c r="P437" s="5">
        <v>620.0</v>
      </c>
      <c r="Q437" s="5">
        <v>131164.0</v>
      </c>
      <c r="R437" s="5">
        <v>177952.0</v>
      </c>
      <c r="S437" s="5">
        <v>43.0</v>
      </c>
      <c r="T437" s="5">
        <v>2682.436623</v>
      </c>
      <c r="V437" s="21">
        <f t="shared" si="1"/>
        <v>14.64148194</v>
      </c>
      <c r="W437" s="21">
        <f t="shared" si="2"/>
        <v>20.45101265</v>
      </c>
      <c r="X437" s="21">
        <f t="shared" si="3"/>
        <v>6.935483871</v>
      </c>
      <c r="Y437" s="21">
        <f t="shared" si="4"/>
        <v>62.38224705</v>
      </c>
      <c r="Z437" s="21">
        <f t="shared" si="5"/>
        <v>4.326510682</v>
      </c>
      <c r="AA437" s="21">
        <f t="shared" si="6"/>
        <v>0.3384131697</v>
      </c>
    </row>
    <row r="438">
      <c r="A438" s="4" t="s">
        <v>1871</v>
      </c>
      <c r="B438" s="4" t="str">
        <f>IFERROR(__xludf.DUMMYFUNCTION("SPLIT(A438:A1163, ""&gt;"")"),"US ")</f>
        <v>US </v>
      </c>
      <c r="C438" s="4" t="str">
        <f>IFERROR(__xludf.DUMMYFUNCTION("""COMPUTED_VALUE""")," Interest Propensities ")</f>
        <v> Interest Propensities </v>
      </c>
      <c r="D438" s="4" t="str">
        <f>IFERROR(__xludf.DUMMYFUNCTION("""COMPUTED_VALUE""")," Activities and Interests ")</f>
        <v> Activities and Interests </v>
      </c>
      <c r="E438" s="4" t="str">
        <f>IFERROR(__xludf.DUMMYFUNCTION("""COMPUTED_VALUE""")," National News")</f>
        <v> National News</v>
      </c>
      <c r="F438" s="4"/>
      <c r="G438" s="4"/>
      <c r="H438" s="4"/>
      <c r="I438" s="5" t="s">
        <v>22</v>
      </c>
      <c r="J438" s="5" t="s">
        <v>42</v>
      </c>
      <c r="K438" s="5" t="s">
        <v>78</v>
      </c>
      <c r="L438" s="6" t="s">
        <v>661</v>
      </c>
      <c r="M438" s="5" t="s">
        <v>46</v>
      </c>
      <c r="N438" s="5" t="s">
        <v>27</v>
      </c>
      <c r="O438" s="5">
        <v>20486.0</v>
      </c>
      <c r="P438" s="5">
        <v>42.0</v>
      </c>
      <c r="Q438" s="5">
        <v>14583.0</v>
      </c>
      <c r="R438" s="5">
        <v>19860.0</v>
      </c>
      <c r="S438" s="5">
        <v>2.0</v>
      </c>
      <c r="T438" s="5">
        <v>1718.513762</v>
      </c>
      <c r="V438" s="21">
        <f t="shared" si="1"/>
        <v>83.88722845</v>
      </c>
      <c r="W438" s="21">
        <f t="shared" si="2"/>
        <v>117.8436372</v>
      </c>
      <c r="X438" s="21">
        <f t="shared" si="3"/>
        <v>4.761904762</v>
      </c>
      <c r="Y438" s="21">
        <f t="shared" si="4"/>
        <v>859.256881</v>
      </c>
      <c r="Z438" s="21">
        <f t="shared" si="5"/>
        <v>40.91699433</v>
      </c>
      <c r="AA438" s="21">
        <f t="shared" si="6"/>
        <v>0.2050180611</v>
      </c>
    </row>
    <row r="439">
      <c r="A439" s="4" t="s">
        <v>1872</v>
      </c>
      <c r="B439" s="4" t="str">
        <f>IFERROR(__xludf.DUMMYFUNCTION("SPLIT(A439:A1164, ""&gt;"")"),"US ")</f>
        <v>US </v>
      </c>
      <c r="C439" s="4" t="str">
        <f>IFERROR(__xludf.DUMMYFUNCTION("""COMPUTED_VALUE""")," Interest Propensities ")</f>
        <v> Interest Propensities </v>
      </c>
      <c r="D439" s="4" t="str">
        <f>IFERROR(__xludf.DUMMYFUNCTION("""COMPUTED_VALUE""")," TV and Movies ")</f>
        <v> TV and Movies </v>
      </c>
      <c r="E439" s="4" t="str">
        <f>IFERROR(__xludf.DUMMYFUNCTION("""COMPUTED_VALUE""")," Reality ")</f>
        <v> Reality </v>
      </c>
      <c r="F439" s="4" t="str">
        <f>IFERROR(__xludf.DUMMYFUNCTION("""COMPUTED_VALUE""")," Game Shows")</f>
        <v> Game Shows</v>
      </c>
      <c r="G439" s="4"/>
      <c r="H439" s="4"/>
      <c r="I439" s="5" t="s">
        <v>15</v>
      </c>
      <c r="J439" s="5" t="s">
        <v>42</v>
      </c>
      <c r="K439" s="5" t="s">
        <v>35</v>
      </c>
      <c r="L439" s="6" t="s">
        <v>667</v>
      </c>
      <c r="M439" s="5" t="s">
        <v>117</v>
      </c>
      <c r="N439" s="5" t="s">
        <v>27</v>
      </c>
      <c r="O439" s="5">
        <v>15047.0</v>
      </c>
      <c r="P439" s="5">
        <v>84.0</v>
      </c>
      <c r="Q439" s="5">
        <v>5653.0</v>
      </c>
      <c r="R439" s="5">
        <v>14459.0</v>
      </c>
      <c r="S439" s="5">
        <v>4.0</v>
      </c>
      <c r="T439" s="5">
        <v>2127.495962</v>
      </c>
      <c r="V439" s="21">
        <f t="shared" si="1"/>
        <v>141.390042</v>
      </c>
      <c r="W439" s="21">
        <f t="shared" si="2"/>
        <v>376.348127</v>
      </c>
      <c r="X439" s="21">
        <f t="shared" si="3"/>
        <v>4.761904762</v>
      </c>
      <c r="Y439" s="21">
        <f t="shared" si="4"/>
        <v>531.8739905</v>
      </c>
      <c r="Z439" s="21">
        <f t="shared" si="5"/>
        <v>25.32733288</v>
      </c>
      <c r="AA439" s="21">
        <f t="shared" si="6"/>
        <v>0.5582508141</v>
      </c>
    </row>
    <row r="440">
      <c r="A440" s="4" t="s">
        <v>668</v>
      </c>
      <c r="B440" s="4" t="str">
        <f>IFERROR(__xludf.DUMMYFUNCTION("SPLIT(A440:A1165, ""&gt;"")"),"Online Behavior")</f>
        <v>Online Behavior</v>
      </c>
      <c r="C440" s="4" t="str">
        <f>IFERROR(__xludf.DUMMYFUNCTION("""COMPUTED_VALUE"""),"United States")</f>
        <v>United States</v>
      </c>
      <c r="D440" s="4" t="str">
        <f>IFERROR(__xludf.DUMMYFUNCTION("""COMPUTED_VALUE"""),"Hobbies and Leisure")</f>
        <v>Hobbies and Leisure</v>
      </c>
      <c r="E440" s="4" t="str">
        <f>IFERROR(__xludf.DUMMYFUNCTION("""COMPUTED_VALUE"""),"Crafts")</f>
        <v>Crafts</v>
      </c>
      <c r="F440" s="4"/>
      <c r="G440" s="4"/>
      <c r="H440" s="4"/>
      <c r="I440" s="5" t="s">
        <v>22</v>
      </c>
      <c r="J440" s="5" t="s">
        <v>16</v>
      </c>
      <c r="K440" s="5" t="s">
        <v>32</v>
      </c>
      <c r="L440" s="6" t="s">
        <v>669</v>
      </c>
      <c r="M440" s="5" t="s">
        <v>161</v>
      </c>
      <c r="N440" s="5" t="s">
        <v>27</v>
      </c>
      <c r="O440" s="5">
        <v>41513.0</v>
      </c>
      <c r="P440" s="5">
        <v>113.0</v>
      </c>
      <c r="Q440" s="5">
        <v>20872.0</v>
      </c>
      <c r="R440" s="5">
        <v>39250.0</v>
      </c>
      <c r="S440" s="5">
        <v>9.0</v>
      </c>
      <c r="T440" s="5">
        <v>6789.533401</v>
      </c>
      <c r="V440" s="21">
        <f t="shared" si="1"/>
        <v>163.5519813</v>
      </c>
      <c r="W440" s="21">
        <f t="shared" si="2"/>
        <v>325.2938578</v>
      </c>
      <c r="X440" s="21">
        <f t="shared" si="3"/>
        <v>7.96460177</v>
      </c>
      <c r="Y440" s="21">
        <f t="shared" si="4"/>
        <v>754.3926001</v>
      </c>
      <c r="Z440" s="21">
        <f t="shared" si="5"/>
        <v>60.08436638</v>
      </c>
      <c r="AA440" s="21">
        <f t="shared" si="6"/>
        <v>0.2722038879</v>
      </c>
    </row>
    <row r="441">
      <c r="A441" s="4" t="s">
        <v>670</v>
      </c>
      <c r="B441" s="4" t="str">
        <f>IFERROR(__xludf.DUMMYFUNCTION("SPLIT(A441:A1166, ""&gt;"")"),"Online Behavior")</f>
        <v>Online Behavior</v>
      </c>
      <c r="C441" s="4" t="str">
        <f>IFERROR(__xludf.DUMMYFUNCTION("""COMPUTED_VALUE"""),"United States")</f>
        <v>United States</v>
      </c>
      <c r="D441" s="4" t="str">
        <f>IFERROR(__xludf.DUMMYFUNCTION("""COMPUTED_VALUE"""),"Life Event")</f>
        <v>Life Event</v>
      </c>
      <c r="E441" s="4" t="str">
        <f>IFERROR(__xludf.DUMMYFUNCTION("""COMPUTED_VALUE"""),"Wedding Planning")</f>
        <v>Wedding Planning</v>
      </c>
      <c r="F441" s="4"/>
      <c r="G441" s="4"/>
      <c r="H441" s="4"/>
      <c r="I441" s="5" t="s">
        <v>15</v>
      </c>
      <c r="J441" s="5" t="s">
        <v>31</v>
      </c>
      <c r="K441" s="5" t="s">
        <v>35</v>
      </c>
      <c r="L441" s="6" t="s">
        <v>669</v>
      </c>
      <c r="M441" s="5" t="s">
        <v>46</v>
      </c>
      <c r="N441" s="5" t="s">
        <v>27</v>
      </c>
      <c r="O441" s="5">
        <v>16503.0</v>
      </c>
      <c r="P441" s="5">
        <v>69.0</v>
      </c>
      <c r="Q441" s="5">
        <v>8595.0</v>
      </c>
      <c r="R441" s="5">
        <v>14466.0</v>
      </c>
      <c r="S441" s="5">
        <v>7.0</v>
      </c>
      <c r="T441" s="5">
        <v>5714.523867</v>
      </c>
      <c r="V441" s="21">
        <f t="shared" si="1"/>
        <v>346.2718213</v>
      </c>
      <c r="W441" s="21">
        <f t="shared" si="2"/>
        <v>664.8660695</v>
      </c>
      <c r="X441" s="21">
        <f t="shared" si="3"/>
        <v>10.14492754</v>
      </c>
      <c r="Y441" s="21">
        <f t="shared" si="4"/>
        <v>816.3605524</v>
      </c>
      <c r="Z441" s="21">
        <f t="shared" si="5"/>
        <v>82.81918648</v>
      </c>
      <c r="AA441" s="21">
        <f t="shared" si="6"/>
        <v>0.4181057989</v>
      </c>
    </row>
    <row r="442">
      <c r="A442" s="4" t="s">
        <v>1461</v>
      </c>
      <c r="B442" s="4" t="str">
        <f>IFERROR(__xludf.DUMMYFUNCTION("SPLIT(A442:A1167, ""&gt;"")"),"Online Behavior")</f>
        <v>Online Behavior</v>
      </c>
      <c r="C442" s="4" t="str">
        <f>IFERROR(__xludf.DUMMYFUNCTION("""COMPUTED_VALUE"""),"United States")</f>
        <v>United States</v>
      </c>
      <c r="D442" s="4" t="str">
        <f>IFERROR(__xludf.DUMMYFUNCTION("""COMPUTED_VALUE"""),"Validated Demographic ")</f>
        <v>Validated Demographic </v>
      </c>
      <c r="E442" s="4" t="str">
        <f>IFERROR(__xludf.DUMMYFUNCTION("""COMPUTED_VALUE""")," Gender and Age Combined")</f>
        <v> Gender and Age Combined</v>
      </c>
      <c r="F442" s="4" t="str">
        <f>IFERROR(__xludf.DUMMYFUNCTION("""COMPUTED_VALUE"""),"Females 55-64")</f>
        <v>Females 55-64</v>
      </c>
      <c r="G442" s="4"/>
      <c r="H442" s="4"/>
      <c r="I442" s="5" t="s">
        <v>15</v>
      </c>
      <c r="J442" s="5" t="s">
        <v>16</v>
      </c>
      <c r="K442" s="5" t="s">
        <v>17</v>
      </c>
      <c r="L442" s="6" t="s">
        <v>669</v>
      </c>
      <c r="M442" s="5" t="s">
        <v>19</v>
      </c>
      <c r="N442" s="5" t="s">
        <v>27</v>
      </c>
      <c r="O442" s="5">
        <v>52006.0</v>
      </c>
      <c r="P442" s="5">
        <v>160.0</v>
      </c>
      <c r="Q442" s="5">
        <v>24711.0</v>
      </c>
      <c r="R442" s="5">
        <v>48019.0</v>
      </c>
      <c r="S442" s="5">
        <v>12.0</v>
      </c>
      <c r="T442" s="5">
        <v>5200.010118</v>
      </c>
      <c r="V442" s="21">
        <f t="shared" si="1"/>
        <v>99.98865742</v>
      </c>
      <c r="W442" s="21">
        <f t="shared" si="2"/>
        <v>210.4330103</v>
      </c>
      <c r="X442" s="21">
        <f t="shared" si="3"/>
        <v>7.5</v>
      </c>
      <c r="Y442" s="21">
        <f t="shared" si="4"/>
        <v>433.3341765</v>
      </c>
      <c r="Z442" s="21">
        <f t="shared" si="5"/>
        <v>32.50006324</v>
      </c>
      <c r="AA442" s="21">
        <f t="shared" si="6"/>
        <v>0.3076568088</v>
      </c>
    </row>
    <row r="443">
      <c r="A443" s="4" t="s">
        <v>672</v>
      </c>
      <c r="B443" s="4" t="str">
        <f>IFERROR(__xludf.DUMMYFUNCTION("SPLIT(A443:A1168, ""&gt;"")"),"Online Behavior")</f>
        <v>Online Behavior</v>
      </c>
      <c r="C443" s="4" t="str">
        <f>IFERROR(__xludf.DUMMYFUNCTION("""COMPUTED_VALUE"""),"United States")</f>
        <v>United States</v>
      </c>
      <c r="D443" s="4" t="str">
        <f>IFERROR(__xludf.DUMMYFUNCTION("""COMPUTED_VALUE"""),"Home and Garden")</f>
        <v>Home and Garden</v>
      </c>
      <c r="E443" s="4" t="str">
        <f>IFERROR(__xludf.DUMMYFUNCTION("""COMPUTED_VALUE"""),"Home Appliances")</f>
        <v>Home Appliances</v>
      </c>
      <c r="F443" s="4"/>
      <c r="G443" s="4"/>
      <c r="H443" s="4"/>
      <c r="I443" s="5" t="s">
        <v>15</v>
      </c>
      <c r="J443" s="5" t="s">
        <v>42</v>
      </c>
      <c r="K443" s="5" t="s">
        <v>66</v>
      </c>
      <c r="L443" s="6" t="s">
        <v>669</v>
      </c>
      <c r="M443" s="5" t="s">
        <v>46</v>
      </c>
      <c r="N443" s="5" t="s">
        <v>27</v>
      </c>
      <c r="O443" s="5">
        <v>8420.0</v>
      </c>
      <c r="P443" s="5">
        <v>80.0</v>
      </c>
      <c r="Q443" s="5">
        <v>4430.0</v>
      </c>
      <c r="R443" s="5">
        <v>7869.0</v>
      </c>
      <c r="S443" s="5">
        <v>8.0</v>
      </c>
      <c r="T443" s="5">
        <v>5184.585424</v>
      </c>
      <c r="V443" s="21">
        <f t="shared" si="1"/>
        <v>615.7464874</v>
      </c>
      <c r="W443" s="21">
        <f t="shared" si="2"/>
        <v>1170.33531</v>
      </c>
      <c r="X443" s="21">
        <f t="shared" si="3"/>
        <v>10</v>
      </c>
      <c r="Y443" s="21">
        <f t="shared" si="4"/>
        <v>648.073178</v>
      </c>
      <c r="Z443" s="21">
        <f t="shared" si="5"/>
        <v>64.8073178</v>
      </c>
      <c r="AA443" s="21">
        <f t="shared" si="6"/>
        <v>0.9501187648</v>
      </c>
    </row>
    <row r="444">
      <c r="A444" s="4" t="s">
        <v>1462</v>
      </c>
      <c r="B444" s="4" t="str">
        <f>IFERROR(__xludf.DUMMYFUNCTION("SPLIT(A444:A1169, ""&gt;"")"),"OnAudience ")</f>
        <v>OnAudience </v>
      </c>
      <c r="C444" s="4" t="str">
        <f>IFERROR(__xludf.DUMMYFUNCTION("""COMPUTED_VALUE""")," Interest ")</f>
        <v> Interest </v>
      </c>
      <c r="D444" s="4" t="str">
        <f>IFERROR(__xludf.DUMMYFUNCTION("""COMPUTED_VALUE""")," Shopping")</f>
        <v> Shopping</v>
      </c>
      <c r="E444" s="4"/>
      <c r="F444" s="4"/>
      <c r="G444" s="4"/>
      <c r="H444" s="4"/>
      <c r="I444" s="5" t="s">
        <v>61</v>
      </c>
      <c r="J444" s="5" t="s">
        <v>16</v>
      </c>
      <c r="K444" s="5" t="s">
        <v>45</v>
      </c>
      <c r="L444" s="6" t="s">
        <v>669</v>
      </c>
      <c r="M444" s="5" t="s">
        <v>19</v>
      </c>
      <c r="N444" s="5" t="s">
        <v>27</v>
      </c>
      <c r="O444" s="5">
        <v>63415.0</v>
      </c>
      <c r="P444" s="5">
        <v>185.0</v>
      </c>
      <c r="Q444" s="5">
        <v>28161.0</v>
      </c>
      <c r="R444" s="5">
        <v>59169.0</v>
      </c>
      <c r="S444" s="5">
        <v>9.0</v>
      </c>
      <c r="T444" s="5">
        <v>1924.162675</v>
      </c>
      <c r="V444" s="21">
        <f t="shared" si="1"/>
        <v>30.34239021</v>
      </c>
      <c r="W444" s="21">
        <f t="shared" si="2"/>
        <v>68.32721405</v>
      </c>
      <c r="X444" s="21">
        <f t="shared" si="3"/>
        <v>4.864864865</v>
      </c>
      <c r="Y444" s="21">
        <f t="shared" si="4"/>
        <v>213.7958528</v>
      </c>
      <c r="Z444" s="21">
        <f t="shared" si="5"/>
        <v>10.40087932</v>
      </c>
      <c r="AA444" s="21">
        <f t="shared" si="6"/>
        <v>0.2917290862</v>
      </c>
    </row>
    <row r="445">
      <c r="A445" s="4" t="s">
        <v>1463</v>
      </c>
      <c r="B445" s="4" t="str">
        <f>IFERROR(__xludf.DUMMYFUNCTION("SPLIT(A445:A1170, ""&gt;"")"),"Media and Entertainment ")</f>
        <v>Media and Entertainment </v>
      </c>
      <c r="C445" s="4" t="str">
        <f>IFERROR(__xludf.DUMMYFUNCTION("""COMPUTED_VALUE""")," Sports and Recreational Activities ")</f>
        <v> Sports and Recreational Activities </v>
      </c>
      <c r="D445" s="4" t="str">
        <f>IFERROR(__xludf.DUMMYFUNCTION("""COMPUTED_VALUE""")," Interest (Affinity) ")</f>
        <v> Interest (Affinity) </v>
      </c>
      <c r="E445" s="4" t="str">
        <f>IFERROR(__xludf.DUMMYFUNCTION("""COMPUTED_VALUE""")," Team Sports ")</f>
        <v> Team Sports </v>
      </c>
      <c r="F445" s="4" t="str">
        <f>IFERROR(__xludf.DUMMYFUNCTION("""COMPUTED_VALUE""")," Baseball")</f>
        <v> Baseball</v>
      </c>
      <c r="G445" s="4"/>
      <c r="H445" s="4"/>
      <c r="I445" s="5" t="s">
        <v>22</v>
      </c>
      <c r="J445" s="5" t="s">
        <v>31</v>
      </c>
      <c r="K445" s="5" t="s">
        <v>17</v>
      </c>
      <c r="L445" s="6" t="s">
        <v>669</v>
      </c>
      <c r="M445" s="5" t="s">
        <v>26</v>
      </c>
      <c r="N445" s="5" t="s">
        <v>27</v>
      </c>
      <c r="O445" s="5">
        <v>73544.0</v>
      </c>
      <c r="P445" s="5">
        <v>223.0</v>
      </c>
      <c r="Q445" s="5">
        <v>40405.0</v>
      </c>
      <c r="R445" s="5">
        <v>67406.0</v>
      </c>
      <c r="S445" s="5">
        <v>1.0</v>
      </c>
      <c r="T445" s="5">
        <v>1465.872266</v>
      </c>
      <c r="V445" s="21">
        <f t="shared" si="1"/>
        <v>19.93190833</v>
      </c>
      <c r="W445" s="21">
        <f t="shared" si="2"/>
        <v>36.27947695</v>
      </c>
      <c r="X445" s="21">
        <f t="shared" si="3"/>
        <v>0.4484304933</v>
      </c>
      <c r="Y445" s="21">
        <f t="shared" si="4"/>
        <v>1465.872266</v>
      </c>
      <c r="Z445" s="21">
        <f t="shared" si="5"/>
        <v>6.573418233</v>
      </c>
      <c r="AA445" s="21">
        <f t="shared" si="6"/>
        <v>0.3032198412</v>
      </c>
    </row>
    <row r="446">
      <c r="A446" s="4" t="s">
        <v>1464</v>
      </c>
      <c r="B446" s="4" t="str">
        <f>IFERROR(__xludf.DUMMYFUNCTION("SPLIT(A446:A1171, ""&gt;"")"),"Media and Entertainment ")</f>
        <v>Media and Entertainment </v>
      </c>
      <c r="C446" s="4" t="str">
        <f>IFERROR(__xludf.DUMMYFUNCTION("""COMPUTED_VALUE""")," News and Current Events ")</f>
        <v> News and Current Events </v>
      </c>
      <c r="D446" s="4" t="str">
        <f>IFERROR(__xludf.DUMMYFUNCTION("""COMPUTED_VALUE""")," Online News Websites")</f>
        <v> Online News Websites</v>
      </c>
      <c r="E446" s="4"/>
      <c r="F446" s="4"/>
      <c r="G446" s="4"/>
      <c r="H446" s="4"/>
      <c r="I446" s="5" t="s">
        <v>22</v>
      </c>
      <c r="J446" s="5" t="s">
        <v>31</v>
      </c>
      <c r="K446" s="5" t="s">
        <v>32</v>
      </c>
      <c r="L446" s="6" t="s">
        <v>676</v>
      </c>
      <c r="M446" s="5" t="s">
        <v>161</v>
      </c>
      <c r="N446" s="5" t="s">
        <v>27</v>
      </c>
      <c r="O446" s="5">
        <v>16288.0</v>
      </c>
      <c r="P446" s="5">
        <v>56.0</v>
      </c>
      <c r="Q446" s="5">
        <v>5304.0</v>
      </c>
      <c r="R446" s="5">
        <v>10731.0</v>
      </c>
      <c r="S446" s="5">
        <v>3.0</v>
      </c>
      <c r="T446" s="5">
        <v>2030.142709</v>
      </c>
      <c r="V446" s="21">
        <f t="shared" si="1"/>
        <v>124.6403923</v>
      </c>
      <c r="W446" s="21">
        <f t="shared" si="2"/>
        <v>382.756921</v>
      </c>
      <c r="X446" s="21">
        <f t="shared" si="3"/>
        <v>5.357142857</v>
      </c>
      <c r="Y446" s="21">
        <f t="shared" si="4"/>
        <v>676.7142363</v>
      </c>
      <c r="Z446" s="21">
        <f t="shared" si="5"/>
        <v>36.25254838</v>
      </c>
      <c r="AA446" s="21">
        <f t="shared" si="6"/>
        <v>0.3438113949</v>
      </c>
    </row>
    <row r="447">
      <c r="A447" s="4" t="s">
        <v>1465</v>
      </c>
      <c r="B447" s="4" t="str">
        <f>IFERROR(__xludf.DUMMYFUNCTION("SPLIT(A447:A1172, ""&gt;"")"),"Online Behavior")</f>
        <v>Online Behavior</v>
      </c>
      <c r="C447" s="4" t="str">
        <f>IFERROR(__xludf.DUMMYFUNCTION("""COMPUTED_VALUE"""),"United States")</f>
        <v>United States</v>
      </c>
      <c r="D447" s="4" t="str">
        <f>IFERROR(__xludf.DUMMYFUNCTION("""COMPUTED_VALUE"""),"Finance ")</f>
        <v>Finance </v>
      </c>
      <c r="E447" s="4" t="str">
        <f>IFERROR(__xludf.DUMMYFUNCTION("""COMPUTED_VALUE""")," Investing")</f>
        <v> Investing</v>
      </c>
      <c r="F447" s="4" t="str">
        <f>IFERROR(__xludf.DUMMYFUNCTION("""COMPUTED_VALUE"""),"Brokerages and Day Trading")</f>
        <v>Brokerages and Day Trading</v>
      </c>
      <c r="G447" s="4"/>
      <c r="H447" s="4"/>
      <c r="I447" s="5" t="s">
        <v>15</v>
      </c>
      <c r="J447" s="5" t="s">
        <v>42</v>
      </c>
      <c r="K447" s="5" t="s">
        <v>183</v>
      </c>
      <c r="L447" s="6" t="s">
        <v>678</v>
      </c>
      <c r="M447" s="5" t="s">
        <v>19</v>
      </c>
      <c r="N447" s="5" t="s">
        <v>20</v>
      </c>
      <c r="O447" s="5">
        <v>7695.0</v>
      </c>
      <c r="P447" s="5">
        <v>20.0</v>
      </c>
      <c r="Q447" s="5">
        <v>3481.0</v>
      </c>
      <c r="R447" s="5">
        <v>7050.0</v>
      </c>
      <c r="S447" s="5">
        <v>14.0</v>
      </c>
      <c r="T447" s="5">
        <v>6727.440499</v>
      </c>
      <c r="V447" s="21">
        <f t="shared" si="1"/>
        <v>874.2612734</v>
      </c>
      <c r="W447" s="21">
        <f t="shared" si="2"/>
        <v>1932.617207</v>
      </c>
      <c r="X447" s="21">
        <f t="shared" si="3"/>
        <v>70</v>
      </c>
      <c r="Y447" s="21">
        <f t="shared" si="4"/>
        <v>480.5314642</v>
      </c>
      <c r="Z447" s="21">
        <f t="shared" si="5"/>
        <v>336.372025</v>
      </c>
      <c r="AA447" s="21">
        <f t="shared" si="6"/>
        <v>0.2599090318</v>
      </c>
    </row>
    <row r="448">
      <c r="A448" s="4" t="s">
        <v>1873</v>
      </c>
      <c r="B448" s="4" t="str">
        <f>IFERROR(__xludf.DUMMYFUNCTION("SPLIT(A448:A1173, ""&gt;"")"),"US ")</f>
        <v>US </v>
      </c>
      <c r="C448" s="4" t="str">
        <f>IFERROR(__xludf.DUMMYFUNCTION("""COMPUTED_VALUE""")," Reach ")</f>
        <v> Reach </v>
      </c>
      <c r="D448" s="4" t="str">
        <f>IFERROR(__xludf.DUMMYFUNCTION("""COMPUTED_VALUE""")," Propensity Models ")</f>
        <v> Propensity Models </v>
      </c>
      <c r="E448" s="4" t="str">
        <f>IFERROR(__xludf.DUMMYFUNCTION("""COMPUTED_VALUE""")," Luxury Store Shoppers")</f>
        <v> Luxury Store Shoppers</v>
      </c>
      <c r="F448" s="4"/>
      <c r="G448" s="4"/>
      <c r="H448" s="4"/>
      <c r="I448" s="5" t="s">
        <v>61</v>
      </c>
      <c r="J448" s="5" t="s">
        <v>16</v>
      </c>
      <c r="K448" s="5" t="s">
        <v>183</v>
      </c>
      <c r="L448" s="6" t="s">
        <v>678</v>
      </c>
      <c r="M448" s="5" t="s">
        <v>19</v>
      </c>
      <c r="N448" s="5" t="s">
        <v>27</v>
      </c>
      <c r="O448" s="5">
        <v>15602.0</v>
      </c>
      <c r="P448" s="5">
        <v>50.0</v>
      </c>
      <c r="Q448" s="5">
        <v>7676.0</v>
      </c>
      <c r="R448" s="5">
        <v>13775.0</v>
      </c>
      <c r="S448" s="5">
        <v>1.0</v>
      </c>
      <c r="T448" s="5">
        <v>2600.894327</v>
      </c>
      <c r="V448" s="21">
        <f t="shared" si="1"/>
        <v>166.7026232</v>
      </c>
      <c r="W448" s="21">
        <f t="shared" si="2"/>
        <v>338.8345918</v>
      </c>
      <c r="X448" s="21">
        <f t="shared" si="3"/>
        <v>2</v>
      </c>
      <c r="Y448" s="21">
        <f t="shared" si="4"/>
        <v>2600.894327</v>
      </c>
      <c r="Z448" s="21">
        <f t="shared" si="5"/>
        <v>52.01788654</v>
      </c>
      <c r="AA448" s="21">
        <f t="shared" si="6"/>
        <v>0.3204717344</v>
      </c>
    </row>
    <row r="449">
      <c r="A449" s="4" t="s">
        <v>1467</v>
      </c>
      <c r="B449" s="4" t="str">
        <f>IFERROR(__xludf.DUMMYFUNCTION("SPLIT(A449:A1174, ""&gt;"")"),"Online Behavior")</f>
        <v>Online Behavior</v>
      </c>
      <c r="C449" s="4" t="str">
        <f>IFERROR(__xludf.DUMMYFUNCTION("""COMPUTED_VALUE"""),"United States")</f>
        <v>United States</v>
      </c>
      <c r="D449" s="4" t="str">
        <f>IFERROR(__xludf.DUMMYFUNCTION("""COMPUTED_VALUE"""),"Intent ")</f>
        <v>Intent </v>
      </c>
      <c r="E449" s="4" t="str">
        <f>IFERROR(__xludf.DUMMYFUNCTION("""COMPUTED_VALUE""")," Auto Buyers ")</f>
        <v> Auto Buyers </v>
      </c>
      <c r="F449" s="4" t="str">
        <f>IFERROR(__xludf.DUMMYFUNCTION("""COMPUTED_VALUE""")," Car Make")</f>
        <v> Car Make</v>
      </c>
      <c r="G449" s="4" t="str">
        <f>IFERROR(__xludf.DUMMYFUNCTION("""COMPUTED_VALUE"""),"Honda")</f>
        <v>Honda</v>
      </c>
      <c r="H449" s="4"/>
      <c r="I449" s="5" t="s">
        <v>15</v>
      </c>
      <c r="J449" s="5" t="s">
        <v>16</v>
      </c>
      <c r="K449" s="5" t="s">
        <v>39</v>
      </c>
      <c r="L449" s="6" t="s">
        <v>681</v>
      </c>
      <c r="M449" s="5" t="s">
        <v>50</v>
      </c>
      <c r="N449" s="5" t="s">
        <v>27</v>
      </c>
      <c r="O449" s="5">
        <v>8000.0</v>
      </c>
      <c r="P449" s="5">
        <v>10.0</v>
      </c>
      <c r="Q449" s="5">
        <v>4400.0</v>
      </c>
      <c r="R449" s="5">
        <v>6379.0</v>
      </c>
      <c r="S449" s="5">
        <v>1.0</v>
      </c>
      <c r="T449" s="5">
        <v>6159.366902</v>
      </c>
      <c r="V449" s="21">
        <f t="shared" si="1"/>
        <v>769.9208628</v>
      </c>
      <c r="W449" s="21">
        <f t="shared" si="2"/>
        <v>1399.856114</v>
      </c>
      <c r="X449" s="21">
        <f t="shared" si="3"/>
        <v>10</v>
      </c>
      <c r="Y449" s="21">
        <f t="shared" si="4"/>
        <v>6159.366902</v>
      </c>
      <c r="Z449" s="21">
        <f t="shared" si="5"/>
        <v>615.9366902</v>
      </c>
      <c r="AA449" s="21">
        <f t="shared" si="6"/>
        <v>0.125</v>
      </c>
    </row>
    <row r="450">
      <c r="A450" s="4" t="s">
        <v>1468</v>
      </c>
      <c r="B450" s="4" t="str">
        <f>IFERROR(__xludf.DUMMYFUNCTION("SPLIT(A450:A1175, ""&gt;"")"),"Media and Entertainment ")</f>
        <v>Media and Entertainment </v>
      </c>
      <c r="C450" s="4" t="str">
        <f>IFERROR(__xludf.DUMMYFUNCTION("""COMPUTED_VALUE""")," Sports and Recreational Activities ")</f>
        <v> Sports and Recreational Activities </v>
      </c>
      <c r="D450" s="4" t="str">
        <f>IFERROR(__xludf.DUMMYFUNCTION("""COMPUTED_VALUE""")," Interest (Affinity) ")</f>
        <v> Interest (Affinity) </v>
      </c>
      <c r="E450" s="4" t="str">
        <f>IFERROR(__xludf.DUMMYFUNCTION("""COMPUTED_VALUE""")," Combat Sports")</f>
        <v> Combat Sports</v>
      </c>
      <c r="F450" s="4"/>
      <c r="G450" s="4"/>
      <c r="H450" s="4"/>
      <c r="I450" s="5" t="s">
        <v>22</v>
      </c>
      <c r="J450" s="5" t="s">
        <v>31</v>
      </c>
      <c r="K450" s="5" t="s">
        <v>17</v>
      </c>
      <c r="L450" s="6" t="s">
        <v>681</v>
      </c>
      <c r="M450" s="5" t="s">
        <v>136</v>
      </c>
      <c r="N450" s="5" t="s">
        <v>27</v>
      </c>
      <c r="O450" s="5">
        <v>13592.0</v>
      </c>
      <c r="P450" s="5">
        <v>85.0</v>
      </c>
      <c r="Q450" s="5">
        <v>7747.0</v>
      </c>
      <c r="R450" s="5">
        <v>10690.0</v>
      </c>
      <c r="S450" s="5">
        <v>1.0</v>
      </c>
      <c r="T450" s="5">
        <v>1555.112078</v>
      </c>
      <c r="V450" s="21">
        <f t="shared" si="1"/>
        <v>114.4137785</v>
      </c>
      <c r="W450" s="21">
        <f t="shared" si="2"/>
        <v>200.7373277</v>
      </c>
      <c r="X450" s="21">
        <f t="shared" si="3"/>
        <v>1.176470588</v>
      </c>
      <c r="Y450" s="21">
        <f t="shared" si="4"/>
        <v>1555.112078</v>
      </c>
      <c r="Z450" s="21">
        <f t="shared" si="5"/>
        <v>18.29543621</v>
      </c>
      <c r="AA450" s="21">
        <f t="shared" si="6"/>
        <v>0.6253678634</v>
      </c>
    </row>
    <row r="451">
      <c r="A451" s="4" t="s">
        <v>1874</v>
      </c>
      <c r="B451" s="4" t="str">
        <f>IFERROR(__xludf.DUMMYFUNCTION("SPLIT(A451:A1176, ""&gt;"")"),"US ")</f>
        <v>US </v>
      </c>
      <c r="C451" s="4" t="str">
        <f>IFERROR(__xludf.DUMMYFUNCTION("""COMPUTED_VALUE""")," Reach ")</f>
        <v> Reach </v>
      </c>
      <c r="D451" s="4" t="str">
        <f>IFERROR(__xludf.DUMMYFUNCTION("""COMPUTED_VALUE""")," Propensity Models ")</f>
        <v> Propensity Models </v>
      </c>
      <c r="E451" s="4" t="str">
        <f>IFERROR(__xludf.DUMMYFUNCTION("""COMPUTED_VALUE""")," Travel ")</f>
        <v> Travel </v>
      </c>
      <c r="F451" s="4" t="str">
        <f>IFERROR(__xludf.DUMMYFUNCTION("""COMPUTED_VALUE""")," High Frequency Travel ")</f>
        <v> High Frequency Travel </v>
      </c>
      <c r="G451" s="4" t="str">
        <f>IFERROR(__xludf.DUMMYFUNCTION("""COMPUTED_VALUE""")," Foreign Vacationer")</f>
        <v> Foreign Vacationer</v>
      </c>
      <c r="H451" s="4"/>
      <c r="I451" s="5" t="s">
        <v>22</v>
      </c>
      <c r="J451" s="5" t="s">
        <v>42</v>
      </c>
      <c r="K451" s="5" t="s">
        <v>78</v>
      </c>
      <c r="L451" s="6" t="s">
        <v>684</v>
      </c>
      <c r="M451" s="5" t="s">
        <v>26</v>
      </c>
      <c r="N451" s="5" t="s">
        <v>27</v>
      </c>
      <c r="O451" s="5">
        <v>15588.0</v>
      </c>
      <c r="P451" s="5">
        <v>80.0</v>
      </c>
      <c r="Q451" s="5">
        <v>2089.0</v>
      </c>
      <c r="R451" s="5">
        <v>14526.0</v>
      </c>
      <c r="S451" s="5">
        <v>9.0</v>
      </c>
      <c r="T451" s="5">
        <v>3518.533482</v>
      </c>
      <c r="V451" s="21">
        <f t="shared" si="1"/>
        <v>225.7206493</v>
      </c>
      <c r="W451" s="21">
        <f t="shared" si="2"/>
        <v>1684.314735</v>
      </c>
      <c r="X451" s="21">
        <f t="shared" si="3"/>
        <v>11.25</v>
      </c>
      <c r="Y451" s="21">
        <f t="shared" si="4"/>
        <v>390.9481647</v>
      </c>
      <c r="Z451" s="21">
        <f t="shared" si="5"/>
        <v>43.98166853</v>
      </c>
      <c r="AA451" s="21">
        <f t="shared" si="6"/>
        <v>0.5132152938</v>
      </c>
    </row>
    <row r="452">
      <c r="A452" s="4" t="s">
        <v>1470</v>
      </c>
      <c r="B452" s="4" t="str">
        <f>IFERROR(__xludf.DUMMYFUNCTION("SPLIT(A452:A1177, ""&gt;"")"),"Online Behavior")</f>
        <v>Online Behavior</v>
      </c>
      <c r="C452" s="4" t="str">
        <f>IFERROR(__xludf.DUMMYFUNCTION("""COMPUTED_VALUE"""),"United States")</f>
        <v>United States</v>
      </c>
      <c r="D452" s="4" t="str">
        <f>IFERROR(__xludf.DUMMYFUNCTION("""COMPUTED_VALUE"""),"Intent ")</f>
        <v>Intent </v>
      </c>
      <c r="E452" s="4" t="str">
        <f>IFERROR(__xludf.DUMMYFUNCTION("""COMPUTED_VALUE""")," Auto Buyers ")</f>
        <v> Auto Buyers </v>
      </c>
      <c r="F452" s="4" t="str">
        <f>IFERROR(__xludf.DUMMYFUNCTION("""COMPUTED_VALUE""")," Car Make")</f>
        <v> Car Make</v>
      </c>
      <c r="G452" s="4" t="str">
        <f>IFERROR(__xludf.DUMMYFUNCTION("""COMPUTED_VALUE"""),"Vauxhall")</f>
        <v>Vauxhall</v>
      </c>
      <c r="H452" s="4"/>
      <c r="I452" s="5" t="s">
        <v>22</v>
      </c>
      <c r="J452" s="5" t="s">
        <v>31</v>
      </c>
      <c r="K452" s="5" t="s">
        <v>29</v>
      </c>
      <c r="L452" s="6" t="s">
        <v>686</v>
      </c>
      <c r="M452" s="5" t="s">
        <v>19</v>
      </c>
      <c r="N452" s="5" t="s">
        <v>27</v>
      </c>
      <c r="O452" s="5">
        <v>14038.0</v>
      </c>
      <c r="P452" s="5">
        <v>63.0</v>
      </c>
      <c r="Q452" s="5">
        <v>1600.0</v>
      </c>
      <c r="R452" s="5">
        <v>11345.0</v>
      </c>
      <c r="S452" s="5">
        <v>8.0</v>
      </c>
      <c r="T452" s="5">
        <v>6368.862913</v>
      </c>
      <c r="V452" s="21">
        <f t="shared" si="1"/>
        <v>453.6873424</v>
      </c>
      <c r="W452" s="21">
        <f t="shared" si="2"/>
        <v>3980.539321</v>
      </c>
      <c r="X452" s="21">
        <f t="shared" si="3"/>
        <v>12.6984127</v>
      </c>
      <c r="Y452" s="21">
        <f t="shared" si="4"/>
        <v>796.1078641</v>
      </c>
      <c r="Z452" s="21">
        <f t="shared" si="5"/>
        <v>101.0930621</v>
      </c>
      <c r="AA452" s="21">
        <f t="shared" si="6"/>
        <v>0.4487818778</v>
      </c>
    </row>
    <row r="453">
      <c r="A453" s="4" t="s">
        <v>1471</v>
      </c>
      <c r="B453" s="4" t="str">
        <f>IFERROR(__xludf.DUMMYFUNCTION("SPLIT(A453:A1178, ""&gt;"")"),"Online Behavior")</f>
        <v>Online Behavior</v>
      </c>
      <c r="C453" s="4" t="str">
        <f>IFERROR(__xludf.DUMMYFUNCTION("""COMPUTED_VALUE"""),"United States")</f>
        <v>United States</v>
      </c>
      <c r="D453" s="4" t="str">
        <f>IFERROR(__xludf.DUMMYFUNCTION("""COMPUTED_VALUE"""),"Intent ")</f>
        <v>Intent </v>
      </c>
      <c r="E453" s="4" t="str">
        <f>IFERROR(__xludf.DUMMYFUNCTION("""COMPUTED_VALUE""")," Travel")</f>
        <v> Travel</v>
      </c>
      <c r="F453" s="4" t="str">
        <f>IFERROR(__xludf.DUMMYFUNCTION("""COMPUTED_VALUE"""),"Flights")</f>
        <v>Flights</v>
      </c>
      <c r="G453" s="4"/>
      <c r="H453" s="4"/>
      <c r="I453" s="5" t="s">
        <v>61</v>
      </c>
      <c r="J453" s="5" t="s">
        <v>31</v>
      </c>
      <c r="K453" s="5" t="s">
        <v>55</v>
      </c>
      <c r="L453" s="6" t="s">
        <v>686</v>
      </c>
      <c r="M453" s="5" t="s">
        <v>33</v>
      </c>
      <c r="N453" s="5" t="s">
        <v>27</v>
      </c>
      <c r="O453" s="5">
        <v>140359.0</v>
      </c>
      <c r="P453" s="5">
        <v>352.0</v>
      </c>
      <c r="Q453" s="5">
        <v>76130.0</v>
      </c>
      <c r="R453" s="5">
        <v>133578.0</v>
      </c>
      <c r="S453" s="5">
        <v>26.0</v>
      </c>
      <c r="T453" s="5">
        <v>6094.666799</v>
      </c>
      <c r="V453" s="21">
        <f t="shared" si="1"/>
        <v>43.4219879</v>
      </c>
      <c r="W453" s="21">
        <f t="shared" si="2"/>
        <v>80.05604622</v>
      </c>
      <c r="X453" s="21">
        <f t="shared" si="3"/>
        <v>7.386363636</v>
      </c>
      <c r="Y453" s="21">
        <f t="shared" si="4"/>
        <v>234.4102615</v>
      </c>
      <c r="Z453" s="21">
        <f t="shared" si="5"/>
        <v>17.31439432</v>
      </c>
      <c r="AA453" s="21">
        <f t="shared" si="6"/>
        <v>0.2507854858</v>
      </c>
    </row>
    <row r="454">
      <c r="A454" s="4" t="s">
        <v>688</v>
      </c>
      <c r="B454" s="4" t="str">
        <f>IFERROR(__xludf.DUMMYFUNCTION("SPLIT(A454:A1179, ""&gt;"")"),"Online Behavior")</f>
        <v>Online Behavior</v>
      </c>
      <c r="C454" s="4" t="str">
        <f>IFERROR(__xludf.DUMMYFUNCTION("""COMPUTED_VALUE"""),"United States")</f>
        <v>United States</v>
      </c>
      <c r="D454" s="4" t="str">
        <f>IFERROR(__xludf.DUMMYFUNCTION("""COMPUTED_VALUE"""),"Home and Garden")</f>
        <v>Home and Garden</v>
      </c>
      <c r="E454" s="4" t="str">
        <f>IFERROR(__xludf.DUMMYFUNCTION("""COMPUTED_VALUE"""),"Home Furnishings")</f>
        <v>Home Furnishings</v>
      </c>
      <c r="F454" s="4"/>
      <c r="G454" s="4"/>
      <c r="H454" s="4"/>
      <c r="I454" s="5" t="s">
        <v>22</v>
      </c>
      <c r="J454" s="5" t="s">
        <v>31</v>
      </c>
      <c r="K454" s="5" t="s">
        <v>35</v>
      </c>
      <c r="L454" s="6" t="s">
        <v>686</v>
      </c>
      <c r="M454" s="5" t="s">
        <v>19</v>
      </c>
      <c r="N454" s="5" t="s">
        <v>27</v>
      </c>
      <c r="O454" s="5">
        <v>25377.0</v>
      </c>
      <c r="P454" s="5">
        <v>101.0</v>
      </c>
      <c r="Q454" s="5">
        <v>16698.0</v>
      </c>
      <c r="R454" s="5">
        <v>23798.0</v>
      </c>
      <c r="S454" s="5">
        <v>2.0</v>
      </c>
      <c r="T454" s="5">
        <v>5175.142919</v>
      </c>
      <c r="V454" s="21">
        <f t="shared" si="1"/>
        <v>203.9304456</v>
      </c>
      <c r="W454" s="21">
        <f t="shared" si="2"/>
        <v>309.9259144</v>
      </c>
      <c r="X454" s="21">
        <f t="shared" si="3"/>
        <v>1.98019802</v>
      </c>
      <c r="Y454" s="21">
        <f t="shared" si="4"/>
        <v>2587.57146</v>
      </c>
      <c r="Z454" s="21">
        <f t="shared" si="5"/>
        <v>51.2390388</v>
      </c>
      <c r="AA454" s="21">
        <f t="shared" si="6"/>
        <v>0.3979981873</v>
      </c>
    </row>
    <row r="455">
      <c r="A455" s="4" t="s">
        <v>689</v>
      </c>
      <c r="B455" s="4" t="str">
        <f>IFERROR(__xludf.DUMMYFUNCTION("SPLIT(A455:A1180, ""&gt;"")"),"Tech Enthusiasts")</f>
        <v>Tech Enthusiasts</v>
      </c>
      <c r="C455" s="4"/>
      <c r="D455" s="4"/>
      <c r="E455" s="4"/>
      <c r="F455" s="4"/>
      <c r="G455" s="4"/>
      <c r="H455" s="4"/>
      <c r="I455" s="5" t="s">
        <v>22</v>
      </c>
      <c r="J455" s="5" t="s">
        <v>23</v>
      </c>
      <c r="K455" s="5" t="s">
        <v>55</v>
      </c>
      <c r="L455" s="6" t="s">
        <v>686</v>
      </c>
      <c r="M455" s="5" t="s">
        <v>19</v>
      </c>
      <c r="N455" s="5" t="s">
        <v>27</v>
      </c>
      <c r="O455" s="5">
        <v>29092.0</v>
      </c>
      <c r="P455" s="5">
        <v>75.0</v>
      </c>
      <c r="Q455" s="5">
        <v>16986.0</v>
      </c>
      <c r="R455" s="5">
        <v>26606.0</v>
      </c>
      <c r="S455" s="5">
        <v>15.0</v>
      </c>
      <c r="T455" s="5">
        <v>1801.058111</v>
      </c>
      <c r="V455" s="21">
        <f t="shared" si="1"/>
        <v>61.90905098</v>
      </c>
      <c r="W455" s="21">
        <f t="shared" si="2"/>
        <v>106.0319152</v>
      </c>
      <c r="X455" s="21">
        <f t="shared" si="3"/>
        <v>20</v>
      </c>
      <c r="Y455" s="21">
        <f t="shared" si="4"/>
        <v>120.0705407</v>
      </c>
      <c r="Z455" s="21">
        <f t="shared" si="5"/>
        <v>24.01410815</v>
      </c>
      <c r="AA455" s="21">
        <f t="shared" si="6"/>
        <v>0.2578028324</v>
      </c>
    </row>
    <row r="456">
      <c r="A456" s="4" t="s">
        <v>1875</v>
      </c>
      <c r="B456" s="4" t="str">
        <f>IFERROR(__xludf.DUMMYFUNCTION("SPLIT(A456:A1181, ""&gt;"")"),"US Interest ")</f>
        <v>US Interest </v>
      </c>
      <c r="C456" s="4" t="str">
        <f>IFERROR(__xludf.DUMMYFUNCTION("""COMPUTED_VALUE""")," Computers")</f>
        <v> Computers</v>
      </c>
      <c r="D456" s="4"/>
      <c r="E456" s="4"/>
      <c r="F456" s="4"/>
      <c r="G456" s="4"/>
      <c r="H456" s="4"/>
      <c r="I456" s="5" t="s">
        <v>15</v>
      </c>
      <c r="J456" s="5" t="s">
        <v>16</v>
      </c>
      <c r="K456" s="5" t="s">
        <v>95</v>
      </c>
      <c r="L456" s="6" t="s">
        <v>686</v>
      </c>
      <c r="M456" s="5" t="s">
        <v>26</v>
      </c>
      <c r="N456" s="5" t="s">
        <v>20</v>
      </c>
      <c r="O456" s="5">
        <v>73567.0</v>
      </c>
      <c r="P456" s="5">
        <v>197.0</v>
      </c>
      <c r="Q456" s="5">
        <v>28800.0</v>
      </c>
      <c r="R456" s="5">
        <v>68566.0</v>
      </c>
      <c r="S456" s="5">
        <v>2.0</v>
      </c>
      <c r="T456" s="5">
        <v>1567.366071</v>
      </c>
      <c r="V456" s="21">
        <f t="shared" si="1"/>
        <v>21.3052873</v>
      </c>
      <c r="W456" s="21">
        <f t="shared" si="2"/>
        <v>54.42243302</v>
      </c>
      <c r="X456" s="21">
        <f t="shared" si="3"/>
        <v>1.015228426</v>
      </c>
      <c r="Y456" s="21">
        <f t="shared" si="4"/>
        <v>783.6830355</v>
      </c>
      <c r="Z456" s="21">
        <f t="shared" si="5"/>
        <v>7.956172949</v>
      </c>
      <c r="AA456" s="21">
        <f t="shared" si="6"/>
        <v>0.2677831093</v>
      </c>
    </row>
    <row r="457">
      <c r="A457" s="4" t="s">
        <v>1876</v>
      </c>
      <c r="B457" s="4" t="str">
        <f>IFERROR(__xludf.DUMMYFUNCTION("SPLIT(A457:A1182, ""&gt;"")"),"US ")</f>
        <v>US </v>
      </c>
      <c r="C457" s="4" t="str">
        <f>IFERROR(__xludf.DUMMYFUNCTION("""COMPUTED_VALUE""")," Brand Propensities ")</f>
        <v> Brand Propensities </v>
      </c>
      <c r="D457" s="4" t="str">
        <f>IFERROR(__xludf.DUMMYFUNCTION("""COMPUTED_VALUE""")," Health ")</f>
        <v> Health </v>
      </c>
      <c r="E457" s="4" t="str">
        <f>IFERROR(__xludf.DUMMYFUNCTION("""COMPUTED_VALUE""")," Beauty and Cosmetics ")</f>
        <v> Beauty and Cosmetics </v>
      </c>
      <c r="F457" s="4" t="str">
        <f>IFERROR(__xludf.DUMMYFUNCTION("""COMPUTED_VALUE""")," Beachbody Buyer Propensity")</f>
        <v> Beachbody Buyer Propensity</v>
      </c>
      <c r="G457" s="4"/>
      <c r="H457" s="4"/>
      <c r="I457" s="5" t="s">
        <v>22</v>
      </c>
      <c r="J457" s="5" t="s">
        <v>16</v>
      </c>
      <c r="K457" s="5" t="s">
        <v>35</v>
      </c>
      <c r="L457" s="6" t="s">
        <v>686</v>
      </c>
      <c r="M457" s="5" t="s">
        <v>19</v>
      </c>
      <c r="N457" s="5" t="s">
        <v>27</v>
      </c>
      <c r="O457" s="5">
        <v>152881.0</v>
      </c>
      <c r="P457" s="5">
        <v>426.0</v>
      </c>
      <c r="Q457" s="5">
        <v>94895.0</v>
      </c>
      <c r="R457" s="5">
        <v>145113.0</v>
      </c>
      <c r="S457" s="5">
        <v>11.0</v>
      </c>
      <c r="T457" s="5">
        <v>1496.668524</v>
      </c>
      <c r="V457" s="21">
        <f t="shared" si="1"/>
        <v>9.789761475</v>
      </c>
      <c r="W457" s="21">
        <f t="shared" si="2"/>
        <v>15.77183755</v>
      </c>
      <c r="X457" s="21">
        <f t="shared" si="3"/>
        <v>2.582159624</v>
      </c>
      <c r="Y457" s="21">
        <f t="shared" si="4"/>
        <v>136.0607749</v>
      </c>
      <c r="Z457" s="21">
        <f t="shared" si="5"/>
        <v>3.513306394</v>
      </c>
      <c r="AA457" s="21">
        <f t="shared" si="6"/>
        <v>0.2786480988</v>
      </c>
    </row>
    <row r="458">
      <c r="A458" s="4" t="s">
        <v>1475</v>
      </c>
      <c r="B458" s="4" t="str">
        <f>IFERROR(__xludf.DUMMYFUNCTION("SPLIT(A458:A1183, ""&gt;"")"),"Media and Entertainment ")</f>
        <v>Media and Entertainment </v>
      </c>
      <c r="C458" s="4" t="str">
        <f>IFERROR(__xludf.DUMMYFUNCTION("""COMPUTED_VALUE""")," Audio and Video Streaming ")</f>
        <v> Audio and Video Streaming </v>
      </c>
      <c r="D458" s="4" t="str">
        <f>IFERROR(__xludf.DUMMYFUNCTION("""COMPUTED_VALUE""")," Streaming Video ")</f>
        <v> Streaming Video </v>
      </c>
      <c r="E458" s="4" t="str">
        <f>IFERROR(__xludf.DUMMYFUNCTION("""COMPUTED_VALUE""")," Interest (Affinity)")</f>
        <v> Interest (Affinity)</v>
      </c>
      <c r="F458" s="4"/>
      <c r="G458" s="4"/>
      <c r="H458" s="4"/>
      <c r="I458" s="5" t="s">
        <v>22</v>
      </c>
      <c r="J458" s="5" t="s">
        <v>23</v>
      </c>
      <c r="K458" s="5" t="s">
        <v>35</v>
      </c>
      <c r="L458" s="6" t="s">
        <v>693</v>
      </c>
      <c r="M458" s="5" t="s">
        <v>19</v>
      </c>
      <c r="N458" s="5" t="s">
        <v>27</v>
      </c>
      <c r="O458" s="5">
        <v>16239.0</v>
      </c>
      <c r="P458" s="5">
        <v>78.0</v>
      </c>
      <c r="Q458" s="5">
        <v>9375.0</v>
      </c>
      <c r="R458" s="5">
        <v>15562.0</v>
      </c>
      <c r="S458" s="5">
        <v>5.0</v>
      </c>
      <c r="T458" s="5">
        <v>2387.686295</v>
      </c>
      <c r="V458" s="21">
        <f t="shared" si="1"/>
        <v>147.034072</v>
      </c>
      <c r="W458" s="21">
        <f t="shared" si="2"/>
        <v>254.6865381</v>
      </c>
      <c r="X458" s="21">
        <f t="shared" si="3"/>
        <v>6.41025641</v>
      </c>
      <c r="Y458" s="21">
        <f t="shared" si="4"/>
        <v>477.537259</v>
      </c>
      <c r="Z458" s="21">
        <f t="shared" si="5"/>
        <v>30.61136276</v>
      </c>
      <c r="AA458" s="21">
        <f t="shared" si="6"/>
        <v>0.4803251432</v>
      </c>
    </row>
    <row r="459">
      <c r="A459" s="4" t="s">
        <v>1877</v>
      </c>
      <c r="B459" s="4" t="str">
        <f>IFERROR(__xludf.DUMMYFUNCTION("SPLIT(A459:A1184, ""&gt;"")"),"US ")</f>
        <v>US </v>
      </c>
      <c r="C459" s="4" t="str">
        <f>IFERROR(__xludf.DUMMYFUNCTION("""COMPUTED_VALUE""")," Interest Propensities ")</f>
        <v> Interest Propensities </v>
      </c>
      <c r="D459" s="4" t="str">
        <f>IFERROR(__xludf.DUMMYFUNCTION("""COMPUTED_VALUE""")," Insurance ")</f>
        <v> Insurance </v>
      </c>
      <c r="E459" s="4" t="str">
        <f>IFERROR(__xludf.DUMMYFUNCTION("""COMPUTED_VALUE""")," New York Life")</f>
        <v> New York Life</v>
      </c>
      <c r="F459" s="4"/>
      <c r="G459" s="4"/>
      <c r="H459" s="4"/>
      <c r="I459" s="5" t="s">
        <v>15</v>
      </c>
      <c r="J459" s="5" t="s">
        <v>16</v>
      </c>
      <c r="K459" s="5" t="s">
        <v>35</v>
      </c>
      <c r="L459" s="6" t="s">
        <v>693</v>
      </c>
      <c r="M459" s="5" t="s">
        <v>36</v>
      </c>
      <c r="N459" s="5" t="s">
        <v>27</v>
      </c>
      <c r="O459" s="5">
        <v>14932.0</v>
      </c>
      <c r="P459" s="5">
        <v>90.0</v>
      </c>
      <c r="Q459" s="5">
        <v>8947.0</v>
      </c>
      <c r="R459" s="5">
        <v>14256.0</v>
      </c>
      <c r="S459" s="5">
        <v>3.0</v>
      </c>
      <c r="T459" s="5">
        <v>1724.417704</v>
      </c>
      <c r="V459" s="21">
        <f t="shared" si="1"/>
        <v>115.484711</v>
      </c>
      <c r="W459" s="21">
        <f t="shared" si="2"/>
        <v>192.7369737</v>
      </c>
      <c r="X459" s="21">
        <f t="shared" si="3"/>
        <v>3.333333333</v>
      </c>
      <c r="Y459" s="21">
        <f t="shared" si="4"/>
        <v>574.8059013</v>
      </c>
      <c r="Z459" s="21">
        <f t="shared" si="5"/>
        <v>19.16019671</v>
      </c>
      <c r="AA459" s="21">
        <f t="shared" si="6"/>
        <v>0.6027323868</v>
      </c>
    </row>
    <row r="460">
      <c r="A460" s="4" t="s">
        <v>1477</v>
      </c>
      <c r="B460" s="4" t="str">
        <f>IFERROR(__xludf.DUMMYFUNCTION("SPLIT(A460:A1185, ""&gt;"")"),"OnAudience ")</f>
        <v>OnAudience </v>
      </c>
      <c r="C460" s="4" t="str">
        <f>IFERROR(__xludf.DUMMYFUNCTION("""COMPUTED_VALUE""")," Interest ")</f>
        <v> Interest </v>
      </c>
      <c r="D460" s="4" t="str">
        <f>IFERROR(__xludf.DUMMYFUNCTION("""COMPUTED_VALUE""")," Science ")</f>
        <v> Science </v>
      </c>
      <c r="E460" s="4" t="str">
        <f>IFERROR(__xludf.DUMMYFUNCTION("""COMPUTED_VALUE""")," Weather")</f>
        <v> Weather</v>
      </c>
      <c r="F460" s="4"/>
      <c r="G460" s="4"/>
      <c r="H460" s="4"/>
      <c r="I460" s="5" t="s">
        <v>15</v>
      </c>
      <c r="J460" s="5" t="s">
        <v>23</v>
      </c>
      <c r="K460" s="5" t="s">
        <v>24</v>
      </c>
      <c r="L460" s="6" t="s">
        <v>696</v>
      </c>
      <c r="M460" s="5" t="s">
        <v>36</v>
      </c>
      <c r="N460" s="5" t="s">
        <v>27</v>
      </c>
      <c r="O460" s="5">
        <v>13823.0</v>
      </c>
      <c r="P460" s="5">
        <v>58.0</v>
      </c>
      <c r="Q460" s="5">
        <v>10671.0</v>
      </c>
      <c r="R460" s="5">
        <v>12937.0</v>
      </c>
      <c r="S460" s="5">
        <v>3.0</v>
      </c>
      <c r="T460" s="5">
        <v>1574.709734</v>
      </c>
      <c r="V460" s="21">
        <f t="shared" si="1"/>
        <v>113.9195351</v>
      </c>
      <c r="W460" s="21">
        <f t="shared" si="2"/>
        <v>147.5690876</v>
      </c>
      <c r="X460" s="21">
        <f t="shared" si="3"/>
        <v>5.172413793</v>
      </c>
      <c r="Y460" s="21">
        <f t="shared" si="4"/>
        <v>524.9032447</v>
      </c>
      <c r="Z460" s="21">
        <f t="shared" si="5"/>
        <v>27.15016783</v>
      </c>
      <c r="AA460" s="21">
        <f t="shared" si="6"/>
        <v>0.4195905375</v>
      </c>
    </row>
    <row r="461">
      <c r="A461" s="4" t="s">
        <v>1878</v>
      </c>
      <c r="B461" s="4" t="str">
        <f>IFERROR(__xludf.DUMMYFUNCTION("SPLIT(A461:A1186, ""&gt;"")"),"Mobile - US ")</f>
        <v>Mobile - US </v>
      </c>
      <c r="C461" s="4" t="str">
        <f>IFERROR(__xludf.DUMMYFUNCTION("""COMPUTED_VALUE""")," Demographics ")</f>
        <v> Demographics </v>
      </c>
      <c r="D461" s="4" t="str">
        <f>IFERROR(__xludf.DUMMYFUNCTION("""COMPUTED_VALUE""")," Finance ")</f>
        <v> Finance </v>
      </c>
      <c r="E461" s="4" t="str">
        <f>IFERROR(__xludf.DUMMYFUNCTION("""COMPUTED_VALUE""")," Rent Value ")</f>
        <v> Rent Value </v>
      </c>
      <c r="F461" s="4" t="str">
        <f>IFERROR(__xludf.DUMMYFUNCTION("""COMPUTED_VALUE""")," Highest Rent Value")</f>
        <v> Highest Rent Value</v>
      </c>
      <c r="G461" s="4"/>
      <c r="H461" s="4"/>
      <c r="I461" s="5" t="s">
        <v>15</v>
      </c>
      <c r="J461" s="5" t="s">
        <v>16</v>
      </c>
      <c r="K461" s="5" t="s">
        <v>32</v>
      </c>
      <c r="L461" s="6" t="s">
        <v>696</v>
      </c>
      <c r="M461" s="5" t="s">
        <v>19</v>
      </c>
      <c r="N461" s="5" t="s">
        <v>27</v>
      </c>
      <c r="O461" s="5">
        <v>11214.0</v>
      </c>
      <c r="P461" s="5">
        <v>49.0</v>
      </c>
      <c r="Q461" s="5">
        <v>5523.0</v>
      </c>
      <c r="R461" s="5">
        <v>10267.0</v>
      </c>
      <c r="S461" s="5">
        <v>2.0</v>
      </c>
      <c r="T461" s="5">
        <v>1554.389215</v>
      </c>
      <c r="V461" s="21">
        <f t="shared" si="1"/>
        <v>138.611487</v>
      </c>
      <c r="W461" s="21">
        <f t="shared" si="2"/>
        <v>281.439293</v>
      </c>
      <c r="X461" s="21">
        <f t="shared" si="3"/>
        <v>4.081632653</v>
      </c>
      <c r="Y461" s="21">
        <f t="shared" si="4"/>
        <v>777.1946075</v>
      </c>
      <c r="Z461" s="21">
        <f t="shared" si="5"/>
        <v>31.72222888</v>
      </c>
      <c r="AA461" s="21">
        <f t="shared" si="6"/>
        <v>0.4369538077</v>
      </c>
    </row>
    <row r="462">
      <c r="A462" s="4" t="s">
        <v>1879</v>
      </c>
      <c r="B462" s="4" t="str">
        <f>IFERROR(__xludf.DUMMYFUNCTION("SPLIT(A462:A1187, ""&gt;"")"),"US ")</f>
        <v>US </v>
      </c>
      <c r="C462" s="4" t="str">
        <f>IFERROR(__xludf.DUMMYFUNCTION("""COMPUTED_VALUE""")," AUTO ")</f>
        <v> AUTO </v>
      </c>
      <c r="D462" s="4" t="str">
        <f>IFERROR(__xludf.DUMMYFUNCTION("""COMPUTED_VALUE""")," Primary Vehicle ")</f>
        <v> Primary Vehicle </v>
      </c>
      <c r="E462" s="4" t="str">
        <f>IFERROR(__xludf.DUMMYFUNCTION("""COMPUTED_VALUE""")," Owned or Leased ")</f>
        <v> Owned or Leased </v>
      </c>
      <c r="F462" s="4" t="str">
        <f>IFERROR(__xludf.DUMMYFUNCTION("""COMPUTED_VALUE""")," Company Car")</f>
        <v> Company Car</v>
      </c>
      <c r="G462" s="4"/>
      <c r="H462" s="4"/>
      <c r="I462" s="5" t="s">
        <v>22</v>
      </c>
      <c r="J462" s="5" t="s">
        <v>42</v>
      </c>
      <c r="K462" s="5" t="s">
        <v>699</v>
      </c>
      <c r="L462" s="6" t="s">
        <v>700</v>
      </c>
      <c r="M462" s="5" t="s">
        <v>36</v>
      </c>
      <c r="N462" s="5" t="s">
        <v>27</v>
      </c>
      <c r="O462" s="5">
        <v>19829.0</v>
      </c>
      <c r="P462" s="5">
        <v>42.0</v>
      </c>
      <c r="Q462" s="5">
        <v>15071.0</v>
      </c>
      <c r="R462" s="5">
        <v>19095.0</v>
      </c>
      <c r="S462" s="5">
        <v>2.0</v>
      </c>
      <c r="T462" s="5">
        <v>1952.463773</v>
      </c>
      <c r="V462" s="21">
        <f t="shared" si="1"/>
        <v>98.46506496</v>
      </c>
      <c r="W462" s="21">
        <f t="shared" si="2"/>
        <v>129.5510433</v>
      </c>
      <c r="X462" s="21">
        <f t="shared" si="3"/>
        <v>4.761904762</v>
      </c>
      <c r="Y462" s="21">
        <f t="shared" si="4"/>
        <v>976.2318865</v>
      </c>
      <c r="Z462" s="21">
        <f t="shared" si="5"/>
        <v>46.48723269</v>
      </c>
      <c r="AA462" s="21">
        <f t="shared" si="6"/>
        <v>0.2118109839</v>
      </c>
    </row>
    <row r="463">
      <c r="A463" s="4" t="s">
        <v>1480</v>
      </c>
      <c r="B463" s="4" t="str">
        <f>IFERROR(__xludf.DUMMYFUNCTION("SPLIT(A463:A1188, ""&gt;"")"),"Online Behavior")</f>
        <v>Online Behavior</v>
      </c>
      <c r="C463" s="4" t="str">
        <f>IFERROR(__xludf.DUMMYFUNCTION("""COMPUTED_VALUE"""),"United States")</f>
        <v>United States</v>
      </c>
      <c r="D463" s="4" t="str">
        <f>IFERROR(__xludf.DUMMYFUNCTION("""COMPUTED_VALUE"""),"Finance ")</f>
        <v>Finance </v>
      </c>
      <c r="E463" s="4" t="str">
        <f>IFERROR(__xludf.DUMMYFUNCTION("""COMPUTED_VALUE""")," Credit and Lending")</f>
        <v> Credit and Lending</v>
      </c>
      <c r="F463" s="4" t="str">
        <f>IFERROR(__xludf.DUMMYFUNCTION("""COMPUTED_VALUE"""),"Credit Cards")</f>
        <v>Credit Cards</v>
      </c>
      <c r="G463" s="4"/>
      <c r="H463" s="4"/>
      <c r="I463" s="5" t="s">
        <v>22</v>
      </c>
      <c r="J463" s="5" t="s">
        <v>23</v>
      </c>
      <c r="K463" s="5" t="s">
        <v>39</v>
      </c>
      <c r="L463" s="6" t="s">
        <v>702</v>
      </c>
      <c r="M463" s="5" t="s">
        <v>33</v>
      </c>
      <c r="N463" s="5" t="s">
        <v>27</v>
      </c>
      <c r="O463" s="5">
        <v>183230.0</v>
      </c>
      <c r="P463" s="5">
        <v>666.0</v>
      </c>
      <c r="Q463" s="5">
        <v>155260.0</v>
      </c>
      <c r="R463" s="5">
        <v>169583.0</v>
      </c>
      <c r="S463" s="5">
        <v>34.0</v>
      </c>
      <c r="T463" s="5">
        <v>7863.469709</v>
      </c>
      <c r="V463" s="21">
        <f t="shared" si="1"/>
        <v>42.91584189</v>
      </c>
      <c r="W463" s="21">
        <f t="shared" si="2"/>
        <v>50.6471062</v>
      </c>
      <c r="X463" s="21">
        <f t="shared" si="3"/>
        <v>5.105105105</v>
      </c>
      <c r="Y463" s="21">
        <f t="shared" si="4"/>
        <v>231.2785209</v>
      </c>
      <c r="Z463" s="21">
        <f t="shared" si="5"/>
        <v>11.80701158</v>
      </c>
      <c r="AA463" s="21">
        <f t="shared" si="6"/>
        <v>0.3634775965</v>
      </c>
    </row>
    <row r="464">
      <c r="A464" s="4" t="s">
        <v>703</v>
      </c>
      <c r="B464" s="4" t="str">
        <f>IFERROR(__xludf.DUMMYFUNCTION("SPLIT(A464:A1189, ""&gt;"")"),"Online Behavior")</f>
        <v>Online Behavior</v>
      </c>
      <c r="C464" s="4" t="str">
        <f>IFERROR(__xludf.DUMMYFUNCTION("""COMPUTED_VALUE"""),"United States")</f>
        <v>United States</v>
      </c>
      <c r="D464" s="4" t="str">
        <f>IFERROR(__xludf.DUMMYFUNCTION("""COMPUTED_VALUE"""),"The Changing Consumer")</f>
        <v>The Changing Consumer</v>
      </c>
      <c r="E464" s="4" t="str">
        <f>IFERROR(__xludf.DUMMYFUNCTION("""COMPUTED_VALUE"""),"Trending TV Shows")</f>
        <v>Trending TV Shows</v>
      </c>
      <c r="F464" s="4"/>
      <c r="G464" s="4"/>
      <c r="H464" s="4"/>
      <c r="I464" s="5" t="s">
        <v>22</v>
      </c>
      <c r="J464" s="5" t="s">
        <v>42</v>
      </c>
      <c r="K464" s="5" t="s">
        <v>84</v>
      </c>
      <c r="L464" s="6" t="s">
        <v>702</v>
      </c>
      <c r="M464" s="5" t="s">
        <v>117</v>
      </c>
      <c r="N464" s="5" t="s">
        <v>27</v>
      </c>
      <c r="O464" s="5">
        <v>113262.0</v>
      </c>
      <c r="P464" s="5">
        <v>380.0</v>
      </c>
      <c r="Q464" s="5">
        <v>95762.0</v>
      </c>
      <c r="R464" s="5">
        <v>104612.0</v>
      </c>
      <c r="S464" s="5">
        <v>4.0</v>
      </c>
      <c r="T464" s="5">
        <v>7443.483233</v>
      </c>
      <c r="V464" s="21">
        <f t="shared" si="1"/>
        <v>65.71915764</v>
      </c>
      <c r="W464" s="21">
        <f t="shared" si="2"/>
        <v>77.72898679</v>
      </c>
      <c r="X464" s="21">
        <f t="shared" si="3"/>
        <v>1.052631579</v>
      </c>
      <c r="Y464" s="21">
        <f t="shared" si="4"/>
        <v>1860.870808</v>
      </c>
      <c r="Z464" s="21">
        <f t="shared" si="5"/>
        <v>19.58811377</v>
      </c>
      <c r="AA464" s="21">
        <f t="shared" si="6"/>
        <v>0.3355052886</v>
      </c>
    </row>
    <row r="465">
      <c r="A465" s="4" t="s">
        <v>704</v>
      </c>
      <c r="B465" s="4" t="str">
        <f>IFERROR(__xludf.DUMMYFUNCTION("SPLIT(A465:A1190, ""&gt;"")"),"Online Behavior")</f>
        <v>Online Behavior</v>
      </c>
      <c r="C465" s="4" t="str">
        <f>IFERROR(__xludf.DUMMYFUNCTION("""COMPUTED_VALUE"""),"United States")</f>
        <v>United States</v>
      </c>
      <c r="D465" s="4" t="str">
        <f>IFERROR(__xludf.DUMMYFUNCTION("""COMPUTED_VALUE"""),"Travel")</f>
        <v>Travel</v>
      </c>
      <c r="E465" s="4" t="str">
        <f>IFERROR(__xludf.DUMMYFUNCTION("""COMPUTED_VALUE"""),"Hotels and Accommodations")</f>
        <v>Hotels and Accommodations</v>
      </c>
      <c r="F465" s="4"/>
      <c r="G465" s="4"/>
      <c r="H465" s="4"/>
      <c r="I465" s="5" t="s">
        <v>15</v>
      </c>
      <c r="J465" s="5" t="s">
        <v>31</v>
      </c>
      <c r="K465" s="5" t="s">
        <v>29</v>
      </c>
      <c r="L465" s="6" t="s">
        <v>702</v>
      </c>
      <c r="M465" s="5" t="s">
        <v>19</v>
      </c>
      <c r="N465" s="5" t="s">
        <v>27</v>
      </c>
      <c r="O465" s="5">
        <v>75531.0</v>
      </c>
      <c r="P465" s="5">
        <v>200.0</v>
      </c>
      <c r="Q465" s="5">
        <v>63816.0</v>
      </c>
      <c r="R465" s="5">
        <v>70011.0</v>
      </c>
      <c r="S465" s="5">
        <v>9.0</v>
      </c>
      <c r="T465" s="5">
        <v>7261.86504</v>
      </c>
      <c r="V465" s="21">
        <f t="shared" si="1"/>
        <v>96.1441665</v>
      </c>
      <c r="W465" s="21">
        <f t="shared" si="2"/>
        <v>113.7937984</v>
      </c>
      <c r="X465" s="21">
        <f t="shared" si="3"/>
        <v>4.5</v>
      </c>
      <c r="Y465" s="21">
        <f t="shared" si="4"/>
        <v>806.8738933</v>
      </c>
      <c r="Z465" s="21">
        <f t="shared" si="5"/>
        <v>36.3093252</v>
      </c>
      <c r="AA465" s="21">
        <f t="shared" si="6"/>
        <v>0.2647919397</v>
      </c>
    </row>
    <row r="466">
      <c r="A466" s="4" t="s">
        <v>1481</v>
      </c>
      <c r="B466" s="4" t="str">
        <f>IFERROR(__xludf.DUMMYFUNCTION("SPLIT(A466:A1191, ""&gt;"")"),"Online Behavior")</f>
        <v>Online Behavior</v>
      </c>
      <c r="C466" s="4" t="str">
        <f>IFERROR(__xludf.DUMMYFUNCTION("""COMPUTED_VALUE"""),"United States")</f>
        <v>United States</v>
      </c>
      <c r="D466" s="4" t="str">
        <f>IFERROR(__xludf.DUMMYFUNCTION("""COMPUTED_VALUE"""),"Intent ")</f>
        <v>Intent </v>
      </c>
      <c r="E466" s="4" t="str">
        <f>IFERROR(__xludf.DUMMYFUNCTION("""COMPUTED_VALUE""")," Shopping")</f>
        <v> Shopping</v>
      </c>
      <c r="F466" s="4" t="str">
        <f>IFERROR(__xludf.DUMMYFUNCTION("""COMPUTED_VALUE"""),"Fashion")</f>
        <v>Fashion</v>
      </c>
      <c r="G466" s="4"/>
      <c r="H466" s="4"/>
      <c r="I466" s="5" t="s">
        <v>15</v>
      </c>
      <c r="J466" s="5" t="s">
        <v>42</v>
      </c>
      <c r="K466" s="5" t="s">
        <v>17</v>
      </c>
      <c r="L466" s="6" t="s">
        <v>702</v>
      </c>
      <c r="M466" s="5" t="s">
        <v>19</v>
      </c>
      <c r="N466" s="5" t="s">
        <v>52</v>
      </c>
      <c r="O466" s="5">
        <v>102958.0</v>
      </c>
      <c r="P466" s="5">
        <v>320.0</v>
      </c>
      <c r="Q466" s="5">
        <v>86884.0</v>
      </c>
      <c r="R466" s="5">
        <v>94687.0</v>
      </c>
      <c r="S466" s="5">
        <v>12.0</v>
      </c>
      <c r="T466" s="5">
        <v>6624.221175</v>
      </c>
      <c r="V466" s="21">
        <f t="shared" si="1"/>
        <v>64.33906229</v>
      </c>
      <c r="W466" s="21">
        <f t="shared" si="2"/>
        <v>76.24212945</v>
      </c>
      <c r="X466" s="21">
        <f t="shared" si="3"/>
        <v>3.75</v>
      </c>
      <c r="Y466" s="21">
        <f t="shared" si="4"/>
        <v>552.0184313</v>
      </c>
      <c r="Z466" s="21">
        <f t="shared" si="5"/>
        <v>20.70069117</v>
      </c>
      <c r="AA466" s="21">
        <f t="shared" si="6"/>
        <v>0.3108063482</v>
      </c>
    </row>
    <row r="467">
      <c r="A467" s="4" t="s">
        <v>706</v>
      </c>
      <c r="B467" s="4" t="str">
        <f>IFERROR(__xludf.DUMMYFUNCTION("SPLIT(A467:A1192, ""&gt;"")"),"Online Behavior")</f>
        <v>Online Behavior</v>
      </c>
      <c r="C467" s="4" t="str">
        <f>IFERROR(__xludf.DUMMYFUNCTION("""COMPUTED_VALUE"""),"United States")</f>
        <v>United States</v>
      </c>
      <c r="D467" s="4" t="str">
        <f>IFERROR(__xludf.DUMMYFUNCTION("""COMPUTED_VALUE"""),"The Changing Consumer")</f>
        <v>The Changing Consumer</v>
      </c>
      <c r="E467" s="4" t="str">
        <f>IFERROR(__xludf.DUMMYFUNCTION("""COMPUTED_VALUE"""),"Natural Disasters")</f>
        <v>Natural Disasters</v>
      </c>
      <c r="F467" s="4"/>
      <c r="G467" s="4"/>
      <c r="H467" s="4"/>
      <c r="I467" s="5" t="s">
        <v>15</v>
      </c>
      <c r="J467" s="5" t="s">
        <v>23</v>
      </c>
      <c r="K467" s="5" t="s">
        <v>35</v>
      </c>
      <c r="L467" s="6" t="s">
        <v>702</v>
      </c>
      <c r="M467" s="5" t="s">
        <v>50</v>
      </c>
      <c r="N467" s="5" t="s">
        <v>20</v>
      </c>
      <c r="O467" s="5">
        <v>42755.0</v>
      </c>
      <c r="P467" s="5">
        <v>117.0</v>
      </c>
      <c r="Q467" s="5">
        <v>36503.0</v>
      </c>
      <c r="R467" s="5">
        <v>40051.0</v>
      </c>
      <c r="S467" s="5">
        <v>12.0</v>
      </c>
      <c r="T467" s="5">
        <v>6550.30297</v>
      </c>
      <c r="V467" s="21">
        <f t="shared" si="1"/>
        <v>153.2055425</v>
      </c>
      <c r="W467" s="21">
        <f t="shared" si="2"/>
        <v>179.4456064</v>
      </c>
      <c r="X467" s="21">
        <f t="shared" si="3"/>
        <v>10.25641026</v>
      </c>
      <c r="Y467" s="21">
        <f t="shared" si="4"/>
        <v>545.8585808</v>
      </c>
      <c r="Z467" s="21">
        <f t="shared" si="5"/>
        <v>55.98549547</v>
      </c>
      <c r="AA467" s="21">
        <f t="shared" si="6"/>
        <v>0.2736522044</v>
      </c>
    </row>
    <row r="468">
      <c r="A468" s="4" t="s">
        <v>1482</v>
      </c>
      <c r="B468" s="4" t="str">
        <f>IFERROR(__xludf.DUMMYFUNCTION("SPLIT(A468:A1193, ""&gt;"")"),"Online Behavior")</f>
        <v>Online Behavior</v>
      </c>
      <c r="C468" s="4" t="str">
        <f>IFERROR(__xludf.DUMMYFUNCTION("""COMPUTED_VALUE"""),"United States")</f>
        <v>United States</v>
      </c>
      <c r="D468" s="4" t="str">
        <f>IFERROR(__xludf.DUMMYFUNCTION("""COMPUTED_VALUE"""),"Validated Demographic ")</f>
        <v>Validated Demographic </v>
      </c>
      <c r="E468" s="4" t="str">
        <f>IFERROR(__xludf.DUMMYFUNCTION("""COMPUTED_VALUE""")," Gender and Age Combined")</f>
        <v> Gender and Age Combined</v>
      </c>
      <c r="F468" s="4" t="str">
        <f>IFERROR(__xludf.DUMMYFUNCTION("""COMPUTED_VALUE"""),"Females 25-44")</f>
        <v>Females 25-44</v>
      </c>
      <c r="G468" s="4"/>
      <c r="H468" s="4"/>
      <c r="I468" s="5" t="s">
        <v>22</v>
      </c>
      <c r="J468" s="5" t="s">
        <v>31</v>
      </c>
      <c r="K468" s="5" t="s">
        <v>55</v>
      </c>
      <c r="L468" s="6" t="s">
        <v>702</v>
      </c>
      <c r="M468" s="5" t="s">
        <v>46</v>
      </c>
      <c r="N468" s="5" t="s">
        <v>27</v>
      </c>
      <c r="O468" s="5">
        <v>264580.0</v>
      </c>
      <c r="P468" s="5">
        <v>691.0</v>
      </c>
      <c r="Q468" s="5">
        <v>217526.0</v>
      </c>
      <c r="R468" s="5">
        <v>240731.0</v>
      </c>
      <c r="S468" s="5">
        <v>9.0</v>
      </c>
      <c r="T468" s="5">
        <v>4874.651722</v>
      </c>
      <c r="V468" s="21">
        <f t="shared" si="1"/>
        <v>18.42411264</v>
      </c>
      <c r="W468" s="21">
        <f t="shared" si="2"/>
        <v>22.40951299</v>
      </c>
      <c r="X468" s="21">
        <f t="shared" si="3"/>
        <v>1.302460203</v>
      </c>
      <c r="Y468" s="21">
        <f t="shared" si="4"/>
        <v>541.6279691</v>
      </c>
      <c r="Z468" s="21">
        <f t="shared" si="5"/>
        <v>7.054488744</v>
      </c>
      <c r="AA468" s="21">
        <f t="shared" si="6"/>
        <v>0.2611686446</v>
      </c>
    </row>
    <row r="469">
      <c r="A469" s="4" t="s">
        <v>1483</v>
      </c>
      <c r="B469" s="4" t="str">
        <f>IFERROR(__xludf.DUMMYFUNCTION("SPLIT(A469:A1194, ""&gt;"")"),"OnAudience ")</f>
        <v>OnAudience </v>
      </c>
      <c r="C469" s="4" t="str">
        <f>IFERROR(__xludf.DUMMYFUNCTION("""COMPUTED_VALUE""")," Interest ")</f>
        <v> Interest </v>
      </c>
      <c r="D469" s="4" t="str">
        <f>IFERROR(__xludf.DUMMYFUNCTION("""COMPUTED_VALUE""")," News")</f>
        <v> News</v>
      </c>
      <c r="E469" s="4"/>
      <c r="F469" s="4"/>
      <c r="G469" s="4"/>
      <c r="H469" s="4"/>
      <c r="I469" s="5" t="s">
        <v>22</v>
      </c>
      <c r="J469" s="5" t="s">
        <v>42</v>
      </c>
      <c r="K469" s="5" t="s">
        <v>32</v>
      </c>
      <c r="L469" s="6" t="s">
        <v>702</v>
      </c>
      <c r="M469" s="5" t="s">
        <v>19</v>
      </c>
      <c r="N469" s="5" t="s">
        <v>27</v>
      </c>
      <c r="O469" s="5">
        <v>42833.0</v>
      </c>
      <c r="P469" s="5">
        <v>120.0</v>
      </c>
      <c r="Q469" s="5">
        <v>37438.0</v>
      </c>
      <c r="R469" s="5">
        <v>40447.0</v>
      </c>
      <c r="S469" s="5">
        <v>9.0</v>
      </c>
      <c r="T469" s="5">
        <v>2040.934819</v>
      </c>
      <c r="V469" s="21">
        <f t="shared" si="1"/>
        <v>47.64865452</v>
      </c>
      <c r="W469" s="21">
        <f t="shared" si="2"/>
        <v>54.51506007</v>
      </c>
      <c r="X469" s="21">
        <f t="shared" si="3"/>
        <v>7.5</v>
      </c>
      <c r="Y469" s="21">
        <f t="shared" si="4"/>
        <v>226.7705354</v>
      </c>
      <c r="Z469" s="21">
        <f t="shared" si="5"/>
        <v>17.00779016</v>
      </c>
      <c r="AA469" s="21">
        <f t="shared" si="6"/>
        <v>0.2801578222</v>
      </c>
    </row>
    <row r="470">
      <c r="A470" s="4" t="s">
        <v>1880</v>
      </c>
      <c r="B470" s="4" t="str">
        <f>IFERROR(__xludf.DUMMYFUNCTION("SPLIT(A470:A1195, ""&gt;"")"),"US ")</f>
        <v>US </v>
      </c>
      <c r="C470" s="4" t="str">
        <f>IFERROR(__xludf.DUMMYFUNCTION("""COMPUTED_VALUE""")," Reach ")</f>
        <v> Reach </v>
      </c>
      <c r="D470" s="4" t="str">
        <f>IFERROR(__xludf.DUMMYFUNCTION("""COMPUTED_VALUE""")," Propensity Models ")</f>
        <v> Propensity Models </v>
      </c>
      <c r="E470" s="4" t="str">
        <f>IFERROR(__xludf.DUMMYFUNCTION("""COMPUTED_VALUE""")," Online ")</f>
        <v> Online </v>
      </c>
      <c r="F470" s="4" t="str">
        <f>IFERROR(__xludf.DUMMYFUNCTION("""COMPUTED_VALUE""")," Home Office")</f>
        <v> Home Office</v>
      </c>
      <c r="G470" s="4"/>
      <c r="H470" s="4"/>
      <c r="I470" s="5" t="s">
        <v>22</v>
      </c>
      <c r="J470" s="5" t="s">
        <v>16</v>
      </c>
      <c r="K470" s="5" t="s">
        <v>39</v>
      </c>
      <c r="L470" s="6" t="s">
        <v>702</v>
      </c>
      <c r="M470" s="5" t="s">
        <v>36</v>
      </c>
      <c r="N470" s="5" t="s">
        <v>27</v>
      </c>
      <c r="O470" s="5">
        <v>481526.0</v>
      </c>
      <c r="P470" s="5">
        <v>1235.0</v>
      </c>
      <c r="Q470" s="5">
        <v>396802.0</v>
      </c>
      <c r="R470" s="5">
        <v>437639.0</v>
      </c>
      <c r="S470" s="5">
        <v>23.0</v>
      </c>
      <c r="T470" s="5">
        <v>2037.865594</v>
      </c>
      <c r="V470" s="21">
        <f t="shared" si="1"/>
        <v>4.232098773</v>
      </c>
      <c r="W470" s="21">
        <f t="shared" si="2"/>
        <v>5.135724099</v>
      </c>
      <c r="X470" s="21">
        <f t="shared" si="3"/>
        <v>1.862348178</v>
      </c>
      <c r="Y470" s="21">
        <f t="shared" si="4"/>
        <v>88.60285191</v>
      </c>
      <c r="Z470" s="21">
        <f t="shared" si="5"/>
        <v>1.650093598</v>
      </c>
      <c r="AA470" s="21">
        <f t="shared" si="6"/>
        <v>0.2564762858</v>
      </c>
    </row>
    <row r="471">
      <c r="A471" s="4" t="s">
        <v>1881</v>
      </c>
      <c r="B471" s="4" t="str">
        <f>IFERROR(__xludf.DUMMYFUNCTION("SPLIT(A471:A1196, ""&gt;"")"),"US ")</f>
        <v>US </v>
      </c>
      <c r="C471" s="4" t="str">
        <f>IFERROR(__xludf.DUMMYFUNCTION("""COMPUTED_VALUE""")," Brand Propensities ")</f>
        <v> Brand Propensities </v>
      </c>
      <c r="D471" s="4" t="str">
        <f>IFERROR(__xludf.DUMMYFUNCTION("""COMPUTED_VALUE""")," Apparel ")</f>
        <v> Apparel </v>
      </c>
      <c r="E471" s="4" t="str">
        <f>IFERROR(__xludf.DUMMYFUNCTION("""COMPUTED_VALUE""")," TOMS Buyer Propensity")</f>
        <v> TOMS Buyer Propensity</v>
      </c>
      <c r="F471" s="4"/>
      <c r="G471" s="4"/>
      <c r="H471" s="4"/>
      <c r="I471" s="5" t="s">
        <v>15</v>
      </c>
      <c r="J471" s="5" t="s">
        <v>42</v>
      </c>
      <c r="K471" s="5" t="s">
        <v>78</v>
      </c>
      <c r="L471" s="6" t="s">
        <v>702</v>
      </c>
      <c r="M471" s="5" t="s">
        <v>19</v>
      </c>
      <c r="N471" s="5" t="s">
        <v>20</v>
      </c>
      <c r="O471" s="5">
        <v>50183.0</v>
      </c>
      <c r="P471" s="5">
        <v>199.0</v>
      </c>
      <c r="Q471" s="5">
        <v>41506.0</v>
      </c>
      <c r="R471" s="5">
        <v>46163.0</v>
      </c>
      <c r="S471" s="5">
        <v>15.0</v>
      </c>
      <c r="T471" s="5">
        <v>1628.882813</v>
      </c>
      <c r="V471" s="21">
        <f t="shared" si="1"/>
        <v>32.45885684</v>
      </c>
      <c r="W471" s="21">
        <f t="shared" si="2"/>
        <v>39.24451436</v>
      </c>
      <c r="X471" s="21">
        <f t="shared" si="3"/>
        <v>7.537688442</v>
      </c>
      <c r="Y471" s="21">
        <f t="shared" si="4"/>
        <v>108.5921875</v>
      </c>
      <c r="Z471" s="21">
        <f t="shared" si="5"/>
        <v>8.185340769</v>
      </c>
      <c r="AA471" s="21">
        <f t="shared" si="6"/>
        <v>0.396548632</v>
      </c>
    </row>
    <row r="472">
      <c r="A472" s="4" t="s">
        <v>1882</v>
      </c>
      <c r="B472" s="4" t="str">
        <f>IFERROR(__xludf.DUMMYFUNCTION("SPLIT(A472:A1197, ""&gt;"")"),"Mobile - US ")</f>
        <v>Mobile - US </v>
      </c>
      <c r="C472" s="4" t="str">
        <f>IFERROR(__xludf.DUMMYFUNCTION("""COMPUTED_VALUE""")," Financial Services ")</f>
        <v> Financial Services </v>
      </c>
      <c r="D472" s="4" t="str">
        <f>IFERROR(__xludf.DUMMYFUNCTION("""COMPUTED_VALUE""")," Digital Payments ")</f>
        <v> Digital Payments </v>
      </c>
      <c r="E472" s="4" t="str">
        <f>IFERROR(__xludf.DUMMYFUNCTION("""COMPUTED_VALUE""")," Chase Pay")</f>
        <v> Chase Pay</v>
      </c>
      <c r="F472" s="4"/>
      <c r="G472" s="4"/>
      <c r="H472" s="4"/>
      <c r="I472" s="5" t="s">
        <v>15</v>
      </c>
      <c r="J472" s="5" t="s">
        <v>42</v>
      </c>
      <c r="K472" s="5" t="s">
        <v>17</v>
      </c>
      <c r="L472" s="6" t="s">
        <v>702</v>
      </c>
      <c r="M472" s="5" t="s">
        <v>19</v>
      </c>
      <c r="N472" s="5" t="s">
        <v>27</v>
      </c>
      <c r="O472" s="5">
        <v>21088.0</v>
      </c>
      <c r="P472" s="5">
        <v>60.0</v>
      </c>
      <c r="Q472" s="5">
        <v>17930.0</v>
      </c>
      <c r="R472" s="5">
        <v>19822.0</v>
      </c>
      <c r="S472" s="5">
        <v>4.0</v>
      </c>
      <c r="T472" s="5">
        <v>1623.681601</v>
      </c>
      <c r="V472" s="21">
        <f t="shared" si="1"/>
        <v>76.99552357</v>
      </c>
      <c r="W472" s="21">
        <f t="shared" si="2"/>
        <v>90.55669833</v>
      </c>
      <c r="X472" s="21">
        <f t="shared" si="3"/>
        <v>6.666666667</v>
      </c>
      <c r="Y472" s="21">
        <f t="shared" si="4"/>
        <v>405.9204003</v>
      </c>
      <c r="Z472" s="21">
        <f t="shared" si="5"/>
        <v>27.06136002</v>
      </c>
      <c r="AA472" s="21">
        <f t="shared" si="6"/>
        <v>0.284522003</v>
      </c>
    </row>
    <row r="473">
      <c r="A473" s="4" t="s">
        <v>1487</v>
      </c>
      <c r="B473" s="4" t="str">
        <f>IFERROR(__xludf.DUMMYFUNCTION("SPLIT(A473:A1198, ""&gt;"")"),"Transactional ")</f>
        <v>Transactional </v>
      </c>
      <c r="C473" s="4" t="str">
        <f>IFERROR(__xludf.DUMMYFUNCTION("""COMPUTED_VALUE""")," Q3 Casual Dining Restaurant Goers")</f>
        <v> Q3 Casual Dining Restaurant Goers</v>
      </c>
      <c r="D473" s="4"/>
      <c r="E473" s="4"/>
      <c r="F473" s="4"/>
      <c r="G473" s="4"/>
      <c r="H473" s="4"/>
      <c r="I473" s="5" t="s">
        <v>15</v>
      </c>
      <c r="J473" s="5" t="s">
        <v>23</v>
      </c>
      <c r="K473" s="5" t="s">
        <v>29</v>
      </c>
      <c r="L473" s="6" t="s">
        <v>702</v>
      </c>
      <c r="M473" s="5" t="s">
        <v>19</v>
      </c>
      <c r="N473" s="5" t="s">
        <v>27</v>
      </c>
      <c r="O473" s="5">
        <v>284783.0</v>
      </c>
      <c r="P473" s="5">
        <v>756.0</v>
      </c>
      <c r="Q473" s="5">
        <v>239363.0</v>
      </c>
      <c r="R473" s="5">
        <v>261467.0</v>
      </c>
      <c r="S473" s="5">
        <v>9.0</v>
      </c>
      <c r="T473" s="5">
        <v>1605.538072</v>
      </c>
      <c r="V473" s="21">
        <f t="shared" si="1"/>
        <v>5.637759529</v>
      </c>
      <c r="W473" s="21">
        <f t="shared" si="2"/>
        <v>6.707544909</v>
      </c>
      <c r="X473" s="21">
        <f t="shared" si="3"/>
        <v>1.19047619</v>
      </c>
      <c r="Y473" s="21">
        <f t="shared" si="4"/>
        <v>178.3931191</v>
      </c>
      <c r="Z473" s="21">
        <f t="shared" si="5"/>
        <v>2.123727608</v>
      </c>
      <c r="AA473" s="21">
        <f t="shared" si="6"/>
        <v>0.2654652841</v>
      </c>
    </row>
    <row r="474">
      <c r="A474" s="4" t="s">
        <v>1488</v>
      </c>
      <c r="B474" s="4" t="str">
        <f>IFERROR(__xludf.DUMMYFUNCTION("SPLIT(A474:A1199, ""&gt;"")"),"Media and Entertainment ")</f>
        <v>Media and Entertainment </v>
      </c>
      <c r="C474" s="4" t="str">
        <f>IFERROR(__xludf.DUMMYFUNCTION("""COMPUTED_VALUE""")," Sports and Recreational Activities ")</f>
        <v> Sports and Recreational Activities </v>
      </c>
      <c r="D474" s="4" t="str">
        <f>IFERROR(__xludf.DUMMYFUNCTION("""COMPUTED_VALUE""")," Interest (Affinity) ")</f>
        <v> Interest (Affinity) </v>
      </c>
      <c r="E474" s="4" t="str">
        <f>IFERROR(__xludf.DUMMYFUNCTION("""COMPUTED_VALUE""")," Olympics ")</f>
        <v> Olympics </v>
      </c>
      <c r="F474" s="4" t="str">
        <f>IFERROR(__xludf.DUMMYFUNCTION("""COMPUTED_VALUE""")," Winter Olympics")</f>
        <v> Winter Olympics</v>
      </c>
      <c r="G474" s="4"/>
      <c r="H474" s="4"/>
      <c r="I474" s="5" t="s">
        <v>22</v>
      </c>
      <c r="J474" s="5" t="s">
        <v>42</v>
      </c>
      <c r="K474" s="5" t="s">
        <v>531</v>
      </c>
      <c r="L474" s="6" t="s">
        <v>702</v>
      </c>
      <c r="M474" s="5" t="s">
        <v>19</v>
      </c>
      <c r="N474" s="5" t="s">
        <v>27</v>
      </c>
      <c r="O474" s="5">
        <v>21229.0</v>
      </c>
      <c r="P474" s="5">
        <v>80.0</v>
      </c>
      <c r="Q474" s="5">
        <v>18073.0</v>
      </c>
      <c r="R474" s="5">
        <v>19655.0</v>
      </c>
      <c r="S474" s="5">
        <v>10.0</v>
      </c>
      <c r="T474" s="5">
        <v>1550.076655</v>
      </c>
      <c r="V474" s="21">
        <f t="shared" si="1"/>
        <v>73.01694168</v>
      </c>
      <c r="W474" s="21">
        <f t="shared" si="2"/>
        <v>85.76753472</v>
      </c>
      <c r="X474" s="21">
        <f t="shared" si="3"/>
        <v>12.5</v>
      </c>
      <c r="Y474" s="21">
        <f t="shared" si="4"/>
        <v>155.0076655</v>
      </c>
      <c r="Z474" s="21">
        <f t="shared" si="5"/>
        <v>19.37595819</v>
      </c>
      <c r="AA474" s="21">
        <f t="shared" si="6"/>
        <v>0.3768429978</v>
      </c>
    </row>
    <row r="475">
      <c r="A475" s="4" t="s">
        <v>1883</v>
      </c>
      <c r="B475" s="4" t="str">
        <f>IFERROR(__xludf.DUMMYFUNCTION("SPLIT(A475:A1200, ""&gt;"")"),"Mobile - US ")</f>
        <v>Mobile - US </v>
      </c>
      <c r="C475" s="4" t="str">
        <f>IFERROR(__xludf.DUMMYFUNCTION("""COMPUTED_VALUE""")," Demographics ")</f>
        <v> Demographics </v>
      </c>
      <c r="D475" s="4" t="str">
        <f>IFERROR(__xludf.DUMMYFUNCTION("""COMPUTED_VALUE""")," Finance ")</f>
        <v> Finance </v>
      </c>
      <c r="E475" s="4" t="str">
        <f>IFERROR(__xludf.DUMMYFUNCTION("""COMPUTED_VALUE""")," Rent Value ")</f>
        <v> Rent Value </v>
      </c>
      <c r="F475" s="4" t="str">
        <f>IFERROR(__xludf.DUMMYFUNCTION("""COMPUTED_VALUE""")," Lowest Rent Value")</f>
        <v> Lowest Rent Value</v>
      </c>
      <c r="G475" s="4"/>
      <c r="H475" s="4"/>
      <c r="I475" s="5" t="s">
        <v>22</v>
      </c>
      <c r="J475" s="5" t="s">
        <v>42</v>
      </c>
      <c r="K475" s="5" t="s">
        <v>214</v>
      </c>
      <c r="L475" s="6" t="s">
        <v>702</v>
      </c>
      <c r="M475" s="5" t="s">
        <v>19</v>
      </c>
      <c r="N475" s="5" t="s">
        <v>27</v>
      </c>
      <c r="O475" s="5">
        <v>55274.0</v>
      </c>
      <c r="P475" s="5">
        <v>219.0</v>
      </c>
      <c r="Q475" s="5">
        <v>47583.0</v>
      </c>
      <c r="R475" s="5">
        <v>51275.0</v>
      </c>
      <c r="S475" s="5">
        <v>3.0</v>
      </c>
      <c r="T475" s="5">
        <v>1532.757905</v>
      </c>
      <c r="V475" s="21">
        <f t="shared" si="1"/>
        <v>27.73017884</v>
      </c>
      <c r="W475" s="21">
        <f t="shared" si="2"/>
        <v>32.21230072</v>
      </c>
      <c r="X475" s="21">
        <f t="shared" si="3"/>
        <v>1.369863014</v>
      </c>
      <c r="Y475" s="21">
        <f t="shared" si="4"/>
        <v>510.9193017</v>
      </c>
      <c r="Z475" s="21">
        <f t="shared" si="5"/>
        <v>6.998894543</v>
      </c>
      <c r="AA475" s="21">
        <f t="shared" si="6"/>
        <v>0.3962079821</v>
      </c>
    </row>
    <row r="476">
      <c r="A476" s="4" t="s">
        <v>1884</v>
      </c>
      <c r="B476" s="4" t="str">
        <f>IFERROR(__xludf.DUMMYFUNCTION("SPLIT(A476:A1201, ""&gt;"")"),"US ")</f>
        <v>US </v>
      </c>
      <c r="C476" s="4" t="str">
        <f>IFERROR(__xludf.DUMMYFUNCTION("""COMPUTED_VALUE""")," Brand Propensities ")</f>
        <v> Brand Propensities </v>
      </c>
      <c r="D476" s="4" t="str">
        <f>IFERROR(__xludf.DUMMYFUNCTION("""COMPUTED_VALUE""")," Big Box Dollar Tree Buyer Propensity")</f>
        <v> Big Box Dollar Tree Buyer Propensity</v>
      </c>
      <c r="E476" s="4"/>
      <c r="F476" s="4"/>
      <c r="G476" s="4"/>
      <c r="H476" s="4"/>
      <c r="I476" s="5" t="s">
        <v>22</v>
      </c>
      <c r="J476" s="5" t="s">
        <v>31</v>
      </c>
      <c r="K476" s="5" t="s">
        <v>55</v>
      </c>
      <c r="L476" s="6" t="s">
        <v>702</v>
      </c>
      <c r="M476" s="5" t="s">
        <v>36</v>
      </c>
      <c r="N476" s="5" t="s">
        <v>27</v>
      </c>
      <c r="O476" s="5">
        <v>8278.0</v>
      </c>
      <c r="P476" s="5">
        <v>40.0</v>
      </c>
      <c r="Q476" s="5">
        <v>6758.0</v>
      </c>
      <c r="R476" s="5">
        <v>7537.0</v>
      </c>
      <c r="S476" s="5">
        <v>1.0</v>
      </c>
      <c r="T476" s="5">
        <v>1526.296619</v>
      </c>
      <c r="V476" s="21">
        <f t="shared" si="1"/>
        <v>184.3798767</v>
      </c>
      <c r="W476" s="21">
        <f t="shared" si="2"/>
        <v>225.8503431</v>
      </c>
      <c r="X476" s="21">
        <f t="shared" si="3"/>
        <v>2.5</v>
      </c>
      <c r="Y476" s="21">
        <f t="shared" si="4"/>
        <v>1526.296619</v>
      </c>
      <c r="Z476" s="21">
        <f t="shared" si="5"/>
        <v>38.15741548</v>
      </c>
      <c r="AA476" s="21">
        <f t="shared" si="6"/>
        <v>0.4832085045</v>
      </c>
    </row>
    <row r="477">
      <c r="A477" s="4" t="s">
        <v>1885</v>
      </c>
      <c r="B477" s="4" t="str">
        <f>IFERROR(__xludf.DUMMYFUNCTION("SPLIT(A477:A1202, ""&gt;"")"),"Mobile - US ")</f>
        <v>Mobile - US </v>
      </c>
      <c r="C477" s="4" t="str">
        <f>IFERROR(__xludf.DUMMYFUNCTION("""COMPUTED_VALUE""")," Food ")</f>
        <v> Food </v>
      </c>
      <c r="D477" s="4" t="str">
        <f>IFERROR(__xludf.DUMMYFUNCTION("""COMPUTED_VALUE""")," Restaurant ")</f>
        <v> Restaurant </v>
      </c>
      <c r="E477" s="4" t="str">
        <f>IFERROR(__xludf.DUMMYFUNCTION("""COMPUTED_VALUE""")," Brand ")</f>
        <v> Brand </v>
      </c>
      <c r="F477" s="4" t="str">
        <f>IFERROR(__xludf.DUMMYFUNCTION("""COMPUTED_VALUE""")," Chilis")</f>
        <v> Chilis</v>
      </c>
      <c r="G477" s="4"/>
      <c r="H477" s="4"/>
      <c r="I477" s="5" t="s">
        <v>15</v>
      </c>
      <c r="J477" s="5" t="s">
        <v>31</v>
      </c>
      <c r="K477" s="5" t="s">
        <v>29</v>
      </c>
      <c r="L477" s="6" t="s">
        <v>702</v>
      </c>
      <c r="M477" s="5" t="s">
        <v>46</v>
      </c>
      <c r="N477" s="5" t="s">
        <v>20</v>
      </c>
      <c r="O477" s="5">
        <v>87245.0</v>
      </c>
      <c r="P477" s="5">
        <v>350.0</v>
      </c>
      <c r="Q477" s="5">
        <v>71903.0</v>
      </c>
      <c r="R477" s="5">
        <v>80390.0</v>
      </c>
      <c r="S477" s="5">
        <v>2.0</v>
      </c>
      <c r="T477" s="5">
        <v>1500.838771</v>
      </c>
      <c r="V477" s="21">
        <f t="shared" si="1"/>
        <v>17.20257632</v>
      </c>
      <c r="W477" s="21">
        <f t="shared" si="2"/>
        <v>20.87310364</v>
      </c>
      <c r="X477" s="21">
        <f t="shared" si="3"/>
        <v>0.5714285714</v>
      </c>
      <c r="Y477" s="21">
        <f t="shared" si="4"/>
        <v>750.4193855</v>
      </c>
      <c r="Z477" s="21">
        <f t="shared" si="5"/>
        <v>4.288110774</v>
      </c>
      <c r="AA477" s="21">
        <f t="shared" si="6"/>
        <v>0.4011691214</v>
      </c>
    </row>
    <row r="478">
      <c r="A478" s="4" t="s">
        <v>1492</v>
      </c>
      <c r="B478" s="4" t="str">
        <f>IFERROR(__xludf.DUMMYFUNCTION("SPLIT(A478:A1203, ""&gt;"")"),"Online Behavior")</f>
        <v>Online Behavior</v>
      </c>
      <c r="C478" s="4" t="str">
        <f>IFERROR(__xludf.DUMMYFUNCTION("""COMPUTED_VALUE"""),"United States")</f>
        <v>United States</v>
      </c>
      <c r="D478" s="4" t="str">
        <f>IFERROR(__xludf.DUMMYFUNCTION("""COMPUTED_VALUE"""),"Finance ")</f>
        <v>Finance </v>
      </c>
      <c r="E478" s="4" t="str">
        <f>IFERROR(__xludf.DUMMYFUNCTION("""COMPUTED_VALUE""")," Accounting and Auditing")</f>
        <v> Accounting and Auditing</v>
      </c>
      <c r="F478" s="4" t="str">
        <f>IFERROR(__xludf.DUMMYFUNCTION("""COMPUTED_VALUE"""),"Tax Preparation and Planning")</f>
        <v>Tax Preparation and Planning</v>
      </c>
      <c r="G478" s="4"/>
      <c r="H478" s="4"/>
      <c r="I478" s="5" t="s">
        <v>15</v>
      </c>
      <c r="J478" s="5" t="s">
        <v>42</v>
      </c>
      <c r="K478" s="5" t="s">
        <v>35</v>
      </c>
      <c r="L478" s="6" t="s">
        <v>718</v>
      </c>
      <c r="M478" s="5" t="s">
        <v>19</v>
      </c>
      <c r="N478" s="5" t="s">
        <v>52</v>
      </c>
      <c r="O478" s="5">
        <v>24962.0</v>
      </c>
      <c r="P478" s="5">
        <v>75.0</v>
      </c>
      <c r="Q478" s="5">
        <v>18450.0</v>
      </c>
      <c r="R478" s="5">
        <v>24128.0</v>
      </c>
      <c r="S478" s="5">
        <v>16.0</v>
      </c>
      <c r="T478" s="5">
        <v>6809.056051</v>
      </c>
      <c r="V478" s="21">
        <f t="shared" si="1"/>
        <v>272.7768629</v>
      </c>
      <c r="W478" s="21">
        <f t="shared" si="2"/>
        <v>369.0545285</v>
      </c>
      <c r="X478" s="21">
        <f t="shared" si="3"/>
        <v>21.33333333</v>
      </c>
      <c r="Y478" s="21">
        <f t="shared" si="4"/>
        <v>425.5660032</v>
      </c>
      <c r="Z478" s="21">
        <f t="shared" si="5"/>
        <v>90.78741401</v>
      </c>
      <c r="AA478" s="21">
        <f t="shared" si="6"/>
        <v>0.3004566942</v>
      </c>
    </row>
    <row r="479">
      <c r="A479" s="4" t="s">
        <v>1493</v>
      </c>
      <c r="B479" s="4" t="str">
        <f>IFERROR(__xludf.DUMMYFUNCTION("SPLIT(A479:A1204, ""&gt;"")"),"Online Behavior")</f>
        <v>Online Behavior</v>
      </c>
      <c r="C479" s="4" t="str">
        <f>IFERROR(__xludf.DUMMYFUNCTION("""COMPUTED_VALUE"""),"United States")</f>
        <v>United States</v>
      </c>
      <c r="D479" s="4" t="str">
        <f>IFERROR(__xludf.DUMMYFUNCTION("""COMPUTED_VALUE"""),"Beauty and Fitness")</f>
        <v>Beauty and Fitness</v>
      </c>
      <c r="E479" s="4" t="str">
        <f>IFERROR(__xludf.DUMMYFUNCTION("""COMPUTED_VALUE"""),"Fitness ")</f>
        <v>Fitness </v>
      </c>
      <c r="F479" s="4" t="str">
        <f>IFERROR(__xludf.DUMMYFUNCTION("""COMPUTED_VALUE""")," Bodybuilding")</f>
        <v> Bodybuilding</v>
      </c>
      <c r="G479" s="4"/>
      <c r="H479" s="4"/>
      <c r="I479" s="5" t="s">
        <v>15</v>
      </c>
      <c r="J479" s="5" t="s">
        <v>42</v>
      </c>
      <c r="K479" s="5" t="s">
        <v>95</v>
      </c>
      <c r="L479" s="6" t="s">
        <v>718</v>
      </c>
      <c r="M479" s="5" t="s">
        <v>36</v>
      </c>
      <c r="N479" s="5" t="s">
        <v>27</v>
      </c>
      <c r="O479" s="5">
        <v>57168.0</v>
      </c>
      <c r="P479" s="5">
        <v>160.0</v>
      </c>
      <c r="Q479" s="5">
        <v>43261.0</v>
      </c>
      <c r="R479" s="5">
        <v>55261.0</v>
      </c>
      <c r="S479" s="5">
        <v>12.0</v>
      </c>
      <c r="T479" s="5">
        <v>5841.15136</v>
      </c>
      <c r="V479" s="21">
        <f t="shared" si="1"/>
        <v>102.1751917</v>
      </c>
      <c r="W479" s="21">
        <f t="shared" si="2"/>
        <v>135.0211821</v>
      </c>
      <c r="X479" s="21">
        <f t="shared" si="3"/>
        <v>7.5</v>
      </c>
      <c r="Y479" s="21">
        <f t="shared" si="4"/>
        <v>486.7626133</v>
      </c>
      <c r="Z479" s="21">
        <f t="shared" si="5"/>
        <v>36.507196</v>
      </c>
      <c r="AA479" s="21">
        <f t="shared" si="6"/>
        <v>0.2798768542</v>
      </c>
    </row>
    <row r="480">
      <c r="A480" s="4" t="s">
        <v>720</v>
      </c>
      <c r="B480" s="4" t="str">
        <f>IFERROR(__xludf.DUMMYFUNCTION("SPLIT(A480:A1205, ""&gt;"")"),"Online Behavior")</f>
        <v>Online Behavior</v>
      </c>
      <c r="C480" s="4" t="str">
        <f>IFERROR(__xludf.DUMMYFUNCTION("""COMPUTED_VALUE"""),"United States")</f>
        <v>United States</v>
      </c>
      <c r="D480" s="4" t="str">
        <f>IFERROR(__xludf.DUMMYFUNCTION("""COMPUTED_VALUE"""),"Autos and Vehicles")</f>
        <v>Autos and Vehicles</v>
      </c>
      <c r="E480" s="4" t="str">
        <f>IFERROR(__xludf.DUMMYFUNCTION("""COMPUTED_VALUE"""),"Vehicle Parts and Accessories")</f>
        <v>Vehicle Parts and Accessories</v>
      </c>
      <c r="F480" s="4"/>
      <c r="G480" s="4"/>
      <c r="H480" s="4"/>
      <c r="I480" s="5" t="s">
        <v>15</v>
      </c>
      <c r="J480" s="5" t="s">
        <v>16</v>
      </c>
      <c r="K480" s="5" t="s">
        <v>55</v>
      </c>
      <c r="L480" s="6" t="s">
        <v>718</v>
      </c>
      <c r="M480" s="5" t="s">
        <v>33</v>
      </c>
      <c r="N480" s="5" t="s">
        <v>27</v>
      </c>
      <c r="O480" s="5">
        <v>58477.0</v>
      </c>
      <c r="P480" s="5">
        <v>135.0</v>
      </c>
      <c r="Q480" s="5">
        <v>43554.0</v>
      </c>
      <c r="R480" s="5">
        <v>56558.0</v>
      </c>
      <c r="S480" s="5">
        <v>19.0</v>
      </c>
      <c r="T480" s="5">
        <v>5247.623883</v>
      </c>
      <c r="V480" s="21">
        <f t="shared" si="1"/>
        <v>89.73825407</v>
      </c>
      <c r="W480" s="21">
        <f t="shared" si="2"/>
        <v>120.4854636</v>
      </c>
      <c r="X480" s="21">
        <f t="shared" si="3"/>
        <v>14.07407407</v>
      </c>
      <c r="Y480" s="21">
        <f t="shared" si="4"/>
        <v>276.1907307</v>
      </c>
      <c r="Z480" s="21">
        <f t="shared" si="5"/>
        <v>38.87128802</v>
      </c>
      <c r="AA480" s="21">
        <f t="shared" si="6"/>
        <v>0.2308599962</v>
      </c>
    </row>
    <row r="481">
      <c r="A481" s="4" t="s">
        <v>1886</v>
      </c>
      <c r="B481" s="4" t="str">
        <f>IFERROR(__xludf.DUMMYFUNCTION("SPLIT(A481:A1206, ""&gt;"")"),"US ")</f>
        <v>US </v>
      </c>
      <c r="C481" s="4" t="str">
        <f>IFERROR(__xludf.DUMMYFUNCTION("""COMPUTED_VALUE""")," Brand Propensities ")</f>
        <v> Brand Propensities </v>
      </c>
      <c r="D481" s="4" t="str">
        <f>IFERROR(__xludf.DUMMYFUNCTION("""COMPUTED_VALUE""")," Food and Drug ")</f>
        <v> Food and Drug </v>
      </c>
      <c r="E481" s="4" t="str">
        <f>IFERROR(__xludf.DUMMYFUNCTION("""COMPUTED_VALUE""")," Postmates Buyer Propensity")</f>
        <v> Postmates Buyer Propensity</v>
      </c>
      <c r="F481" s="4"/>
      <c r="G481" s="4"/>
      <c r="H481" s="4"/>
      <c r="I481" s="5" t="s">
        <v>15</v>
      </c>
      <c r="J481" s="5" t="s">
        <v>31</v>
      </c>
      <c r="K481" s="5" t="s">
        <v>175</v>
      </c>
      <c r="L481" s="6" t="s">
        <v>718</v>
      </c>
      <c r="M481" s="5" t="s">
        <v>19</v>
      </c>
      <c r="N481" s="5" t="s">
        <v>27</v>
      </c>
      <c r="O481" s="5">
        <v>13202.0</v>
      </c>
      <c r="P481" s="5">
        <v>101.0</v>
      </c>
      <c r="Q481" s="5">
        <v>10871.0</v>
      </c>
      <c r="R481" s="5">
        <v>12885.0</v>
      </c>
      <c r="S481" s="5">
        <v>3.0</v>
      </c>
      <c r="T481" s="5">
        <v>1699.060809</v>
      </c>
      <c r="V481" s="21">
        <f t="shared" si="1"/>
        <v>128.6972284</v>
      </c>
      <c r="W481" s="21">
        <f t="shared" si="2"/>
        <v>156.2929638</v>
      </c>
      <c r="X481" s="21">
        <f t="shared" si="3"/>
        <v>2.97029703</v>
      </c>
      <c r="Y481" s="21">
        <f t="shared" si="4"/>
        <v>566.353603</v>
      </c>
      <c r="Z481" s="21">
        <f t="shared" si="5"/>
        <v>16.82238425</v>
      </c>
      <c r="AA481" s="21">
        <f t="shared" si="6"/>
        <v>0.7650356007</v>
      </c>
    </row>
    <row r="482">
      <c r="A482" s="4" t="s">
        <v>722</v>
      </c>
      <c r="B482" s="4" t="str">
        <f>IFERROR(__xludf.DUMMYFUNCTION("SPLIT(A482:A1207, ""&gt;"")"),"Online Behavior")</f>
        <v>Online Behavior</v>
      </c>
      <c r="C482" s="4" t="str">
        <f>IFERROR(__xludf.DUMMYFUNCTION("""COMPUTED_VALUE"""),"United States")</f>
        <v>United States</v>
      </c>
      <c r="D482" s="4" t="str">
        <f>IFERROR(__xludf.DUMMYFUNCTION("""COMPUTED_VALUE"""),"Online Communities")</f>
        <v>Online Communities</v>
      </c>
      <c r="E482" s="4" t="str">
        <f>IFERROR(__xludf.DUMMYFUNCTION("""COMPUTED_VALUE"""),"Online Goodies")</f>
        <v>Online Goodies</v>
      </c>
      <c r="F482" s="4"/>
      <c r="G482" s="4"/>
      <c r="H482" s="4"/>
      <c r="I482" s="5" t="s">
        <v>15</v>
      </c>
      <c r="J482" s="5" t="s">
        <v>42</v>
      </c>
      <c r="K482" s="5" t="s">
        <v>55</v>
      </c>
      <c r="L482" s="6" t="s">
        <v>723</v>
      </c>
      <c r="M482" s="5" t="s">
        <v>48</v>
      </c>
      <c r="N482" s="5" t="s">
        <v>27</v>
      </c>
      <c r="O482" s="5">
        <v>8187.0</v>
      </c>
      <c r="P482" s="5">
        <v>20.0</v>
      </c>
      <c r="Q482" s="5">
        <v>4888.0</v>
      </c>
      <c r="R482" s="5">
        <v>7510.0</v>
      </c>
      <c r="S482" s="5">
        <v>3.0</v>
      </c>
      <c r="T482" s="5">
        <v>6980.229304</v>
      </c>
      <c r="V482" s="21">
        <f t="shared" si="1"/>
        <v>852.5991577</v>
      </c>
      <c r="W482" s="21">
        <f t="shared" si="2"/>
        <v>1428.033818</v>
      </c>
      <c r="X482" s="21">
        <f t="shared" si="3"/>
        <v>15</v>
      </c>
      <c r="Y482" s="21">
        <f t="shared" si="4"/>
        <v>2326.743101</v>
      </c>
      <c r="Z482" s="21">
        <f t="shared" si="5"/>
        <v>349.0114652</v>
      </c>
      <c r="AA482" s="21">
        <f t="shared" si="6"/>
        <v>0.2442897276</v>
      </c>
    </row>
    <row r="483">
      <c r="A483" s="4" t="s">
        <v>724</v>
      </c>
      <c r="B483" s="4" t="str">
        <f>IFERROR(__xludf.DUMMYFUNCTION("SPLIT(A483:A1208, ""&gt;"")"),"Online Behavior")</f>
        <v>Online Behavior</v>
      </c>
      <c r="C483" s="4" t="str">
        <f>IFERROR(__xludf.DUMMYFUNCTION("""COMPUTED_VALUE"""),"United States")</f>
        <v>United States</v>
      </c>
      <c r="D483" s="4" t="str">
        <f>IFERROR(__xludf.DUMMYFUNCTION("""COMPUTED_VALUE"""),"Jobs and Education")</f>
        <v>Jobs and Education</v>
      </c>
      <c r="E483" s="4" t="str">
        <f>IFERROR(__xludf.DUMMYFUNCTION("""COMPUTED_VALUE"""),"Jobs")</f>
        <v>Jobs</v>
      </c>
      <c r="F483" s="4"/>
      <c r="G483" s="4"/>
      <c r="H483" s="4"/>
      <c r="I483" s="5" t="s">
        <v>15</v>
      </c>
      <c r="J483" s="5" t="s">
        <v>23</v>
      </c>
      <c r="K483" s="5" t="s">
        <v>84</v>
      </c>
      <c r="L483" s="6" t="s">
        <v>723</v>
      </c>
      <c r="M483" s="5" t="s">
        <v>26</v>
      </c>
      <c r="N483" s="5" t="s">
        <v>27</v>
      </c>
      <c r="O483" s="5">
        <v>21280.0</v>
      </c>
      <c r="P483" s="5">
        <v>70.0</v>
      </c>
      <c r="Q483" s="5">
        <v>15309.0</v>
      </c>
      <c r="R483" s="5">
        <v>20244.0</v>
      </c>
      <c r="S483" s="5">
        <v>6.0</v>
      </c>
      <c r="T483" s="5">
        <v>6837.510602</v>
      </c>
      <c r="V483" s="21">
        <f t="shared" si="1"/>
        <v>321.3115884</v>
      </c>
      <c r="W483" s="21">
        <f t="shared" si="2"/>
        <v>446.6333923</v>
      </c>
      <c r="X483" s="21">
        <f t="shared" si="3"/>
        <v>8.571428571</v>
      </c>
      <c r="Y483" s="21">
        <f t="shared" si="4"/>
        <v>1139.5851</v>
      </c>
      <c r="Z483" s="21">
        <f t="shared" si="5"/>
        <v>97.67872289</v>
      </c>
      <c r="AA483" s="21">
        <f t="shared" si="6"/>
        <v>0.3289473684</v>
      </c>
    </row>
    <row r="484">
      <c r="A484" s="4" t="s">
        <v>1495</v>
      </c>
      <c r="B484" s="4" t="str">
        <f>IFERROR(__xludf.DUMMYFUNCTION("SPLIT(A484:A1209, ""&gt;"")"),"Online Behavior")</f>
        <v>Online Behavior</v>
      </c>
      <c r="C484" s="4" t="str">
        <f>IFERROR(__xludf.DUMMYFUNCTION("""COMPUTED_VALUE"""),"United States")</f>
        <v>United States</v>
      </c>
      <c r="D484" s="4" t="str">
        <f>IFERROR(__xludf.DUMMYFUNCTION("""COMPUTED_VALUE"""),"Intent ")</f>
        <v>Intent </v>
      </c>
      <c r="E484" s="4" t="str">
        <f>IFERROR(__xludf.DUMMYFUNCTION("""COMPUTED_VALUE""")," Auto Buyers ")</f>
        <v> Auto Buyers </v>
      </c>
      <c r="F484" s="4" t="str">
        <f>IFERROR(__xludf.DUMMYFUNCTION("""COMPUTED_VALUE""")," Category")</f>
        <v> Category</v>
      </c>
      <c r="G484" s="4" t="str">
        <f>IFERROR(__xludf.DUMMYFUNCTION("""COMPUTED_VALUE"""),"Sport Cars")</f>
        <v>Sport Cars</v>
      </c>
      <c r="H484" s="4"/>
      <c r="I484" s="5" t="s">
        <v>22</v>
      </c>
      <c r="J484" s="5" t="s">
        <v>23</v>
      </c>
      <c r="K484" s="5" t="s">
        <v>121</v>
      </c>
      <c r="L484" s="6" t="s">
        <v>723</v>
      </c>
      <c r="M484" s="5" t="s">
        <v>19</v>
      </c>
      <c r="N484" s="5" t="s">
        <v>27</v>
      </c>
      <c r="O484" s="5">
        <v>81567.0</v>
      </c>
      <c r="P484" s="5">
        <v>440.0</v>
      </c>
      <c r="Q484" s="5">
        <v>53264.0</v>
      </c>
      <c r="R484" s="5">
        <v>68123.0</v>
      </c>
      <c r="S484" s="5">
        <v>4.0</v>
      </c>
      <c r="T484" s="5">
        <v>6392.471955</v>
      </c>
      <c r="V484" s="21">
        <f t="shared" si="1"/>
        <v>78.37081117</v>
      </c>
      <c r="W484" s="21">
        <f t="shared" si="2"/>
        <v>120.0148685</v>
      </c>
      <c r="X484" s="21">
        <f t="shared" si="3"/>
        <v>0.9090909091</v>
      </c>
      <c r="Y484" s="21">
        <f t="shared" si="4"/>
        <v>1598.117989</v>
      </c>
      <c r="Z484" s="21">
        <f t="shared" si="5"/>
        <v>14.52834535</v>
      </c>
      <c r="AA484" s="21">
        <f t="shared" si="6"/>
        <v>0.5394338397</v>
      </c>
    </row>
    <row r="485">
      <c r="A485" s="4" t="s">
        <v>1887</v>
      </c>
      <c r="B485" s="4" t="str">
        <f>IFERROR(__xludf.DUMMYFUNCTION("SPLIT(A485:A1210, ""&gt;"")"),"US ")</f>
        <v>US </v>
      </c>
      <c r="C485" s="4" t="str">
        <f>IFERROR(__xludf.DUMMYFUNCTION("""COMPUTED_VALUE""")," Reach ")</f>
        <v> Reach </v>
      </c>
      <c r="D485" s="4" t="str">
        <f>IFERROR(__xludf.DUMMYFUNCTION("""COMPUTED_VALUE""")," Propensity Models ")</f>
        <v> Propensity Models </v>
      </c>
      <c r="E485" s="4" t="str">
        <f>IFERROR(__xludf.DUMMYFUNCTION("""COMPUTED_VALUE""")," Hobbies and Interest ")</f>
        <v> Hobbies and Interest </v>
      </c>
      <c r="F485" s="4" t="str">
        <f>IFERROR(__xludf.DUMMYFUNCTION("""COMPUTED_VALUE""")," Cultural Arts")</f>
        <v> Cultural Arts</v>
      </c>
      <c r="G485" s="4"/>
      <c r="H485" s="4"/>
      <c r="I485" s="5" t="s">
        <v>15</v>
      </c>
      <c r="J485" s="5" t="s">
        <v>16</v>
      </c>
      <c r="K485" s="5" t="s">
        <v>356</v>
      </c>
      <c r="L485" s="6" t="s">
        <v>723</v>
      </c>
      <c r="M485" s="5" t="s">
        <v>19</v>
      </c>
      <c r="N485" s="5" t="s">
        <v>27</v>
      </c>
      <c r="O485" s="5">
        <v>17620.0</v>
      </c>
      <c r="P485" s="5">
        <v>52.0</v>
      </c>
      <c r="Q485" s="5">
        <v>11197.0</v>
      </c>
      <c r="R485" s="5">
        <v>16687.0</v>
      </c>
      <c r="S485" s="5">
        <v>9.0</v>
      </c>
      <c r="T485" s="5">
        <v>2407.794325</v>
      </c>
      <c r="V485" s="21">
        <f t="shared" si="1"/>
        <v>136.6512103</v>
      </c>
      <c r="W485" s="21">
        <f t="shared" si="2"/>
        <v>215.039236</v>
      </c>
      <c r="X485" s="21">
        <f t="shared" si="3"/>
        <v>17.30769231</v>
      </c>
      <c r="Y485" s="21">
        <f t="shared" si="4"/>
        <v>267.5327028</v>
      </c>
      <c r="Z485" s="21">
        <f t="shared" si="5"/>
        <v>46.30373702</v>
      </c>
      <c r="AA485" s="21">
        <f t="shared" si="6"/>
        <v>0.2951191827</v>
      </c>
    </row>
    <row r="486">
      <c r="A486" s="4" t="s">
        <v>1888</v>
      </c>
      <c r="B486" s="4" t="str">
        <f>IFERROR(__xludf.DUMMYFUNCTION("SPLIT(A486:A1211, ""&gt;"")"),"US ")</f>
        <v>US </v>
      </c>
      <c r="C486" s="4" t="str">
        <f>IFERROR(__xludf.DUMMYFUNCTION("""COMPUTED_VALUE""")," B2B ")</f>
        <v> B2B </v>
      </c>
      <c r="D486" s="4" t="str">
        <f>IFERROR(__xludf.DUMMYFUNCTION("""COMPUTED_VALUE""")," B2B Decision Maker Responsibilities ")</f>
        <v> B2B Decision Maker Responsibilities </v>
      </c>
      <c r="E486" s="4" t="str">
        <f>IFERROR(__xludf.DUMMYFUNCTION("""COMPUTED_VALUE""")," Internet Services")</f>
        <v> Internet Services</v>
      </c>
      <c r="F486" s="4"/>
      <c r="G486" s="4"/>
      <c r="H486" s="4"/>
      <c r="I486" s="5" t="s">
        <v>15</v>
      </c>
      <c r="J486" s="5" t="s">
        <v>23</v>
      </c>
      <c r="K486" s="5" t="s">
        <v>17</v>
      </c>
      <c r="L486" s="6" t="s">
        <v>723</v>
      </c>
      <c r="M486" s="5" t="s">
        <v>19</v>
      </c>
      <c r="N486" s="5" t="s">
        <v>52</v>
      </c>
      <c r="O486" s="5">
        <v>31625.0</v>
      </c>
      <c r="P486" s="5">
        <v>99.0</v>
      </c>
      <c r="Q486" s="5">
        <v>23764.0</v>
      </c>
      <c r="R486" s="5">
        <v>29364.0</v>
      </c>
      <c r="S486" s="5">
        <v>6.0</v>
      </c>
      <c r="T486" s="5">
        <v>2360.555244</v>
      </c>
      <c r="V486" s="21">
        <f t="shared" si="1"/>
        <v>74.64206305</v>
      </c>
      <c r="W486" s="21">
        <f t="shared" si="2"/>
        <v>99.33324541</v>
      </c>
      <c r="X486" s="21">
        <f t="shared" si="3"/>
        <v>6.060606061</v>
      </c>
      <c r="Y486" s="21">
        <f t="shared" si="4"/>
        <v>393.425874</v>
      </c>
      <c r="Z486" s="21">
        <f t="shared" si="5"/>
        <v>23.84399236</v>
      </c>
      <c r="AA486" s="21">
        <f t="shared" si="6"/>
        <v>0.3130434783</v>
      </c>
    </row>
    <row r="487">
      <c r="A487" s="4" t="s">
        <v>1889</v>
      </c>
      <c r="B487" s="4" t="str">
        <f>IFERROR(__xludf.DUMMYFUNCTION("SPLIT(A487:A1212, ""&gt;"")"),"Mobile - US ")</f>
        <v>Mobile - US </v>
      </c>
      <c r="C487" s="4" t="str">
        <f>IFERROR(__xludf.DUMMYFUNCTION("""COMPUTED_VALUE""")," Device Ownership ")</f>
        <v> Device Ownership </v>
      </c>
      <c r="D487" s="4" t="str">
        <f>IFERROR(__xludf.DUMMYFUNCTION("""COMPUTED_VALUE""")," Smartphones ")</f>
        <v> Smartphones </v>
      </c>
      <c r="E487" s="4" t="str">
        <f>IFERROR(__xludf.DUMMYFUNCTION("""COMPUTED_VALUE""")," iOS (Apple) ")</f>
        <v> iOS (Apple) </v>
      </c>
      <c r="F487" s="4" t="str">
        <f>IFERROR(__xludf.DUMMYFUNCTION("""COMPUTED_VALUE""")," yes")</f>
        <v> yes</v>
      </c>
      <c r="G487" s="4"/>
      <c r="H487" s="4"/>
      <c r="I487" s="5" t="s">
        <v>22</v>
      </c>
      <c r="J487" s="5" t="s">
        <v>31</v>
      </c>
      <c r="K487" s="5" t="s">
        <v>84</v>
      </c>
      <c r="L487" s="6" t="s">
        <v>723</v>
      </c>
      <c r="M487" s="5" t="s">
        <v>167</v>
      </c>
      <c r="N487" s="5" t="s">
        <v>27</v>
      </c>
      <c r="O487" s="5">
        <v>22175.0</v>
      </c>
      <c r="P487" s="5">
        <v>140.0</v>
      </c>
      <c r="Q487" s="5">
        <v>14910.0</v>
      </c>
      <c r="R487" s="5">
        <v>20074.0</v>
      </c>
      <c r="S487" s="5">
        <v>6.0</v>
      </c>
      <c r="T487" s="5">
        <v>1909.277483</v>
      </c>
      <c r="V487" s="21">
        <f t="shared" si="1"/>
        <v>86.10045019</v>
      </c>
      <c r="W487" s="21">
        <f t="shared" si="2"/>
        <v>128.0534865</v>
      </c>
      <c r="X487" s="21">
        <f t="shared" si="3"/>
        <v>4.285714286</v>
      </c>
      <c r="Y487" s="21">
        <f t="shared" si="4"/>
        <v>318.2129138</v>
      </c>
      <c r="Z487" s="21">
        <f t="shared" si="5"/>
        <v>13.63769631</v>
      </c>
      <c r="AA487" s="21">
        <f t="shared" si="6"/>
        <v>0.6313416009</v>
      </c>
    </row>
    <row r="488">
      <c r="A488" s="4" t="s">
        <v>1890</v>
      </c>
      <c r="B488" s="4" t="str">
        <f>IFERROR(__xludf.DUMMYFUNCTION("SPLIT(A488:A1213, ""&gt;"")"),"US ")</f>
        <v>US </v>
      </c>
      <c r="C488" s="4" t="str">
        <f>IFERROR(__xludf.DUMMYFUNCTION("""COMPUTED_VALUE""")," B2B ")</f>
        <v> B2B </v>
      </c>
      <c r="D488" s="4" t="str">
        <f>IFERROR(__xludf.DUMMYFUNCTION("""COMPUTED_VALUE""")," Purchase DM ")</f>
        <v> Purchase DM </v>
      </c>
      <c r="E488" s="4" t="str">
        <f>IFERROR(__xludf.DUMMYFUNCTION("""COMPUTED_VALUE""")," Technology Services, Hardware and ")</f>
        <v> Technology Services, Hardware and </v>
      </c>
      <c r="F488" s="4" t="str">
        <f>IFERROR(__xludf.DUMMYFUNCTION("""COMPUTED_VALUE""")," or Software ")</f>
        <v> or Software </v>
      </c>
      <c r="G488" s="4" t="str">
        <f>IFERROR(__xludf.DUMMYFUNCTION("""COMPUTED_VALUE""")," I am the sole decision maker")</f>
        <v> I am the sole decision maker</v>
      </c>
      <c r="H488" s="4"/>
      <c r="I488" s="5" t="s">
        <v>22</v>
      </c>
      <c r="J488" s="5" t="s">
        <v>16</v>
      </c>
      <c r="K488" s="5" t="s">
        <v>35</v>
      </c>
      <c r="L488" s="6" t="s">
        <v>730</v>
      </c>
      <c r="M488" s="5" t="s">
        <v>327</v>
      </c>
      <c r="N488" s="5" t="s">
        <v>27</v>
      </c>
      <c r="O488" s="5">
        <v>56927.0</v>
      </c>
      <c r="P488" s="5">
        <v>165.0</v>
      </c>
      <c r="Q488" s="5">
        <v>20980.0</v>
      </c>
      <c r="R488" s="5">
        <v>55050.0</v>
      </c>
      <c r="S488" s="5">
        <v>5.0</v>
      </c>
      <c r="T488" s="5">
        <v>2463.821917</v>
      </c>
      <c r="V488" s="21">
        <f t="shared" si="1"/>
        <v>43.28037516</v>
      </c>
      <c r="W488" s="21">
        <f t="shared" si="2"/>
        <v>117.4366977</v>
      </c>
      <c r="X488" s="21">
        <f t="shared" si="3"/>
        <v>3.03030303</v>
      </c>
      <c r="Y488" s="21">
        <f t="shared" si="4"/>
        <v>492.7643834</v>
      </c>
      <c r="Z488" s="21">
        <f t="shared" si="5"/>
        <v>14.93225404</v>
      </c>
      <c r="AA488" s="21">
        <f t="shared" si="6"/>
        <v>0.2898448891</v>
      </c>
    </row>
    <row r="489">
      <c r="A489" s="4" t="s">
        <v>1500</v>
      </c>
      <c r="B489" s="4" t="str">
        <f>IFERROR(__xludf.DUMMYFUNCTION("SPLIT(A489:A1214, ""&gt;"")"),"OnAudience ")</f>
        <v>OnAudience </v>
      </c>
      <c r="C489" s="4" t="str">
        <f>IFERROR(__xludf.DUMMYFUNCTION("""COMPUTED_VALUE""")," Interest ")</f>
        <v> Interest </v>
      </c>
      <c r="D489" s="4" t="str">
        <f>IFERROR(__xludf.DUMMYFUNCTION("""COMPUTED_VALUE""")," Education")</f>
        <v> Education</v>
      </c>
      <c r="E489" s="4"/>
      <c r="F489" s="4"/>
      <c r="G489" s="4"/>
      <c r="H489" s="4"/>
      <c r="I489" s="5" t="s">
        <v>22</v>
      </c>
      <c r="J489" s="5" t="s">
        <v>23</v>
      </c>
      <c r="K489" s="5" t="s">
        <v>55</v>
      </c>
      <c r="L489" s="6" t="s">
        <v>732</v>
      </c>
      <c r="M489" s="5" t="s">
        <v>46</v>
      </c>
      <c r="N489" s="5" t="s">
        <v>27</v>
      </c>
      <c r="O489" s="5">
        <v>20165.0</v>
      </c>
      <c r="P489" s="5">
        <v>60.0</v>
      </c>
      <c r="Q489" s="5">
        <v>6601.0</v>
      </c>
      <c r="R489" s="5">
        <v>18909.0</v>
      </c>
      <c r="S489" s="5">
        <v>10.0</v>
      </c>
      <c r="T489" s="5">
        <v>1743.078687</v>
      </c>
      <c r="V489" s="21">
        <f t="shared" si="1"/>
        <v>86.44079777</v>
      </c>
      <c r="W489" s="21">
        <f t="shared" si="2"/>
        <v>264.0628218</v>
      </c>
      <c r="X489" s="21">
        <f t="shared" si="3"/>
        <v>16.66666667</v>
      </c>
      <c r="Y489" s="21">
        <f t="shared" si="4"/>
        <v>174.3078687</v>
      </c>
      <c r="Z489" s="21">
        <f t="shared" si="5"/>
        <v>29.05131145</v>
      </c>
      <c r="AA489" s="21">
        <f t="shared" si="6"/>
        <v>0.2975452517</v>
      </c>
    </row>
    <row r="490">
      <c r="A490" s="4" t="s">
        <v>1501</v>
      </c>
      <c r="B490" s="4" t="str">
        <f>IFERROR(__xludf.DUMMYFUNCTION("SPLIT(A490:A1215, ""&gt;"")"),"OnAudience ")</f>
        <v>OnAudience </v>
      </c>
      <c r="C490" s="4" t="str">
        <f>IFERROR(__xludf.DUMMYFUNCTION("""COMPUTED_VALUE""")," Intent ")</f>
        <v> Intent </v>
      </c>
      <c r="D490" s="4" t="str">
        <f>IFERROR(__xludf.DUMMYFUNCTION("""COMPUTED_VALUE""")," Software")</f>
        <v> Software</v>
      </c>
      <c r="E490" s="4"/>
      <c r="F490" s="4"/>
      <c r="G490" s="4"/>
      <c r="H490" s="4"/>
      <c r="I490" s="5" t="s">
        <v>15</v>
      </c>
      <c r="J490" s="5" t="s">
        <v>23</v>
      </c>
      <c r="K490" s="5" t="s">
        <v>55</v>
      </c>
      <c r="L490" s="6" t="s">
        <v>732</v>
      </c>
      <c r="M490" s="5" t="s">
        <v>19</v>
      </c>
      <c r="N490" s="5" t="s">
        <v>52</v>
      </c>
      <c r="O490" s="5">
        <v>22501.0</v>
      </c>
      <c r="P490" s="5">
        <v>120.0</v>
      </c>
      <c r="Q490" s="5">
        <v>13003.0</v>
      </c>
      <c r="R490" s="5">
        <v>21286.0</v>
      </c>
      <c r="S490" s="5">
        <v>9.0</v>
      </c>
      <c r="T490" s="5">
        <v>1522.517949</v>
      </c>
      <c r="V490" s="21">
        <f t="shared" si="1"/>
        <v>67.66445709</v>
      </c>
      <c r="W490" s="21">
        <f t="shared" si="2"/>
        <v>117.0897446</v>
      </c>
      <c r="X490" s="21">
        <f t="shared" si="3"/>
        <v>7.5</v>
      </c>
      <c r="Y490" s="21">
        <f t="shared" si="4"/>
        <v>169.168661</v>
      </c>
      <c r="Z490" s="21">
        <f t="shared" si="5"/>
        <v>12.68764958</v>
      </c>
      <c r="AA490" s="21">
        <f t="shared" si="6"/>
        <v>0.5333096307</v>
      </c>
    </row>
    <row r="491">
      <c r="A491" s="4" t="s">
        <v>734</v>
      </c>
      <c r="B491" s="4" t="str">
        <f>IFERROR(__xludf.DUMMYFUNCTION("SPLIT(A491:A1216, ""&gt;"")"),"Online Behavior")</f>
        <v>Online Behavior</v>
      </c>
      <c r="C491" s="4" t="str">
        <f>IFERROR(__xludf.DUMMYFUNCTION("""COMPUTED_VALUE"""),"United States")</f>
        <v>United States</v>
      </c>
      <c r="D491" s="4" t="str">
        <f>IFERROR(__xludf.DUMMYFUNCTION("""COMPUTED_VALUE"""),"Home and Garden")</f>
        <v>Home and Garden</v>
      </c>
      <c r="E491" s="4" t="str">
        <f>IFERROR(__xludf.DUMMYFUNCTION("""COMPUTED_VALUE"""),"Kitchen and Dining")</f>
        <v>Kitchen and Dining</v>
      </c>
      <c r="F491" s="4"/>
      <c r="G491" s="4"/>
      <c r="H491" s="4"/>
      <c r="I491" s="5" t="s">
        <v>15</v>
      </c>
      <c r="J491" s="5" t="s">
        <v>16</v>
      </c>
      <c r="K491" s="5" t="s">
        <v>32</v>
      </c>
      <c r="L491" s="6" t="s">
        <v>735</v>
      </c>
      <c r="M491" s="5" t="s">
        <v>117</v>
      </c>
      <c r="N491" s="5" t="s">
        <v>20</v>
      </c>
      <c r="O491" s="5">
        <v>123430.0</v>
      </c>
      <c r="P491" s="5">
        <v>360.0</v>
      </c>
      <c r="Q491" s="5">
        <v>45294.0</v>
      </c>
      <c r="R491" s="5">
        <v>77646.0</v>
      </c>
      <c r="S491" s="5">
        <v>15.0</v>
      </c>
      <c r="T491" s="5">
        <v>6808.562584</v>
      </c>
      <c r="V491" s="21">
        <f t="shared" si="1"/>
        <v>55.16132694</v>
      </c>
      <c r="W491" s="21">
        <f t="shared" si="2"/>
        <v>150.3193046</v>
      </c>
      <c r="X491" s="21">
        <f t="shared" si="3"/>
        <v>4.166666667</v>
      </c>
      <c r="Y491" s="21">
        <f t="shared" si="4"/>
        <v>453.9041723</v>
      </c>
      <c r="Z491" s="21">
        <f t="shared" si="5"/>
        <v>18.91267384</v>
      </c>
      <c r="AA491" s="21">
        <f t="shared" si="6"/>
        <v>0.2916632909</v>
      </c>
    </row>
    <row r="492">
      <c r="A492" s="4" t="s">
        <v>1891</v>
      </c>
      <c r="B492" s="4" t="str">
        <f>IFERROR(__xludf.DUMMYFUNCTION("SPLIT(A492:A1217, ""&gt;"")"),"US ")</f>
        <v>US </v>
      </c>
      <c r="C492" s="4" t="str">
        <f>IFERROR(__xludf.DUMMYFUNCTION("""COMPUTED_VALUE""")," Reach ")</f>
        <v> Reach </v>
      </c>
      <c r="D492" s="4" t="str">
        <f>IFERROR(__xludf.DUMMYFUNCTION("""COMPUTED_VALUE""")," Propensity Models ")</f>
        <v> Propensity Models </v>
      </c>
      <c r="E492" s="4" t="str">
        <f>IFERROR(__xludf.DUMMYFUNCTION("""COMPUTED_VALUE""")," Hobbies and Interest ")</f>
        <v> Hobbies and Interest </v>
      </c>
      <c r="F492" s="4" t="str">
        <f>IFERROR(__xludf.DUMMYFUNCTION("""COMPUTED_VALUE""")," Food and Drinks ")</f>
        <v> Food and Drinks </v>
      </c>
      <c r="G492" s="4" t="str">
        <f>IFERROR(__xludf.DUMMYFUNCTION("""COMPUTED_VALUE""")," Eats at Family Restaurants")</f>
        <v> Eats at Family Restaurants</v>
      </c>
      <c r="H492" s="4"/>
      <c r="I492" s="5" t="s">
        <v>22</v>
      </c>
      <c r="J492" s="5" t="s">
        <v>16</v>
      </c>
      <c r="K492" s="5" t="s">
        <v>131</v>
      </c>
      <c r="L492" s="6" t="s">
        <v>735</v>
      </c>
      <c r="M492" s="5" t="s">
        <v>19</v>
      </c>
      <c r="N492" s="5" t="s">
        <v>27</v>
      </c>
      <c r="O492" s="5">
        <v>268811.0</v>
      </c>
      <c r="P492" s="5">
        <v>799.0</v>
      </c>
      <c r="Q492" s="5">
        <v>95989.0</v>
      </c>
      <c r="R492" s="5">
        <v>173923.0</v>
      </c>
      <c r="S492" s="5">
        <v>4.0</v>
      </c>
      <c r="T492" s="5">
        <v>2549.115158</v>
      </c>
      <c r="V492" s="21">
        <f t="shared" si="1"/>
        <v>9.482927254</v>
      </c>
      <c r="W492" s="21">
        <f t="shared" si="2"/>
        <v>26.55632581</v>
      </c>
      <c r="X492" s="21">
        <f t="shared" si="3"/>
        <v>0.5006257822</v>
      </c>
      <c r="Y492" s="21">
        <f t="shared" si="4"/>
        <v>637.2787895</v>
      </c>
      <c r="Z492" s="21">
        <f t="shared" si="5"/>
        <v>3.190381925</v>
      </c>
      <c r="AA492" s="21">
        <f t="shared" si="6"/>
        <v>0.2972348602</v>
      </c>
    </row>
    <row r="493">
      <c r="A493" s="4" t="s">
        <v>1503</v>
      </c>
      <c r="B493" s="4" t="str">
        <f>IFERROR(__xludf.DUMMYFUNCTION("SPLIT(A493:A1218, ""&gt;"")"),"OnAudience ")</f>
        <v>OnAudience </v>
      </c>
      <c r="C493" s="4" t="str">
        <f>IFERROR(__xludf.DUMMYFUNCTION("""COMPUTED_VALUE""")," Intent ")</f>
        <v> Intent </v>
      </c>
      <c r="D493" s="4" t="str">
        <f>IFERROR(__xludf.DUMMYFUNCTION("""COMPUTED_VALUE""")," Baby &amp; Toddler ")</f>
        <v> Baby &amp; Toddler </v>
      </c>
      <c r="E493" s="4" t="str">
        <f>IFERROR(__xludf.DUMMYFUNCTION("""COMPUTED_VALUE""")," Baby Toys")</f>
        <v> Baby Toys</v>
      </c>
      <c r="F493" s="4"/>
      <c r="G493" s="4"/>
      <c r="H493" s="4"/>
      <c r="I493" s="5" t="s">
        <v>15</v>
      </c>
      <c r="J493" s="5" t="s">
        <v>42</v>
      </c>
      <c r="K493" s="5" t="s">
        <v>121</v>
      </c>
      <c r="L493" s="6" t="s">
        <v>735</v>
      </c>
      <c r="M493" s="5" t="s">
        <v>36</v>
      </c>
      <c r="N493" s="5" t="s">
        <v>52</v>
      </c>
      <c r="O493" s="5">
        <v>16669.0</v>
      </c>
      <c r="P493" s="5">
        <v>26.0</v>
      </c>
      <c r="Q493" s="5">
        <v>10961.0</v>
      </c>
      <c r="R493" s="5">
        <v>15451.0</v>
      </c>
      <c r="S493" s="5">
        <v>5.0</v>
      </c>
      <c r="T493" s="5">
        <v>1658.358536</v>
      </c>
      <c r="V493" s="21">
        <f t="shared" si="1"/>
        <v>99.4875839</v>
      </c>
      <c r="W493" s="21">
        <f t="shared" si="2"/>
        <v>151.296281</v>
      </c>
      <c r="X493" s="21">
        <f t="shared" si="3"/>
        <v>19.23076923</v>
      </c>
      <c r="Y493" s="21">
        <f t="shared" si="4"/>
        <v>331.6717072</v>
      </c>
      <c r="Z493" s="21">
        <f t="shared" si="5"/>
        <v>63.78302062</v>
      </c>
      <c r="AA493" s="21">
        <f t="shared" si="6"/>
        <v>0.1559781631</v>
      </c>
    </row>
    <row r="494">
      <c r="A494" s="4" t="s">
        <v>1504</v>
      </c>
      <c r="B494" s="4" t="str">
        <f>IFERROR(__xludf.DUMMYFUNCTION("SPLIT(A494:A1219, ""&gt;"")"),"Media and Entertainment ")</f>
        <v>Media and Entertainment </v>
      </c>
      <c r="C494" s="4" t="str">
        <f>IFERROR(__xludf.DUMMYFUNCTION("""COMPUTED_VALUE""")," Television (TV)")</f>
        <v> Television (TV)</v>
      </c>
      <c r="D494" s="4"/>
      <c r="E494" s="4"/>
      <c r="F494" s="4"/>
      <c r="G494" s="4"/>
      <c r="H494" s="4"/>
      <c r="I494" s="5" t="s">
        <v>15</v>
      </c>
      <c r="J494" s="5" t="s">
        <v>16</v>
      </c>
      <c r="K494" s="5" t="s">
        <v>32</v>
      </c>
      <c r="L494" s="6" t="s">
        <v>735</v>
      </c>
      <c r="M494" s="5" t="s">
        <v>19</v>
      </c>
      <c r="N494" s="5" t="s">
        <v>27</v>
      </c>
      <c r="O494" s="5">
        <v>9130.0</v>
      </c>
      <c r="P494" s="5">
        <v>33.0</v>
      </c>
      <c r="Q494" s="5">
        <v>3721.0</v>
      </c>
      <c r="R494" s="5">
        <v>5564.0</v>
      </c>
      <c r="S494" s="5">
        <v>1.0</v>
      </c>
      <c r="T494" s="5">
        <v>1655.792857</v>
      </c>
      <c r="V494" s="21">
        <f t="shared" si="1"/>
        <v>181.3573775</v>
      </c>
      <c r="W494" s="21">
        <f t="shared" si="2"/>
        <v>444.9859868</v>
      </c>
      <c r="X494" s="21">
        <f t="shared" si="3"/>
        <v>3.03030303</v>
      </c>
      <c r="Y494" s="21">
        <f t="shared" si="4"/>
        <v>1655.792857</v>
      </c>
      <c r="Z494" s="21">
        <f t="shared" si="5"/>
        <v>50.17554112</v>
      </c>
      <c r="AA494" s="21">
        <f t="shared" si="6"/>
        <v>0.3614457831</v>
      </c>
    </row>
    <row r="495">
      <c r="A495" s="4" t="s">
        <v>1505</v>
      </c>
      <c r="B495" s="4" t="str">
        <f>IFERROR(__xludf.DUMMYFUNCTION("SPLIT(A495:A1220, ""&gt;"")"),"Online Behavior")</f>
        <v>Online Behavior</v>
      </c>
      <c r="C495" s="4" t="str">
        <f>IFERROR(__xludf.DUMMYFUNCTION("""COMPUTED_VALUE"""),"United States")</f>
        <v>United States</v>
      </c>
      <c r="D495" s="4" t="str">
        <f>IFERROR(__xludf.DUMMYFUNCTION("""COMPUTED_VALUE"""),"Intent ")</f>
        <v>Intent </v>
      </c>
      <c r="E495" s="4" t="str">
        <f>IFERROR(__xludf.DUMMYFUNCTION("""COMPUTED_VALUE""")," Auto Buyers ")</f>
        <v> Auto Buyers </v>
      </c>
      <c r="F495" s="4" t="str">
        <f>IFERROR(__xludf.DUMMYFUNCTION("""COMPUTED_VALUE""")," Category")</f>
        <v> Category</v>
      </c>
      <c r="G495" s="4" t="str">
        <f>IFERROR(__xludf.DUMMYFUNCTION("""COMPUTED_VALUE"""),"Caravan")</f>
        <v>Caravan</v>
      </c>
      <c r="H495" s="4"/>
      <c r="I495" s="5" t="s">
        <v>15</v>
      </c>
      <c r="J495" s="5" t="s">
        <v>42</v>
      </c>
      <c r="K495" s="5" t="s">
        <v>55</v>
      </c>
      <c r="L495" s="6" t="s">
        <v>740</v>
      </c>
      <c r="M495" s="5" t="s">
        <v>19</v>
      </c>
      <c r="N495" s="5" t="s">
        <v>27</v>
      </c>
      <c r="O495" s="5">
        <v>8097.0</v>
      </c>
      <c r="P495" s="5">
        <v>20.0</v>
      </c>
      <c r="Q495" s="5">
        <v>4942.0</v>
      </c>
      <c r="R495" s="5">
        <v>6868.0</v>
      </c>
      <c r="S495" s="5">
        <v>1.0</v>
      </c>
      <c r="T495" s="5">
        <v>6177.464545</v>
      </c>
      <c r="V495" s="21">
        <f t="shared" si="1"/>
        <v>762.9325114</v>
      </c>
      <c r="W495" s="21">
        <f t="shared" si="2"/>
        <v>1249.992826</v>
      </c>
      <c r="X495" s="21">
        <f t="shared" si="3"/>
        <v>5</v>
      </c>
      <c r="Y495" s="21">
        <f t="shared" si="4"/>
        <v>6177.464545</v>
      </c>
      <c r="Z495" s="21">
        <f t="shared" si="5"/>
        <v>308.8732273</v>
      </c>
      <c r="AA495" s="21">
        <f t="shared" si="6"/>
        <v>0.2470050636</v>
      </c>
    </row>
    <row r="496">
      <c r="A496" s="4" t="s">
        <v>1892</v>
      </c>
      <c r="B496" s="4" t="str">
        <f>IFERROR(__xludf.DUMMYFUNCTION("SPLIT(A496:A1221, ""&gt;"")"),"US ")</f>
        <v>US </v>
      </c>
      <c r="C496" s="4" t="str">
        <f>IFERROR(__xludf.DUMMYFUNCTION("""COMPUTED_VALUE""")," Reach ")</f>
        <v> Reach </v>
      </c>
      <c r="D496" s="4" t="str">
        <f>IFERROR(__xludf.DUMMYFUNCTION("""COMPUTED_VALUE""")," Propensity Models ")</f>
        <v> Propensity Models </v>
      </c>
      <c r="E496" s="4" t="str">
        <f>IFERROR(__xludf.DUMMYFUNCTION("""COMPUTED_VALUE""")," Hobbies and Interest ")</f>
        <v> Hobbies and Interest </v>
      </c>
      <c r="F496" s="4" t="str">
        <f>IFERROR(__xludf.DUMMYFUNCTION("""COMPUTED_VALUE""")," Sports ")</f>
        <v> Sports </v>
      </c>
      <c r="G496" s="4" t="str">
        <f>IFERROR(__xludf.DUMMYFUNCTION("""COMPUTED_VALUE""")," Hunting Enthusiasts")</f>
        <v> Hunting Enthusiasts</v>
      </c>
      <c r="H496" s="4"/>
      <c r="I496" s="5" t="s">
        <v>15</v>
      </c>
      <c r="J496" s="5" t="s">
        <v>23</v>
      </c>
      <c r="K496" s="5" t="s">
        <v>17</v>
      </c>
      <c r="L496" s="6" t="s">
        <v>740</v>
      </c>
      <c r="M496" s="5" t="s">
        <v>46</v>
      </c>
      <c r="N496" s="5" t="s">
        <v>52</v>
      </c>
      <c r="O496" s="5">
        <v>65243.0</v>
      </c>
      <c r="P496" s="5">
        <v>120.0</v>
      </c>
      <c r="Q496" s="5">
        <v>39543.0</v>
      </c>
      <c r="R496" s="5">
        <v>54290.0</v>
      </c>
      <c r="S496" s="5">
        <v>4.0</v>
      </c>
      <c r="T496" s="5">
        <v>3754.685247</v>
      </c>
      <c r="V496" s="21">
        <f t="shared" si="1"/>
        <v>57.54924278</v>
      </c>
      <c r="W496" s="21">
        <f t="shared" si="2"/>
        <v>94.95195729</v>
      </c>
      <c r="X496" s="21">
        <f t="shared" si="3"/>
        <v>3.333333333</v>
      </c>
      <c r="Y496" s="21">
        <f t="shared" si="4"/>
        <v>938.6713118</v>
      </c>
      <c r="Z496" s="21">
        <f t="shared" si="5"/>
        <v>31.28904373</v>
      </c>
      <c r="AA496" s="21">
        <f t="shared" si="6"/>
        <v>0.1839277777</v>
      </c>
    </row>
    <row r="497">
      <c r="A497" s="4" t="s">
        <v>742</v>
      </c>
      <c r="B497" s="4" t="str">
        <f>IFERROR(__xludf.DUMMYFUNCTION("SPLIT(A497:A1222, ""&gt;"")"),"Online Behavior")</f>
        <v>Online Behavior</v>
      </c>
      <c r="C497" s="4" t="str">
        <f>IFERROR(__xludf.DUMMYFUNCTION("""COMPUTED_VALUE"""),"United States")</f>
        <v>United States</v>
      </c>
      <c r="D497" s="4" t="str">
        <f>IFERROR(__xludf.DUMMYFUNCTION("""COMPUTED_VALUE"""),"The Changing Consumer")</f>
        <v>The Changing Consumer</v>
      </c>
      <c r="E497" s="4" t="str">
        <f>IFERROR(__xludf.DUMMYFUNCTION("""COMPUTED_VALUE"""),"CPG")</f>
        <v>CPG</v>
      </c>
      <c r="F497" s="4"/>
      <c r="G497" s="4"/>
      <c r="H497" s="4"/>
      <c r="I497" s="5" t="s">
        <v>15</v>
      </c>
      <c r="J497" s="5" t="s">
        <v>16</v>
      </c>
      <c r="K497" s="5" t="s">
        <v>39</v>
      </c>
      <c r="L497" s="6" t="s">
        <v>743</v>
      </c>
      <c r="M497" s="5" t="s">
        <v>19</v>
      </c>
      <c r="N497" s="5" t="s">
        <v>27</v>
      </c>
      <c r="O497" s="5">
        <v>224877.0</v>
      </c>
      <c r="P497" s="5">
        <v>805.0</v>
      </c>
      <c r="Q497" s="5">
        <v>121175.0</v>
      </c>
      <c r="R497" s="5">
        <v>213280.0</v>
      </c>
      <c r="S497" s="5">
        <v>11.0</v>
      </c>
      <c r="T497" s="5">
        <v>7360.992969</v>
      </c>
      <c r="V497" s="21">
        <f t="shared" si="1"/>
        <v>32.73341858</v>
      </c>
      <c r="W497" s="21">
        <f t="shared" si="2"/>
        <v>60.7467957</v>
      </c>
      <c r="X497" s="21">
        <f t="shared" si="3"/>
        <v>1.366459627</v>
      </c>
      <c r="Y497" s="21">
        <f t="shared" si="4"/>
        <v>669.181179</v>
      </c>
      <c r="Z497" s="21">
        <f t="shared" si="5"/>
        <v>9.144090645</v>
      </c>
      <c r="AA497" s="21">
        <f t="shared" si="6"/>
        <v>0.3579734699</v>
      </c>
    </row>
    <row r="498">
      <c r="A498" s="4" t="s">
        <v>744</v>
      </c>
      <c r="B498" s="4" t="str">
        <f>IFERROR(__xludf.DUMMYFUNCTION("SPLIT(A498:A1223, ""&gt;"")"),"Online Behavior")</f>
        <v>Online Behavior</v>
      </c>
      <c r="C498" s="4" t="str">
        <f>IFERROR(__xludf.DUMMYFUNCTION("""COMPUTED_VALUE"""),"United States")</f>
        <v>United States</v>
      </c>
      <c r="D498" s="4" t="str">
        <f>IFERROR(__xludf.DUMMYFUNCTION("""COMPUTED_VALUE"""),"Internet and Telecom")</f>
        <v>Internet and Telecom</v>
      </c>
      <c r="E498" s="4" t="str">
        <f>IFERROR(__xludf.DUMMYFUNCTION("""COMPUTED_VALUE"""),"Web Apps and Online Tools")</f>
        <v>Web Apps and Online Tools</v>
      </c>
      <c r="F498" s="4"/>
      <c r="G498" s="4"/>
      <c r="H498" s="4"/>
      <c r="I498" s="5" t="s">
        <v>15</v>
      </c>
      <c r="J498" s="5" t="s">
        <v>23</v>
      </c>
      <c r="K498" s="5" t="s">
        <v>78</v>
      </c>
      <c r="L498" s="6" t="s">
        <v>743</v>
      </c>
      <c r="M498" s="5" t="s">
        <v>46</v>
      </c>
      <c r="N498" s="5" t="s">
        <v>52</v>
      </c>
      <c r="O498" s="5">
        <v>109372.0</v>
      </c>
      <c r="P498" s="5">
        <v>364.0</v>
      </c>
      <c r="Q498" s="5">
        <v>58336.0</v>
      </c>
      <c r="R498" s="5">
        <v>103569.0</v>
      </c>
      <c r="S498" s="5">
        <v>21.0</v>
      </c>
      <c r="T498" s="5">
        <v>6928.006202</v>
      </c>
      <c r="V498" s="21">
        <f t="shared" si="1"/>
        <v>63.34350841</v>
      </c>
      <c r="W498" s="21">
        <f t="shared" si="2"/>
        <v>118.7603916</v>
      </c>
      <c r="X498" s="21">
        <f t="shared" si="3"/>
        <v>5.769230769</v>
      </c>
      <c r="Y498" s="21">
        <f t="shared" si="4"/>
        <v>329.9050572</v>
      </c>
      <c r="Z498" s="21">
        <f t="shared" si="5"/>
        <v>19.03298407</v>
      </c>
      <c r="AA498" s="21">
        <f t="shared" si="6"/>
        <v>0.3328091285</v>
      </c>
    </row>
    <row r="499">
      <c r="A499" s="4" t="s">
        <v>745</v>
      </c>
      <c r="B499" s="4" t="str">
        <f>IFERROR(__xludf.DUMMYFUNCTION("SPLIT(A499:A1224, ""&gt;"")"),"Online Behavior")</f>
        <v>Online Behavior</v>
      </c>
      <c r="C499" s="4" t="str">
        <f>IFERROR(__xludf.DUMMYFUNCTION("""COMPUTED_VALUE"""),"United States")</f>
        <v>United States</v>
      </c>
      <c r="D499" s="4" t="str">
        <f>IFERROR(__xludf.DUMMYFUNCTION("""COMPUTED_VALUE"""),"News")</f>
        <v>News</v>
      </c>
      <c r="E499" s="4" t="str">
        <f>IFERROR(__xludf.DUMMYFUNCTION("""COMPUTED_VALUE"""),"Local News")</f>
        <v>Local News</v>
      </c>
      <c r="F499" s="4"/>
      <c r="G499" s="4"/>
      <c r="H499" s="4"/>
      <c r="I499" s="5" t="s">
        <v>22</v>
      </c>
      <c r="J499" s="5" t="s">
        <v>23</v>
      </c>
      <c r="K499" s="5" t="s">
        <v>183</v>
      </c>
      <c r="L499" s="6" t="s">
        <v>743</v>
      </c>
      <c r="M499" s="5" t="s">
        <v>50</v>
      </c>
      <c r="N499" s="5" t="s">
        <v>27</v>
      </c>
      <c r="O499" s="5">
        <v>44889.0</v>
      </c>
      <c r="P499" s="5">
        <v>125.0</v>
      </c>
      <c r="Q499" s="5">
        <v>17477.0</v>
      </c>
      <c r="R499" s="5">
        <v>38621.0</v>
      </c>
      <c r="S499" s="5">
        <v>25.0</v>
      </c>
      <c r="T499" s="5">
        <v>6644.954146</v>
      </c>
      <c r="V499" s="21">
        <f t="shared" si="1"/>
        <v>148.0307903</v>
      </c>
      <c r="W499" s="21">
        <f t="shared" si="2"/>
        <v>380.2113719</v>
      </c>
      <c r="X499" s="21">
        <f t="shared" si="3"/>
        <v>20</v>
      </c>
      <c r="Y499" s="21">
        <f t="shared" si="4"/>
        <v>265.7981658</v>
      </c>
      <c r="Z499" s="21">
        <f t="shared" si="5"/>
        <v>53.15963317</v>
      </c>
      <c r="AA499" s="21">
        <f t="shared" si="6"/>
        <v>0.2784646573</v>
      </c>
    </row>
    <row r="500">
      <c r="A500" s="4" t="s">
        <v>1507</v>
      </c>
      <c r="B500" s="4" t="str">
        <f>IFERROR(__xludf.DUMMYFUNCTION("SPLIT(A500:A1225, ""&gt;"")"),"Online Behavior")</f>
        <v>Online Behavior</v>
      </c>
      <c r="C500" s="4" t="str">
        <f>IFERROR(__xludf.DUMMYFUNCTION("""COMPUTED_VALUE"""),"United States")</f>
        <v>United States</v>
      </c>
      <c r="D500" s="4" t="str">
        <f>IFERROR(__xludf.DUMMYFUNCTION("""COMPUTED_VALUE"""),"Intent ")</f>
        <v>Intent </v>
      </c>
      <c r="E500" s="4" t="str">
        <f>IFERROR(__xludf.DUMMYFUNCTION("""COMPUTED_VALUE""")," Auto Buyers ")</f>
        <v> Auto Buyers </v>
      </c>
      <c r="F500" s="4" t="str">
        <f>IFERROR(__xludf.DUMMYFUNCTION("""COMPUTED_VALUE""")," Car Make")</f>
        <v> Car Make</v>
      </c>
      <c r="G500" s="4" t="str">
        <f>IFERROR(__xludf.DUMMYFUNCTION("""COMPUTED_VALUE"""),"Mercedes")</f>
        <v>Mercedes</v>
      </c>
      <c r="H500" s="4"/>
      <c r="I500" s="5" t="s">
        <v>22</v>
      </c>
      <c r="J500" s="5" t="s">
        <v>16</v>
      </c>
      <c r="K500" s="5" t="s">
        <v>204</v>
      </c>
      <c r="L500" s="6" t="s">
        <v>743</v>
      </c>
      <c r="M500" s="5" t="s">
        <v>117</v>
      </c>
      <c r="N500" s="5" t="s">
        <v>27</v>
      </c>
      <c r="O500" s="5">
        <v>42459.0</v>
      </c>
      <c r="P500" s="5">
        <v>121.0</v>
      </c>
      <c r="Q500" s="5">
        <v>15187.0</v>
      </c>
      <c r="R500" s="5">
        <v>37408.0</v>
      </c>
      <c r="S500" s="5">
        <v>11.0</v>
      </c>
      <c r="T500" s="5">
        <v>6321.491689</v>
      </c>
      <c r="V500" s="21">
        <f t="shared" si="1"/>
        <v>148.8846108</v>
      </c>
      <c r="W500" s="21">
        <f t="shared" si="2"/>
        <v>416.2436089</v>
      </c>
      <c r="X500" s="21">
        <f t="shared" si="3"/>
        <v>9.090909091</v>
      </c>
      <c r="Y500" s="21">
        <f t="shared" si="4"/>
        <v>574.6810626</v>
      </c>
      <c r="Z500" s="21">
        <f t="shared" si="5"/>
        <v>52.24373297</v>
      </c>
      <c r="AA500" s="21">
        <f t="shared" si="6"/>
        <v>0.284980805</v>
      </c>
    </row>
    <row r="501">
      <c r="A501" s="4" t="s">
        <v>1508</v>
      </c>
      <c r="B501" s="4" t="str">
        <f>IFERROR(__xludf.DUMMYFUNCTION("SPLIT(A501:A1226, ""&gt;"")"),"Online Behavior")</f>
        <v>Online Behavior</v>
      </c>
      <c r="C501" s="4" t="str">
        <f>IFERROR(__xludf.DUMMYFUNCTION("""COMPUTED_VALUE"""),"United States")</f>
        <v>United States</v>
      </c>
      <c r="D501" s="4" t="str">
        <f>IFERROR(__xludf.DUMMYFUNCTION("""COMPUTED_VALUE"""),"Sports")</f>
        <v>Sports</v>
      </c>
      <c r="E501" s="4" t="str">
        <f>IFERROR(__xludf.DUMMYFUNCTION("""COMPUTED_VALUE"""),"Individual Sports ")</f>
        <v>Individual Sports </v>
      </c>
      <c r="F501" s="4" t="str">
        <f>IFERROR(__xludf.DUMMYFUNCTION("""COMPUTED_VALUE""")," Golf")</f>
        <v> Golf</v>
      </c>
      <c r="G501" s="4"/>
      <c r="H501" s="4"/>
      <c r="I501" s="5" t="s">
        <v>15</v>
      </c>
      <c r="J501" s="5" t="s">
        <v>23</v>
      </c>
      <c r="K501" s="5" t="s">
        <v>55</v>
      </c>
      <c r="L501" s="6" t="s">
        <v>743</v>
      </c>
      <c r="M501" s="5" t="s">
        <v>117</v>
      </c>
      <c r="N501" s="5" t="s">
        <v>27</v>
      </c>
      <c r="O501" s="5">
        <v>69928.0</v>
      </c>
      <c r="P501" s="5">
        <v>210.0</v>
      </c>
      <c r="Q501" s="5">
        <v>30196.0</v>
      </c>
      <c r="R501" s="5">
        <v>62327.0</v>
      </c>
      <c r="S501" s="5">
        <v>9.0</v>
      </c>
      <c r="T501" s="5">
        <v>6318.413085</v>
      </c>
      <c r="V501" s="21">
        <f t="shared" si="1"/>
        <v>90.35598165</v>
      </c>
      <c r="W501" s="21">
        <f t="shared" si="2"/>
        <v>209.2466911</v>
      </c>
      <c r="X501" s="21">
        <f t="shared" si="3"/>
        <v>4.285714286</v>
      </c>
      <c r="Y501" s="21">
        <f t="shared" si="4"/>
        <v>702.0458983</v>
      </c>
      <c r="Z501" s="21">
        <f t="shared" si="5"/>
        <v>30.08768136</v>
      </c>
      <c r="AA501" s="21">
        <f t="shared" si="6"/>
        <v>0.3003088891</v>
      </c>
    </row>
    <row r="502">
      <c r="A502" s="4" t="s">
        <v>1509</v>
      </c>
      <c r="B502" s="4" t="str">
        <f>IFERROR(__xludf.DUMMYFUNCTION("SPLIT(A502:A1227, ""&gt;"")"),"Online Behavior")</f>
        <v>Online Behavior</v>
      </c>
      <c r="C502" s="4" t="str">
        <f>IFERROR(__xludf.DUMMYFUNCTION("""COMPUTED_VALUE"""),"United States")</f>
        <v>United States</v>
      </c>
      <c r="D502" s="4" t="str">
        <f>IFERROR(__xludf.DUMMYFUNCTION("""COMPUTED_VALUE"""),"Food and Drink")</f>
        <v>Food and Drink</v>
      </c>
      <c r="E502" s="4" t="str">
        <f>IFERROR(__xludf.DUMMYFUNCTION("""COMPUTED_VALUE"""),"Beverages ")</f>
        <v>Beverages </v>
      </c>
      <c r="F502" s="4" t="str">
        <f>IFERROR(__xludf.DUMMYFUNCTION("""COMPUTED_VALUE""")," Juice")</f>
        <v> Juice</v>
      </c>
      <c r="G502" s="4"/>
      <c r="H502" s="4"/>
      <c r="I502" s="5" t="s">
        <v>22</v>
      </c>
      <c r="J502" s="5" t="s">
        <v>31</v>
      </c>
      <c r="K502" s="5" t="s">
        <v>17</v>
      </c>
      <c r="L502" s="6" t="s">
        <v>743</v>
      </c>
      <c r="M502" s="5" t="s">
        <v>19</v>
      </c>
      <c r="N502" s="5" t="s">
        <v>27</v>
      </c>
      <c r="O502" s="5">
        <v>40859.0</v>
      </c>
      <c r="P502" s="5">
        <v>144.0</v>
      </c>
      <c r="Q502" s="5">
        <v>17695.0</v>
      </c>
      <c r="R502" s="5">
        <v>37108.0</v>
      </c>
      <c r="S502" s="5">
        <v>4.0</v>
      </c>
      <c r="T502" s="5">
        <v>6130.368425</v>
      </c>
      <c r="V502" s="21">
        <f t="shared" si="1"/>
        <v>150.0371626</v>
      </c>
      <c r="W502" s="21">
        <f t="shared" si="2"/>
        <v>346.4463648</v>
      </c>
      <c r="X502" s="21">
        <f t="shared" si="3"/>
        <v>2.777777778</v>
      </c>
      <c r="Y502" s="21">
        <f t="shared" si="4"/>
        <v>1532.592106</v>
      </c>
      <c r="Z502" s="21">
        <f t="shared" si="5"/>
        <v>42.57200295</v>
      </c>
      <c r="AA502" s="21">
        <f t="shared" si="6"/>
        <v>0.3524315328</v>
      </c>
    </row>
    <row r="503">
      <c r="A503" s="4" t="s">
        <v>1510</v>
      </c>
      <c r="B503" s="4" t="str">
        <f>IFERROR(__xludf.DUMMYFUNCTION("SPLIT(A503:A1228, ""&gt;"")"),"Online Behavior")</f>
        <v>Online Behavior</v>
      </c>
      <c r="C503" s="4" t="str">
        <f>IFERROR(__xludf.DUMMYFUNCTION("""COMPUTED_VALUE"""),"United States")</f>
        <v>United States</v>
      </c>
      <c r="D503" s="4" t="str">
        <f>IFERROR(__xludf.DUMMYFUNCTION("""COMPUTED_VALUE"""),"Autos and Vehicles ")</f>
        <v>Autos and Vehicles </v>
      </c>
      <c r="E503" s="4" t="str">
        <f>IFERROR(__xludf.DUMMYFUNCTION("""COMPUTED_VALUE""")," Brands")</f>
        <v> Brands</v>
      </c>
      <c r="F503" s="4" t="str">
        <f>IFERROR(__xludf.DUMMYFUNCTION("""COMPUTED_VALUE"""),"Isuzu")</f>
        <v>Isuzu</v>
      </c>
      <c r="G503" s="4"/>
      <c r="H503" s="4"/>
      <c r="I503" s="5" t="s">
        <v>15</v>
      </c>
      <c r="J503" s="5" t="s">
        <v>42</v>
      </c>
      <c r="K503" s="5" t="s">
        <v>35</v>
      </c>
      <c r="L503" s="6" t="s">
        <v>743</v>
      </c>
      <c r="M503" s="5" t="s">
        <v>117</v>
      </c>
      <c r="N503" s="5" t="s">
        <v>52</v>
      </c>
      <c r="O503" s="5">
        <v>16978.0</v>
      </c>
      <c r="P503" s="5">
        <v>30.0</v>
      </c>
      <c r="Q503" s="5">
        <v>8367.0</v>
      </c>
      <c r="R503" s="5">
        <v>15731.0</v>
      </c>
      <c r="S503" s="5">
        <v>9.0</v>
      </c>
      <c r="T503" s="5">
        <v>5886.071146</v>
      </c>
      <c r="V503" s="21">
        <f t="shared" si="1"/>
        <v>346.6881344</v>
      </c>
      <c r="W503" s="21">
        <f t="shared" si="2"/>
        <v>703.4864523</v>
      </c>
      <c r="X503" s="21">
        <f t="shared" si="3"/>
        <v>30</v>
      </c>
      <c r="Y503" s="21">
        <f t="shared" si="4"/>
        <v>654.0079051</v>
      </c>
      <c r="Z503" s="21">
        <f t="shared" si="5"/>
        <v>196.2023715</v>
      </c>
      <c r="AA503" s="21">
        <f t="shared" si="6"/>
        <v>0.1766992579</v>
      </c>
    </row>
    <row r="504">
      <c r="A504" s="4" t="s">
        <v>750</v>
      </c>
      <c r="B504" s="4" t="str">
        <f>IFERROR(__xludf.DUMMYFUNCTION("SPLIT(A504:A1229, ""&gt;"")"),"Online Behavior")</f>
        <v>Online Behavior</v>
      </c>
      <c r="C504" s="4" t="str">
        <f>IFERROR(__xludf.DUMMYFUNCTION("""COMPUTED_VALUE"""),"United States")</f>
        <v>United States</v>
      </c>
      <c r="D504" s="4" t="str">
        <f>IFERROR(__xludf.DUMMYFUNCTION("""COMPUTED_VALUE"""),"Internet and Telecom")</f>
        <v>Internet and Telecom</v>
      </c>
      <c r="E504" s="4" t="str">
        <f>IFERROR(__xludf.DUMMYFUNCTION("""COMPUTED_VALUE"""),"Web Services")</f>
        <v>Web Services</v>
      </c>
      <c r="F504" s="4"/>
      <c r="G504" s="4"/>
      <c r="H504" s="4"/>
      <c r="I504" s="5" t="s">
        <v>22</v>
      </c>
      <c r="J504" s="5" t="s">
        <v>16</v>
      </c>
      <c r="K504" s="5" t="s">
        <v>55</v>
      </c>
      <c r="L504" s="6" t="s">
        <v>743</v>
      </c>
      <c r="M504" s="5" t="s">
        <v>36</v>
      </c>
      <c r="N504" s="5" t="s">
        <v>27</v>
      </c>
      <c r="O504" s="5">
        <v>14581.0</v>
      </c>
      <c r="P504" s="5">
        <v>45.0</v>
      </c>
      <c r="Q504" s="5">
        <v>3821.0</v>
      </c>
      <c r="R504" s="5">
        <v>12741.0</v>
      </c>
      <c r="S504" s="5">
        <v>6.0</v>
      </c>
      <c r="T504" s="5">
        <v>5296.970091</v>
      </c>
      <c r="V504" s="21">
        <f t="shared" si="1"/>
        <v>363.2789309</v>
      </c>
      <c r="W504" s="21">
        <f t="shared" si="2"/>
        <v>1386.278485</v>
      </c>
      <c r="X504" s="21">
        <f t="shared" si="3"/>
        <v>13.33333333</v>
      </c>
      <c r="Y504" s="21">
        <f t="shared" si="4"/>
        <v>882.8283485</v>
      </c>
      <c r="Z504" s="21">
        <f t="shared" si="5"/>
        <v>117.7104465</v>
      </c>
      <c r="AA504" s="21">
        <f t="shared" si="6"/>
        <v>0.3086208079</v>
      </c>
    </row>
    <row r="505">
      <c r="A505" s="4" t="s">
        <v>1511</v>
      </c>
      <c r="B505" s="4" t="str">
        <f>IFERROR(__xludf.DUMMYFUNCTION("SPLIT(A505:A1230, ""&gt;"")"),"Online Behavior")</f>
        <v>Online Behavior</v>
      </c>
      <c r="C505" s="4" t="str">
        <f>IFERROR(__xludf.DUMMYFUNCTION("""COMPUTED_VALUE"""),"United States")</f>
        <v>United States</v>
      </c>
      <c r="D505" s="4" t="str">
        <f>IFERROR(__xludf.DUMMYFUNCTION("""COMPUTED_VALUE"""),"Validated Demographic ")</f>
        <v>Validated Demographic </v>
      </c>
      <c r="E505" s="4" t="str">
        <f>IFERROR(__xludf.DUMMYFUNCTION("""COMPUTED_VALUE""")," Gender and Age Combined")</f>
        <v> Gender and Age Combined</v>
      </c>
      <c r="F505" s="4" t="str">
        <f>IFERROR(__xludf.DUMMYFUNCTION("""COMPUTED_VALUE"""),"Males 18-44")</f>
        <v>Males 18-44</v>
      </c>
      <c r="G505" s="4"/>
      <c r="H505" s="4"/>
      <c r="I505" s="5" t="s">
        <v>15</v>
      </c>
      <c r="J505" s="5" t="s">
        <v>42</v>
      </c>
      <c r="K505" s="5" t="s">
        <v>35</v>
      </c>
      <c r="L505" s="6" t="s">
        <v>743</v>
      </c>
      <c r="M505" s="5" t="s">
        <v>46</v>
      </c>
      <c r="N505" s="5" t="s">
        <v>20</v>
      </c>
      <c r="O505" s="5">
        <v>10815.0</v>
      </c>
      <c r="P505" s="5">
        <v>25.0</v>
      </c>
      <c r="Q505" s="5">
        <v>4321.0</v>
      </c>
      <c r="R505" s="5">
        <v>9646.0</v>
      </c>
      <c r="S505" s="5">
        <v>2.0</v>
      </c>
      <c r="T505" s="5">
        <v>4921.594843</v>
      </c>
      <c r="V505" s="21">
        <f t="shared" si="1"/>
        <v>455.0711829</v>
      </c>
      <c r="W505" s="21">
        <f t="shared" si="2"/>
        <v>1138.994409</v>
      </c>
      <c r="X505" s="21">
        <f t="shared" si="3"/>
        <v>8</v>
      </c>
      <c r="Y505" s="21">
        <f t="shared" si="4"/>
        <v>2460.797422</v>
      </c>
      <c r="Z505" s="21">
        <f t="shared" si="5"/>
        <v>196.8637937</v>
      </c>
      <c r="AA505" s="21">
        <f t="shared" si="6"/>
        <v>0.2311604253</v>
      </c>
    </row>
    <row r="506">
      <c r="A506" s="4" t="s">
        <v>1512</v>
      </c>
      <c r="B506" s="4" t="str">
        <f>IFERROR(__xludf.DUMMYFUNCTION("SPLIT(A506:A1231, ""&gt;"")"),"Online Behavior")</f>
        <v>Online Behavior</v>
      </c>
      <c r="C506" s="4" t="str">
        <f>IFERROR(__xludf.DUMMYFUNCTION("""COMPUTED_VALUE"""),"United States")</f>
        <v>United States</v>
      </c>
      <c r="D506" s="4" t="str">
        <f>IFERROR(__xludf.DUMMYFUNCTION("""COMPUTED_VALUE"""),"B2B ")</f>
        <v>B2B </v>
      </c>
      <c r="E506" s="4" t="str">
        <f>IFERROR(__xludf.DUMMYFUNCTION("""COMPUTED_VALUE""")," Occupation")</f>
        <v> Occupation</v>
      </c>
      <c r="F506" s="4" t="str">
        <f>IFERROR(__xludf.DUMMYFUNCTION("""COMPUTED_VALUE"""),"ComputerProgrammer")</f>
        <v>ComputerProgrammer</v>
      </c>
      <c r="G506" s="4"/>
      <c r="H506" s="4"/>
      <c r="I506" s="5" t="s">
        <v>15</v>
      </c>
      <c r="J506" s="5" t="s">
        <v>42</v>
      </c>
      <c r="K506" s="5" t="s">
        <v>240</v>
      </c>
      <c r="L506" s="6" t="s">
        <v>743</v>
      </c>
      <c r="M506" s="5" t="s">
        <v>50</v>
      </c>
      <c r="N506" s="5" t="s">
        <v>20</v>
      </c>
      <c r="O506" s="5">
        <v>114194.0</v>
      </c>
      <c r="P506" s="5">
        <v>380.0</v>
      </c>
      <c r="Q506" s="5">
        <v>50923.0</v>
      </c>
      <c r="R506" s="5">
        <v>104074.0</v>
      </c>
      <c r="S506" s="5">
        <v>2.0</v>
      </c>
      <c r="T506" s="5">
        <v>4036.089376</v>
      </c>
      <c r="V506" s="21">
        <f t="shared" si="1"/>
        <v>35.34414572</v>
      </c>
      <c r="W506" s="21">
        <f t="shared" si="2"/>
        <v>79.25867243</v>
      </c>
      <c r="X506" s="21">
        <f t="shared" si="3"/>
        <v>0.5263157895</v>
      </c>
      <c r="Y506" s="21">
        <f t="shared" si="4"/>
        <v>2018.044688</v>
      </c>
      <c r="Z506" s="21">
        <f t="shared" si="5"/>
        <v>10.62128783</v>
      </c>
      <c r="AA506" s="21">
        <f t="shared" si="6"/>
        <v>0.3327670456</v>
      </c>
    </row>
    <row r="507">
      <c r="A507" s="4" t="s">
        <v>1893</v>
      </c>
      <c r="B507" s="4" t="str">
        <f>IFERROR(__xludf.DUMMYFUNCTION("SPLIT(A507:A1232, ""&gt;"")"),"US ")</f>
        <v>US </v>
      </c>
      <c r="C507" s="4" t="str">
        <f>IFERROR(__xludf.DUMMYFUNCTION("""COMPUTED_VALUE""")," Reach ")</f>
        <v> Reach </v>
      </c>
      <c r="D507" s="4" t="str">
        <f>IFERROR(__xludf.DUMMYFUNCTION("""COMPUTED_VALUE""")," Propensity Models ")</f>
        <v> Propensity Models </v>
      </c>
      <c r="E507" s="4" t="str">
        <f>IFERROR(__xludf.DUMMYFUNCTION("""COMPUTED_VALUE""")," Lifestyle ")</f>
        <v> Lifestyle </v>
      </c>
      <c r="F507" s="4" t="str">
        <f>IFERROR(__xludf.DUMMYFUNCTION("""COMPUTED_VALUE""")," Healthy Living")</f>
        <v> Healthy Living</v>
      </c>
      <c r="G507" s="4"/>
      <c r="H507" s="4"/>
      <c r="I507" s="5" t="s">
        <v>15</v>
      </c>
      <c r="J507" s="5" t="s">
        <v>16</v>
      </c>
      <c r="K507" s="5" t="s">
        <v>356</v>
      </c>
      <c r="L507" s="6" t="s">
        <v>743</v>
      </c>
      <c r="M507" s="5" t="s">
        <v>19</v>
      </c>
      <c r="N507" s="5" t="s">
        <v>27</v>
      </c>
      <c r="O507" s="5">
        <v>15449.0</v>
      </c>
      <c r="P507" s="5">
        <v>50.0</v>
      </c>
      <c r="Q507" s="5">
        <v>4595.0</v>
      </c>
      <c r="R507" s="5">
        <v>13765.0</v>
      </c>
      <c r="S507" s="5">
        <v>1.0</v>
      </c>
      <c r="T507" s="5">
        <v>3122.942574</v>
      </c>
      <c r="V507" s="21">
        <f t="shared" si="1"/>
        <v>202.1452893</v>
      </c>
      <c r="W507" s="21">
        <f t="shared" si="2"/>
        <v>679.6392979</v>
      </c>
      <c r="X507" s="21">
        <f t="shared" si="3"/>
        <v>2</v>
      </c>
      <c r="Y507" s="21">
        <f t="shared" si="4"/>
        <v>3122.942574</v>
      </c>
      <c r="Z507" s="21">
        <f t="shared" si="5"/>
        <v>62.45885148</v>
      </c>
      <c r="AA507" s="21">
        <f t="shared" si="6"/>
        <v>0.3236455434</v>
      </c>
    </row>
    <row r="508">
      <c r="A508" s="4" t="s">
        <v>1894</v>
      </c>
      <c r="B508" s="4" t="str">
        <f>IFERROR(__xludf.DUMMYFUNCTION("SPLIT(A508:A1233, ""&gt;"")"),"US ")</f>
        <v>US </v>
      </c>
      <c r="C508" s="4" t="str">
        <f>IFERROR(__xludf.DUMMYFUNCTION("""COMPUTED_VALUE""")," Reach ")</f>
        <v> Reach </v>
      </c>
      <c r="D508" s="4" t="str">
        <f>IFERROR(__xludf.DUMMYFUNCTION("""COMPUTED_VALUE""")," Propensity Models ")</f>
        <v> Propensity Models </v>
      </c>
      <c r="E508" s="4" t="str">
        <f>IFERROR(__xludf.DUMMYFUNCTION("""COMPUTED_VALUE""")," Hobbies and Interest ")</f>
        <v> Hobbies and Interest </v>
      </c>
      <c r="F508" s="4" t="str">
        <f>IFERROR(__xludf.DUMMYFUNCTION("""COMPUTED_VALUE""")," Sports ")</f>
        <v> Sports </v>
      </c>
      <c r="G508" s="4" t="str">
        <f>IFERROR(__xludf.DUMMYFUNCTION("""COMPUTED_VALUE""")," NHL Enthusiast")</f>
        <v> NHL Enthusiast</v>
      </c>
      <c r="H508" s="4"/>
      <c r="I508" s="5" t="s">
        <v>15</v>
      </c>
      <c r="J508" s="5" t="s">
        <v>31</v>
      </c>
      <c r="K508" s="5" t="s">
        <v>78</v>
      </c>
      <c r="L508" s="6" t="s">
        <v>743</v>
      </c>
      <c r="M508" s="5" t="s">
        <v>191</v>
      </c>
      <c r="N508" s="5" t="s">
        <v>27</v>
      </c>
      <c r="O508" s="5">
        <v>114267.0</v>
      </c>
      <c r="P508" s="5">
        <v>110.0</v>
      </c>
      <c r="Q508" s="5">
        <v>60964.0</v>
      </c>
      <c r="R508" s="5">
        <v>108301.0</v>
      </c>
      <c r="S508" s="5">
        <v>5.0</v>
      </c>
      <c r="T508" s="5">
        <v>2679.154068</v>
      </c>
      <c r="V508" s="21">
        <f t="shared" si="1"/>
        <v>23.44643745</v>
      </c>
      <c r="W508" s="21">
        <f t="shared" si="2"/>
        <v>43.94649413</v>
      </c>
      <c r="X508" s="21">
        <f t="shared" si="3"/>
        <v>4.545454545</v>
      </c>
      <c r="Y508" s="21">
        <f t="shared" si="4"/>
        <v>535.8308136</v>
      </c>
      <c r="Z508" s="21">
        <f t="shared" si="5"/>
        <v>24.35594607</v>
      </c>
      <c r="AA508" s="21">
        <f t="shared" si="6"/>
        <v>0.09626576352</v>
      </c>
    </row>
    <row r="509">
      <c r="A509" s="4" t="s">
        <v>1895</v>
      </c>
      <c r="B509" s="4" t="str">
        <f>IFERROR(__xludf.DUMMYFUNCTION("SPLIT(A509:A1234, ""&gt;"")"),"US ")</f>
        <v>US </v>
      </c>
      <c r="C509" s="4" t="str">
        <f>IFERROR(__xludf.DUMMYFUNCTION("""COMPUTED_VALUE""")," Reach ")</f>
        <v> Reach </v>
      </c>
      <c r="D509" s="4" t="str">
        <f>IFERROR(__xludf.DUMMYFUNCTION("""COMPUTED_VALUE""")," Propensity Models ")</f>
        <v> Propensity Models </v>
      </c>
      <c r="E509" s="4" t="str">
        <f>IFERROR(__xludf.DUMMYFUNCTION("""COMPUTED_VALUE""")," Hobbies and Interest ")</f>
        <v> Hobbies and Interest </v>
      </c>
      <c r="F509" s="4" t="str">
        <f>IFERROR(__xludf.DUMMYFUNCTION("""COMPUTED_VALUE""")," Sports ")</f>
        <v> Sports </v>
      </c>
      <c r="G509" s="4" t="str">
        <f>IFERROR(__xludf.DUMMYFUNCTION("""COMPUTED_VALUE""")," Fishing")</f>
        <v> Fishing</v>
      </c>
      <c r="H509" s="4"/>
      <c r="I509" s="5" t="s">
        <v>15</v>
      </c>
      <c r="J509" s="5" t="s">
        <v>16</v>
      </c>
      <c r="K509" s="5" t="s">
        <v>173</v>
      </c>
      <c r="L509" s="6" t="s">
        <v>743</v>
      </c>
      <c r="M509" s="5" t="s">
        <v>26</v>
      </c>
      <c r="N509" s="5" t="s">
        <v>20</v>
      </c>
      <c r="O509" s="5">
        <v>65043.0</v>
      </c>
      <c r="P509" s="5">
        <v>160.0</v>
      </c>
      <c r="Q509" s="5">
        <v>25871.0</v>
      </c>
      <c r="R509" s="5">
        <v>53969.0</v>
      </c>
      <c r="S509" s="5">
        <v>4.0</v>
      </c>
      <c r="T509" s="5">
        <v>2347.918531</v>
      </c>
      <c r="V509" s="21">
        <f t="shared" si="1"/>
        <v>36.09794338</v>
      </c>
      <c r="W509" s="21">
        <f t="shared" si="2"/>
        <v>90.75484253</v>
      </c>
      <c r="X509" s="21">
        <f t="shared" si="3"/>
        <v>2.5</v>
      </c>
      <c r="Y509" s="21">
        <f t="shared" si="4"/>
        <v>586.9796328</v>
      </c>
      <c r="Z509" s="21">
        <f t="shared" si="5"/>
        <v>14.67449082</v>
      </c>
      <c r="AA509" s="21">
        <f t="shared" si="6"/>
        <v>0.2459911136</v>
      </c>
    </row>
    <row r="510">
      <c r="A510" s="4" t="s">
        <v>1896</v>
      </c>
      <c r="B510" s="4" t="str">
        <f>IFERROR(__xludf.DUMMYFUNCTION("SPLIT(A510:A1235, ""&gt;"")"),"US ")</f>
        <v>US </v>
      </c>
      <c r="C510" s="4" t="str">
        <f>IFERROR(__xludf.DUMMYFUNCTION("""COMPUTED_VALUE""")," Interest Propensities ")</f>
        <v> Interest Propensities </v>
      </c>
      <c r="D510" s="4" t="str">
        <f>IFERROR(__xludf.DUMMYFUNCTION("""COMPUTED_VALUE""")," Food and Drink ")</f>
        <v> Food and Drink </v>
      </c>
      <c r="E510" s="4" t="str">
        <f>IFERROR(__xludf.DUMMYFUNCTION("""COMPUTED_VALUE""")," American Cuisine")</f>
        <v> American Cuisine</v>
      </c>
      <c r="F510" s="4"/>
      <c r="G510" s="4"/>
      <c r="H510" s="4"/>
      <c r="I510" s="5" t="s">
        <v>22</v>
      </c>
      <c r="J510" s="5" t="s">
        <v>23</v>
      </c>
      <c r="K510" s="5" t="s">
        <v>35</v>
      </c>
      <c r="L510" s="6" t="s">
        <v>743</v>
      </c>
      <c r="M510" s="5" t="s">
        <v>19</v>
      </c>
      <c r="N510" s="5" t="s">
        <v>27</v>
      </c>
      <c r="O510" s="5">
        <v>85280.0</v>
      </c>
      <c r="P510" s="5">
        <v>211.0</v>
      </c>
      <c r="Q510" s="5">
        <v>35860.0</v>
      </c>
      <c r="R510" s="5">
        <v>79837.0</v>
      </c>
      <c r="S510" s="5">
        <v>5.0</v>
      </c>
      <c r="T510" s="5">
        <v>2217.932092</v>
      </c>
      <c r="V510" s="21">
        <f t="shared" si="1"/>
        <v>26.00764648</v>
      </c>
      <c r="W510" s="21">
        <f t="shared" si="2"/>
        <v>61.84975159</v>
      </c>
      <c r="X510" s="21">
        <f t="shared" si="3"/>
        <v>2.369668246</v>
      </c>
      <c r="Y510" s="21">
        <f t="shared" si="4"/>
        <v>443.5864184</v>
      </c>
      <c r="Z510" s="21">
        <f t="shared" si="5"/>
        <v>10.5115265</v>
      </c>
      <c r="AA510" s="21">
        <f t="shared" si="6"/>
        <v>0.2474202627</v>
      </c>
    </row>
    <row r="511">
      <c r="A511" s="4" t="s">
        <v>1897</v>
      </c>
      <c r="B511" s="4" t="str">
        <f>IFERROR(__xludf.DUMMYFUNCTION("SPLIT(A511:A1236, ""&gt;"")"),"US ")</f>
        <v>US </v>
      </c>
      <c r="C511" s="4" t="str">
        <f>IFERROR(__xludf.DUMMYFUNCTION("""COMPUTED_VALUE""")," Reach ")</f>
        <v> Reach </v>
      </c>
      <c r="D511" s="4" t="str">
        <f>IFERROR(__xludf.DUMMYFUNCTION("""COMPUTED_VALUE""")," Propensity Models ")</f>
        <v> Propensity Models </v>
      </c>
      <c r="E511" s="4" t="str">
        <f>IFERROR(__xludf.DUMMYFUNCTION("""COMPUTED_VALUE""")," Finance ")</f>
        <v> Finance </v>
      </c>
      <c r="F511" s="4" t="str">
        <f>IFERROR(__xludf.DUMMYFUNCTION("""COMPUTED_VALUE""")," Credit ")</f>
        <v> Credit </v>
      </c>
      <c r="G511" s="4" t="str">
        <f>IFERROR(__xludf.DUMMYFUNCTION("""COMPUTED_VALUE""")," Debit Card ")</f>
        <v> Debit Card </v>
      </c>
      <c r="H511" s="4" t="str">
        <f>IFERROR(__xludf.DUMMYFUNCTION("""COMPUTED_VALUE""")," Store Credit Card User")</f>
        <v> Store Credit Card User</v>
      </c>
      <c r="I511" s="5" t="s">
        <v>22</v>
      </c>
      <c r="J511" s="5" t="s">
        <v>16</v>
      </c>
      <c r="K511" s="5" t="s">
        <v>35</v>
      </c>
      <c r="L511" s="6" t="s">
        <v>743</v>
      </c>
      <c r="M511" s="5" t="s">
        <v>36</v>
      </c>
      <c r="N511" s="5" t="s">
        <v>27</v>
      </c>
      <c r="O511" s="5">
        <v>51515.0</v>
      </c>
      <c r="P511" s="5">
        <v>144.0</v>
      </c>
      <c r="Q511" s="5">
        <v>18304.0</v>
      </c>
      <c r="R511" s="5">
        <v>44891.0</v>
      </c>
      <c r="S511" s="5">
        <v>14.0</v>
      </c>
      <c r="T511" s="5">
        <v>2160.307325</v>
      </c>
      <c r="V511" s="21">
        <f t="shared" si="1"/>
        <v>41.93550083</v>
      </c>
      <c r="W511" s="21">
        <f t="shared" si="2"/>
        <v>118.0237831</v>
      </c>
      <c r="X511" s="21">
        <f t="shared" si="3"/>
        <v>9.722222222</v>
      </c>
      <c r="Y511" s="21">
        <f t="shared" si="4"/>
        <v>154.3076661</v>
      </c>
      <c r="Z511" s="21">
        <f t="shared" si="5"/>
        <v>15.0021342</v>
      </c>
      <c r="AA511" s="21">
        <f t="shared" si="6"/>
        <v>0.2795302339</v>
      </c>
    </row>
    <row r="512">
      <c r="A512" s="4" t="s">
        <v>1898</v>
      </c>
      <c r="B512" s="4" t="str">
        <f>IFERROR(__xludf.DUMMYFUNCTION("SPLIT(A512:A1237, ""&gt;"")"),"US ")</f>
        <v>US </v>
      </c>
      <c r="C512" s="4" t="str">
        <f>IFERROR(__xludf.DUMMYFUNCTION("""COMPUTED_VALUE""")," Brand Propensities ")</f>
        <v> Brand Propensities </v>
      </c>
      <c r="D512" s="4" t="str">
        <f>IFERROR(__xludf.DUMMYFUNCTION("""COMPUTED_VALUE""")," Apparel ")</f>
        <v> Apparel </v>
      </c>
      <c r="E512" s="4" t="str">
        <f>IFERROR(__xludf.DUMMYFUNCTION("""COMPUTED_VALUE""")," Shoebuy.com Buyer Propensity")</f>
        <v> Shoebuy.com Buyer Propensity</v>
      </c>
      <c r="F512" s="4"/>
      <c r="G512" s="4"/>
      <c r="H512" s="4"/>
      <c r="I512" s="5" t="s">
        <v>22</v>
      </c>
      <c r="J512" s="5" t="s">
        <v>42</v>
      </c>
      <c r="K512" s="5" t="s">
        <v>66</v>
      </c>
      <c r="L512" s="6" t="s">
        <v>743</v>
      </c>
      <c r="M512" s="5" t="s">
        <v>46</v>
      </c>
      <c r="N512" s="5" t="s">
        <v>27</v>
      </c>
      <c r="O512" s="5">
        <v>43666.0</v>
      </c>
      <c r="P512" s="5">
        <v>133.0</v>
      </c>
      <c r="Q512" s="5">
        <v>18513.0</v>
      </c>
      <c r="R512" s="5">
        <v>40506.0</v>
      </c>
      <c r="S512" s="5">
        <v>18.0</v>
      </c>
      <c r="T512" s="5">
        <v>1980.393834</v>
      </c>
      <c r="V512" s="21">
        <f t="shared" si="1"/>
        <v>45.35322297</v>
      </c>
      <c r="W512" s="21">
        <f t="shared" si="2"/>
        <v>106.973145</v>
      </c>
      <c r="X512" s="21">
        <f t="shared" si="3"/>
        <v>13.53383459</v>
      </c>
      <c r="Y512" s="21">
        <f t="shared" si="4"/>
        <v>110.0218797</v>
      </c>
      <c r="Z512" s="21">
        <f t="shared" si="5"/>
        <v>14.8901792</v>
      </c>
      <c r="AA512" s="21">
        <f t="shared" si="6"/>
        <v>0.3045848028</v>
      </c>
    </row>
    <row r="513">
      <c r="A513" s="4" t="s">
        <v>1519</v>
      </c>
      <c r="B513" s="4" t="str">
        <f>IFERROR(__xludf.DUMMYFUNCTION("SPLIT(A513:A1238, ""&gt;"")"),"Travel and Tourism ")</f>
        <v>Travel and Tourism </v>
      </c>
      <c r="C513" s="4" t="str">
        <f>IFERROR(__xludf.DUMMYFUNCTION("""COMPUTED_VALUE""")," In-Market")</f>
        <v> In-Market</v>
      </c>
      <c r="D513" s="4"/>
      <c r="E513" s="4"/>
      <c r="F513" s="4"/>
      <c r="G513" s="4"/>
      <c r="H513" s="4"/>
      <c r="I513" s="5" t="s">
        <v>15</v>
      </c>
      <c r="J513" s="5" t="s">
        <v>31</v>
      </c>
      <c r="K513" s="5" t="s">
        <v>35</v>
      </c>
      <c r="L513" s="6" t="s">
        <v>743</v>
      </c>
      <c r="M513" s="5" t="s">
        <v>19</v>
      </c>
      <c r="N513" s="5" t="s">
        <v>20</v>
      </c>
      <c r="O513" s="5">
        <v>48892.0</v>
      </c>
      <c r="P513" s="5">
        <v>110.0</v>
      </c>
      <c r="Q513" s="5">
        <v>32060.0</v>
      </c>
      <c r="R513" s="5">
        <v>45251.0</v>
      </c>
      <c r="S513" s="5">
        <v>9.0</v>
      </c>
      <c r="T513" s="5">
        <v>1978.609661</v>
      </c>
      <c r="V513" s="21">
        <f t="shared" si="1"/>
        <v>40.46898595</v>
      </c>
      <c r="W513" s="21">
        <f t="shared" si="2"/>
        <v>61.71583472</v>
      </c>
      <c r="X513" s="21">
        <f t="shared" si="3"/>
        <v>8.181818182</v>
      </c>
      <c r="Y513" s="21">
        <f t="shared" si="4"/>
        <v>219.8455179</v>
      </c>
      <c r="Z513" s="21">
        <f t="shared" si="5"/>
        <v>17.98736055</v>
      </c>
      <c r="AA513" s="21">
        <f t="shared" si="6"/>
        <v>0.2249856827</v>
      </c>
    </row>
    <row r="514">
      <c r="A514" s="4" t="s">
        <v>1899</v>
      </c>
      <c r="B514" s="4" t="str">
        <f>IFERROR(__xludf.DUMMYFUNCTION("SPLIT(A514:A1239, ""&gt;"")"),"US ")</f>
        <v>US </v>
      </c>
      <c r="C514" s="4" t="str">
        <f>IFERROR(__xludf.DUMMYFUNCTION("""COMPUTED_VALUE""")," Interest Propensities ")</f>
        <v> Interest Propensities </v>
      </c>
      <c r="D514" s="4" t="str">
        <f>IFERROR(__xludf.DUMMYFUNCTION("""COMPUTED_VALUE""")," TV and Movies ")</f>
        <v> TV and Movies </v>
      </c>
      <c r="E514" s="4" t="str">
        <f>IFERROR(__xludf.DUMMYFUNCTION("""COMPUTED_VALUE""")," Network TV")</f>
        <v> Network TV</v>
      </c>
      <c r="F514" s="4"/>
      <c r="G514" s="4"/>
      <c r="H514" s="4"/>
      <c r="I514" s="5" t="s">
        <v>22</v>
      </c>
      <c r="J514" s="5" t="s">
        <v>16</v>
      </c>
      <c r="K514" s="5" t="s">
        <v>55</v>
      </c>
      <c r="L514" s="6" t="s">
        <v>743</v>
      </c>
      <c r="M514" s="5" t="s">
        <v>19</v>
      </c>
      <c r="N514" s="5" t="s">
        <v>27</v>
      </c>
      <c r="O514" s="5">
        <v>104814.0</v>
      </c>
      <c r="P514" s="5">
        <v>369.0</v>
      </c>
      <c r="Q514" s="5">
        <v>55984.0</v>
      </c>
      <c r="R514" s="5">
        <v>99432.0</v>
      </c>
      <c r="S514" s="5">
        <v>5.0</v>
      </c>
      <c r="T514" s="5">
        <v>1942.847513</v>
      </c>
      <c r="V514" s="21">
        <f t="shared" si="1"/>
        <v>18.5361451</v>
      </c>
      <c r="W514" s="21">
        <f t="shared" si="2"/>
        <v>34.70362091</v>
      </c>
      <c r="X514" s="21">
        <f t="shared" si="3"/>
        <v>1.35501355</v>
      </c>
      <c r="Y514" s="21">
        <f t="shared" si="4"/>
        <v>388.5695026</v>
      </c>
      <c r="Z514" s="21">
        <f t="shared" si="5"/>
        <v>5.265169412</v>
      </c>
      <c r="AA514" s="21">
        <f t="shared" si="6"/>
        <v>0.3520522068</v>
      </c>
    </row>
    <row r="515">
      <c r="A515" s="4" t="s">
        <v>1900</v>
      </c>
      <c r="B515" s="4" t="str">
        <f>IFERROR(__xludf.DUMMYFUNCTION("SPLIT(A515:A1240, ""&gt;"")"),"US ")</f>
        <v>US </v>
      </c>
      <c r="C515" s="4" t="str">
        <f>IFERROR(__xludf.DUMMYFUNCTION("""COMPUTED_VALUE""")," Sociodemographic ")</f>
        <v> Sociodemographic </v>
      </c>
      <c r="D515" s="4" t="str">
        <f>IFERROR(__xludf.DUMMYFUNCTION("""COMPUTED_VALUE""")," P$YCLE Premier Lifestage ")</f>
        <v> P$YCLE Premier Lifestage </v>
      </c>
      <c r="E515" s="4" t="str">
        <f>IFERROR(__xludf.DUMMYFUNCTION("""COMPUTED_VALUE""")," F4 Working-Class USA")</f>
        <v> F4 Working-Class USA</v>
      </c>
      <c r="F515" s="4"/>
      <c r="G515" s="4"/>
      <c r="H515" s="4"/>
      <c r="I515" s="5" t="s">
        <v>22</v>
      </c>
      <c r="J515" s="5" t="s">
        <v>42</v>
      </c>
      <c r="K515" s="5" t="s">
        <v>29</v>
      </c>
      <c r="L515" s="6" t="s">
        <v>743</v>
      </c>
      <c r="M515" s="5" t="s">
        <v>46</v>
      </c>
      <c r="N515" s="5" t="s">
        <v>27</v>
      </c>
      <c r="O515" s="5">
        <v>64577.0</v>
      </c>
      <c r="P515" s="5">
        <v>240.0</v>
      </c>
      <c r="Q515" s="5">
        <v>37732.0</v>
      </c>
      <c r="R515" s="5">
        <v>60357.0</v>
      </c>
      <c r="S515" s="5">
        <v>11.0</v>
      </c>
      <c r="T515" s="5">
        <v>1801.349131</v>
      </c>
      <c r="V515" s="21">
        <f t="shared" si="1"/>
        <v>27.89459298</v>
      </c>
      <c r="W515" s="21">
        <f t="shared" si="2"/>
        <v>47.74062151</v>
      </c>
      <c r="X515" s="21">
        <f t="shared" si="3"/>
        <v>4.583333333</v>
      </c>
      <c r="Y515" s="21">
        <f t="shared" si="4"/>
        <v>163.7590119</v>
      </c>
      <c r="Z515" s="21">
        <f t="shared" si="5"/>
        <v>7.505621379</v>
      </c>
      <c r="AA515" s="21">
        <f t="shared" si="6"/>
        <v>0.3716493488</v>
      </c>
    </row>
    <row r="516">
      <c r="A516" s="4" t="s">
        <v>1901</v>
      </c>
      <c r="B516" s="4" t="str">
        <f>IFERROR(__xludf.DUMMYFUNCTION("SPLIT(A516:A1241, ""&gt;"")"),"US ")</f>
        <v>US </v>
      </c>
      <c r="C516" s="4" t="str">
        <f>IFERROR(__xludf.DUMMYFUNCTION("""COMPUTED_VALUE""")," B2B ")</f>
        <v> B2B </v>
      </c>
      <c r="D516" s="4" t="str">
        <f>IFERROR(__xludf.DUMMYFUNCTION("""COMPUTED_VALUE""")," B2B Decision Maker Responsibilities ")</f>
        <v> B2B Decision Maker Responsibilities </v>
      </c>
      <c r="E516" s="4" t="str">
        <f>IFERROR(__xludf.DUMMYFUNCTION("""COMPUTED_VALUE""")," Office Services or Moving")</f>
        <v> Office Services or Moving</v>
      </c>
      <c r="F516" s="4"/>
      <c r="G516" s="4"/>
      <c r="H516" s="4"/>
      <c r="I516" s="5" t="s">
        <v>15</v>
      </c>
      <c r="J516" s="5" t="s">
        <v>23</v>
      </c>
      <c r="K516" s="5" t="s">
        <v>39</v>
      </c>
      <c r="L516" s="6" t="s">
        <v>743</v>
      </c>
      <c r="M516" s="5" t="s">
        <v>46</v>
      </c>
      <c r="N516" s="5" t="s">
        <v>20</v>
      </c>
      <c r="O516" s="5">
        <v>49412.0</v>
      </c>
      <c r="P516" s="5">
        <v>170.0</v>
      </c>
      <c r="Q516" s="5">
        <v>22155.0</v>
      </c>
      <c r="R516" s="5">
        <v>43802.0</v>
      </c>
      <c r="S516" s="5">
        <v>3.0</v>
      </c>
      <c r="T516" s="5">
        <v>1595.659466</v>
      </c>
      <c r="V516" s="21">
        <f t="shared" si="1"/>
        <v>32.29295446</v>
      </c>
      <c r="W516" s="21">
        <f t="shared" si="2"/>
        <v>72.02254417</v>
      </c>
      <c r="X516" s="21">
        <f t="shared" si="3"/>
        <v>1.764705882</v>
      </c>
      <c r="Y516" s="21">
        <f t="shared" si="4"/>
        <v>531.8864887</v>
      </c>
      <c r="Z516" s="21">
        <f t="shared" si="5"/>
        <v>9.386232153</v>
      </c>
      <c r="AA516" s="21">
        <f t="shared" si="6"/>
        <v>0.3440459807</v>
      </c>
    </row>
    <row r="517">
      <c r="A517" s="4" t="s">
        <v>1523</v>
      </c>
      <c r="B517" s="4" t="str">
        <f>IFERROR(__xludf.DUMMYFUNCTION("SPLIT(A517:A1242, ""&gt;"")"),"Telecommunications and Mobile Tech ")</f>
        <v>Telecommunications and Mobile Tech </v>
      </c>
      <c r="C517" s="4" t="str">
        <f>IFERROR(__xludf.DUMMYFUNCTION("""COMPUTED_VALUE""")," Mobile Devices and Connected Technology")</f>
        <v> Mobile Devices and Connected Technology</v>
      </c>
      <c r="D517" s="4"/>
      <c r="E517" s="4"/>
      <c r="F517" s="4"/>
      <c r="G517" s="4"/>
      <c r="H517" s="4"/>
      <c r="I517" s="5" t="s">
        <v>15</v>
      </c>
      <c r="J517" s="5" t="s">
        <v>16</v>
      </c>
      <c r="K517" s="5" t="s">
        <v>32</v>
      </c>
      <c r="L517" s="6" t="s">
        <v>743</v>
      </c>
      <c r="M517" s="5" t="s">
        <v>26</v>
      </c>
      <c r="N517" s="5" t="s">
        <v>20</v>
      </c>
      <c r="O517" s="5">
        <v>11269.0</v>
      </c>
      <c r="P517" s="5">
        <v>63.0</v>
      </c>
      <c r="Q517" s="5">
        <v>4992.0</v>
      </c>
      <c r="R517" s="5">
        <v>10245.0</v>
      </c>
      <c r="S517" s="5">
        <v>3.0</v>
      </c>
      <c r="T517" s="5">
        <v>1576.38921</v>
      </c>
      <c r="V517" s="21">
        <f t="shared" si="1"/>
        <v>139.8872313</v>
      </c>
      <c r="W517" s="21">
        <f t="shared" si="2"/>
        <v>315.783095</v>
      </c>
      <c r="X517" s="21">
        <f t="shared" si="3"/>
        <v>4.761904762</v>
      </c>
      <c r="Y517" s="21">
        <f t="shared" si="4"/>
        <v>525.46307</v>
      </c>
      <c r="Z517" s="21">
        <f t="shared" si="5"/>
        <v>25.02205095</v>
      </c>
      <c r="AA517" s="21">
        <f t="shared" si="6"/>
        <v>0.5590558168</v>
      </c>
    </row>
    <row r="518">
      <c r="A518" s="4" t="s">
        <v>1902</v>
      </c>
      <c r="B518" s="4" t="str">
        <f>IFERROR(__xludf.DUMMYFUNCTION("SPLIT(A518:A1243, ""&gt;"")"),"US Home ")</f>
        <v>US Home </v>
      </c>
      <c r="C518" s="4" t="str">
        <f>IFERROR(__xludf.DUMMYFUNCTION("""COMPUTED_VALUE""")," Property Type ")</f>
        <v> Property Type </v>
      </c>
      <c r="D518" s="4" t="str">
        <f>IFERROR(__xludf.DUMMYFUNCTION("""COMPUTED_VALUE""")," Single")</f>
        <v> Single</v>
      </c>
      <c r="E518" s="4"/>
      <c r="F518" s="4"/>
      <c r="G518" s="4"/>
      <c r="H518" s="4"/>
      <c r="I518" s="5" t="s">
        <v>22</v>
      </c>
      <c r="J518" s="5" t="s">
        <v>16</v>
      </c>
      <c r="K518" s="5" t="s">
        <v>78</v>
      </c>
      <c r="L518" s="6" t="s">
        <v>743</v>
      </c>
      <c r="M518" s="5" t="s">
        <v>46</v>
      </c>
      <c r="N518" s="5" t="s">
        <v>27</v>
      </c>
      <c r="O518" s="5">
        <v>15318.0</v>
      </c>
      <c r="P518" s="5">
        <v>30.0</v>
      </c>
      <c r="Q518" s="5">
        <v>5928.0</v>
      </c>
      <c r="R518" s="5">
        <v>13298.0</v>
      </c>
      <c r="S518" s="5">
        <v>19.0</v>
      </c>
      <c r="T518" s="5">
        <v>1570.29739</v>
      </c>
      <c r="V518" s="21">
        <f t="shared" si="1"/>
        <v>102.5132126</v>
      </c>
      <c r="W518" s="21">
        <f t="shared" si="2"/>
        <v>264.8949713</v>
      </c>
      <c r="X518" s="21">
        <f t="shared" si="3"/>
        <v>63.33333333</v>
      </c>
      <c r="Y518" s="21">
        <f t="shared" si="4"/>
        <v>82.64723105</v>
      </c>
      <c r="Z518" s="21">
        <f t="shared" si="5"/>
        <v>52.34324633</v>
      </c>
      <c r="AA518" s="21">
        <f t="shared" si="6"/>
        <v>0.1958480219</v>
      </c>
    </row>
    <row r="519">
      <c r="A519" s="4" t="s">
        <v>1903</v>
      </c>
      <c r="B519" s="4" t="str">
        <f>IFERROR(__xludf.DUMMYFUNCTION("SPLIT(A519:A1244, ""&gt;"")"),"US Health and Fitness ")</f>
        <v>US Health and Fitness </v>
      </c>
      <c r="C519" s="4" t="str">
        <f>IFERROR(__xludf.DUMMYFUNCTION("""COMPUTED_VALUE""")," Interest ")</f>
        <v> Interest </v>
      </c>
      <c r="D519" s="4" t="str">
        <f>IFERROR(__xludf.DUMMYFUNCTION("""COMPUTED_VALUE""")," Exercise ")</f>
        <v> Exercise </v>
      </c>
      <c r="E519" s="4" t="str">
        <f>IFERROR(__xludf.DUMMYFUNCTION("""COMPUTED_VALUE""")," Health")</f>
        <v> Health</v>
      </c>
      <c r="F519" s="4"/>
      <c r="G519" s="4"/>
      <c r="H519" s="4"/>
      <c r="I519" s="5" t="s">
        <v>61</v>
      </c>
      <c r="J519" s="5" t="s">
        <v>42</v>
      </c>
      <c r="K519" s="5" t="s">
        <v>29</v>
      </c>
      <c r="L519" s="6" t="s">
        <v>743</v>
      </c>
      <c r="M519" s="5" t="s">
        <v>46</v>
      </c>
      <c r="N519" s="5" t="s">
        <v>27</v>
      </c>
      <c r="O519" s="5">
        <v>10819.0</v>
      </c>
      <c r="P519" s="5">
        <v>20.0</v>
      </c>
      <c r="Q519" s="5">
        <v>4168.0</v>
      </c>
      <c r="R519" s="5">
        <v>9768.0</v>
      </c>
      <c r="S519" s="5">
        <v>2.0</v>
      </c>
      <c r="T519" s="5">
        <v>1504.329214</v>
      </c>
      <c r="V519" s="21">
        <f t="shared" si="1"/>
        <v>139.0451256</v>
      </c>
      <c r="W519" s="21">
        <f t="shared" si="2"/>
        <v>360.9235158</v>
      </c>
      <c r="X519" s="21">
        <f t="shared" si="3"/>
        <v>10</v>
      </c>
      <c r="Y519" s="21">
        <f t="shared" si="4"/>
        <v>752.164607</v>
      </c>
      <c r="Z519" s="21">
        <f t="shared" si="5"/>
        <v>75.2164607</v>
      </c>
      <c r="AA519" s="21">
        <f t="shared" si="6"/>
        <v>0.1848599686</v>
      </c>
    </row>
    <row r="520">
      <c r="A520" s="4" t="s">
        <v>1526</v>
      </c>
      <c r="B520" s="4" t="str">
        <f>IFERROR(__xludf.DUMMYFUNCTION("SPLIT(A520:A1245, ""&gt;"")"),"OnAudience ")</f>
        <v>OnAudience </v>
      </c>
      <c r="C520" s="4" t="str">
        <f>IFERROR(__xludf.DUMMYFUNCTION("""COMPUTED_VALUE""")," Interest ")</f>
        <v> Interest </v>
      </c>
      <c r="D520" s="4" t="str">
        <f>IFERROR(__xludf.DUMMYFUNCTION("""COMPUTED_VALUE""")," Arts &amp; Entertainment ")</f>
        <v> Arts &amp; Entertainment </v>
      </c>
      <c r="E520" s="4" t="str">
        <f>IFERROR(__xludf.DUMMYFUNCTION("""COMPUTED_VALUE""")," Movies")</f>
        <v> Movies</v>
      </c>
      <c r="F520" s="4"/>
      <c r="G520" s="4"/>
      <c r="H520" s="4"/>
      <c r="I520" s="5" t="s">
        <v>15</v>
      </c>
      <c r="J520" s="5" t="s">
        <v>16</v>
      </c>
      <c r="K520" s="5" t="s">
        <v>32</v>
      </c>
      <c r="L520" s="6" t="s">
        <v>743</v>
      </c>
      <c r="M520" s="5" t="s">
        <v>46</v>
      </c>
      <c r="N520" s="5" t="s">
        <v>27</v>
      </c>
      <c r="O520" s="5">
        <v>30714.0</v>
      </c>
      <c r="P520" s="5">
        <v>111.0</v>
      </c>
      <c r="Q520" s="5">
        <v>12531.0</v>
      </c>
      <c r="R520" s="5">
        <v>28461.0</v>
      </c>
      <c r="S520" s="5">
        <v>9.0</v>
      </c>
      <c r="T520" s="5">
        <v>1503.484311</v>
      </c>
      <c r="V520" s="21">
        <f t="shared" si="1"/>
        <v>48.95110735</v>
      </c>
      <c r="W520" s="21">
        <f t="shared" si="2"/>
        <v>119.9811915</v>
      </c>
      <c r="X520" s="21">
        <f t="shared" si="3"/>
        <v>8.108108108</v>
      </c>
      <c r="Y520" s="21">
        <f t="shared" si="4"/>
        <v>167.0538123</v>
      </c>
      <c r="Z520" s="21">
        <f t="shared" si="5"/>
        <v>13.5449037</v>
      </c>
      <c r="AA520" s="21">
        <f t="shared" si="6"/>
        <v>0.3613987107</v>
      </c>
    </row>
    <row r="521">
      <c r="A521" s="4" t="s">
        <v>1527</v>
      </c>
      <c r="B521" s="4" t="str">
        <f>IFERROR(__xludf.DUMMYFUNCTION("SPLIT(A521:A1246, ""&gt;"")"),"OnAudience ")</f>
        <v>OnAudience </v>
      </c>
      <c r="C521" s="4" t="str">
        <f>IFERROR(__xludf.DUMMYFUNCTION("""COMPUTED_VALUE""")," Interest ")</f>
        <v> Interest </v>
      </c>
      <c r="D521" s="4" t="str">
        <f>IFERROR(__xludf.DUMMYFUNCTION("""COMPUTED_VALUE""")," Arts &amp; Entertainment")</f>
        <v> Arts &amp; Entertainment</v>
      </c>
      <c r="E521" s="4"/>
      <c r="F521" s="4"/>
      <c r="G521" s="4"/>
      <c r="H521" s="4"/>
      <c r="I521" s="5" t="s">
        <v>22</v>
      </c>
      <c r="J521" s="5" t="s">
        <v>16</v>
      </c>
      <c r="K521" s="5" t="s">
        <v>17</v>
      </c>
      <c r="L521" s="6" t="s">
        <v>768</v>
      </c>
      <c r="M521" s="5" t="s">
        <v>48</v>
      </c>
      <c r="N521" s="5" t="s">
        <v>27</v>
      </c>
      <c r="O521" s="5">
        <v>37617.0</v>
      </c>
      <c r="P521" s="5">
        <v>85.0</v>
      </c>
      <c r="Q521" s="5">
        <v>5092.0</v>
      </c>
      <c r="R521" s="5">
        <v>34373.0</v>
      </c>
      <c r="S521" s="5">
        <v>6.0</v>
      </c>
      <c r="T521" s="5">
        <v>1608.882952</v>
      </c>
      <c r="V521" s="21">
        <f t="shared" si="1"/>
        <v>42.77010267</v>
      </c>
      <c r="W521" s="21">
        <f t="shared" si="2"/>
        <v>315.9628735</v>
      </c>
      <c r="X521" s="21">
        <f t="shared" si="3"/>
        <v>7.058823529</v>
      </c>
      <c r="Y521" s="21">
        <f t="shared" si="4"/>
        <v>268.1471587</v>
      </c>
      <c r="Z521" s="21">
        <f t="shared" si="5"/>
        <v>18.92803473</v>
      </c>
      <c r="AA521" s="21">
        <f t="shared" si="6"/>
        <v>0.2259616663</v>
      </c>
    </row>
    <row r="522">
      <c r="A522" s="4" t="s">
        <v>1528</v>
      </c>
      <c r="B522" s="4" t="str">
        <f>IFERROR(__xludf.DUMMYFUNCTION("SPLIT(A522:A1247, ""&gt;"")"),"Online Behavior")</f>
        <v>Online Behavior</v>
      </c>
      <c r="C522" s="4" t="str">
        <f>IFERROR(__xludf.DUMMYFUNCTION("""COMPUTED_VALUE"""),"United States")</f>
        <v>United States</v>
      </c>
      <c r="D522" s="4" t="str">
        <f>IFERROR(__xludf.DUMMYFUNCTION("""COMPUTED_VALUE"""),"Validated Demographic ")</f>
        <v>Validated Demographic </v>
      </c>
      <c r="E522" s="4" t="str">
        <f>IFERROR(__xludf.DUMMYFUNCTION("""COMPUTED_VALUE""")," Age")</f>
        <v> Age</v>
      </c>
      <c r="F522" s="4" t="str">
        <f>IFERROR(__xludf.DUMMYFUNCTION("""COMPUTED_VALUE"""),"18 or older")</f>
        <v>18 or older</v>
      </c>
      <c r="G522" s="4"/>
      <c r="H522" s="4"/>
      <c r="I522" s="5" t="s">
        <v>15</v>
      </c>
      <c r="J522" s="5" t="s">
        <v>23</v>
      </c>
      <c r="K522" s="5" t="s">
        <v>55</v>
      </c>
      <c r="L522" s="6" t="s">
        <v>770</v>
      </c>
      <c r="M522" s="5" t="s">
        <v>19</v>
      </c>
      <c r="N522" s="5" t="s">
        <v>52</v>
      </c>
      <c r="O522" s="5">
        <v>219088.0</v>
      </c>
      <c r="P522" s="5">
        <v>541.0</v>
      </c>
      <c r="Q522" s="5">
        <v>75638.0</v>
      </c>
      <c r="R522" s="5">
        <v>153987.0</v>
      </c>
      <c r="S522" s="5">
        <v>17.0</v>
      </c>
      <c r="T522" s="5">
        <v>6761.073824</v>
      </c>
      <c r="V522" s="21">
        <f t="shared" si="1"/>
        <v>30.86008282</v>
      </c>
      <c r="W522" s="21">
        <f t="shared" si="2"/>
        <v>89.38726333</v>
      </c>
      <c r="X522" s="21">
        <f t="shared" si="3"/>
        <v>3.14232902</v>
      </c>
      <c r="Y522" s="21">
        <f t="shared" si="4"/>
        <v>397.7102249</v>
      </c>
      <c r="Z522" s="21">
        <f t="shared" si="5"/>
        <v>12.49736382</v>
      </c>
      <c r="AA522" s="21">
        <f t="shared" si="6"/>
        <v>0.2469327394</v>
      </c>
    </row>
    <row r="523">
      <c r="A523" s="4" t="s">
        <v>1904</v>
      </c>
      <c r="B523" s="4" t="str">
        <f>IFERROR(__xludf.DUMMYFUNCTION("SPLIT(A523:A1248, ""&gt;"")"),"US ")</f>
        <v>US </v>
      </c>
      <c r="C523" s="4" t="str">
        <f>IFERROR(__xludf.DUMMYFUNCTION("""COMPUTED_VALUE""")," Multibuyer Behaviors ")</f>
        <v> Multibuyer Behaviors </v>
      </c>
      <c r="D523" s="4" t="str">
        <f>IFERROR(__xludf.DUMMYFUNCTION("""COMPUTED_VALUE""")," Entertainment ")</f>
        <v> Entertainment </v>
      </c>
      <c r="E523" s="4" t="str">
        <f>IFERROR(__xludf.DUMMYFUNCTION("""COMPUTED_VALUE""")," Pastimes Multibuyer")</f>
        <v> Pastimes Multibuyer</v>
      </c>
      <c r="F523" s="4"/>
      <c r="G523" s="4"/>
      <c r="H523" s="4"/>
      <c r="I523" s="5" t="s">
        <v>15</v>
      </c>
      <c r="J523" s="5" t="s">
        <v>31</v>
      </c>
      <c r="K523" s="5" t="s">
        <v>24</v>
      </c>
      <c r="L523" s="6" t="s">
        <v>772</v>
      </c>
      <c r="M523" s="5" t="s">
        <v>46</v>
      </c>
      <c r="N523" s="5" t="s">
        <v>27</v>
      </c>
      <c r="O523" s="5">
        <v>15277.0</v>
      </c>
      <c r="P523" s="5">
        <v>69.0</v>
      </c>
      <c r="Q523" s="5">
        <v>3089.0</v>
      </c>
      <c r="R523" s="5">
        <v>13644.0</v>
      </c>
      <c r="S523" s="5">
        <v>4.0</v>
      </c>
      <c r="T523" s="5">
        <v>1904.564346</v>
      </c>
      <c r="V523" s="21">
        <f t="shared" si="1"/>
        <v>124.6687403</v>
      </c>
      <c r="W523" s="21">
        <f t="shared" si="2"/>
        <v>616.5634011</v>
      </c>
      <c r="X523" s="21">
        <f t="shared" si="3"/>
        <v>5.797101449</v>
      </c>
      <c r="Y523" s="21">
        <f t="shared" si="4"/>
        <v>476.1410865</v>
      </c>
      <c r="Z523" s="21">
        <f t="shared" si="5"/>
        <v>27.60238183</v>
      </c>
      <c r="AA523" s="21">
        <f t="shared" si="6"/>
        <v>0.4516593572</v>
      </c>
    </row>
    <row r="524">
      <c r="A524" s="4" t="s">
        <v>1905</v>
      </c>
      <c r="B524" s="4" t="str">
        <f>IFERROR(__xludf.DUMMYFUNCTION("SPLIT(A524:A1249, ""&gt;"")"),"US ")</f>
        <v>US </v>
      </c>
      <c r="C524" s="4" t="str">
        <f>IFERROR(__xludf.DUMMYFUNCTION("""COMPUTED_VALUE""")," Sociodemographic ")</f>
        <v> Sociodemographic </v>
      </c>
      <c r="D524" s="4" t="str">
        <f>IFERROR(__xludf.DUMMYFUNCTION("""COMPUTED_VALUE""")," PRIZM Premier Social ")</f>
        <v> PRIZM Premier Social </v>
      </c>
      <c r="E524" s="4" t="str">
        <f>IFERROR(__xludf.DUMMYFUNCTION("""COMPUTED_VALUE""")," C2 City Centers")</f>
        <v> C2 City Centers</v>
      </c>
      <c r="F524" s="4"/>
      <c r="G524" s="4"/>
      <c r="H524" s="4"/>
      <c r="I524" s="5" t="s">
        <v>15</v>
      </c>
      <c r="J524" s="5" t="s">
        <v>42</v>
      </c>
      <c r="K524" s="5" t="s">
        <v>204</v>
      </c>
      <c r="L524" s="6" t="s">
        <v>772</v>
      </c>
      <c r="M524" s="5" t="s">
        <v>19</v>
      </c>
      <c r="N524" s="5" t="s">
        <v>52</v>
      </c>
      <c r="O524" s="5">
        <v>34278.0</v>
      </c>
      <c r="P524" s="5">
        <v>100.0</v>
      </c>
      <c r="Q524" s="5">
        <v>3704.0</v>
      </c>
      <c r="R524" s="5">
        <v>30227.0</v>
      </c>
      <c r="S524" s="5">
        <v>6.0</v>
      </c>
      <c r="T524" s="5">
        <v>1689.083186</v>
      </c>
      <c r="V524" s="21">
        <f t="shared" si="1"/>
        <v>49.27601336</v>
      </c>
      <c r="W524" s="21">
        <f t="shared" si="2"/>
        <v>456.0159789</v>
      </c>
      <c r="X524" s="21">
        <f t="shared" si="3"/>
        <v>6</v>
      </c>
      <c r="Y524" s="21">
        <f t="shared" si="4"/>
        <v>281.5138643</v>
      </c>
      <c r="Z524" s="21">
        <f t="shared" si="5"/>
        <v>16.89083186</v>
      </c>
      <c r="AA524" s="21">
        <f t="shared" si="6"/>
        <v>0.2917323064</v>
      </c>
    </row>
    <row r="525">
      <c r="A525" s="4" t="s">
        <v>1531</v>
      </c>
      <c r="B525" s="4" t="str">
        <f>IFERROR(__xludf.DUMMYFUNCTION("SPLIT(A525:A1250, ""&gt;"")"),"Lotame ")</f>
        <v>Lotame </v>
      </c>
      <c r="C525" s="4" t="str">
        <f>IFERROR(__xludf.DUMMYFUNCTION("""COMPUTED_VALUE""")," Personal Finance ")</f>
        <v> Personal Finance </v>
      </c>
      <c r="D525" s="4" t="str">
        <f>IFERROR(__xludf.DUMMYFUNCTION("""COMPUTED_VALUE""")," Stocks")</f>
        <v> Stocks</v>
      </c>
      <c r="E525" s="4"/>
      <c r="F525" s="4"/>
      <c r="G525" s="4"/>
      <c r="H525" s="4"/>
      <c r="I525" s="5" t="s">
        <v>15</v>
      </c>
      <c r="J525" s="5" t="s">
        <v>31</v>
      </c>
      <c r="K525" s="5" t="s">
        <v>78</v>
      </c>
      <c r="L525" s="6" t="s">
        <v>775</v>
      </c>
      <c r="M525" s="5" t="s">
        <v>50</v>
      </c>
      <c r="N525" s="5" t="s">
        <v>27</v>
      </c>
      <c r="O525" s="5">
        <v>13382.0</v>
      </c>
      <c r="P525" s="5">
        <v>68.0</v>
      </c>
      <c r="Q525" s="5">
        <v>3340.0</v>
      </c>
      <c r="R525" s="5">
        <v>11662.0</v>
      </c>
      <c r="S525" s="5">
        <v>1.0</v>
      </c>
      <c r="T525" s="5">
        <v>1447.927193</v>
      </c>
      <c r="V525" s="21">
        <f t="shared" si="1"/>
        <v>108.1996109</v>
      </c>
      <c r="W525" s="21">
        <f t="shared" si="2"/>
        <v>433.5111356</v>
      </c>
      <c r="X525" s="21">
        <f t="shared" si="3"/>
        <v>1.470588235</v>
      </c>
      <c r="Y525" s="21">
        <f t="shared" si="4"/>
        <v>1447.927193</v>
      </c>
      <c r="Z525" s="21">
        <f t="shared" si="5"/>
        <v>21.29304696</v>
      </c>
      <c r="AA525" s="21">
        <f t="shared" si="6"/>
        <v>0.5081452698</v>
      </c>
    </row>
    <row r="526">
      <c r="A526" s="4" t="s">
        <v>1532</v>
      </c>
      <c r="B526" s="4" t="str">
        <f>IFERROR(__xludf.DUMMYFUNCTION("SPLIT(A526:A1251, ""&gt;"")"),"Online Behavior")</f>
        <v>Online Behavior</v>
      </c>
      <c r="C526" s="4" t="str">
        <f>IFERROR(__xludf.DUMMYFUNCTION("""COMPUTED_VALUE"""),"United States")</f>
        <v>United States</v>
      </c>
      <c r="D526" s="4" t="str">
        <f>IFERROR(__xludf.DUMMYFUNCTION("""COMPUTED_VALUE"""),"Autos and Vehicles ")</f>
        <v>Autos and Vehicles </v>
      </c>
      <c r="E526" s="4" t="str">
        <f>IFERROR(__xludf.DUMMYFUNCTION("""COMPUTED_VALUE""")," Brands")</f>
        <v> Brands</v>
      </c>
      <c r="F526" s="4" t="str">
        <f>IFERROR(__xludf.DUMMYFUNCTION("""COMPUTED_VALUE"""),"Citroen")</f>
        <v>Citroen</v>
      </c>
      <c r="G526" s="4"/>
      <c r="H526" s="4"/>
      <c r="I526" s="5" t="s">
        <v>22</v>
      </c>
      <c r="J526" s="5" t="s">
        <v>23</v>
      </c>
      <c r="K526" s="5" t="s">
        <v>777</v>
      </c>
      <c r="L526" s="6" t="s">
        <v>778</v>
      </c>
      <c r="M526" s="5" t="s">
        <v>36</v>
      </c>
      <c r="N526" s="5" t="s">
        <v>27</v>
      </c>
      <c r="O526" s="5">
        <v>9319.0</v>
      </c>
      <c r="P526" s="5">
        <v>30.0</v>
      </c>
      <c r="Q526" s="5">
        <v>6193.0</v>
      </c>
      <c r="R526" s="5">
        <v>8682.0</v>
      </c>
      <c r="S526" s="5">
        <v>12.0</v>
      </c>
      <c r="T526" s="5">
        <v>4594.604003</v>
      </c>
      <c r="V526" s="21">
        <f t="shared" si="1"/>
        <v>493.036163</v>
      </c>
      <c r="W526" s="21">
        <f t="shared" si="2"/>
        <v>741.902794</v>
      </c>
      <c r="X526" s="21">
        <f t="shared" si="3"/>
        <v>40</v>
      </c>
      <c r="Y526" s="21">
        <f t="shared" si="4"/>
        <v>382.8836669</v>
      </c>
      <c r="Z526" s="21">
        <f t="shared" si="5"/>
        <v>153.1534668</v>
      </c>
      <c r="AA526" s="21">
        <f t="shared" si="6"/>
        <v>0.3219229531</v>
      </c>
    </row>
    <row r="527">
      <c r="A527" s="4" t="s">
        <v>1533</v>
      </c>
      <c r="B527" s="4" t="str">
        <f>IFERROR(__xludf.DUMMYFUNCTION("SPLIT(A527:A1252, ""&gt;"")"),"OnAudience ")</f>
        <v>OnAudience </v>
      </c>
      <c r="C527" s="4" t="str">
        <f>IFERROR(__xludf.DUMMYFUNCTION("""COMPUTED_VALUE""")," Intent ")</f>
        <v> Intent </v>
      </c>
      <c r="D527" s="4" t="str">
        <f>IFERROR(__xludf.DUMMYFUNCTION("""COMPUTED_VALUE""")," Electronics ")</f>
        <v> Electronics </v>
      </c>
      <c r="E527" s="4" t="str">
        <f>IFERROR(__xludf.DUMMYFUNCTION("""COMPUTED_VALUE""")," Video Game Consoles")</f>
        <v> Video Game Consoles</v>
      </c>
      <c r="F527" s="4"/>
      <c r="G527" s="4"/>
      <c r="H527" s="4"/>
      <c r="I527" s="5" t="s">
        <v>22</v>
      </c>
      <c r="J527" s="5" t="s">
        <v>31</v>
      </c>
      <c r="K527" s="5" t="s">
        <v>35</v>
      </c>
      <c r="L527" s="6" t="s">
        <v>778</v>
      </c>
      <c r="M527" s="5" t="s">
        <v>80</v>
      </c>
      <c r="N527" s="5" t="s">
        <v>27</v>
      </c>
      <c r="O527" s="5">
        <v>16791.0</v>
      </c>
      <c r="P527" s="5">
        <v>40.0</v>
      </c>
      <c r="Q527" s="5">
        <v>11402.0</v>
      </c>
      <c r="R527" s="5">
        <v>14231.0</v>
      </c>
      <c r="S527" s="5">
        <v>3.0</v>
      </c>
      <c r="T527" s="5">
        <v>1522.512272</v>
      </c>
      <c r="V527" s="21">
        <f t="shared" si="1"/>
        <v>90.674306</v>
      </c>
      <c r="W527" s="21">
        <f t="shared" si="2"/>
        <v>133.5302817</v>
      </c>
      <c r="X527" s="21">
        <f t="shared" si="3"/>
        <v>7.5</v>
      </c>
      <c r="Y527" s="21">
        <f t="shared" si="4"/>
        <v>507.5040907</v>
      </c>
      <c r="Z527" s="21">
        <f t="shared" si="5"/>
        <v>38.0628068</v>
      </c>
      <c r="AA527" s="21">
        <f t="shared" si="6"/>
        <v>0.2382228575</v>
      </c>
    </row>
    <row r="528">
      <c r="A528" s="4" t="s">
        <v>1534</v>
      </c>
      <c r="B528" s="4" t="str">
        <f>IFERROR(__xludf.DUMMYFUNCTION("SPLIT(A528:A1253, ""&gt;"")"),"Online Behavior")</f>
        <v>Online Behavior</v>
      </c>
      <c r="C528" s="4" t="str">
        <f>IFERROR(__xludf.DUMMYFUNCTION("""COMPUTED_VALUE"""),"United States")</f>
        <v>United States</v>
      </c>
      <c r="D528" s="4" t="str">
        <f>IFERROR(__xludf.DUMMYFUNCTION("""COMPUTED_VALUE"""),"Sports")</f>
        <v>Sports</v>
      </c>
      <c r="E528" s="4" t="str">
        <f>IFERROR(__xludf.DUMMYFUNCTION("""COMPUTED_VALUE"""),"Team Sports ")</f>
        <v>Team Sports </v>
      </c>
      <c r="F528" s="4" t="str">
        <f>IFERROR(__xludf.DUMMYFUNCTION("""COMPUTED_VALUE""")," Baseball")</f>
        <v> Baseball</v>
      </c>
      <c r="G528" s="4"/>
      <c r="H528" s="4"/>
      <c r="I528" s="5" t="s">
        <v>22</v>
      </c>
      <c r="J528" s="5" t="s">
        <v>31</v>
      </c>
      <c r="K528" s="5" t="s">
        <v>78</v>
      </c>
      <c r="L528" s="6" t="s">
        <v>781</v>
      </c>
      <c r="M528" s="5" t="s">
        <v>136</v>
      </c>
      <c r="N528" s="5" t="s">
        <v>27</v>
      </c>
      <c r="O528" s="5">
        <v>19334.0</v>
      </c>
      <c r="P528" s="5">
        <v>40.0</v>
      </c>
      <c r="Q528" s="5">
        <v>8673.0</v>
      </c>
      <c r="R528" s="5">
        <v>18578.0</v>
      </c>
      <c r="S528" s="5">
        <v>11.0</v>
      </c>
      <c r="T528" s="5">
        <v>7292.135059</v>
      </c>
      <c r="V528" s="21">
        <f t="shared" si="1"/>
        <v>377.1663939</v>
      </c>
      <c r="W528" s="21">
        <f t="shared" si="2"/>
        <v>840.7857787</v>
      </c>
      <c r="X528" s="21">
        <f t="shared" si="3"/>
        <v>27.5</v>
      </c>
      <c r="Y528" s="21">
        <f t="shared" si="4"/>
        <v>662.921369</v>
      </c>
      <c r="Z528" s="21">
        <f t="shared" si="5"/>
        <v>182.3033765</v>
      </c>
      <c r="AA528" s="21">
        <f t="shared" si="6"/>
        <v>0.2068894176</v>
      </c>
    </row>
    <row r="529">
      <c r="A529" s="4" t="s">
        <v>1535</v>
      </c>
      <c r="B529" s="4" t="str">
        <f>IFERROR(__xludf.DUMMYFUNCTION("SPLIT(A529:A1254, ""&gt;"")"),"Online Behavior")</f>
        <v>Online Behavior</v>
      </c>
      <c r="C529" s="4" t="str">
        <f>IFERROR(__xludf.DUMMYFUNCTION("""COMPUTED_VALUE"""),"United States")</f>
        <v>United States</v>
      </c>
      <c r="D529" s="4" t="str">
        <f>IFERROR(__xludf.DUMMYFUNCTION("""COMPUTED_VALUE"""),"Beauty and Fitness")</f>
        <v>Beauty and Fitness</v>
      </c>
      <c r="E529" s="4" t="str">
        <f>IFERROR(__xludf.DUMMYFUNCTION("""COMPUTED_VALUE"""),"Fitness ")</f>
        <v>Fitness </v>
      </c>
      <c r="F529" s="4" t="str">
        <f>IFERROR(__xludf.DUMMYFUNCTION("""COMPUTED_VALUE""")," Gyms and Health Clubs")</f>
        <v> Gyms and Health Clubs</v>
      </c>
      <c r="G529" s="4"/>
      <c r="H529" s="4"/>
      <c r="I529" s="5" t="s">
        <v>22</v>
      </c>
      <c r="J529" s="5" t="s">
        <v>23</v>
      </c>
      <c r="K529" s="5" t="s">
        <v>78</v>
      </c>
      <c r="L529" s="6" t="s">
        <v>781</v>
      </c>
      <c r="M529" s="5" t="s">
        <v>19</v>
      </c>
      <c r="N529" s="5" t="s">
        <v>27</v>
      </c>
      <c r="O529" s="5">
        <v>25835.0</v>
      </c>
      <c r="P529" s="5">
        <v>69.0</v>
      </c>
      <c r="Q529" s="5">
        <v>3753.0</v>
      </c>
      <c r="R529" s="5">
        <v>20808.0</v>
      </c>
      <c r="S529" s="5">
        <v>11.0</v>
      </c>
      <c r="T529" s="5">
        <v>5751.912297</v>
      </c>
      <c r="V529" s="21">
        <f t="shared" si="1"/>
        <v>222.6403057</v>
      </c>
      <c r="W529" s="21">
        <f t="shared" si="2"/>
        <v>1532.617185</v>
      </c>
      <c r="X529" s="21">
        <f t="shared" si="3"/>
        <v>15.94202899</v>
      </c>
      <c r="Y529" s="21">
        <f t="shared" si="4"/>
        <v>522.9011179</v>
      </c>
      <c r="Z529" s="21">
        <f t="shared" si="5"/>
        <v>83.36104778</v>
      </c>
      <c r="AA529" s="21">
        <f t="shared" si="6"/>
        <v>0.2670795433</v>
      </c>
    </row>
    <row r="530">
      <c r="A530" s="4" t="s">
        <v>1906</v>
      </c>
      <c r="B530" s="4" t="str">
        <f>IFERROR(__xludf.DUMMYFUNCTION("SPLIT(A530:A1255, ""&gt;"")"),"US ")</f>
        <v>US </v>
      </c>
      <c r="C530" s="4" t="str">
        <f>IFERROR(__xludf.DUMMYFUNCTION("""COMPUTED_VALUE""")," Reach ")</f>
        <v> Reach </v>
      </c>
      <c r="D530" s="4" t="str">
        <f>IFERROR(__xludf.DUMMYFUNCTION("""COMPUTED_VALUE""")," Propensity Models ")</f>
        <v> Propensity Models </v>
      </c>
      <c r="E530" s="4" t="str">
        <f>IFERROR(__xludf.DUMMYFUNCTION("""COMPUTED_VALUE""")," Hobbies and Interest ")</f>
        <v> Hobbies and Interest </v>
      </c>
      <c r="F530" s="4" t="str">
        <f>IFERROR(__xludf.DUMMYFUNCTION("""COMPUTED_VALUE""")," Sports ")</f>
        <v> Sports </v>
      </c>
      <c r="G530" s="4" t="str">
        <f>IFERROR(__xludf.DUMMYFUNCTION("""COMPUTED_VALUE""")," Plays Tennis")</f>
        <v> Plays Tennis</v>
      </c>
      <c r="H530" s="4"/>
      <c r="I530" s="5" t="s">
        <v>15</v>
      </c>
      <c r="J530" s="5" t="s">
        <v>31</v>
      </c>
      <c r="K530" s="5" t="s">
        <v>78</v>
      </c>
      <c r="L530" s="6" t="s">
        <v>781</v>
      </c>
      <c r="M530" s="5" t="s">
        <v>19</v>
      </c>
      <c r="N530" s="5" t="s">
        <v>52</v>
      </c>
      <c r="O530" s="5">
        <v>33650.0</v>
      </c>
      <c r="P530" s="5">
        <v>100.0</v>
      </c>
      <c r="Q530" s="5">
        <v>15621.0</v>
      </c>
      <c r="R530" s="5">
        <v>32539.0</v>
      </c>
      <c r="S530" s="5">
        <v>9.0</v>
      </c>
      <c r="T530" s="5">
        <v>3844.991165</v>
      </c>
      <c r="V530" s="21">
        <f t="shared" si="1"/>
        <v>114.2642248</v>
      </c>
      <c r="W530" s="21">
        <f t="shared" si="2"/>
        <v>246.142447</v>
      </c>
      <c r="X530" s="21">
        <f t="shared" si="3"/>
        <v>9</v>
      </c>
      <c r="Y530" s="21">
        <f t="shared" si="4"/>
        <v>427.2212406</v>
      </c>
      <c r="Z530" s="21">
        <f t="shared" si="5"/>
        <v>38.44991165</v>
      </c>
      <c r="AA530" s="21">
        <f t="shared" si="6"/>
        <v>0.2971768202</v>
      </c>
    </row>
    <row r="531">
      <c r="A531" s="4" t="s">
        <v>1537</v>
      </c>
      <c r="B531" s="4" t="str">
        <f>IFERROR(__xludf.DUMMYFUNCTION("SPLIT(A531:A1256, ""&gt;"")"),"Lotame ")</f>
        <v>Lotame </v>
      </c>
      <c r="C531" s="4" t="str">
        <f>IFERROR(__xludf.DUMMYFUNCTION("""COMPUTED_VALUE""")," Style, Fashion &amp; Clothing")</f>
        <v> Style, Fashion &amp; Clothing</v>
      </c>
      <c r="D531" s="4"/>
      <c r="E531" s="4"/>
      <c r="F531" s="4"/>
      <c r="G531" s="4"/>
      <c r="H531" s="4"/>
      <c r="I531" s="5" t="s">
        <v>22</v>
      </c>
      <c r="J531" s="5" t="s">
        <v>16</v>
      </c>
      <c r="K531" s="5" t="s">
        <v>147</v>
      </c>
      <c r="L531" s="6" t="s">
        <v>785</v>
      </c>
      <c r="M531" s="5" t="s">
        <v>19</v>
      </c>
      <c r="N531" s="5" t="s">
        <v>27</v>
      </c>
      <c r="O531" s="5">
        <v>13168.0</v>
      </c>
      <c r="P531" s="5">
        <v>84.0</v>
      </c>
      <c r="Q531" s="5">
        <v>8527.0</v>
      </c>
      <c r="R531" s="5">
        <v>12625.0</v>
      </c>
      <c r="S531" s="5">
        <v>4.0</v>
      </c>
      <c r="T531" s="5">
        <v>1639.72335</v>
      </c>
      <c r="V531" s="21">
        <f t="shared" si="1"/>
        <v>124.5233407</v>
      </c>
      <c r="W531" s="21">
        <f t="shared" si="2"/>
        <v>192.2978011</v>
      </c>
      <c r="X531" s="21">
        <f t="shared" si="3"/>
        <v>4.761904762</v>
      </c>
      <c r="Y531" s="21">
        <f t="shared" si="4"/>
        <v>409.9308375</v>
      </c>
      <c r="Z531" s="21">
        <f t="shared" si="5"/>
        <v>19.52051607</v>
      </c>
      <c r="AA531" s="21">
        <f t="shared" si="6"/>
        <v>0.6379100851</v>
      </c>
    </row>
    <row r="532">
      <c r="A532" s="4" t="s">
        <v>1538</v>
      </c>
      <c r="B532" s="4" t="str">
        <f>IFERROR(__xludf.DUMMYFUNCTION("SPLIT(A532:A1257, ""&gt;"")"),"Online Behavior")</f>
        <v>Online Behavior</v>
      </c>
      <c r="C532" s="4" t="str">
        <f>IFERROR(__xludf.DUMMYFUNCTION("""COMPUTED_VALUE"""),"United States")</f>
        <v>United States</v>
      </c>
      <c r="D532" s="4" t="str">
        <f>IFERROR(__xludf.DUMMYFUNCTION("""COMPUTED_VALUE"""),"Intent ")</f>
        <v>Intent </v>
      </c>
      <c r="E532" s="4" t="str">
        <f>IFERROR(__xludf.DUMMYFUNCTION("""COMPUTED_VALUE""")," Travel")</f>
        <v> Travel</v>
      </c>
      <c r="F532" s="4" t="str">
        <f>IFERROR(__xludf.DUMMYFUNCTION("""COMPUTED_VALUE"""),"Graduation Trip")</f>
        <v>Graduation Trip</v>
      </c>
      <c r="G532" s="4"/>
      <c r="H532" s="4"/>
      <c r="I532" s="5" t="s">
        <v>15</v>
      </c>
      <c r="J532" s="5" t="s">
        <v>16</v>
      </c>
      <c r="K532" s="5" t="s">
        <v>35</v>
      </c>
      <c r="L532" s="6" t="s">
        <v>787</v>
      </c>
      <c r="M532" s="5" t="s">
        <v>19</v>
      </c>
      <c r="N532" s="5" t="s">
        <v>52</v>
      </c>
      <c r="O532" s="5">
        <v>26415.0</v>
      </c>
      <c r="P532" s="5">
        <v>60.0</v>
      </c>
      <c r="Q532" s="5">
        <v>13791.0</v>
      </c>
      <c r="R532" s="5">
        <v>25315.0</v>
      </c>
      <c r="S532" s="5">
        <v>11.0</v>
      </c>
      <c r="T532" s="5">
        <v>6450.918637</v>
      </c>
      <c r="V532" s="21">
        <f t="shared" si="1"/>
        <v>244.2142206</v>
      </c>
      <c r="W532" s="21">
        <f t="shared" si="2"/>
        <v>467.762935</v>
      </c>
      <c r="X532" s="21">
        <f t="shared" si="3"/>
        <v>18.33333333</v>
      </c>
      <c r="Y532" s="21">
        <f t="shared" si="4"/>
        <v>586.4471488</v>
      </c>
      <c r="Z532" s="21">
        <f t="shared" si="5"/>
        <v>107.5153106</v>
      </c>
      <c r="AA532" s="21">
        <f t="shared" si="6"/>
        <v>0.2271436684</v>
      </c>
    </row>
    <row r="533">
      <c r="A533" s="4" t="s">
        <v>1539</v>
      </c>
      <c r="B533" s="4" t="str">
        <f>IFERROR(__xludf.DUMMYFUNCTION("SPLIT(A533:A1258, ""&gt;"")"),"Lotame ")</f>
        <v>Lotame </v>
      </c>
      <c r="C533" s="4" t="str">
        <f>IFERROR(__xludf.DUMMYFUNCTION("""COMPUTED_VALUE""")," Online Shoppers ")</f>
        <v> Online Shoppers </v>
      </c>
      <c r="D533" s="4" t="str">
        <f>IFERROR(__xludf.DUMMYFUNCTION("""COMPUTED_VALUE""")," Online Shoppers")</f>
        <v> Online Shoppers</v>
      </c>
      <c r="E533" s="4"/>
      <c r="F533" s="4"/>
      <c r="G533" s="4"/>
      <c r="H533" s="4"/>
      <c r="I533" s="5" t="s">
        <v>15</v>
      </c>
      <c r="J533" s="5" t="s">
        <v>23</v>
      </c>
      <c r="K533" s="5" t="s">
        <v>32</v>
      </c>
      <c r="L533" s="6" t="s">
        <v>789</v>
      </c>
      <c r="M533" s="5" t="s">
        <v>46</v>
      </c>
      <c r="N533" s="5" t="s">
        <v>27</v>
      </c>
      <c r="O533" s="5">
        <v>13347.0</v>
      </c>
      <c r="P533" s="5">
        <v>80.0</v>
      </c>
      <c r="Q533" s="5">
        <v>8357.0</v>
      </c>
      <c r="R533" s="5">
        <v>11461.0</v>
      </c>
      <c r="S533" s="5">
        <v>10.0</v>
      </c>
      <c r="T533" s="5">
        <v>1543.66142</v>
      </c>
      <c r="V533" s="21">
        <f t="shared" si="1"/>
        <v>115.656059</v>
      </c>
      <c r="W533" s="21">
        <f t="shared" si="2"/>
        <v>184.7147804</v>
      </c>
      <c r="X533" s="21">
        <f t="shared" si="3"/>
        <v>12.5</v>
      </c>
      <c r="Y533" s="21">
        <f t="shared" si="4"/>
        <v>154.366142</v>
      </c>
      <c r="Z533" s="21">
        <f t="shared" si="5"/>
        <v>19.29576775</v>
      </c>
      <c r="AA533" s="21">
        <f t="shared" si="6"/>
        <v>0.5993856297</v>
      </c>
    </row>
    <row r="534">
      <c r="A534" s="4" t="s">
        <v>1907</v>
      </c>
      <c r="B534" s="4" t="str">
        <f>IFERROR(__xludf.DUMMYFUNCTION("SPLIT(A534:A1259, ""&gt;"")"),"US ")</f>
        <v>US </v>
      </c>
      <c r="C534" s="4" t="str">
        <f>IFERROR(__xludf.DUMMYFUNCTION("""COMPUTED_VALUE""")," Reach ")</f>
        <v> Reach </v>
      </c>
      <c r="D534" s="4" t="str">
        <f>IFERROR(__xludf.DUMMYFUNCTION("""COMPUTED_VALUE""")," Propensity Models ")</f>
        <v> Propensity Models </v>
      </c>
      <c r="E534" s="4" t="str">
        <f>IFERROR(__xludf.DUMMYFUNCTION("""COMPUTED_VALUE""")," Young Adult Clothing Shoppers")</f>
        <v> Young Adult Clothing Shoppers</v>
      </c>
      <c r="F534" s="4"/>
      <c r="G534" s="4"/>
      <c r="H534" s="4"/>
      <c r="I534" s="5" t="s">
        <v>22</v>
      </c>
      <c r="J534" s="5" t="s">
        <v>31</v>
      </c>
      <c r="K534" s="5" t="s">
        <v>78</v>
      </c>
      <c r="L534" s="6" t="s">
        <v>791</v>
      </c>
      <c r="M534" s="5" t="s">
        <v>48</v>
      </c>
      <c r="N534" s="5" t="s">
        <v>27</v>
      </c>
      <c r="O534" s="5">
        <v>20885.0</v>
      </c>
      <c r="P534" s="5">
        <v>99.0</v>
      </c>
      <c r="Q534" s="5">
        <v>9901.0</v>
      </c>
      <c r="R534" s="5">
        <v>16266.0</v>
      </c>
      <c r="S534" s="5">
        <v>15.0</v>
      </c>
      <c r="T534" s="5">
        <v>2496.785436</v>
      </c>
      <c r="V534" s="21">
        <f t="shared" si="1"/>
        <v>119.5492189</v>
      </c>
      <c r="W534" s="21">
        <f t="shared" si="2"/>
        <v>252.1750769</v>
      </c>
      <c r="X534" s="21">
        <f t="shared" si="3"/>
        <v>15.15151515</v>
      </c>
      <c r="Y534" s="21">
        <f t="shared" si="4"/>
        <v>166.4523624</v>
      </c>
      <c r="Z534" s="21">
        <f t="shared" si="5"/>
        <v>25.22005491</v>
      </c>
      <c r="AA534" s="21">
        <f t="shared" si="6"/>
        <v>0.4740244194</v>
      </c>
    </row>
    <row r="535">
      <c r="A535" s="4" t="s">
        <v>792</v>
      </c>
      <c r="B535" s="4" t="str">
        <f>IFERROR(__xludf.DUMMYFUNCTION("SPLIT(A535:A1260, ""&gt;"")"),"Purchase-Based")</f>
        <v>Purchase-Based</v>
      </c>
      <c r="C535" s="4"/>
      <c r="D535" s="4"/>
      <c r="E535" s="4"/>
      <c r="F535" s="4"/>
      <c r="G535" s="4"/>
      <c r="H535" s="4"/>
      <c r="I535" s="5" t="s">
        <v>15</v>
      </c>
      <c r="J535" s="5" t="s">
        <v>42</v>
      </c>
      <c r="K535" s="5" t="s">
        <v>35</v>
      </c>
      <c r="L535" s="6" t="s">
        <v>793</v>
      </c>
      <c r="M535" s="5" t="s">
        <v>117</v>
      </c>
      <c r="N535" s="5" t="s">
        <v>27</v>
      </c>
      <c r="O535" s="5">
        <v>11289.0</v>
      </c>
      <c r="P535" s="5">
        <v>97.0</v>
      </c>
      <c r="Q535" s="5">
        <v>1345.0</v>
      </c>
      <c r="R535" s="5">
        <v>8187.0</v>
      </c>
      <c r="S535" s="5">
        <v>3.0</v>
      </c>
      <c r="T535" s="5">
        <v>1665.160445</v>
      </c>
      <c r="V535" s="21">
        <f t="shared" si="1"/>
        <v>147.5029183</v>
      </c>
      <c r="W535" s="21">
        <f t="shared" si="2"/>
        <v>1238.037506</v>
      </c>
      <c r="X535" s="21">
        <f t="shared" si="3"/>
        <v>3.092783505</v>
      </c>
      <c r="Y535" s="21">
        <f t="shared" si="4"/>
        <v>555.0534817</v>
      </c>
      <c r="Z535" s="21">
        <f t="shared" si="5"/>
        <v>17.16660253</v>
      </c>
      <c r="AA535" s="21">
        <f t="shared" si="6"/>
        <v>0.8592435114</v>
      </c>
    </row>
    <row r="536">
      <c r="A536" s="4" t="s">
        <v>1908</v>
      </c>
      <c r="B536" s="4" t="str">
        <f>IFERROR(__xludf.DUMMYFUNCTION("SPLIT(A536:A1261, ""&gt;"")"),"US ")</f>
        <v>US </v>
      </c>
      <c r="C536" s="4" t="str">
        <f>IFERROR(__xludf.DUMMYFUNCTION("""COMPUTED_VALUE""")," Reach ")</f>
        <v> Reach </v>
      </c>
      <c r="D536" s="4" t="str">
        <f>IFERROR(__xludf.DUMMYFUNCTION("""COMPUTED_VALUE""")," Propensity Models ")</f>
        <v> Propensity Models </v>
      </c>
      <c r="E536" s="4" t="str">
        <f>IFERROR(__xludf.DUMMYFUNCTION("""COMPUTED_VALUE""")," Online ")</f>
        <v> Online </v>
      </c>
      <c r="F536" s="4" t="str">
        <f>IFERROR(__xludf.DUMMYFUNCTION("""COMPUTED_VALUE""")," Electronics and Gadgets")</f>
        <v> Electronics and Gadgets</v>
      </c>
      <c r="G536" s="4"/>
      <c r="H536" s="4"/>
      <c r="I536" s="5" t="s">
        <v>15</v>
      </c>
      <c r="J536" s="5" t="s">
        <v>31</v>
      </c>
      <c r="K536" s="5" t="s">
        <v>24</v>
      </c>
      <c r="L536" s="6" t="s">
        <v>795</v>
      </c>
      <c r="M536" s="5" t="s">
        <v>36</v>
      </c>
      <c r="N536" s="5" t="s">
        <v>27</v>
      </c>
      <c r="O536" s="5">
        <v>10389.0</v>
      </c>
      <c r="P536" s="5">
        <v>55.0</v>
      </c>
      <c r="Q536" s="5">
        <v>8161.0</v>
      </c>
      <c r="R536" s="5">
        <v>9951.0</v>
      </c>
      <c r="S536" s="5">
        <v>2.0</v>
      </c>
      <c r="T536" s="5">
        <v>2582.493847</v>
      </c>
      <c r="V536" s="21">
        <f t="shared" si="1"/>
        <v>248.5796368</v>
      </c>
      <c r="W536" s="21">
        <f t="shared" si="2"/>
        <v>316.4433093</v>
      </c>
      <c r="X536" s="21">
        <f t="shared" si="3"/>
        <v>3.636363636</v>
      </c>
      <c r="Y536" s="21">
        <f t="shared" si="4"/>
        <v>1291.246924</v>
      </c>
      <c r="Z536" s="21">
        <f t="shared" si="5"/>
        <v>46.95443358</v>
      </c>
      <c r="AA536" s="21">
        <f t="shared" si="6"/>
        <v>0.5294061026</v>
      </c>
    </row>
    <row r="537">
      <c r="A537" s="4" t="s">
        <v>1909</v>
      </c>
      <c r="B537" s="4" t="str">
        <f>IFERROR(__xludf.DUMMYFUNCTION("SPLIT(A537:A1262, ""&gt;"")"),"US ")</f>
        <v>US </v>
      </c>
      <c r="C537" s="4" t="str">
        <f>IFERROR(__xludf.DUMMYFUNCTION("""COMPUTED_VALUE""")," Interest Propensities ")</f>
        <v> Interest Propensities </v>
      </c>
      <c r="D537" s="4" t="str">
        <f>IFERROR(__xludf.DUMMYFUNCTION("""COMPUTED_VALUE""")," Music ")</f>
        <v> Music </v>
      </c>
      <c r="E537" s="4" t="str">
        <f>IFERROR(__xludf.DUMMYFUNCTION("""COMPUTED_VALUE""")," Classic Rock")</f>
        <v> Classic Rock</v>
      </c>
      <c r="F537" s="4"/>
      <c r="G537" s="4"/>
      <c r="H537" s="4"/>
      <c r="I537" s="5" t="s">
        <v>15</v>
      </c>
      <c r="J537" s="5" t="s">
        <v>42</v>
      </c>
      <c r="K537" s="5" t="s">
        <v>35</v>
      </c>
      <c r="L537" s="6" t="s">
        <v>795</v>
      </c>
      <c r="M537" s="5" t="s">
        <v>19</v>
      </c>
      <c r="N537" s="5" t="s">
        <v>52</v>
      </c>
      <c r="O537" s="5">
        <v>62040.0</v>
      </c>
      <c r="P537" s="5">
        <v>174.0</v>
      </c>
      <c r="Q537" s="5">
        <v>43853.0</v>
      </c>
      <c r="R537" s="5">
        <v>58642.0</v>
      </c>
      <c r="S537" s="5">
        <v>15.0</v>
      </c>
      <c r="T537" s="5">
        <v>2139.065793</v>
      </c>
      <c r="V537" s="21">
        <f t="shared" si="1"/>
        <v>34.47881678</v>
      </c>
      <c r="W537" s="21">
        <f t="shared" si="2"/>
        <v>48.77809484</v>
      </c>
      <c r="X537" s="21">
        <f t="shared" si="3"/>
        <v>8.620689655</v>
      </c>
      <c r="Y537" s="21">
        <f t="shared" si="4"/>
        <v>142.6043862</v>
      </c>
      <c r="Z537" s="21">
        <f t="shared" si="5"/>
        <v>12.29348157</v>
      </c>
      <c r="AA537" s="21">
        <f t="shared" si="6"/>
        <v>0.2804642166</v>
      </c>
    </row>
    <row r="538">
      <c r="A538" s="4" t="s">
        <v>1543</v>
      </c>
      <c r="B538" s="4" t="str">
        <f>IFERROR(__xludf.DUMMYFUNCTION("SPLIT(A538:A1263, ""&gt;"")"),"OnAudience ")</f>
        <v>OnAudience </v>
      </c>
      <c r="C538" s="4" t="str">
        <f>IFERROR(__xludf.DUMMYFUNCTION("""COMPUTED_VALUE""")," Interest ")</f>
        <v> Interest </v>
      </c>
      <c r="D538" s="4" t="str">
        <f>IFERROR(__xludf.DUMMYFUNCTION("""COMPUTED_VALUE""")," Social life")</f>
        <v> Social life</v>
      </c>
      <c r="E538" s="4"/>
      <c r="F538" s="4"/>
      <c r="G538" s="4"/>
      <c r="H538" s="4"/>
      <c r="I538" s="5" t="s">
        <v>15</v>
      </c>
      <c r="J538" s="5" t="s">
        <v>42</v>
      </c>
      <c r="K538" s="5" t="s">
        <v>78</v>
      </c>
      <c r="L538" s="6" t="s">
        <v>795</v>
      </c>
      <c r="M538" s="5" t="s">
        <v>46</v>
      </c>
      <c r="N538" s="5" t="s">
        <v>27</v>
      </c>
      <c r="O538" s="5">
        <v>83537.0</v>
      </c>
      <c r="P538" s="5">
        <v>222.0</v>
      </c>
      <c r="Q538" s="5">
        <v>67987.0</v>
      </c>
      <c r="R538" s="5">
        <v>79409.0</v>
      </c>
      <c r="S538" s="5">
        <v>4.0</v>
      </c>
      <c r="T538" s="5">
        <v>1761.079323</v>
      </c>
      <c r="V538" s="21">
        <f t="shared" si="1"/>
        <v>21.08142886</v>
      </c>
      <c r="W538" s="21">
        <f t="shared" si="2"/>
        <v>25.90317742</v>
      </c>
      <c r="X538" s="21">
        <f t="shared" si="3"/>
        <v>1.801801802</v>
      </c>
      <c r="Y538" s="21">
        <f t="shared" si="4"/>
        <v>440.2698308</v>
      </c>
      <c r="Z538" s="21">
        <f t="shared" si="5"/>
        <v>7.932789743</v>
      </c>
      <c r="AA538" s="21">
        <f t="shared" si="6"/>
        <v>0.2657505058</v>
      </c>
    </row>
    <row r="539">
      <c r="A539" s="4" t="s">
        <v>1910</v>
      </c>
      <c r="B539" s="4" t="str">
        <f>IFERROR(__xludf.DUMMYFUNCTION("SPLIT(A539:A1264, ""&gt;"")"),"US Travel ")</f>
        <v>US Travel </v>
      </c>
      <c r="C539" s="4" t="str">
        <f>IFERROR(__xludf.DUMMYFUNCTION("""COMPUTED_VALUE""")," Likely Business Travel ")</f>
        <v> Likely Business Travel </v>
      </c>
      <c r="D539" s="4" t="str">
        <f>IFERROR(__xludf.DUMMYFUNCTION("""COMPUTED_VALUE""")," Number of Nights Stayed ")</f>
        <v> Number of Nights Stayed </v>
      </c>
      <c r="E539" s="4" t="str">
        <f>IFERROR(__xludf.DUMMYFUNCTION("""COMPUTED_VALUE""")," 0 Nights")</f>
        <v> 0 Nights</v>
      </c>
      <c r="F539" s="4"/>
      <c r="G539" s="4"/>
      <c r="H539" s="4"/>
      <c r="I539" s="5" t="s">
        <v>61</v>
      </c>
      <c r="J539" s="5" t="s">
        <v>23</v>
      </c>
      <c r="K539" s="5" t="s">
        <v>45</v>
      </c>
      <c r="L539" s="6" t="s">
        <v>795</v>
      </c>
      <c r="M539" s="5" t="s">
        <v>19</v>
      </c>
      <c r="N539" s="5" t="s">
        <v>27</v>
      </c>
      <c r="O539" s="5">
        <v>81054.0</v>
      </c>
      <c r="P539" s="5">
        <v>265.0</v>
      </c>
      <c r="Q539" s="5">
        <v>56762.0</v>
      </c>
      <c r="R539" s="5">
        <v>76198.0</v>
      </c>
      <c r="S539" s="5">
        <v>16.0</v>
      </c>
      <c r="T539" s="5">
        <v>1532.357841</v>
      </c>
      <c r="V539" s="21">
        <f t="shared" si="1"/>
        <v>18.90539444</v>
      </c>
      <c r="W539" s="21">
        <f t="shared" si="2"/>
        <v>26.99619184</v>
      </c>
      <c r="X539" s="21">
        <f t="shared" si="3"/>
        <v>6.037735849</v>
      </c>
      <c r="Y539" s="21">
        <f t="shared" si="4"/>
        <v>95.77236506</v>
      </c>
      <c r="Z539" s="21">
        <f t="shared" si="5"/>
        <v>5.782482419</v>
      </c>
      <c r="AA539" s="21">
        <f t="shared" si="6"/>
        <v>0.3269425321</v>
      </c>
    </row>
    <row r="540">
      <c r="A540" s="4" t="s">
        <v>1911</v>
      </c>
      <c r="B540" s="4" t="str">
        <f>IFERROR(__xludf.DUMMYFUNCTION("SPLIT(A540:A1265, ""&gt;"")"),"US ")</f>
        <v>US </v>
      </c>
      <c r="C540" s="4" t="str">
        <f>IFERROR(__xludf.DUMMYFUNCTION("""COMPUTED_VALUE"""),"Price-Driven Traditionalist Audience")</f>
        <v>Price-Driven Traditionalist Audience</v>
      </c>
      <c r="D540" s="4"/>
      <c r="E540" s="4"/>
      <c r="F540" s="4"/>
      <c r="G540" s="4"/>
      <c r="H540" s="4"/>
      <c r="I540" s="5" t="s">
        <v>15</v>
      </c>
      <c r="J540" s="5" t="s">
        <v>42</v>
      </c>
      <c r="K540" s="5" t="s">
        <v>173</v>
      </c>
      <c r="L540" s="6" t="s">
        <v>795</v>
      </c>
      <c r="M540" s="5" t="s">
        <v>191</v>
      </c>
      <c r="N540" s="5" t="s">
        <v>52</v>
      </c>
      <c r="O540" s="5">
        <v>35043.0</v>
      </c>
      <c r="P540" s="5">
        <v>140.0</v>
      </c>
      <c r="Q540" s="5">
        <v>20942.0</v>
      </c>
      <c r="R540" s="5">
        <v>33479.0</v>
      </c>
      <c r="S540" s="5">
        <v>24.0</v>
      </c>
      <c r="T540" s="5">
        <v>1527.97628</v>
      </c>
      <c r="V540" s="21">
        <f t="shared" si="1"/>
        <v>43.60289587</v>
      </c>
      <c r="W540" s="21">
        <f t="shared" si="2"/>
        <v>72.96229013</v>
      </c>
      <c r="X540" s="21">
        <f t="shared" si="3"/>
        <v>17.14285714</v>
      </c>
      <c r="Y540" s="21">
        <f t="shared" si="4"/>
        <v>63.66567833</v>
      </c>
      <c r="Z540" s="21">
        <f t="shared" si="5"/>
        <v>10.91411629</v>
      </c>
      <c r="AA540" s="21">
        <f t="shared" si="6"/>
        <v>0.3995091744</v>
      </c>
    </row>
    <row r="541">
      <c r="A541" s="4" t="s">
        <v>1546</v>
      </c>
      <c r="B541" s="4" t="str">
        <f>IFERROR(__xludf.DUMMYFUNCTION("SPLIT(A541:A1266, ""&gt;"")"),"Online Behavior")</f>
        <v>Online Behavior</v>
      </c>
      <c r="C541" s="4" t="str">
        <f>IFERROR(__xludf.DUMMYFUNCTION("""COMPUTED_VALUE"""),"United States")</f>
        <v>United States</v>
      </c>
      <c r="D541" s="4" t="str">
        <f>IFERROR(__xludf.DUMMYFUNCTION("""COMPUTED_VALUE"""),"Intent ")</f>
        <v>Intent </v>
      </c>
      <c r="E541" s="4" t="str">
        <f>IFERROR(__xludf.DUMMYFUNCTION("""COMPUTED_VALUE""")," Travel")</f>
        <v> Travel</v>
      </c>
      <c r="F541" s="4" t="str">
        <f>IFERROR(__xludf.DUMMYFUNCTION("""COMPUTED_VALUE"""),"Luxury Travel")</f>
        <v>Luxury Travel</v>
      </c>
      <c r="G541" s="4"/>
      <c r="H541" s="4"/>
      <c r="I541" s="5" t="s">
        <v>22</v>
      </c>
      <c r="J541" s="5" t="s">
        <v>23</v>
      </c>
      <c r="K541" s="5" t="s">
        <v>181</v>
      </c>
      <c r="L541" s="6" t="s">
        <v>801</v>
      </c>
      <c r="M541" s="5" t="s">
        <v>19</v>
      </c>
      <c r="N541" s="5" t="s">
        <v>27</v>
      </c>
      <c r="O541" s="5">
        <v>14509.0</v>
      </c>
      <c r="P541" s="5">
        <v>90.0</v>
      </c>
      <c r="Q541" s="5">
        <v>866.0</v>
      </c>
      <c r="R541" s="5">
        <v>13268.0</v>
      </c>
      <c r="S541" s="5">
        <v>8.0</v>
      </c>
      <c r="T541" s="5">
        <v>5521.18913</v>
      </c>
      <c r="V541" s="21">
        <f t="shared" si="1"/>
        <v>380.5354697</v>
      </c>
      <c r="W541" s="21">
        <f t="shared" si="2"/>
        <v>6375.507079</v>
      </c>
      <c r="X541" s="21">
        <f t="shared" si="3"/>
        <v>8.888888889</v>
      </c>
      <c r="Y541" s="21">
        <f t="shared" si="4"/>
        <v>690.1486413</v>
      </c>
      <c r="Z541" s="21">
        <f t="shared" si="5"/>
        <v>61.34654589</v>
      </c>
      <c r="AA541" s="21">
        <f t="shared" si="6"/>
        <v>0.6203046385</v>
      </c>
    </row>
    <row r="542">
      <c r="A542" s="4" t="s">
        <v>1547</v>
      </c>
      <c r="B542" s="4" t="str">
        <f>IFERROR(__xludf.DUMMYFUNCTION("SPLIT(A542:A1267, ""&gt;"")"),"Media and Entertainment ")</f>
        <v>Media and Entertainment </v>
      </c>
      <c r="C542" s="4" t="str">
        <f>IFERROR(__xludf.DUMMYFUNCTION("""COMPUTED_VALUE""")," Television (TV) ")</f>
        <v> Television (TV) </v>
      </c>
      <c r="D542" s="4" t="str">
        <f>IFERROR(__xludf.DUMMYFUNCTION("""COMPUTED_VALUE""")," Viewership ")</f>
        <v> Viewership </v>
      </c>
      <c r="E542" s="4" t="str">
        <f>IFERROR(__xludf.DUMMYFUNCTION("""COMPUTED_VALUE""")," TV Genres ")</f>
        <v> TV Genres </v>
      </c>
      <c r="F542" s="4" t="str">
        <f>IFERROR(__xludf.DUMMYFUNCTION("""COMPUTED_VALUE""")," Drama")</f>
        <v> Drama</v>
      </c>
      <c r="G542" s="4"/>
      <c r="H542" s="4"/>
      <c r="I542" s="5" t="s">
        <v>15</v>
      </c>
      <c r="J542" s="5" t="s">
        <v>23</v>
      </c>
      <c r="K542" s="5" t="s">
        <v>24</v>
      </c>
      <c r="L542" s="6" t="s">
        <v>803</v>
      </c>
      <c r="M542" s="5" t="s">
        <v>48</v>
      </c>
      <c r="N542" s="5" t="s">
        <v>52</v>
      </c>
      <c r="O542" s="5">
        <v>16325.0</v>
      </c>
      <c r="P542" s="5">
        <v>78.0</v>
      </c>
      <c r="Q542" s="5">
        <v>9558.0</v>
      </c>
      <c r="R542" s="5">
        <v>15426.0</v>
      </c>
      <c r="S542" s="5">
        <v>21.0</v>
      </c>
      <c r="T542" s="5">
        <v>1814.098581</v>
      </c>
      <c r="V542" s="21">
        <f t="shared" si="1"/>
        <v>111.123956</v>
      </c>
      <c r="W542" s="21">
        <f t="shared" si="2"/>
        <v>189.7989727</v>
      </c>
      <c r="X542" s="21">
        <f t="shared" si="3"/>
        <v>26.92307692</v>
      </c>
      <c r="Y542" s="21">
        <f t="shared" si="4"/>
        <v>86.38564671</v>
      </c>
      <c r="Z542" s="21">
        <f t="shared" si="5"/>
        <v>23.25767412</v>
      </c>
      <c r="AA542" s="21">
        <f t="shared" si="6"/>
        <v>0.4777947933</v>
      </c>
    </row>
    <row r="543">
      <c r="A543" s="4" t="s">
        <v>1912</v>
      </c>
      <c r="B543" s="4" t="str">
        <f>IFERROR(__xludf.DUMMYFUNCTION("SPLIT(A543:A1268, ""&gt;"")"),"US ")</f>
        <v>US </v>
      </c>
      <c r="C543" s="4" t="str">
        <f>IFERROR(__xludf.DUMMYFUNCTION("""COMPUTED_VALUE""")," Sociodemographic ")</f>
        <v> Sociodemographic </v>
      </c>
      <c r="D543" s="4" t="str">
        <f>IFERROR(__xludf.DUMMYFUNCTION("""COMPUTED_VALUE""")," ConneXions Lifestage ")</f>
        <v> ConneXions Lifestage </v>
      </c>
      <c r="E543" s="4" t="str">
        <f>IFERROR(__xludf.DUMMYFUNCTION("""COMPUTED_VALUE""")," Y2 Emerging Techies")</f>
        <v> Y2 Emerging Techies</v>
      </c>
      <c r="F543" s="4"/>
      <c r="G543" s="4"/>
      <c r="H543" s="4"/>
      <c r="I543" s="5" t="s">
        <v>15</v>
      </c>
      <c r="J543" s="5" t="s">
        <v>23</v>
      </c>
      <c r="K543" s="5" t="s">
        <v>183</v>
      </c>
      <c r="L543" s="6" t="s">
        <v>805</v>
      </c>
      <c r="M543" s="5" t="s">
        <v>19</v>
      </c>
      <c r="N543" s="5" t="s">
        <v>27</v>
      </c>
      <c r="O543" s="5">
        <v>10485.0</v>
      </c>
      <c r="P543" s="5">
        <v>84.0</v>
      </c>
      <c r="Q543" s="5">
        <v>4255.0</v>
      </c>
      <c r="R543" s="5">
        <v>7669.0</v>
      </c>
      <c r="S543" s="5">
        <v>2.0</v>
      </c>
      <c r="T543" s="5">
        <v>2239.262819</v>
      </c>
      <c r="V543" s="21">
        <f t="shared" si="1"/>
        <v>213.5682231</v>
      </c>
      <c r="W543" s="21">
        <f t="shared" si="2"/>
        <v>526.2662324</v>
      </c>
      <c r="X543" s="21">
        <f t="shared" si="3"/>
        <v>2.380952381</v>
      </c>
      <c r="Y543" s="21">
        <f t="shared" si="4"/>
        <v>1119.63141</v>
      </c>
      <c r="Z543" s="21">
        <f t="shared" si="5"/>
        <v>26.6578907</v>
      </c>
      <c r="AA543" s="21">
        <f t="shared" si="6"/>
        <v>0.8011444921</v>
      </c>
    </row>
    <row r="544">
      <c r="A544" s="4" t="s">
        <v>1913</v>
      </c>
      <c r="B544" s="4" t="str">
        <f>IFERROR(__xludf.DUMMYFUNCTION("SPLIT(A544:A1269, ""&gt;"")"),"US ")</f>
        <v>US </v>
      </c>
      <c r="C544" s="4" t="str">
        <f>IFERROR(__xludf.DUMMYFUNCTION("""COMPUTED_VALUE""")," Automotive ")</f>
        <v> Automotive </v>
      </c>
      <c r="D544" s="4" t="str">
        <f>IFERROR(__xludf.DUMMYFUNCTION("""COMPUTED_VALUE""")," Auto Loyalists and Defectors ")</f>
        <v> Auto Loyalists and Defectors </v>
      </c>
      <c r="E544" s="4" t="str">
        <f>IFERROR(__xludf.DUMMYFUNCTION("""COMPUTED_VALUE""")," Auto Make Defectors")</f>
        <v> Auto Make Defectors</v>
      </c>
      <c r="F544" s="4"/>
      <c r="G544" s="4"/>
      <c r="H544" s="4"/>
      <c r="I544" s="5" t="s">
        <v>22</v>
      </c>
      <c r="J544" s="5" t="s">
        <v>16</v>
      </c>
      <c r="K544" s="5" t="s">
        <v>17</v>
      </c>
      <c r="L544" s="6" t="s">
        <v>807</v>
      </c>
      <c r="M544" s="5" t="s">
        <v>161</v>
      </c>
      <c r="N544" s="5" t="s">
        <v>27</v>
      </c>
      <c r="O544" s="5">
        <v>11561.0</v>
      </c>
      <c r="P544" s="5">
        <v>87.0</v>
      </c>
      <c r="Q544" s="5">
        <v>4063.0</v>
      </c>
      <c r="R544" s="5">
        <v>9941.0</v>
      </c>
      <c r="S544" s="5">
        <v>5.0</v>
      </c>
      <c r="T544" s="5">
        <v>1911.931953</v>
      </c>
      <c r="V544" s="21">
        <f t="shared" si="1"/>
        <v>165.3777314</v>
      </c>
      <c r="W544" s="21">
        <f t="shared" si="2"/>
        <v>470.5714873</v>
      </c>
      <c r="X544" s="21">
        <f t="shared" si="3"/>
        <v>5.747126437</v>
      </c>
      <c r="Y544" s="21">
        <f t="shared" si="4"/>
        <v>382.3863906</v>
      </c>
      <c r="Z544" s="21">
        <f t="shared" si="5"/>
        <v>21.97622934</v>
      </c>
      <c r="AA544" s="21">
        <f t="shared" si="6"/>
        <v>0.752530058</v>
      </c>
    </row>
    <row r="545">
      <c r="A545" s="4" t="s">
        <v>808</v>
      </c>
      <c r="B545" s="4" t="str">
        <f>IFERROR(__xludf.DUMMYFUNCTION("SPLIT(A545:A1270, ""&gt;"")"),"Online Behavior")</f>
        <v>Online Behavior</v>
      </c>
      <c r="C545" s="4" t="str">
        <f>IFERROR(__xludf.DUMMYFUNCTION("""COMPUTED_VALUE"""),"United States")</f>
        <v>United States</v>
      </c>
      <c r="D545" s="4" t="str">
        <f>IFERROR(__xludf.DUMMYFUNCTION("""COMPUTED_VALUE"""),"Online Communities")</f>
        <v>Online Communities</v>
      </c>
      <c r="E545" s="4" t="str">
        <f>IFERROR(__xludf.DUMMYFUNCTION("""COMPUTED_VALUE"""),"Blogging Resources and Services")</f>
        <v>Blogging Resources and Services</v>
      </c>
      <c r="F545" s="4"/>
      <c r="G545" s="4"/>
      <c r="H545" s="4"/>
      <c r="I545" s="5" t="s">
        <v>22</v>
      </c>
      <c r="J545" s="5" t="s">
        <v>31</v>
      </c>
      <c r="K545" s="5" t="s">
        <v>84</v>
      </c>
      <c r="L545" s="6" t="s">
        <v>809</v>
      </c>
      <c r="M545" s="5" t="s">
        <v>50</v>
      </c>
      <c r="N545" s="5" t="s">
        <v>27</v>
      </c>
      <c r="O545" s="5">
        <v>18136.0</v>
      </c>
      <c r="P545" s="5">
        <v>69.0</v>
      </c>
      <c r="Q545" s="5">
        <v>10842.0</v>
      </c>
      <c r="R545" s="5">
        <v>14953.0</v>
      </c>
      <c r="S545" s="5">
        <v>9.0</v>
      </c>
      <c r="T545" s="5">
        <v>6860.359597</v>
      </c>
      <c r="V545" s="21">
        <f t="shared" si="1"/>
        <v>378.2730259</v>
      </c>
      <c r="W545" s="21">
        <f t="shared" si="2"/>
        <v>632.7577566</v>
      </c>
      <c r="X545" s="21">
        <f t="shared" si="3"/>
        <v>13.04347826</v>
      </c>
      <c r="Y545" s="21">
        <f t="shared" si="4"/>
        <v>762.2621774</v>
      </c>
      <c r="Z545" s="21">
        <f t="shared" si="5"/>
        <v>99.42550141</v>
      </c>
      <c r="AA545" s="21">
        <f t="shared" si="6"/>
        <v>0.3804587561</v>
      </c>
    </row>
    <row r="546">
      <c r="A546" s="4" t="s">
        <v>1914</v>
      </c>
      <c r="B546" s="4" t="str">
        <f>IFERROR(__xludf.DUMMYFUNCTION("SPLIT(A546:A1271, ""&gt;"")"),"US ")</f>
        <v>US </v>
      </c>
      <c r="C546" s="4" t="str">
        <f>IFERROR(__xludf.DUMMYFUNCTION("""COMPUTED_VALUE""")," Brand Propensities ")</f>
        <v> Brand Propensities </v>
      </c>
      <c r="D546" s="4" t="str">
        <f>IFERROR(__xludf.DUMMYFUNCTION("""COMPUTED_VALUE""")," Electronics ")</f>
        <v> Electronics </v>
      </c>
      <c r="E546" s="4" t="str">
        <f>IFERROR(__xludf.DUMMYFUNCTION("""COMPUTED_VALUE""")," Crutchfield Buyer Propensity")</f>
        <v> Crutchfield Buyer Propensity</v>
      </c>
      <c r="F546" s="4"/>
      <c r="G546" s="4"/>
      <c r="H546" s="4"/>
      <c r="I546" s="5" t="s">
        <v>15</v>
      </c>
      <c r="J546" s="5" t="s">
        <v>23</v>
      </c>
      <c r="K546" s="5" t="s">
        <v>17</v>
      </c>
      <c r="L546" s="6" t="s">
        <v>809</v>
      </c>
      <c r="M546" s="5" t="s">
        <v>161</v>
      </c>
      <c r="N546" s="5" t="s">
        <v>27</v>
      </c>
      <c r="O546" s="5">
        <v>8437.0</v>
      </c>
      <c r="P546" s="5">
        <v>63.0</v>
      </c>
      <c r="Q546" s="5">
        <v>5271.0</v>
      </c>
      <c r="R546" s="5">
        <v>7065.0</v>
      </c>
      <c r="S546" s="5">
        <v>2.0</v>
      </c>
      <c r="T546" s="5">
        <v>1880.533168</v>
      </c>
      <c r="V546" s="21">
        <f t="shared" si="1"/>
        <v>222.8912135</v>
      </c>
      <c r="W546" s="21">
        <f t="shared" si="2"/>
        <v>356.769715</v>
      </c>
      <c r="X546" s="21">
        <f t="shared" si="3"/>
        <v>3.174603175</v>
      </c>
      <c r="Y546" s="21">
        <f t="shared" si="4"/>
        <v>940.266584</v>
      </c>
      <c r="Z546" s="21">
        <f t="shared" si="5"/>
        <v>29.84973283</v>
      </c>
      <c r="AA546" s="21">
        <f t="shared" si="6"/>
        <v>0.7467109162</v>
      </c>
    </row>
    <row r="547">
      <c r="A547" s="4" t="s">
        <v>1551</v>
      </c>
      <c r="B547" s="4" t="str">
        <f>IFERROR(__xludf.DUMMYFUNCTION("SPLIT(A547:A1272, ""&gt;"")"),"Online Behavior")</f>
        <v>Online Behavior</v>
      </c>
      <c r="C547" s="4" t="str">
        <f>IFERROR(__xludf.DUMMYFUNCTION("""COMPUTED_VALUE"""),"United States")</f>
        <v>United States</v>
      </c>
      <c r="D547" s="4" t="str">
        <f>IFERROR(__xludf.DUMMYFUNCTION("""COMPUTED_VALUE"""),"Intent ")</f>
        <v>Intent </v>
      </c>
      <c r="E547" s="4" t="str">
        <f>IFERROR(__xludf.DUMMYFUNCTION("""COMPUTED_VALUE""")," Auto Buyers ")</f>
        <v> Auto Buyers </v>
      </c>
      <c r="F547" s="4" t="str">
        <f>IFERROR(__xludf.DUMMYFUNCTION("""COMPUTED_VALUE""")," Car Make")</f>
        <v> Car Make</v>
      </c>
      <c r="G547" s="4" t="str">
        <f>IFERROR(__xludf.DUMMYFUNCTION("""COMPUTED_VALUE"""),"Subaru")</f>
        <v>Subaru</v>
      </c>
      <c r="H547" s="4"/>
      <c r="I547" s="5" t="s">
        <v>15</v>
      </c>
      <c r="J547" s="5" t="s">
        <v>23</v>
      </c>
      <c r="K547" s="5" t="s">
        <v>17</v>
      </c>
      <c r="L547" s="6" t="s">
        <v>812</v>
      </c>
      <c r="M547" s="5" t="s">
        <v>36</v>
      </c>
      <c r="N547" s="5" t="s">
        <v>20</v>
      </c>
      <c r="O547" s="5">
        <v>7965.0</v>
      </c>
      <c r="P547" s="5">
        <v>50.0</v>
      </c>
      <c r="Q547" s="5">
        <v>5230.0</v>
      </c>
      <c r="R547" s="5">
        <v>6923.0</v>
      </c>
      <c r="S547" s="5">
        <v>10.0</v>
      </c>
      <c r="T547" s="5">
        <v>6298.513929</v>
      </c>
      <c r="V547" s="21">
        <f t="shared" si="1"/>
        <v>790.7738768</v>
      </c>
      <c r="W547" s="21">
        <f t="shared" si="2"/>
        <v>1204.304767</v>
      </c>
      <c r="X547" s="21">
        <f t="shared" si="3"/>
        <v>20</v>
      </c>
      <c r="Y547" s="21">
        <f t="shared" si="4"/>
        <v>629.8513929</v>
      </c>
      <c r="Z547" s="21">
        <f t="shared" si="5"/>
        <v>125.9702786</v>
      </c>
      <c r="AA547" s="21">
        <f t="shared" si="6"/>
        <v>0.6277463905</v>
      </c>
    </row>
    <row r="548">
      <c r="A548" s="4" t="s">
        <v>1553</v>
      </c>
      <c r="B548" s="4" t="str">
        <f>IFERROR(__xludf.DUMMYFUNCTION("SPLIT(A548:A1273, ""&gt;"")"),"Online Behavior")</f>
        <v>Online Behavior</v>
      </c>
      <c r="C548" s="4" t="str">
        <f>IFERROR(__xludf.DUMMYFUNCTION("""COMPUTED_VALUE"""),"United States")</f>
        <v>United States</v>
      </c>
      <c r="D548" s="4" t="str">
        <f>IFERROR(__xludf.DUMMYFUNCTION("""COMPUTED_VALUE"""),"Finance ")</f>
        <v>Finance </v>
      </c>
      <c r="E548" s="4" t="str">
        <f>IFERROR(__xludf.DUMMYFUNCTION("""COMPUTED_VALUE""")," Grants, Scholarships and Financial Aid")</f>
        <v> Grants, Scholarships and Financial Aid</v>
      </c>
      <c r="F548" s="4" t="str">
        <f>IFERROR(__xludf.DUMMYFUNCTION("""COMPUTED_VALUE"""),"Government Grants")</f>
        <v>Government Grants</v>
      </c>
      <c r="G548" s="4"/>
      <c r="H548" s="4"/>
      <c r="I548" s="5" t="s">
        <v>15</v>
      </c>
      <c r="J548" s="5" t="s">
        <v>16</v>
      </c>
      <c r="K548" s="5" t="s">
        <v>84</v>
      </c>
      <c r="L548" s="6" t="s">
        <v>812</v>
      </c>
      <c r="M548" s="5" t="s">
        <v>46</v>
      </c>
      <c r="N548" s="5" t="s">
        <v>27</v>
      </c>
      <c r="O548" s="5">
        <v>14350.0</v>
      </c>
      <c r="P548" s="5">
        <v>60.0</v>
      </c>
      <c r="Q548" s="5">
        <v>8228.0</v>
      </c>
      <c r="R548" s="5">
        <v>13396.0</v>
      </c>
      <c r="S548" s="5">
        <v>6.0</v>
      </c>
      <c r="T548" s="5">
        <v>6114.034936</v>
      </c>
      <c r="V548" s="21">
        <f t="shared" si="1"/>
        <v>426.0651523</v>
      </c>
      <c r="W548" s="21">
        <f t="shared" si="2"/>
        <v>743.0766816</v>
      </c>
      <c r="X548" s="21">
        <f t="shared" si="3"/>
        <v>10</v>
      </c>
      <c r="Y548" s="21">
        <f t="shared" si="4"/>
        <v>1019.005823</v>
      </c>
      <c r="Z548" s="21">
        <f t="shared" si="5"/>
        <v>101.9005823</v>
      </c>
      <c r="AA548" s="21">
        <f t="shared" si="6"/>
        <v>0.4181184669</v>
      </c>
    </row>
    <row r="549">
      <c r="A549" s="4" t="s">
        <v>1554</v>
      </c>
      <c r="B549" s="4" t="str">
        <f>IFERROR(__xludf.DUMMYFUNCTION("SPLIT(A549:A1274, ""&gt;"")"),"Online Behavior")</f>
        <v>Online Behavior</v>
      </c>
      <c r="C549" s="4" t="str">
        <f>IFERROR(__xludf.DUMMYFUNCTION("""COMPUTED_VALUE"""),"United States")</f>
        <v>United States</v>
      </c>
      <c r="D549" s="4" t="str">
        <f>IFERROR(__xludf.DUMMYFUNCTION("""COMPUTED_VALUE"""),"Autos and Vehicles ")</f>
        <v>Autos and Vehicles </v>
      </c>
      <c r="E549" s="4" t="str">
        <f>IFERROR(__xludf.DUMMYFUNCTION("""COMPUTED_VALUE""")," Brands")</f>
        <v> Brands</v>
      </c>
      <c r="F549" s="4" t="str">
        <f>IFERROR(__xludf.DUMMYFUNCTION("""COMPUTED_VALUE"""),"Mini")</f>
        <v>Mini</v>
      </c>
      <c r="G549" s="4"/>
      <c r="H549" s="4"/>
      <c r="I549" s="5" t="s">
        <v>22</v>
      </c>
      <c r="J549" s="5" t="s">
        <v>16</v>
      </c>
      <c r="K549" s="5" t="s">
        <v>131</v>
      </c>
      <c r="L549" s="6" t="s">
        <v>812</v>
      </c>
      <c r="M549" s="5" t="s">
        <v>26</v>
      </c>
      <c r="N549" s="5" t="s">
        <v>27</v>
      </c>
      <c r="O549" s="5">
        <v>24100.0</v>
      </c>
      <c r="P549" s="5">
        <v>110.0</v>
      </c>
      <c r="Q549" s="5">
        <v>11355.0</v>
      </c>
      <c r="R549" s="5">
        <v>21740.0</v>
      </c>
      <c r="S549" s="5">
        <v>5.0</v>
      </c>
      <c r="T549" s="5">
        <v>5912.260975</v>
      </c>
      <c r="V549" s="21">
        <f t="shared" si="1"/>
        <v>245.3220322</v>
      </c>
      <c r="W549" s="21">
        <f t="shared" si="2"/>
        <v>520.6746786</v>
      </c>
      <c r="X549" s="21">
        <f t="shared" si="3"/>
        <v>4.545454545</v>
      </c>
      <c r="Y549" s="21">
        <f t="shared" si="4"/>
        <v>1182.452195</v>
      </c>
      <c r="Z549" s="21">
        <f t="shared" si="5"/>
        <v>53.74782705</v>
      </c>
      <c r="AA549" s="21">
        <f t="shared" si="6"/>
        <v>0.4564315353</v>
      </c>
    </row>
    <row r="550">
      <c r="A550" s="4" t="s">
        <v>1555</v>
      </c>
      <c r="B550" s="4" t="str">
        <f>IFERROR(__xludf.DUMMYFUNCTION("SPLIT(A550:A1275, ""&gt;"")"),"Online Behavior")</f>
        <v>Online Behavior</v>
      </c>
      <c r="C550" s="4" t="str">
        <f>IFERROR(__xludf.DUMMYFUNCTION("""COMPUTED_VALUE"""),"United States")</f>
        <v>United States</v>
      </c>
      <c r="D550" s="4" t="str">
        <f>IFERROR(__xludf.DUMMYFUNCTION("""COMPUTED_VALUE"""),"Autos and Vehicles ")</f>
        <v>Autos and Vehicles </v>
      </c>
      <c r="E550" s="4" t="str">
        <f>IFERROR(__xludf.DUMMYFUNCTION("""COMPUTED_VALUE""")," Brands")</f>
        <v> Brands</v>
      </c>
      <c r="F550" s="4" t="str">
        <f>IFERROR(__xludf.DUMMYFUNCTION("""COMPUTED_VALUE"""),"Buick")</f>
        <v>Buick</v>
      </c>
      <c r="G550" s="4"/>
      <c r="H550" s="4"/>
      <c r="I550" s="5" t="s">
        <v>15</v>
      </c>
      <c r="J550" s="5" t="s">
        <v>16</v>
      </c>
      <c r="K550" s="5" t="s">
        <v>150</v>
      </c>
      <c r="L550" s="6" t="s">
        <v>812</v>
      </c>
      <c r="M550" s="5" t="s">
        <v>19</v>
      </c>
      <c r="N550" s="5" t="s">
        <v>20</v>
      </c>
      <c r="O550" s="5">
        <v>21599.0</v>
      </c>
      <c r="P550" s="5">
        <v>66.0</v>
      </c>
      <c r="Q550" s="5">
        <v>13600.0</v>
      </c>
      <c r="R550" s="5">
        <v>20256.0</v>
      </c>
      <c r="S550" s="5">
        <v>9.0</v>
      </c>
      <c r="T550" s="5">
        <v>5551.387415</v>
      </c>
      <c r="V550" s="21">
        <f t="shared" si="1"/>
        <v>257.0205757</v>
      </c>
      <c r="W550" s="21">
        <f t="shared" si="2"/>
        <v>408.1902511</v>
      </c>
      <c r="X550" s="21">
        <f t="shared" si="3"/>
        <v>13.63636364</v>
      </c>
      <c r="Y550" s="21">
        <f t="shared" si="4"/>
        <v>616.8208239</v>
      </c>
      <c r="Z550" s="21">
        <f t="shared" si="5"/>
        <v>84.11193053</v>
      </c>
      <c r="AA550" s="21">
        <f t="shared" si="6"/>
        <v>0.3055697023</v>
      </c>
    </row>
    <row r="551">
      <c r="A551" s="4" t="s">
        <v>1915</v>
      </c>
      <c r="B551" s="4" t="str">
        <f>IFERROR(__xludf.DUMMYFUNCTION("SPLIT(A551:A1276, ""&gt;"")"),"US Financial ")</f>
        <v>US Financial </v>
      </c>
      <c r="C551" s="4" t="str">
        <f>IFERROR(__xludf.DUMMYFUNCTION("""COMPUTED_VALUE""")," Likely In Market Timing ")</f>
        <v> Likely In Market Timing </v>
      </c>
      <c r="D551" s="4" t="str">
        <f>IFERROR(__xludf.DUMMYFUNCTION("""COMPUTED_VALUE""")," Not At All Likely to Purchase ")</f>
        <v> Not At All Likely to Purchase </v>
      </c>
      <c r="E551" s="4" t="str">
        <f>IFERROR(__xludf.DUMMYFUNCTION("""COMPUTED_VALUE""")," First Home/Residence In The Next Year (Financial)")</f>
        <v> First Home/Residence In The Next Year (Financial)</v>
      </c>
      <c r="F551" s="4"/>
      <c r="G551" s="4"/>
      <c r="H551" s="4"/>
      <c r="I551" s="5" t="s">
        <v>15</v>
      </c>
      <c r="J551" s="5" t="s">
        <v>23</v>
      </c>
      <c r="K551" s="5" t="s">
        <v>35</v>
      </c>
      <c r="L551" s="6" t="s">
        <v>812</v>
      </c>
      <c r="M551" s="5" t="s">
        <v>36</v>
      </c>
      <c r="N551" s="5" t="s">
        <v>52</v>
      </c>
      <c r="O551" s="5">
        <v>35335.0</v>
      </c>
      <c r="P551" s="5">
        <v>120.0</v>
      </c>
      <c r="Q551" s="5">
        <v>22566.0</v>
      </c>
      <c r="R551" s="5">
        <v>30685.0</v>
      </c>
      <c r="S551" s="5">
        <v>15.0</v>
      </c>
      <c r="T551" s="5">
        <v>1866.34747</v>
      </c>
      <c r="V551" s="21">
        <f t="shared" si="1"/>
        <v>52.81866336</v>
      </c>
      <c r="W551" s="21">
        <f t="shared" si="2"/>
        <v>82.70617167</v>
      </c>
      <c r="X551" s="21">
        <f t="shared" si="3"/>
        <v>12.5</v>
      </c>
      <c r="Y551" s="21">
        <f t="shared" si="4"/>
        <v>124.4231647</v>
      </c>
      <c r="Z551" s="21">
        <f t="shared" si="5"/>
        <v>15.55289558</v>
      </c>
      <c r="AA551" s="21">
        <f t="shared" si="6"/>
        <v>0.3396066223</v>
      </c>
    </row>
    <row r="552">
      <c r="A552" s="4" t="s">
        <v>1557</v>
      </c>
      <c r="B552" s="4" t="str">
        <f>IFERROR(__xludf.DUMMYFUNCTION("SPLIT(A552:A1277, ""&gt;"")"),"Transactional ")</f>
        <v>Transactional </v>
      </c>
      <c r="C552" s="4" t="str">
        <f>IFERROR(__xludf.DUMMYFUNCTION("""COMPUTED_VALUE""")," Q3 Gardening Shoppers")</f>
        <v> Q3 Gardening Shoppers</v>
      </c>
      <c r="D552" s="4"/>
      <c r="E552" s="4"/>
      <c r="F552" s="4"/>
      <c r="G552" s="4"/>
      <c r="H552" s="4"/>
      <c r="I552" s="5" t="s">
        <v>15</v>
      </c>
      <c r="J552" s="5" t="s">
        <v>42</v>
      </c>
      <c r="K552" s="5" t="s">
        <v>29</v>
      </c>
      <c r="L552" s="6" t="s">
        <v>812</v>
      </c>
      <c r="M552" s="5" t="s">
        <v>19</v>
      </c>
      <c r="N552" s="5" t="s">
        <v>27</v>
      </c>
      <c r="O552" s="5">
        <v>14763.0</v>
      </c>
      <c r="P552" s="5">
        <v>40.0</v>
      </c>
      <c r="Q552" s="5">
        <v>8955.0</v>
      </c>
      <c r="R552" s="5">
        <v>13829.0</v>
      </c>
      <c r="S552" s="5">
        <v>2.0</v>
      </c>
      <c r="T552" s="5">
        <v>1531.926885</v>
      </c>
      <c r="V552" s="21">
        <f t="shared" si="1"/>
        <v>103.7679933</v>
      </c>
      <c r="W552" s="21">
        <f t="shared" si="2"/>
        <v>171.0694456</v>
      </c>
      <c r="X552" s="21">
        <f t="shared" si="3"/>
        <v>5</v>
      </c>
      <c r="Y552" s="21">
        <f t="shared" si="4"/>
        <v>765.9634425</v>
      </c>
      <c r="Z552" s="21">
        <f t="shared" si="5"/>
        <v>38.29817213</v>
      </c>
      <c r="AA552" s="21">
        <f t="shared" si="6"/>
        <v>0.2709476394</v>
      </c>
    </row>
    <row r="553">
      <c r="A553" s="4" t="s">
        <v>1558</v>
      </c>
      <c r="B553" s="4" t="str">
        <f>IFERROR(__xludf.DUMMYFUNCTION("SPLIT(A553:A1278, ""&gt;"")"),"Online Behavior")</f>
        <v>Online Behavior</v>
      </c>
      <c r="C553" s="4" t="str">
        <f>IFERROR(__xludf.DUMMYFUNCTION("""COMPUTED_VALUE"""),"United States")</f>
        <v>United States</v>
      </c>
      <c r="D553" s="4" t="str">
        <f>IFERROR(__xludf.DUMMYFUNCTION("""COMPUTED_VALUE"""),"Travel")</f>
        <v>Travel</v>
      </c>
      <c r="E553" s="4" t="str">
        <f>IFERROR(__xludf.DUMMYFUNCTION("""COMPUTED_VALUE"""),"Tourist Destinations ")</f>
        <v>Tourist Destinations </v>
      </c>
      <c r="F553" s="4" t="str">
        <f>IFERROR(__xludf.DUMMYFUNCTION("""COMPUTED_VALUE""")," Historical Sites and Buildings")</f>
        <v> Historical Sites and Buildings</v>
      </c>
      <c r="G553" s="4"/>
      <c r="H553" s="4"/>
      <c r="I553" s="5" t="s">
        <v>22</v>
      </c>
      <c r="J553" s="5" t="s">
        <v>42</v>
      </c>
      <c r="K553" s="5" t="s">
        <v>29</v>
      </c>
      <c r="L553" s="6" t="s">
        <v>819</v>
      </c>
      <c r="M553" s="5" t="s">
        <v>117</v>
      </c>
      <c r="N553" s="5" t="s">
        <v>27</v>
      </c>
      <c r="O553" s="5">
        <v>47360.0</v>
      </c>
      <c r="P553" s="5">
        <v>126.0</v>
      </c>
      <c r="Q553" s="5">
        <v>8047.0</v>
      </c>
      <c r="R553" s="5">
        <v>33641.0</v>
      </c>
      <c r="S553" s="5">
        <v>9.0</v>
      </c>
      <c r="T553" s="5">
        <v>6502.274933</v>
      </c>
      <c r="V553" s="21">
        <f t="shared" si="1"/>
        <v>137.2946565</v>
      </c>
      <c r="W553" s="21">
        <f t="shared" si="2"/>
        <v>808.0371484</v>
      </c>
      <c r="X553" s="21">
        <f t="shared" si="3"/>
        <v>7.142857143</v>
      </c>
      <c r="Y553" s="21">
        <f t="shared" si="4"/>
        <v>722.4749926</v>
      </c>
      <c r="Z553" s="21">
        <f t="shared" si="5"/>
        <v>51.60535661</v>
      </c>
      <c r="AA553" s="21">
        <f t="shared" si="6"/>
        <v>0.2660472973</v>
      </c>
    </row>
    <row r="554">
      <c r="A554" s="4" t="s">
        <v>820</v>
      </c>
      <c r="B554" s="4" t="str">
        <f>IFERROR(__xludf.DUMMYFUNCTION("SPLIT(A554:A1279, ""&gt;"")"),"Online Behavior")</f>
        <v>Online Behavior</v>
      </c>
      <c r="C554" s="4" t="str">
        <f>IFERROR(__xludf.DUMMYFUNCTION("""COMPUTED_VALUE"""),"United States")</f>
        <v>United States</v>
      </c>
      <c r="D554" s="4" t="str">
        <f>IFERROR(__xludf.DUMMYFUNCTION("""COMPUTED_VALUE"""),"The Changing Consumer")</f>
        <v>The Changing Consumer</v>
      </c>
      <c r="E554" s="4" t="str">
        <f>IFERROR(__xludf.DUMMYFUNCTION("""COMPUTED_VALUE"""),"Telehealth")</f>
        <v>Telehealth</v>
      </c>
      <c r="F554" s="4"/>
      <c r="G554" s="4"/>
      <c r="H554" s="4"/>
      <c r="I554" s="5" t="s">
        <v>61</v>
      </c>
      <c r="J554" s="5" t="s">
        <v>23</v>
      </c>
      <c r="K554" s="5" t="s">
        <v>84</v>
      </c>
      <c r="L554" s="6" t="s">
        <v>819</v>
      </c>
      <c r="M554" s="5" t="s">
        <v>36</v>
      </c>
      <c r="N554" s="5" t="s">
        <v>27</v>
      </c>
      <c r="O554" s="5">
        <v>19408.0</v>
      </c>
      <c r="P554" s="5">
        <v>58.0</v>
      </c>
      <c r="Q554" s="5">
        <v>6596.0</v>
      </c>
      <c r="R554" s="5">
        <v>13880.0</v>
      </c>
      <c r="S554" s="5">
        <v>2.0</v>
      </c>
      <c r="T554" s="5">
        <v>5492.821648</v>
      </c>
      <c r="V554" s="21">
        <f t="shared" si="1"/>
        <v>283.0184279</v>
      </c>
      <c r="W554" s="21">
        <f t="shared" si="2"/>
        <v>832.7504015</v>
      </c>
      <c r="X554" s="21">
        <f t="shared" si="3"/>
        <v>3.448275862</v>
      </c>
      <c r="Y554" s="21">
        <f t="shared" si="4"/>
        <v>2746.410824</v>
      </c>
      <c r="Z554" s="21">
        <f t="shared" si="5"/>
        <v>94.70382152</v>
      </c>
      <c r="AA554" s="21">
        <f t="shared" si="6"/>
        <v>0.2988458368</v>
      </c>
    </row>
    <row r="555">
      <c r="A555" s="4" t="s">
        <v>821</v>
      </c>
      <c r="B555" s="4" t="str">
        <f>IFERROR(__xludf.DUMMYFUNCTION("SPLIT(A555:A1280, ""&gt;"")"),"Online Behavior")</f>
        <v>Online Behavior</v>
      </c>
      <c r="C555" s="4" t="str">
        <f>IFERROR(__xludf.DUMMYFUNCTION("""COMPUTED_VALUE"""),"United States")</f>
        <v>United States</v>
      </c>
      <c r="D555" s="4" t="str">
        <f>IFERROR(__xludf.DUMMYFUNCTION("""COMPUTED_VALUE"""),"Travel")</f>
        <v>Travel</v>
      </c>
      <c r="E555" s="4" t="str">
        <f>IFERROR(__xludf.DUMMYFUNCTION("""COMPUTED_VALUE"""),"Carpooling and Vehicle Sharing")</f>
        <v>Carpooling and Vehicle Sharing</v>
      </c>
      <c r="F555" s="4"/>
      <c r="G555" s="4"/>
      <c r="H555" s="4"/>
      <c r="I555" s="5" t="s">
        <v>61</v>
      </c>
      <c r="J555" s="5" t="s">
        <v>23</v>
      </c>
      <c r="K555" s="5" t="s">
        <v>55</v>
      </c>
      <c r="L555" s="6" t="s">
        <v>819</v>
      </c>
      <c r="M555" s="5" t="s">
        <v>26</v>
      </c>
      <c r="N555" s="5" t="s">
        <v>27</v>
      </c>
      <c r="O555" s="5">
        <v>46190.0</v>
      </c>
      <c r="P555" s="5">
        <v>130.0</v>
      </c>
      <c r="Q555" s="5">
        <v>8618.0</v>
      </c>
      <c r="R555" s="5">
        <v>41618.0</v>
      </c>
      <c r="S555" s="5">
        <v>1.0</v>
      </c>
      <c r="T555" s="5">
        <v>5464.109817</v>
      </c>
      <c r="V555" s="21">
        <f t="shared" si="1"/>
        <v>118.2963805</v>
      </c>
      <c r="W555" s="21">
        <f t="shared" si="2"/>
        <v>634.0345576</v>
      </c>
      <c r="X555" s="21">
        <f t="shared" si="3"/>
        <v>0.7692307692</v>
      </c>
      <c r="Y555" s="21">
        <f t="shared" si="4"/>
        <v>5464.109817</v>
      </c>
      <c r="Z555" s="21">
        <f t="shared" si="5"/>
        <v>42.03161398</v>
      </c>
      <c r="AA555" s="21">
        <f t="shared" si="6"/>
        <v>0.2814462005</v>
      </c>
    </row>
    <row r="556">
      <c r="A556" s="4" t="s">
        <v>822</v>
      </c>
      <c r="B556" s="4" t="str">
        <f>IFERROR(__xludf.DUMMYFUNCTION("SPLIT(A556:A1281, ""&gt;"")"),"Online Behavior")</f>
        <v>Online Behavior</v>
      </c>
      <c r="C556" s="4" t="str">
        <f>IFERROR(__xludf.DUMMYFUNCTION("""COMPUTED_VALUE"""),"United States")</f>
        <v>United States</v>
      </c>
      <c r="D556" s="4" t="str">
        <f>IFERROR(__xludf.DUMMYFUNCTION("""COMPUTED_VALUE"""),"Law and Government")</f>
        <v>Law and Government</v>
      </c>
      <c r="E556" s="4" t="str">
        <f>IFERROR(__xludf.DUMMYFUNCTION("""COMPUTED_VALUE"""),"Government")</f>
        <v>Government</v>
      </c>
      <c r="F556" s="4"/>
      <c r="G556" s="4"/>
      <c r="H556" s="4"/>
      <c r="I556" s="5" t="s">
        <v>15</v>
      </c>
      <c r="J556" s="5" t="s">
        <v>23</v>
      </c>
      <c r="K556" s="5" t="s">
        <v>35</v>
      </c>
      <c r="L556" s="6" t="s">
        <v>819</v>
      </c>
      <c r="M556" s="5" t="s">
        <v>48</v>
      </c>
      <c r="N556" s="5" t="s">
        <v>52</v>
      </c>
      <c r="O556" s="5">
        <v>18537.0</v>
      </c>
      <c r="P556" s="5">
        <v>95.0</v>
      </c>
      <c r="Q556" s="5">
        <v>6473.0</v>
      </c>
      <c r="R556" s="5">
        <v>17081.0</v>
      </c>
      <c r="S556" s="5">
        <v>4.0</v>
      </c>
      <c r="T556" s="5">
        <v>5206.238968</v>
      </c>
      <c r="V556" s="21">
        <f t="shared" si="1"/>
        <v>280.8566094</v>
      </c>
      <c r="W556" s="21">
        <f t="shared" si="2"/>
        <v>804.3007829</v>
      </c>
      <c r="X556" s="21">
        <f t="shared" si="3"/>
        <v>4.210526316</v>
      </c>
      <c r="Y556" s="21">
        <f t="shared" si="4"/>
        <v>1301.559742</v>
      </c>
      <c r="Z556" s="21">
        <f t="shared" si="5"/>
        <v>54.80251545</v>
      </c>
      <c r="AA556" s="21">
        <f t="shared" si="6"/>
        <v>0.5124885364</v>
      </c>
    </row>
    <row r="557">
      <c r="A557" s="4" t="s">
        <v>1916</v>
      </c>
      <c r="B557" s="4" t="str">
        <f>IFERROR(__xludf.DUMMYFUNCTION("SPLIT(A557:A1282, ""&gt;"")"),"US ")</f>
        <v>US </v>
      </c>
      <c r="C557" s="4" t="str">
        <f>IFERROR(__xludf.DUMMYFUNCTION("""COMPUTED_VALUE""")," B2B ")</f>
        <v> B2B </v>
      </c>
      <c r="D557" s="4" t="str">
        <f>IFERROR(__xludf.DUMMYFUNCTION("""COMPUTED_VALUE""")," B2B Decision Maker Responsibilities ")</f>
        <v> B2B Decision Maker Responsibilities </v>
      </c>
      <c r="E557" s="4" t="str">
        <f>IFERROR(__xludf.DUMMYFUNCTION("""COMPUTED_VALUE""")," Security Services")</f>
        <v> Security Services</v>
      </c>
      <c r="F557" s="4"/>
      <c r="G557" s="4"/>
      <c r="H557" s="4"/>
      <c r="I557" s="5" t="s">
        <v>22</v>
      </c>
      <c r="J557" s="5" t="s">
        <v>16</v>
      </c>
      <c r="K557" s="5" t="s">
        <v>39</v>
      </c>
      <c r="L557" s="6" t="s">
        <v>819</v>
      </c>
      <c r="M557" s="5" t="s">
        <v>26</v>
      </c>
      <c r="N557" s="5" t="s">
        <v>27</v>
      </c>
      <c r="O557" s="5">
        <v>12488.0</v>
      </c>
      <c r="P557" s="5">
        <v>99.0</v>
      </c>
      <c r="Q557" s="5">
        <v>4021.0</v>
      </c>
      <c r="R557" s="5">
        <v>11403.0</v>
      </c>
      <c r="S557" s="5">
        <v>4.0</v>
      </c>
      <c r="T557" s="5">
        <v>2176.657469</v>
      </c>
      <c r="V557" s="21">
        <f t="shared" si="1"/>
        <v>174.2999254</v>
      </c>
      <c r="W557" s="21">
        <f t="shared" si="2"/>
        <v>541.3224245</v>
      </c>
      <c r="X557" s="21">
        <f t="shared" si="3"/>
        <v>4.04040404</v>
      </c>
      <c r="Y557" s="21">
        <f t="shared" si="4"/>
        <v>544.1643673</v>
      </c>
      <c r="Z557" s="21">
        <f t="shared" si="5"/>
        <v>21.98643908</v>
      </c>
      <c r="AA557" s="21">
        <f t="shared" si="6"/>
        <v>0.7927610506</v>
      </c>
    </row>
    <row r="558">
      <c r="A558" s="4" t="s">
        <v>1560</v>
      </c>
      <c r="B558" s="4" t="str">
        <f>IFERROR(__xludf.DUMMYFUNCTION("SPLIT(A558:A1283, ""&gt;"")"),"OnAudience ")</f>
        <v>OnAudience </v>
      </c>
      <c r="C558" s="4" t="str">
        <f>IFERROR(__xludf.DUMMYFUNCTION("""COMPUTED_VALUE""")," Intent")</f>
        <v> Intent</v>
      </c>
      <c r="D558" s="4"/>
      <c r="E558" s="4"/>
      <c r="F558" s="4"/>
      <c r="G558" s="4"/>
      <c r="H558" s="4"/>
      <c r="I558" s="5" t="s">
        <v>22</v>
      </c>
      <c r="J558" s="5" t="s">
        <v>42</v>
      </c>
      <c r="K558" s="5" t="s">
        <v>35</v>
      </c>
      <c r="L558" s="6" t="s">
        <v>819</v>
      </c>
      <c r="M558" s="5" t="s">
        <v>19</v>
      </c>
      <c r="N558" s="5" t="s">
        <v>27</v>
      </c>
      <c r="O558" s="5">
        <v>19212.0</v>
      </c>
      <c r="P558" s="5">
        <v>54.0</v>
      </c>
      <c r="Q558" s="5">
        <v>6872.0</v>
      </c>
      <c r="R558" s="5">
        <v>14248.0</v>
      </c>
      <c r="S558" s="5">
        <v>10.0</v>
      </c>
      <c r="T558" s="5">
        <v>2133.077113</v>
      </c>
      <c r="V558" s="21">
        <f t="shared" si="1"/>
        <v>111.0283736</v>
      </c>
      <c r="W558" s="21">
        <f t="shared" si="2"/>
        <v>310.4012097</v>
      </c>
      <c r="X558" s="21">
        <f t="shared" si="3"/>
        <v>18.51851852</v>
      </c>
      <c r="Y558" s="21">
        <f t="shared" si="4"/>
        <v>213.3077113</v>
      </c>
      <c r="Z558" s="21">
        <f t="shared" si="5"/>
        <v>39.50142802</v>
      </c>
      <c r="AA558" s="21">
        <f t="shared" si="6"/>
        <v>0.2810743285</v>
      </c>
    </row>
    <row r="559">
      <c r="A559" s="4" t="s">
        <v>1917</v>
      </c>
      <c r="B559" s="4" t="str">
        <f>IFERROR(__xludf.DUMMYFUNCTION("SPLIT(A559:A1284, ""&gt;"")"),"US Financial ")</f>
        <v>US Financial </v>
      </c>
      <c r="C559" s="4" t="str">
        <f>IFERROR(__xludf.DUMMYFUNCTION("""COMPUTED_VALUE""")," Likely Credit Card ")</f>
        <v> Likely Credit Card </v>
      </c>
      <c r="D559" s="4" t="str">
        <f>IFERROR(__xludf.DUMMYFUNCTION("""COMPUTED_VALUE""")," Behavior ")</f>
        <v> Behavior </v>
      </c>
      <c r="E559" s="4" t="str">
        <f>IFERROR(__xludf.DUMMYFUNCTION("""COMPUTED_VALUE""")," Used for Personal Purposes")</f>
        <v> Used for Personal Purposes</v>
      </c>
      <c r="F559" s="4"/>
      <c r="G559" s="4"/>
      <c r="H559" s="4"/>
      <c r="I559" s="5" t="s">
        <v>15</v>
      </c>
      <c r="J559" s="5" t="s">
        <v>42</v>
      </c>
      <c r="K559" s="5" t="s">
        <v>183</v>
      </c>
      <c r="L559" s="6" t="s">
        <v>819</v>
      </c>
      <c r="M559" s="5" t="s">
        <v>19</v>
      </c>
      <c r="N559" s="5" t="s">
        <v>27</v>
      </c>
      <c r="O559" s="5">
        <v>37554.0</v>
      </c>
      <c r="P559" s="5">
        <v>92.0</v>
      </c>
      <c r="Q559" s="5">
        <v>13128.0</v>
      </c>
      <c r="R559" s="5">
        <v>27596.0</v>
      </c>
      <c r="S559" s="5">
        <v>8.0</v>
      </c>
      <c r="T559" s="5">
        <v>1737.843485</v>
      </c>
      <c r="V559" s="21">
        <f t="shared" si="1"/>
        <v>46.2758557</v>
      </c>
      <c r="W559" s="21">
        <f t="shared" si="2"/>
        <v>132.3768651</v>
      </c>
      <c r="X559" s="21">
        <f t="shared" si="3"/>
        <v>8.695652174</v>
      </c>
      <c r="Y559" s="21">
        <f t="shared" si="4"/>
        <v>217.2304356</v>
      </c>
      <c r="Z559" s="21">
        <f t="shared" si="5"/>
        <v>18.8896031</v>
      </c>
      <c r="AA559" s="21">
        <f t="shared" si="6"/>
        <v>0.2449805613</v>
      </c>
    </row>
    <row r="560">
      <c r="A560" s="4" t="s">
        <v>1918</v>
      </c>
      <c r="B560" s="4" t="str">
        <f>IFERROR(__xludf.DUMMYFUNCTION("SPLIT(A560:A1285, ""&gt;"")"),"US ")</f>
        <v>US </v>
      </c>
      <c r="C560" s="4" t="str">
        <f>IFERROR(__xludf.DUMMYFUNCTION("""COMPUTED_VALUE""")," Demographic ")</f>
        <v> Demographic </v>
      </c>
      <c r="D560" s="4" t="str">
        <f>IFERROR(__xludf.DUMMYFUNCTION("""COMPUTED_VALUE""")," Family ")</f>
        <v> Family </v>
      </c>
      <c r="E560" s="4" t="str">
        <f>IFERROR(__xludf.DUMMYFUNCTION("""COMPUTED_VALUE""")," Male Head of Household")</f>
        <v> Male Head of Household</v>
      </c>
      <c r="F560" s="4"/>
      <c r="G560" s="4"/>
      <c r="H560" s="4"/>
      <c r="I560" s="5" t="s">
        <v>22</v>
      </c>
      <c r="J560" s="5" t="s">
        <v>31</v>
      </c>
      <c r="K560" s="5" t="s">
        <v>55</v>
      </c>
      <c r="L560" s="6" t="s">
        <v>819</v>
      </c>
      <c r="M560" s="5" t="s">
        <v>46</v>
      </c>
      <c r="N560" s="5" t="s">
        <v>27</v>
      </c>
      <c r="O560" s="5">
        <v>12510.0</v>
      </c>
      <c r="P560" s="5">
        <v>74.0</v>
      </c>
      <c r="Q560" s="5">
        <v>4391.0</v>
      </c>
      <c r="R560" s="5">
        <v>9098.0</v>
      </c>
      <c r="S560" s="5">
        <v>6.0</v>
      </c>
      <c r="T560" s="5">
        <v>1524.470523</v>
      </c>
      <c r="V560" s="21">
        <f t="shared" si="1"/>
        <v>121.8601537</v>
      </c>
      <c r="W560" s="21">
        <f t="shared" si="2"/>
        <v>347.1807158</v>
      </c>
      <c r="X560" s="21">
        <f t="shared" si="3"/>
        <v>8.108108108</v>
      </c>
      <c r="Y560" s="21">
        <f t="shared" si="4"/>
        <v>254.0784205</v>
      </c>
      <c r="Z560" s="21">
        <f t="shared" si="5"/>
        <v>20.60095301</v>
      </c>
      <c r="AA560" s="21">
        <f t="shared" si="6"/>
        <v>0.5915267786</v>
      </c>
    </row>
    <row r="561">
      <c r="A561" s="4" t="s">
        <v>1919</v>
      </c>
      <c r="B561" s="4" t="str">
        <f>IFERROR(__xludf.DUMMYFUNCTION("SPLIT(A561:A1286, ""&gt;"")"),"US ")</f>
        <v>US </v>
      </c>
      <c r="C561" s="4" t="str">
        <f>IFERROR(__xludf.DUMMYFUNCTION("""COMPUTED_VALUE""")," Reach ")</f>
        <v> Reach </v>
      </c>
      <c r="D561" s="4" t="str">
        <f>IFERROR(__xludf.DUMMYFUNCTION("""COMPUTED_VALUE""")," Propensity Models ")</f>
        <v> Propensity Models </v>
      </c>
      <c r="E561" s="4" t="str">
        <f>IFERROR(__xludf.DUMMYFUNCTION("""COMPUTED_VALUE""")," Lifestyle ")</f>
        <v> Lifestyle </v>
      </c>
      <c r="F561" s="4" t="str">
        <f>IFERROR(__xludf.DUMMYFUNCTION("""COMPUTED_VALUE""")," Charities ")</f>
        <v> Charities </v>
      </c>
      <c r="G561" s="4" t="str">
        <f>IFERROR(__xludf.DUMMYFUNCTION("""COMPUTED_VALUE""")," Contributes by Volunteering")</f>
        <v> Contributes by Volunteering</v>
      </c>
      <c r="H561" s="4"/>
      <c r="I561" s="5" t="s">
        <v>61</v>
      </c>
      <c r="J561" s="5" t="s">
        <v>16</v>
      </c>
      <c r="K561" s="5" t="s">
        <v>29</v>
      </c>
      <c r="L561" s="6" t="s">
        <v>828</v>
      </c>
      <c r="M561" s="5" t="s">
        <v>26</v>
      </c>
      <c r="N561" s="5" t="s">
        <v>27</v>
      </c>
      <c r="O561" s="5">
        <v>15475.0</v>
      </c>
      <c r="P561" s="5">
        <v>110.0</v>
      </c>
      <c r="Q561" s="5">
        <v>6019.0</v>
      </c>
      <c r="R561" s="5">
        <v>10952.0</v>
      </c>
      <c r="S561" s="5">
        <v>9.0</v>
      </c>
      <c r="T561" s="5">
        <v>4156.713383</v>
      </c>
      <c r="V561" s="21">
        <f t="shared" si="1"/>
        <v>268.6082962</v>
      </c>
      <c r="W561" s="21">
        <f t="shared" si="2"/>
        <v>690.5986681</v>
      </c>
      <c r="X561" s="21">
        <f t="shared" si="3"/>
        <v>8.181818182</v>
      </c>
      <c r="Y561" s="21">
        <f t="shared" si="4"/>
        <v>461.8570426</v>
      </c>
      <c r="Z561" s="21">
        <f t="shared" si="5"/>
        <v>37.78830348</v>
      </c>
      <c r="AA561" s="21">
        <f t="shared" si="6"/>
        <v>0.7108239095</v>
      </c>
    </row>
    <row r="562">
      <c r="A562" s="4" t="s">
        <v>1564</v>
      </c>
      <c r="B562" s="4" t="str">
        <f>IFERROR(__xludf.DUMMYFUNCTION("SPLIT(A562:A1287, ""&gt;"")"),"OnAudience ")</f>
        <v>OnAudience </v>
      </c>
      <c r="C562" s="4" t="str">
        <f>IFERROR(__xludf.DUMMYFUNCTION("""COMPUTED_VALUE""")," Interest ")</f>
        <v> Interest </v>
      </c>
      <c r="D562" s="4" t="str">
        <f>IFERROR(__xludf.DUMMYFUNCTION("""COMPUTED_VALUE""")," Pets")</f>
        <v> Pets</v>
      </c>
      <c r="E562" s="4"/>
      <c r="F562" s="4"/>
      <c r="G562" s="4"/>
      <c r="H562" s="4"/>
      <c r="I562" s="5" t="s">
        <v>22</v>
      </c>
      <c r="J562" s="5" t="s">
        <v>23</v>
      </c>
      <c r="K562" s="5" t="s">
        <v>95</v>
      </c>
      <c r="L562" s="6" t="s">
        <v>830</v>
      </c>
      <c r="M562" s="5" t="s">
        <v>19</v>
      </c>
      <c r="N562" s="5" t="s">
        <v>27</v>
      </c>
      <c r="O562" s="5">
        <v>20572.0</v>
      </c>
      <c r="P562" s="5">
        <v>90.0</v>
      </c>
      <c r="Q562" s="5">
        <v>2226.0</v>
      </c>
      <c r="R562" s="5">
        <v>16510.0</v>
      </c>
      <c r="S562" s="5">
        <v>10.0</v>
      </c>
      <c r="T562" s="5">
        <v>1529.307229</v>
      </c>
      <c r="V562" s="21">
        <f t="shared" si="1"/>
        <v>74.33925865</v>
      </c>
      <c r="W562" s="21">
        <f t="shared" si="2"/>
        <v>687.0203185</v>
      </c>
      <c r="X562" s="21">
        <f t="shared" si="3"/>
        <v>11.11111111</v>
      </c>
      <c r="Y562" s="21">
        <f t="shared" si="4"/>
        <v>152.9307229</v>
      </c>
      <c r="Z562" s="21">
        <f t="shared" si="5"/>
        <v>16.99230254</v>
      </c>
      <c r="AA562" s="21">
        <f t="shared" si="6"/>
        <v>0.4374878476</v>
      </c>
    </row>
    <row r="563">
      <c r="A563" s="4" t="s">
        <v>1565</v>
      </c>
      <c r="B563" s="4" t="str">
        <f>IFERROR(__xludf.DUMMYFUNCTION("SPLIT(A563:A1288, ""&gt;"")"),"OnAudience ")</f>
        <v>OnAudience </v>
      </c>
      <c r="C563" s="4" t="str">
        <f>IFERROR(__xludf.DUMMYFUNCTION("""COMPUTED_VALUE""")," Interest ")</f>
        <v> Interest </v>
      </c>
      <c r="D563" s="4" t="str">
        <f>IFERROR(__xludf.DUMMYFUNCTION("""COMPUTED_VALUE""")," Technology &amp; Computing ")</f>
        <v> Technology &amp; Computing </v>
      </c>
      <c r="E563" s="4" t="str">
        <f>IFERROR(__xludf.DUMMYFUNCTION("""COMPUTED_VALUE""")," Email")</f>
        <v> Email</v>
      </c>
      <c r="F563" s="4"/>
      <c r="G563" s="4"/>
      <c r="H563" s="4"/>
      <c r="I563" s="5" t="s">
        <v>22</v>
      </c>
      <c r="J563" s="5" t="s">
        <v>23</v>
      </c>
      <c r="K563" s="5" t="s">
        <v>84</v>
      </c>
      <c r="L563" s="6" t="s">
        <v>832</v>
      </c>
      <c r="M563" s="5" t="s">
        <v>327</v>
      </c>
      <c r="N563" s="5" t="s">
        <v>27</v>
      </c>
      <c r="O563" s="5">
        <v>16956.0</v>
      </c>
      <c r="P563" s="5">
        <v>65.0</v>
      </c>
      <c r="Q563" s="5">
        <v>7553.0</v>
      </c>
      <c r="R563" s="5">
        <v>15201.0</v>
      </c>
      <c r="S563" s="5">
        <v>3.0</v>
      </c>
      <c r="T563" s="5">
        <v>1502.680139</v>
      </c>
      <c r="V563" s="21">
        <f t="shared" si="1"/>
        <v>88.62232478</v>
      </c>
      <c r="W563" s="21">
        <f t="shared" si="2"/>
        <v>198.9514284</v>
      </c>
      <c r="X563" s="21">
        <f t="shared" si="3"/>
        <v>4.615384615</v>
      </c>
      <c r="Y563" s="21">
        <f t="shared" si="4"/>
        <v>500.8933797</v>
      </c>
      <c r="Z563" s="21">
        <f t="shared" si="5"/>
        <v>23.11815598</v>
      </c>
      <c r="AA563" s="21">
        <f t="shared" si="6"/>
        <v>0.3833451286</v>
      </c>
    </row>
    <row r="564">
      <c r="A564" s="4" t="s">
        <v>1920</v>
      </c>
      <c r="B564" s="4" t="str">
        <f>IFERROR(__xludf.DUMMYFUNCTION("SPLIT(A564:A1289, ""&gt;"")"),"Online Behavior")</f>
        <v>Online Behavior</v>
      </c>
      <c r="C564" s="4" t="str">
        <f>IFERROR(__xludf.DUMMYFUNCTION("""COMPUTED_VALUE"""),"United States")</f>
        <v>United States</v>
      </c>
      <c r="D564" s="4" t="str">
        <f>IFERROR(__xludf.DUMMYFUNCTION("""COMPUTED_VALUE"""),"Autos and Vehicles ")</f>
        <v>Autos and Vehicles </v>
      </c>
      <c r="E564" s="4" t="str">
        <f>IFERROR(__xludf.DUMMYFUNCTION("""COMPUTED_VALUE""")," Brands")</f>
        <v> Brands</v>
      </c>
      <c r="F564" s="4" t="str">
        <f>IFERROR(__xludf.DUMMYFUNCTION("""COMPUTED_VALUE"""),"Lexus")</f>
        <v>Lexus</v>
      </c>
      <c r="G564" s="4"/>
      <c r="H564" s="4"/>
      <c r="I564" s="5" t="s">
        <v>15</v>
      </c>
      <c r="J564" s="5" t="s">
        <v>16</v>
      </c>
      <c r="K564" s="5" t="s">
        <v>35</v>
      </c>
      <c r="L564" s="6" t="s">
        <v>834</v>
      </c>
      <c r="M564" s="5" t="s">
        <v>117</v>
      </c>
      <c r="N564" s="5" t="s">
        <v>52</v>
      </c>
      <c r="O564" s="5">
        <v>17075.0</v>
      </c>
      <c r="P564" s="5">
        <v>44.0</v>
      </c>
      <c r="Q564" s="5">
        <v>5508.0</v>
      </c>
      <c r="R564" s="5">
        <v>11539.0</v>
      </c>
      <c r="S564" s="5">
        <v>10.0</v>
      </c>
      <c r="T564" s="5">
        <v>5086.08996</v>
      </c>
      <c r="V564" s="21">
        <f t="shared" si="1"/>
        <v>297.8676404</v>
      </c>
      <c r="W564" s="21">
        <f t="shared" si="2"/>
        <v>923.4005011</v>
      </c>
      <c r="X564" s="21">
        <f t="shared" si="3"/>
        <v>22.72727273</v>
      </c>
      <c r="Y564" s="21">
        <f t="shared" si="4"/>
        <v>508.608996</v>
      </c>
      <c r="Z564" s="21">
        <f t="shared" si="5"/>
        <v>115.5929536</v>
      </c>
      <c r="AA564" s="21">
        <f t="shared" si="6"/>
        <v>0.2576866764</v>
      </c>
    </row>
    <row r="565">
      <c r="A565" s="4" t="s">
        <v>835</v>
      </c>
      <c r="B565" s="4" t="str">
        <f>IFERROR(__xludf.DUMMYFUNCTION("SPLIT(A565:A1290, ""&gt;"")"),"Online Behavior")</f>
        <v>Online Behavior</v>
      </c>
      <c r="C565" s="4" t="str">
        <f>IFERROR(__xludf.DUMMYFUNCTION("""COMPUTED_VALUE"""),"United States")</f>
        <v>United States</v>
      </c>
      <c r="D565" s="4" t="str">
        <f>IFERROR(__xludf.DUMMYFUNCTION("""COMPUTED_VALUE"""),"The Changing Consumer")</f>
        <v>The Changing Consumer</v>
      </c>
      <c r="E565" s="4" t="str">
        <f>IFERROR(__xludf.DUMMYFUNCTION("""COMPUTED_VALUE"""),"Streaming Services")</f>
        <v>Streaming Services</v>
      </c>
      <c r="F565" s="4"/>
      <c r="G565" s="4"/>
      <c r="H565" s="4"/>
      <c r="I565" s="5" t="s">
        <v>22</v>
      </c>
      <c r="J565" s="5" t="s">
        <v>23</v>
      </c>
      <c r="K565" s="5" t="s">
        <v>84</v>
      </c>
      <c r="L565" s="6" t="s">
        <v>836</v>
      </c>
      <c r="M565" s="5" t="s">
        <v>19</v>
      </c>
      <c r="N565" s="5" t="s">
        <v>27</v>
      </c>
      <c r="O565" s="5">
        <v>9709.0</v>
      </c>
      <c r="P565" s="5">
        <v>58.0</v>
      </c>
      <c r="Q565" s="5">
        <v>3339.0</v>
      </c>
      <c r="R565" s="5">
        <v>7891.0</v>
      </c>
      <c r="S565" s="5">
        <v>3.0</v>
      </c>
      <c r="T565" s="5">
        <v>6994.085353</v>
      </c>
      <c r="V565" s="21">
        <f t="shared" si="1"/>
        <v>720.3713413</v>
      </c>
      <c r="W565" s="21">
        <f t="shared" si="2"/>
        <v>2094.664676</v>
      </c>
      <c r="X565" s="21">
        <f t="shared" si="3"/>
        <v>5.172413793</v>
      </c>
      <c r="Y565" s="21">
        <f t="shared" si="4"/>
        <v>2331.361784</v>
      </c>
      <c r="Z565" s="21">
        <f t="shared" si="5"/>
        <v>120.5876785</v>
      </c>
      <c r="AA565" s="21">
        <f t="shared" si="6"/>
        <v>0.5973838706</v>
      </c>
    </row>
    <row r="566">
      <c r="A566" s="4" t="s">
        <v>1567</v>
      </c>
      <c r="B566" s="4" t="str">
        <f>IFERROR(__xludf.DUMMYFUNCTION("SPLIT(A566:A1291, ""&gt;"")"),"Online Behavior")</f>
        <v>Online Behavior</v>
      </c>
      <c r="C566" s="4" t="str">
        <f>IFERROR(__xludf.DUMMYFUNCTION("""COMPUTED_VALUE"""),"United States")</f>
        <v>United States</v>
      </c>
      <c r="D566" s="4" t="str">
        <f>IFERROR(__xludf.DUMMYFUNCTION("""COMPUTED_VALUE"""),"Autos and Vehicles ")</f>
        <v>Autos and Vehicles </v>
      </c>
      <c r="E566" s="4" t="str">
        <f>IFERROR(__xludf.DUMMYFUNCTION("""COMPUTED_VALUE""")," Brands")</f>
        <v> Brands</v>
      </c>
      <c r="F566" s="4" t="str">
        <f>IFERROR(__xludf.DUMMYFUNCTION("""COMPUTED_VALUE"""),"Pontiac")</f>
        <v>Pontiac</v>
      </c>
      <c r="G566" s="4"/>
      <c r="H566" s="4"/>
      <c r="I566" s="5" t="s">
        <v>22</v>
      </c>
      <c r="J566" s="5" t="s">
        <v>16</v>
      </c>
      <c r="K566" s="5" t="s">
        <v>29</v>
      </c>
      <c r="L566" s="6" t="s">
        <v>836</v>
      </c>
      <c r="M566" s="5" t="s">
        <v>46</v>
      </c>
      <c r="N566" s="5" t="s">
        <v>27</v>
      </c>
      <c r="O566" s="5">
        <v>7769.0</v>
      </c>
      <c r="P566" s="5">
        <v>10.0</v>
      </c>
      <c r="Q566" s="5">
        <v>3152.0</v>
      </c>
      <c r="R566" s="5">
        <v>6464.0</v>
      </c>
      <c r="S566" s="5">
        <v>1.0</v>
      </c>
      <c r="T566" s="5">
        <v>5603.048132</v>
      </c>
      <c r="V566" s="21">
        <f t="shared" si="1"/>
        <v>721.205835</v>
      </c>
      <c r="W566" s="21">
        <f t="shared" si="2"/>
        <v>1777.616793</v>
      </c>
      <c r="X566" s="21">
        <f t="shared" si="3"/>
        <v>10</v>
      </c>
      <c r="Y566" s="21">
        <f t="shared" si="4"/>
        <v>5603.048132</v>
      </c>
      <c r="Z566" s="21">
        <f t="shared" si="5"/>
        <v>560.3048132</v>
      </c>
      <c r="AA566" s="21">
        <f t="shared" si="6"/>
        <v>0.1287166946</v>
      </c>
    </row>
    <row r="567">
      <c r="A567" s="4" t="s">
        <v>838</v>
      </c>
      <c r="B567" s="4" t="str">
        <f>IFERROR(__xludf.DUMMYFUNCTION("SPLIT(A567:A1292, ""&gt;"")"),"Online Behavior")</f>
        <v>Online Behavior</v>
      </c>
      <c r="C567" s="4" t="str">
        <f>IFERROR(__xludf.DUMMYFUNCTION("""COMPUTED_VALUE"""),"United States")</f>
        <v>United States</v>
      </c>
      <c r="D567" s="4" t="str">
        <f>IFERROR(__xludf.DUMMYFUNCTION("""COMPUTED_VALUE"""),"Home and Garden")</f>
        <v>Home and Garden</v>
      </c>
      <c r="E567" s="4" t="str">
        <f>IFERROR(__xludf.DUMMYFUNCTION("""COMPUTED_VALUE"""),"Bed and Bath")</f>
        <v>Bed and Bath</v>
      </c>
      <c r="F567" s="4"/>
      <c r="G567" s="4"/>
      <c r="H567" s="4"/>
      <c r="I567" s="5" t="s">
        <v>15</v>
      </c>
      <c r="J567" s="5" t="s">
        <v>42</v>
      </c>
      <c r="K567" s="5" t="s">
        <v>17</v>
      </c>
      <c r="L567" s="6" t="s">
        <v>839</v>
      </c>
      <c r="M567" s="5" t="s">
        <v>19</v>
      </c>
      <c r="N567" s="5" t="s">
        <v>20</v>
      </c>
      <c r="O567" s="5">
        <v>28888.0</v>
      </c>
      <c r="P567" s="5">
        <v>85.0</v>
      </c>
      <c r="Q567" s="5">
        <v>21437.0</v>
      </c>
      <c r="R567" s="5">
        <v>27586.0</v>
      </c>
      <c r="S567" s="5">
        <v>19.0</v>
      </c>
      <c r="T567" s="5">
        <v>6858.578118</v>
      </c>
      <c r="V567" s="21">
        <f t="shared" si="1"/>
        <v>237.4196247</v>
      </c>
      <c r="W567" s="21">
        <f t="shared" si="2"/>
        <v>319.9411353</v>
      </c>
      <c r="X567" s="21">
        <f t="shared" si="3"/>
        <v>22.35294118</v>
      </c>
      <c r="Y567" s="21">
        <f t="shared" si="4"/>
        <v>360.9777957</v>
      </c>
      <c r="Z567" s="21">
        <f t="shared" si="5"/>
        <v>80.68915433</v>
      </c>
      <c r="AA567" s="21">
        <f t="shared" si="6"/>
        <v>0.2942398228</v>
      </c>
    </row>
    <row r="568">
      <c r="A568" s="4" t="s">
        <v>1568</v>
      </c>
      <c r="B568" s="4" t="str">
        <f>IFERROR(__xludf.DUMMYFUNCTION("SPLIT(A568:A1293, ""&gt;"")"),"Media and Entertainment ")</f>
        <v>Media and Entertainment </v>
      </c>
      <c r="C568" s="4" t="str">
        <f>IFERROR(__xludf.DUMMYFUNCTION("""COMPUTED_VALUE""")," Connected TV and Over-the-Top (CTV and OTT)")</f>
        <v> Connected TV and Over-the-Top (CTV and OTT)</v>
      </c>
      <c r="D568" s="4"/>
      <c r="E568" s="4"/>
      <c r="F568" s="4"/>
      <c r="G568" s="4"/>
      <c r="H568" s="4"/>
      <c r="I568" s="5" t="s">
        <v>15</v>
      </c>
      <c r="J568" s="5" t="s">
        <v>23</v>
      </c>
      <c r="K568" s="5" t="s">
        <v>35</v>
      </c>
      <c r="L568" s="6" t="s">
        <v>839</v>
      </c>
      <c r="M568" s="5" t="s">
        <v>19</v>
      </c>
      <c r="N568" s="5" t="s">
        <v>27</v>
      </c>
      <c r="O568" s="5">
        <v>756687.0</v>
      </c>
      <c r="P568" s="5">
        <v>1984.0</v>
      </c>
      <c r="Q568" s="5">
        <v>442979.0</v>
      </c>
      <c r="R568" s="5">
        <v>611813.0</v>
      </c>
      <c r="S568" s="5">
        <v>14.0</v>
      </c>
      <c r="T568" s="5">
        <v>2452.997504</v>
      </c>
      <c r="V568" s="21">
        <f t="shared" si="1"/>
        <v>3.241759808</v>
      </c>
      <c r="W568" s="21">
        <f t="shared" si="2"/>
        <v>5.537502915</v>
      </c>
      <c r="X568" s="21">
        <f t="shared" si="3"/>
        <v>0.7056451613</v>
      </c>
      <c r="Y568" s="21">
        <f t="shared" si="4"/>
        <v>175.2141074</v>
      </c>
      <c r="Z568" s="21">
        <f t="shared" si="5"/>
        <v>1.236389871</v>
      </c>
      <c r="AA568" s="21">
        <f t="shared" si="6"/>
        <v>0.2621955974</v>
      </c>
    </row>
    <row r="569">
      <c r="A569" s="4" t="s">
        <v>1921</v>
      </c>
      <c r="B569" s="4" t="str">
        <f>IFERROR(__xludf.DUMMYFUNCTION("SPLIT(A569:A1294, ""&gt;"")"),"US ")</f>
        <v>US </v>
      </c>
      <c r="C569" s="4" t="str">
        <f>IFERROR(__xludf.DUMMYFUNCTION("""COMPUTED_VALUE""")," B2B ")</f>
        <v> B2B </v>
      </c>
      <c r="D569" s="4" t="str">
        <f>IFERROR(__xludf.DUMMYFUNCTION("""COMPUTED_VALUE""")," B2B Decision Maker Responsibilities ")</f>
        <v> B2B Decision Maker Responsibilities </v>
      </c>
      <c r="E569" s="4" t="str">
        <f>IFERROR(__xludf.DUMMYFUNCTION("""COMPUTED_VALUE""")," Television providers ")</f>
        <v> Television providers </v>
      </c>
      <c r="F569" s="4" t="str">
        <f>IFERROR(__xludf.DUMMYFUNCTION("""COMPUTED_VALUE""")," services")</f>
        <v> services</v>
      </c>
      <c r="G569" s="4"/>
      <c r="H569" s="4"/>
      <c r="I569" s="5" t="s">
        <v>15</v>
      </c>
      <c r="J569" s="5" t="s">
        <v>16</v>
      </c>
      <c r="K569" s="5" t="s">
        <v>84</v>
      </c>
      <c r="L569" s="6" t="s">
        <v>839</v>
      </c>
      <c r="M569" s="5" t="s">
        <v>19</v>
      </c>
      <c r="N569" s="5" t="s">
        <v>52</v>
      </c>
      <c r="O569" s="5">
        <v>56737.0</v>
      </c>
      <c r="P569" s="5">
        <v>145.0</v>
      </c>
      <c r="Q569" s="5">
        <v>41296.0</v>
      </c>
      <c r="R569" s="5">
        <v>53472.0</v>
      </c>
      <c r="S569" s="5">
        <v>5.0</v>
      </c>
      <c r="T569" s="5">
        <v>2028.370144</v>
      </c>
      <c r="V569" s="21">
        <f t="shared" si="1"/>
        <v>35.7503947</v>
      </c>
      <c r="W569" s="21">
        <f t="shared" si="2"/>
        <v>49.11783572</v>
      </c>
      <c r="X569" s="21">
        <f t="shared" si="3"/>
        <v>3.448275862</v>
      </c>
      <c r="Y569" s="21">
        <f t="shared" si="4"/>
        <v>405.6740288</v>
      </c>
      <c r="Z569" s="21">
        <f t="shared" si="5"/>
        <v>13.98875961</v>
      </c>
      <c r="AA569" s="21">
        <f t="shared" si="6"/>
        <v>0.2555651515</v>
      </c>
    </row>
    <row r="570">
      <c r="A570" s="4" t="s">
        <v>1922</v>
      </c>
      <c r="B570" s="4" t="str">
        <f>IFERROR(__xludf.DUMMYFUNCTION("SPLIT(A570:A1295, ""&gt;"")"),"US ")</f>
        <v>US </v>
      </c>
      <c r="C570" s="4" t="str">
        <f>IFERROR(__xludf.DUMMYFUNCTION("""COMPUTED_VALUE""")," B2B ")</f>
        <v> B2B </v>
      </c>
      <c r="D570" s="4" t="str">
        <f>IFERROR(__xludf.DUMMYFUNCTION("""COMPUTED_VALUE""")," Purchase DM ")</f>
        <v> Purchase DM </v>
      </c>
      <c r="E570" s="4" t="str">
        <f>IFERROR(__xludf.DUMMYFUNCTION("""COMPUTED_VALUE""")," Technology Services, Hardware and ")</f>
        <v> Technology Services, Hardware and </v>
      </c>
      <c r="F570" s="4" t="str">
        <f>IFERROR(__xludf.DUMMYFUNCTION("""COMPUTED_VALUE""")," or Software ")</f>
        <v> or Software </v>
      </c>
      <c r="G570" s="4" t="str">
        <f>IFERROR(__xludf.DUMMYFUNCTION("""COMPUTED_VALUE""")," I make the final decision with input from staff ")</f>
        <v> I make the final decision with input from staff </v>
      </c>
      <c r="H570" s="4" t="str">
        <f>IFERROR(__xludf.DUMMYFUNCTION("""COMPUTED_VALUE""")," management")</f>
        <v> management</v>
      </c>
      <c r="I570" s="5" t="s">
        <v>15</v>
      </c>
      <c r="J570" s="5" t="s">
        <v>42</v>
      </c>
      <c r="K570" s="5" t="s">
        <v>95</v>
      </c>
      <c r="L570" s="6" t="s">
        <v>843</v>
      </c>
      <c r="M570" s="5" t="s">
        <v>161</v>
      </c>
      <c r="N570" s="5" t="s">
        <v>27</v>
      </c>
      <c r="O570" s="5">
        <v>217824.0</v>
      </c>
      <c r="P570" s="5">
        <v>560.0</v>
      </c>
      <c r="Q570" s="5">
        <v>75089.0</v>
      </c>
      <c r="R570" s="5">
        <v>179723.0</v>
      </c>
      <c r="S570" s="5">
        <v>16.0</v>
      </c>
      <c r="T570" s="5">
        <v>1451.808544</v>
      </c>
      <c r="V570" s="21">
        <f t="shared" si="1"/>
        <v>6.665053181</v>
      </c>
      <c r="W570" s="21">
        <f t="shared" si="2"/>
        <v>19.33450364</v>
      </c>
      <c r="X570" s="21">
        <f t="shared" si="3"/>
        <v>2.857142857</v>
      </c>
      <c r="Y570" s="21">
        <f t="shared" si="4"/>
        <v>90.738034</v>
      </c>
      <c r="Z570" s="21">
        <f t="shared" si="5"/>
        <v>2.592515257</v>
      </c>
      <c r="AA570" s="21">
        <f t="shared" si="6"/>
        <v>0.2570882915</v>
      </c>
    </row>
    <row r="571">
      <c r="A571" s="4" t="s">
        <v>1571</v>
      </c>
      <c r="B571" s="4" t="str">
        <f>IFERROR(__xludf.DUMMYFUNCTION("SPLIT(A571:A1296, ""&gt;"")"),"Online Behavior")</f>
        <v>Online Behavior</v>
      </c>
      <c r="C571" s="4" t="str">
        <f>IFERROR(__xludf.DUMMYFUNCTION("""COMPUTED_VALUE"""),"United States")</f>
        <v>United States</v>
      </c>
      <c r="D571" s="4" t="str">
        <f>IFERROR(__xludf.DUMMYFUNCTION("""COMPUTED_VALUE"""),"Intent ")</f>
        <v>Intent </v>
      </c>
      <c r="E571" s="4" t="str">
        <f>IFERROR(__xludf.DUMMYFUNCTION("""COMPUTED_VALUE""")," Auto Buyers ")</f>
        <v> Auto Buyers </v>
      </c>
      <c r="F571" s="4" t="str">
        <f>IFERROR(__xludf.DUMMYFUNCTION("""COMPUTED_VALUE""")," Category")</f>
        <v> Category</v>
      </c>
      <c r="G571" s="4" t="str">
        <f>IFERROR(__xludf.DUMMYFUNCTION("""COMPUTED_VALUE"""),"Van")</f>
        <v>Van</v>
      </c>
      <c r="H571" s="4"/>
      <c r="I571" s="5" t="s">
        <v>22</v>
      </c>
      <c r="J571" s="5" t="s">
        <v>23</v>
      </c>
      <c r="K571" s="5" t="s">
        <v>35</v>
      </c>
      <c r="L571" s="6" t="s">
        <v>845</v>
      </c>
      <c r="M571" s="5" t="s">
        <v>19</v>
      </c>
      <c r="N571" s="5" t="s">
        <v>27</v>
      </c>
      <c r="O571" s="5">
        <v>9153.0</v>
      </c>
      <c r="P571" s="5">
        <v>23.0</v>
      </c>
      <c r="Q571" s="5">
        <v>4345.0</v>
      </c>
      <c r="R571" s="5">
        <v>8376.0</v>
      </c>
      <c r="S571" s="5">
        <v>14.0</v>
      </c>
      <c r="T571" s="5">
        <v>5007.525805</v>
      </c>
      <c r="V571" s="21">
        <f t="shared" si="1"/>
        <v>547.0912056</v>
      </c>
      <c r="W571" s="21">
        <f t="shared" si="2"/>
        <v>1152.480047</v>
      </c>
      <c r="X571" s="21">
        <f t="shared" si="3"/>
        <v>60.86956522</v>
      </c>
      <c r="Y571" s="21">
        <f t="shared" si="4"/>
        <v>357.6804146</v>
      </c>
      <c r="Z571" s="21">
        <f t="shared" si="5"/>
        <v>217.7185133</v>
      </c>
      <c r="AA571" s="21">
        <f t="shared" si="6"/>
        <v>0.2512837321</v>
      </c>
    </row>
    <row r="572">
      <c r="A572" s="4" t="s">
        <v>1572</v>
      </c>
      <c r="B572" s="4" t="str">
        <f>IFERROR(__xludf.DUMMYFUNCTION("SPLIT(A572:A1297, ""&gt;"")"),"Online Behavior")</f>
        <v>Online Behavior</v>
      </c>
      <c r="C572" s="4" t="str">
        <f>IFERROR(__xludf.DUMMYFUNCTION("""COMPUTED_VALUE"""),"United States")</f>
        <v>United States</v>
      </c>
      <c r="D572" s="4" t="str">
        <f>IFERROR(__xludf.DUMMYFUNCTION("""COMPUTED_VALUE"""),"B2B ")</f>
        <v>B2B </v>
      </c>
      <c r="E572" s="4" t="str">
        <f>IFERROR(__xludf.DUMMYFUNCTION("""COMPUTED_VALUE""")," Occupation")</f>
        <v> Occupation</v>
      </c>
      <c r="F572" s="4" t="str">
        <f>IFERROR(__xludf.DUMMYFUNCTION("""COMPUTED_VALUE"""),"Broker")</f>
        <v>Broker</v>
      </c>
      <c r="G572" s="4"/>
      <c r="H572" s="4"/>
      <c r="I572" s="5" t="s">
        <v>22</v>
      </c>
      <c r="J572" s="5" t="s">
        <v>31</v>
      </c>
      <c r="K572" s="5" t="s">
        <v>43</v>
      </c>
      <c r="L572" s="6" t="s">
        <v>847</v>
      </c>
      <c r="M572" s="5" t="s">
        <v>46</v>
      </c>
      <c r="N572" s="5" t="s">
        <v>27</v>
      </c>
      <c r="O572" s="5">
        <v>21962.0</v>
      </c>
      <c r="P572" s="5">
        <v>120.0</v>
      </c>
      <c r="Q572" s="5">
        <v>10702.0</v>
      </c>
      <c r="R572" s="5">
        <v>21034.0</v>
      </c>
      <c r="S572" s="5">
        <v>11.0</v>
      </c>
      <c r="T572" s="5">
        <v>6404.003128</v>
      </c>
      <c r="V572" s="21">
        <f t="shared" si="1"/>
        <v>291.5947149</v>
      </c>
      <c r="W572" s="21">
        <f t="shared" si="2"/>
        <v>598.3931161</v>
      </c>
      <c r="X572" s="21">
        <f t="shared" si="3"/>
        <v>9.166666667</v>
      </c>
      <c r="Y572" s="21">
        <f t="shared" si="4"/>
        <v>582.1821025</v>
      </c>
      <c r="Z572" s="21">
        <f t="shared" si="5"/>
        <v>53.36669273</v>
      </c>
      <c r="AA572" s="21">
        <f t="shared" si="6"/>
        <v>0.5463983244</v>
      </c>
    </row>
    <row r="573">
      <c r="A573" s="4" t="s">
        <v>848</v>
      </c>
      <c r="B573" s="4" t="str">
        <f>IFERROR(__xludf.DUMMYFUNCTION("SPLIT(A573:A1298, ""&gt;"")"),"Online Behavior")</f>
        <v>Online Behavior</v>
      </c>
      <c r="C573" s="4" t="str">
        <f>IFERROR(__xludf.DUMMYFUNCTION("""COMPUTED_VALUE"""),"United States")</f>
        <v>United States</v>
      </c>
      <c r="D573" s="4" t="str">
        <f>IFERROR(__xludf.DUMMYFUNCTION("""COMPUTED_VALUE"""),"The Changing Consumer")</f>
        <v>The Changing Consumer</v>
      </c>
      <c r="E573" s="4" t="str">
        <f>IFERROR(__xludf.DUMMYFUNCTION("""COMPUTED_VALUE"""),"DIY")</f>
        <v>DIY</v>
      </c>
      <c r="F573" s="4"/>
      <c r="G573" s="4"/>
      <c r="H573" s="4"/>
      <c r="I573" s="5" t="s">
        <v>22</v>
      </c>
      <c r="J573" s="5" t="s">
        <v>23</v>
      </c>
      <c r="K573" s="5" t="s">
        <v>32</v>
      </c>
      <c r="L573" s="6" t="s">
        <v>849</v>
      </c>
      <c r="M573" s="5" t="s">
        <v>19</v>
      </c>
      <c r="N573" s="5" t="s">
        <v>27</v>
      </c>
      <c r="O573" s="5">
        <v>12161.0</v>
      </c>
      <c r="P573" s="5">
        <v>20.0</v>
      </c>
      <c r="Q573" s="5">
        <v>6284.0</v>
      </c>
      <c r="R573" s="5">
        <v>10919.0</v>
      </c>
      <c r="S573" s="5">
        <v>4.0</v>
      </c>
      <c r="T573" s="5">
        <v>7273.265988</v>
      </c>
      <c r="V573" s="21">
        <f t="shared" si="1"/>
        <v>598.0812423</v>
      </c>
      <c r="W573" s="21">
        <f t="shared" si="2"/>
        <v>1157.42616</v>
      </c>
      <c r="X573" s="21">
        <f t="shared" si="3"/>
        <v>20</v>
      </c>
      <c r="Y573" s="21">
        <f t="shared" si="4"/>
        <v>1818.316497</v>
      </c>
      <c r="Z573" s="21">
        <f t="shared" si="5"/>
        <v>363.6632994</v>
      </c>
      <c r="AA573" s="21">
        <f t="shared" si="6"/>
        <v>0.1644601595</v>
      </c>
    </row>
    <row r="574">
      <c r="A574" s="4" t="s">
        <v>1923</v>
      </c>
      <c r="B574" s="4" t="str">
        <f>IFERROR(__xludf.DUMMYFUNCTION("SPLIT(A574:A1299, ""&gt;"")"),"US ")</f>
        <v>US </v>
      </c>
      <c r="C574" s="4" t="str">
        <f>IFERROR(__xludf.DUMMYFUNCTION("""COMPUTED_VALUE""")," Reach ")</f>
        <v> Reach </v>
      </c>
      <c r="D574" s="4" t="str">
        <f>IFERROR(__xludf.DUMMYFUNCTION("""COMPUTED_VALUE""")," Propensity Models ")</f>
        <v> Propensity Models </v>
      </c>
      <c r="E574" s="4" t="str">
        <f>IFERROR(__xludf.DUMMYFUNCTION("""COMPUTED_VALUE""")," Hobbies and Interest ")</f>
        <v> Hobbies and Interest </v>
      </c>
      <c r="F574" s="4" t="str">
        <f>IFERROR(__xludf.DUMMYFUNCTION("""COMPUTED_VALUE""")," Sports ")</f>
        <v> Sports </v>
      </c>
      <c r="G574" s="4" t="str">
        <f>IFERROR(__xludf.DUMMYFUNCTION("""COMPUTED_VALUE""")," Canoeing ")</f>
        <v> Canoeing </v>
      </c>
      <c r="H574" s="4" t="str">
        <f>IFERROR(__xludf.DUMMYFUNCTION("""COMPUTED_VALUE""")," Kayaking")</f>
        <v> Kayaking</v>
      </c>
      <c r="I574" s="5" t="s">
        <v>15</v>
      </c>
      <c r="J574" s="5" t="s">
        <v>16</v>
      </c>
      <c r="K574" s="5" t="s">
        <v>29</v>
      </c>
      <c r="L574" s="6" t="s">
        <v>851</v>
      </c>
      <c r="M574" s="5" t="s">
        <v>46</v>
      </c>
      <c r="N574" s="5" t="s">
        <v>27</v>
      </c>
      <c r="O574" s="5">
        <v>10653.0</v>
      </c>
      <c r="P574" s="5">
        <v>68.0</v>
      </c>
      <c r="Q574" s="5">
        <v>5263.0</v>
      </c>
      <c r="R574" s="5">
        <v>9921.0</v>
      </c>
      <c r="S574" s="5">
        <v>11.0</v>
      </c>
      <c r="T574" s="5">
        <v>2641.478397</v>
      </c>
      <c r="V574" s="21">
        <f t="shared" si="1"/>
        <v>247.9562937</v>
      </c>
      <c r="W574" s="21">
        <f t="shared" si="2"/>
        <v>501.8959523</v>
      </c>
      <c r="X574" s="21">
        <f t="shared" si="3"/>
        <v>16.17647059</v>
      </c>
      <c r="Y574" s="21">
        <f t="shared" si="4"/>
        <v>240.1343997</v>
      </c>
      <c r="Z574" s="21">
        <f t="shared" si="5"/>
        <v>38.84527054</v>
      </c>
      <c r="AA574" s="21">
        <f t="shared" si="6"/>
        <v>0.6383178447</v>
      </c>
    </row>
    <row r="575">
      <c r="A575" s="4" t="s">
        <v>1575</v>
      </c>
      <c r="B575" s="4" t="str">
        <f>IFERROR(__xludf.DUMMYFUNCTION("SPLIT(A575:A1301, ""&gt;"")"),"Online Behavior")</f>
        <v>Online Behavior</v>
      </c>
      <c r="C575" s="4" t="str">
        <f>IFERROR(__xludf.DUMMYFUNCTION("""COMPUTED_VALUE"""),"United States")</f>
        <v>United States</v>
      </c>
      <c r="D575" s="4" t="str">
        <f>IFERROR(__xludf.DUMMYFUNCTION("""COMPUTED_VALUE"""),"Finance ")</f>
        <v>Finance </v>
      </c>
      <c r="E575" s="4" t="str">
        <f>IFERROR(__xludf.DUMMYFUNCTION("""COMPUTED_VALUE""")," Banking")</f>
        <v> Banking</v>
      </c>
      <c r="F575" s="4" t="str">
        <f>IFERROR(__xludf.DUMMYFUNCTION("""COMPUTED_VALUE"""),"Debit and Checking Services")</f>
        <v>Debit and Checking Services</v>
      </c>
      <c r="G575" s="4"/>
      <c r="H575" s="4"/>
      <c r="I575" s="5" t="s">
        <v>15</v>
      </c>
      <c r="J575" s="5" t="s">
        <v>16</v>
      </c>
      <c r="K575" s="5" t="s">
        <v>35</v>
      </c>
      <c r="L575" s="6" t="s">
        <v>855</v>
      </c>
      <c r="M575" s="5" t="s">
        <v>46</v>
      </c>
      <c r="N575" s="5" t="s">
        <v>27</v>
      </c>
      <c r="O575" s="5">
        <v>8362.0</v>
      </c>
      <c r="P575" s="5">
        <v>31.0</v>
      </c>
      <c r="Q575" s="5">
        <v>5959.0</v>
      </c>
      <c r="R575" s="5">
        <v>7947.0</v>
      </c>
      <c r="S575" s="5">
        <v>7.0</v>
      </c>
      <c r="T575" s="5">
        <v>6997.468963</v>
      </c>
      <c r="V575" s="21">
        <f t="shared" si="1"/>
        <v>836.8176229</v>
      </c>
      <c r="W575" s="21">
        <f t="shared" si="2"/>
        <v>1174.268999</v>
      </c>
      <c r="X575" s="21">
        <f t="shared" si="3"/>
        <v>22.58064516</v>
      </c>
      <c r="Y575" s="21">
        <f t="shared" si="4"/>
        <v>999.6384233</v>
      </c>
      <c r="Z575" s="21">
        <f t="shared" si="5"/>
        <v>225.7248053</v>
      </c>
      <c r="AA575" s="21">
        <f t="shared" si="6"/>
        <v>0.370724707</v>
      </c>
    </row>
    <row r="576">
      <c r="A576" s="4" t="s">
        <v>1576</v>
      </c>
      <c r="B576" s="4" t="str">
        <f>IFERROR(__xludf.DUMMYFUNCTION("SPLIT(A576:A1302, ""&gt;"")"),"OnAudience ")</f>
        <v>OnAudience </v>
      </c>
      <c r="C576" s="4" t="str">
        <f>IFERROR(__xludf.DUMMYFUNCTION("""COMPUTED_VALUE""")," Interest ")</f>
        <v> Interest </v>
      </c>
      <c r="D576" s="4" t="str">
        <f>IFERROR(__xludf.DUMMYFUNCTION("""COMPUTED_VALUE""")," Society")</f>
        <v> Society</v>
      </c>
      <c r="E576" s="4"/>
      <c r="F576" s="4"/>
      <c r="G576" s="4"/>
      <c r="H576" s="4"/>
      <c r="I576" s="5" t="s">
        <v>61</v>
      </c>
      <c r="J576" s="5" t="s">
        <v>16</v>
      </c>
      <c r="K576" s="5" t="s">
        <v>66</v>
      </c>
      <c r="L576" s="6" t="s">
        <v>857</v>
      </c>
      <c r="M576" s="5" t="s">
        <v>26</v>
      </c>
      <c r="N576" s="5" t="s">
        <v>27</v>
      </c>
      <c r="O576" s="5">
        <v>7531.0</v>
      </c>
      <c r="P576" s="5">
        <v>10.0</v>
      </c>
      <c r="Q576" s="5">
        <v>3059.0</v>
      </c>
      <c r="R576" s="5">
        <v>6523.0</v>
      </c>
      <c r="S576" s="5">
        <v>1.0</v>
      </c>
      <c r="T576" s="5">
        <v>1937.058388</v>
      </c>
      <c r="V576" s="21">
        <f t="shared" si="1"/>
        <v>257.2113116</v>
      </c>
      <c r="W576" s="21">
        <f t="shared" si="2"/>
        <v>633.2325557</v>
      </c>
      <c r="X576" s="21">
        <f t="shared" si="3"/>
        <v>10</v>
      </c>
      <c r="Y576" s="21">
        <f t="shared" si="4"/>
        <v>1937.058388</v>
      </c>
      <c r="Z576" s="21">
        <f t="shared" si="5"/>
        <v>193.7058388</v>
      </c>
      <c r="AA576" s="21">
        <f t="shared" si="6"/>
        <v>0.1327844908</v>
      </c>
    </row>
    <row r="577">
      <c r="A577" s="4" t="s">
        <v>1577</v>
      </c>
      <c r="B577" s="4" t="str">
        <f>IFERROR(__xludf.DUMMYFUNCTION("SPLIT(A577:A1303, ""&gt;"")"),"Online Behavior")</f>
        <v>Online Behavior</v>
      </c>
      <c r="C577" s="4" t="str">
        <f>IFERROR(__xludf.DUMMYFUNCTION("""COMPUTED_VALUE"""),"United States")</f>
        <v>United States</v>
      </c>
      <c r="D577" s="4" t="str">
        <f>IFERROR(__xludf.DUMMYFUNCTION("""COMPUTED_VALUE"""),"Autos and Vehicles ")</f>
        <v>Autos and Vehicles </v>
      </c>
      <c r="E577" s="4" t="str">
        <f>IFERROR(__xludf.DUMMYFUNCTION("""COMPUTED_VALUE""")," Brands")</f>
        <v> Brands</v>
      </c>
      <c r="F577" s="4" t="str">
        <f>IFERROR(__xludf.DUMMYFUNCTION("""COMPUTED_VALUE"""),"Fiat")</f>
        <v>Fiat</v>
      </c>
      <c r="G577" s="4"/>
      <c r="H577" s="4"/>
      <c r="I577" s="5" t="s">
        <v>15</v>
      </c>
      <c r="J577" s="5" t="s">
        <v>42</v>
      </c>
      <c r="K577" s="5" t="s">
        <v>35</v>
      </c>
      <c r="L577" s="6" t="s">
        <v>859</v>
      </c>
      <c r="M577" s="5" t="s">
        <v>36</v>
      </c>
      <c r="N577" s="5" t="s">
        <v>27</v>
      </c>
      <c r="O577" s="5">
        <v>11417.0</v>
      </c>
      <c r="P577" s="5">
        <v>78.0</v>
      </c>
      <c r="Q577" s="5">
        <v>1387.0</v>
      </c>
      <c r="R577" s="5">
        <v>9924.0</v>
      </c>
      <c r="S577" s="5">
        <v>9.0</v>
      </c>
      <c r="T577" s="5">
        <v>6206.637108</v>
      </c>
      <c r="V577" s="21">
        <f t="shared" si="1"/>
        <v>543.6311735</v>
      </c>
      <c r="W577" s="21">
        <f t="shared" si="2"/>
        <v>4474.864534</v>
      </c>
      <c r="X577" s="21">
        <f t="shared" si="3"/>
        <v>11.53846154</v>
      </c>
      <c r="Y577" s="21">
        <f t="shared" si="4"/>
        <v>689.6263453</v>
      </c>
      <c r="Z577" s="21">
        <f t="shared" si="5"/>
        <v>79.57227062</v>
      </c>
      <c r="AA577" s="21">
        <f t="shared" si="6"/>
        <v>0.6831917316</v>
      </c>
    </row>
    <row r="578">
      <c r="A578" s="4" t="s">
        <v>1924</v>
      </c>
      <c r="B578" s="4" t="str">
        <f>IFERROR(__xludf.DUMMYFUNCTION("SPLIT(A578:A1304, ""&gt;"")"),"Mobile - US ")</f>
        <v>Mobile - US </v>
      </c>
      <c r="C578" s="4" t="str">
        <f>IFERROR(__xludf.DUMMYFUNCTION("""COMPUTED_VALUE""")," Automotive ")</f>
        <v> Automotive </v>
      </c>
      <c r="D578" s="4" t="str">
        <f>IFERROR(__xludf.DUMMYFUNCTION("""COMPUTED_VALUE""")," Repair &amp; Oil Change ")</f>
        <v> Repair &amp; Oil Change </v>
      </c>
      <c r="E578" s="4" t="str">
        <f>IFERROR(__xludf.DUMMYFUNCTION("""COMPUTED_VALUE""")," Intend")</f>
        <v> Intend</v>
      </c>
      <c r="F578" s="4"/>
      <c r="G578" s="4"/>
      <c r="H578" s="4"/>
      <c r="I578" s="5" t="s">
        <v>22</v>
      </c>
      <c r="J578" s="5" t="s">
        <v>16</v>
      </c>
      <c r="K578" s="5" t="s">
        <v>29</v>
      </c>
      <c r="L578" s="6" t="s">
        <v>861</v>
      </c>
      <c r="M578" s="5" t="s">
        <v>117</v>
      </c>
      <c r="N578" s="5" t="s">
        <v>27</v>
      </c>
      <c r="O578" s="5">
        <v>9157.0</v>
      </c>
      <c r="P578" s="5">
        <v>60.0</v>
      </c>
      <c r="Q578" s="5">
        <v>4520.0</v>
      </c>
      <c r="R578" s="5">
        <v>8037.0</v>
      </c>
      <c r="S578" s="5">
        <v>2.0</v>
      </c>
      <c r="T578" s="5">
        <v>1449.177804</v>
      </c>
      <c r="V578" s="21">
        <f t="shared" si="1"/>
        <v>158.2590154</v>
      </c>
      <c r="W578" s="21">
        <f t="shared" si="2"/>
        <v>320.6145584</v>
      </c>
      <c r="X578" s="21">
        <f t="shared" si="3"/>
        <v>3.333333333</v>
      </c>
      <c r="Y578" s="21">
        <f t="shared" si="4"/>
        <v>724.588902</v>
      </c>
      <c r="Z578" s="21">
        <f t="shared" si="5"/>
        <v>24.1529634</v>
      </c>
      <c r="AA578" s="21">
        <f t="shared" si="6"/>
        <v>0.6552364311</v>
      </c>
    </row>
    <row r="579">
      <c r="A579" s="4" t="s">
        <v>1925</v>
      </c>
      <c r="B579" s="4" t="str">
        <f>IFERROR(__xludf.DUMMYFUNCTION("SPLIT(A579:A1305, ""&gt;"")"),"US ")</f>
        <v>US </v>
      </c>
      <c r="C579" s="4" t="str">
        <f>IFERROR(__xludf.DUMMYFUNCTION("""COMPUTED_VALUE""")," Home Renovation ")</f>
        <v> Home Renovation </v>
      </c>
      <c r="D579" s="4" t="str">
        <f>IFERROR(__xludf.DUMMYFUNCTION("""COMPUTED_VALUE""")," Home Renovators")</f>
        <v> Home Renovators</v>
      </c>
      <c r="E579" s="4"/>
      <c r="F579" s="4"/>
      <c r="G579" s="4"/>
      <c r="H579" s="4"/>
      <c r="I579" s="5" t="s">
        <v>15</v>
      </c>
      <c r="J579" s="5" t="s">
        <v>31</v>
      </c>
      <c r="K579" s="5" t="s">
        <v>35</v>
      </c>
      <c r="L579" s="6" t="s">
        <v>863</v>
      </c>
      <c r="M579" s="5" t="s">
        <v>19</v>
      </c>
      <c r="N579" s="5" t="s">
        <v>27</v>
      </c>
      <c r="O579" s="5">
        <v>15547.0</v>
      </c>
      <c r="P579" s="5">
        <v>70.0</v>
      </c>
      <c r="Q579" s="5">
        <v>7615.0</v>
      </c>
      <c r="R579" s="5">
        <v>14939.0</v>
      </c>
      <c r="S579" s="5">
        <v>3.0</v>
      </c>
      <c r="T579" s="5">
        <v>1767.464456</v>
      </c>
      <c r="V579" s="21">
        <f t="shared" si="1"/>
        <v>113.6852419</v>
      </c>
      <c r="W579" s="21">
        <f t="shared" si="2"/>
        <v>232.1030146</v>
      </c>
      <c r="X579" s="21">
        <f t="shared" si="3"/>
        <v>4.285714286</v>
      </c>
      <c r="Y579" s="21">
        <f t="shared" si="4"/>
        <v>589.1548187</v>
      </c>
      <c r="Z579" s="21">
        <f t="shared" si="5"/>
        <v>25.24949223</v>
      </c>
      <c r="AA579" s="21">
        <f t="shared" si="6"/>
        <v>0.4502476362</v>
      </c>
    </row>
    <row r="580">
      <c r="A580" s="4" t="s">
        <v>864</v>
      </c>
      <c r="B580" s="4" t="str">
        <f>IFERROR(__xludf.DUMMYFUNCTION("SPLIT(A580:A1306, ""&gt;"")"),"Online Behavior")</f>
        <v>Online Behavior</v>
      </c>
      <c r="C580" s="4" t="str">
        <f>IFERROR(__xludf.DUMMYFUNCTION("""COMPUTED_VALUE"""),"United States")</f>
        <v>United States</v>
      </c>
      <c r="D580" s="4" t="str">
        <f>IFERROR(__xludf.DUMMYFUNCTION("""COMPUTED_VALUE"""),"News")</f>
        <v>News</v>
      </c>
      <c r="E580" s="4" t="str">
        <f>IFERROR(__xludf.DUMMYFUNCTION("""COMPUTED_VALUE"""),"Politics")</f>
        <v>Politics</v>
      </c>
      <c r="F580" s="4"/>
      <c r="G580" s="4"/>
      <c r="H580" s="4"/>
      <c r="I580" s="5" t="s">
        <v>22</v>
      </c>
      <c r="J580" s="5" t="s">
        <v>23</v>
      </c>
      <c r="K580" s="5" t="s">
        <v>78</v>
      </c>
      <c r="L580" s="6" t="s">
        <v>865</v>
      </c>
      <c r="M580" s="5" t="s">
        <v>19</v>
      </c>
      <c r="N580" s="5" t="s">
        <v>27</v>
      </c>
      <c r="O580" s="5">
        <v>55445.0</v>
      </c>
      <c r="P580" s="5">
        <v>155.0</v>
      </c>
      <c r="Q580" s="5">
        <v>4565.0</v>
      </c>
      <c r="R580" s="5">
        <v>53407.0</v>
      </c>
      <c r="S580" s="5">
        <v>36.0</v>
      </c>
      <c r="T580" s="5">
        <v>7948.480752</v>
      </c>
      <c r="V580" s="21">
        <f t="shared" si="1"/>
        <v>143.3579358</v>
      </c>
      <c r="W580" s="21">
        <f t="shared" si="2"/>
        <v>1741.178697</v>
      </c>
      <c r="X580" s="21">
        <f t="shared" si="3"/>
        <v>23.22580645</v>
      </c>
      <c r="Y580" s="21">
        <f t="shared" si="4"/>
        <v>220.791132</v>
      </c>
      <c r="Z580" s="21">
        <f t="shared" si="5"/>
        <v>51.28052098</v>
      </c>
      <c r="AA580" s="21">
        <f t="shared" si="6"/>
        <v>0.2795563171</v>
      </c>
    </row>
    <row r="581">
      <c r="A581" s="4" t="s">
        <v>866</v>
      </c>
      <c r="B581" s="4" t="str">
        <f>IFERROR(__xludf.DUMMYFUNCTION("SPLIT(A581:A1307, ""&gt;"")"),"Online Behavior")</f>
        <v>Online Behavior</v>
      </c>
      <c r="C581" s="4" t="str">
        <f>IFERROR(__xludf.DUMMYFUNCTION("""COMPUTED_VALUE"""),"United States")</f>
        <v>United States</v>
      </c>
      <c r="D581" s="4" t="str">
        <f>IFERROR(__xludf.DUMMYFUNCTION("""COMPUTED_VALUE"""),"Life Event")</f>
        <v>Life Event</v>
      </c>
      <c r="E581" s="4" t="str">
        <f>IFERROR(__xludf.DUMMYFUNCTION("""COMPUTED_VALUE"""),"Job Search")</f>
        <v>Job Search</v>
      </c>
      <c r="F581" s="4"/>
      <c r="G581" s="4"/>
      <c r="H581" s="4"/>
      <c r="I581" s="5" t="s">
        <v>22</v>
      </c>
      <c r="J581" s="5" t="s">
        <v>42</v>
      </c>
      <c r="K581" s="5" t="s">
        <v>78</v>
      </c>
      <c r="L581" s="6" t="s">
        <v>865</v>
      </c>
      <c r="M581" s="5" t="s">
        <v>19</v>
      </c>
      <c r="N581" s="5" t="s">
        <v>27</v>
      </c>
      <c r="O581" s="5">
        <v>18081.0</v>
      </c>
      <c r="P581" s="5">
        <v>44.0</v>
      </c>
      <c r="Q581" s="5">
        <v>4545.0</v>
      </c>
      <c r="R581" s="5">
        <v>15617.0</v>
      </c>
      <c r="S581" s="5">
        <v>15.0</v>
      </c>
      <c r="T581" s="5">
        <v>6522.637526</v>
      </c>
      <c r="V581" s="21">
        <f t="shared" si="1"/>
        <v>360.7453972</v>
      </c>
      <c r="W581" s="21">
        <f t="shared" si="2"/>
        <v>1435.123768</v>
      </c>
      <c r="X581" s="21">
        <f t="shared" si="3"/>
        <v>34.09090909</v>
      </c>
      <c r="Y581" s="21">
        <f t="shared" si="4"/>
        <v>434.8425017</v>
      </c>
      <c r="Z581" s="21">
        <f t="shared" si="5"/>
        <v>148.241762</v>
      </c>
      <c r="AA581" s="21">
        <f t="shared" si="6"/>
        <v>0.2433493723</v>
      </c>
    </row>
    <row r="582">
      <c r="A582" s="4" t="s">
        <v>1581</v>
      </c>
      <c r="B582" s="4" t="str">
        <f>IFERROR(__xludf.DUMMYFUNCTION("SPLIT(A582:A1308, ""&gt;"")"),"Online Behavior")</f>
        <v>Online Behavior</v>
      </c>
      <c r="C582" s="4" t="str">
        <f>IFERROR(__xludf.DUMMYFUNCTION("""COMPUTED_VALUE"""),"United States")</f>
        <v>United States</v>
      </c>
      <c r="D582" s="4" t="str">
        <f>IFERROR(__xludf.DUMMYFUNCTION("""COMPUTED_VALUE"""),"Food and Drink")</f>
        <v>Food and Drink</v>
      </c>
      <c r="E582" s="4" t="str">
        <f>IFERROR(__xludf.DUMMYFUNCTION("""COMPUTED_VALUE"""),"Restaurants ")</f>
        <v>Restaurants </v>
      </c>
      <c r="F582" s="4" t="str">
        <f>IFERROR(__xludf.DUMMYFUNCTION("""COMPUTED_VALUE""")," Fine Dining")</f>
        <v> Fine Dining</v>
      </c>
      <c r="G582" s="4"/>
      <c r="H582" s="4"/>
      <c r="I582" s="5" t="s">
        <v>15</v>
      </c>
      <c r="J582" s="5" t="s">
        <v>31</v>
      </c>
      <c r="K582" s="5" t="s">
        <v>78</v>
      </c>
      <c r="L582" s="6" t="s">
        <v>865</v>
      </c>
      <c r="M582" s="5" t="s">
        <v>19</v>
      </c>
      <c r="N582" s="5" t="s">
        <v>52</v>
      </c>
      <c r="O582" s="5">
        <v>95655.0</v>
      </c>
      <c r="P582" s="5">
        <v>275.0</v>
      </c>
      <c r="Q582" s="5">
        <v>9202.0</v>
      </c>
      <c r="R582" s="5">
        <v>85273.0</v>
      </c>
      <c r="S582" s="5">
        <v>24.0</v>
      </c>
      <c r="T582" s="5">
        <v>6189.416082</v>
      </c>
      <c r="V582" s="21">
        <f t="shared" si="1"/>
        <v>64.70562001</v>
      </c>
      <c r="W582" s="21">
        <f t="shared" si="2"/>
        <v>672.6163967</v>
      </c>
      <c r="X582" s="21">
        <f t="shared" si="3"/>
        <v>8.727272727</v>
      </c>
      <c r="Y582" s="21">
        <f t="shared" si="4"/>
        <v>257.8923368</v>
      </c>
      <c r="Z582" s="21">
        <f t="shared" si="5"/>
        <v>22.50696757</v>
      </c>
      <c r="AA582" s="21">
        <f t="shared" si="6"/>
        <v>0.2874915059</v>
      </c>
    </row>
    <row r="583">
      <c r="A583" s="4" t="s">
        <v>1926</v>
      </c>
      <c r="B583" s="4" t="str">
        <f>IFERROR(__xludf.DUMMYFUNCTION("SPLIT(A583:A1309, ""&gt;"")"),"US ")</f>
        <v>US </v>
      </c>
      <c r="C583" s="4" t="str">
        <f>IFERROR(__xludf.DUMMYFUNCTION("""COMPUTED_VALUE""")," Brand Propensities ")</f>
        <v> Brand Propensities </v>
      </c>
      <c r="D583" s="4" t="str">
        <f>IFERROR(__xludf.DUMMYFUNCTION("""COMPUTED_VALUE""")," Apparel ")</f>
        <v> Apparel </v>
      </c>
      <c r="E583" s="4" t="str">
        <f>IFERROR(__xludf.DUMMYFUNCTION("""COMPUTED_VALUE""")," Lady Foot Locker Buyer Propensity")</f>
        <v> Lady Foot Locker Buyer Propensity</v>
      </c>
      <c r="F583" s="4"/>
      <c r="G583" s="4"/>
      <c r="H583" s="4"/>
      <c r="I583" s="5" t="s">
        <v>15</v>
      </c>
      <c r="J583" s="5" t="s">
        <v>16</v>
      </c>
      <c r="K583" s="5" t="s">
        <v>641</v>
      </c>
      <c r="L583" s="6" t="s">
        <v>865</v>
      </c>
      <c r="M583" s="5" t="s">
        <v>26</v>
      </c>
      <c r="N583" s="5" t="s">
        <v>52</v>
      </c>
      <c r="O583" s="5">
        <v>57257.0</v>
      </c>
      <c r="P583" s="5">
        <v>167.0</v>
      </c>
      <c r="Q583" s="5">
        <v>3797.0</v>
      </c>
      <c r="R583" s="5">
        <v>51520.0</v>
      </c>
      <c r="S583" s="5">
        <v>1.0</v>
      </c>
      <c r="T583" s="5">
        <v>1841.358126</v>
      </c>
      <c r="V583" s="21">
        <f t="shared" si="1"/>
        <v>32.15952855</v>
      </c>
      <c r="W583" s="21">
        <f t="shared" si="2"/>
        <v>484.9507838</v>
      </c>
      <c r="X583" s="21">
        <f t="shared" si="3"/>
        <v>0.5988023952</v>
      </c>
      <c r="Y583" s="21">
        <f t="shared" si="4"/>
        <v>1841.358126</v>
      </c>
      <c r="Z583" s="21">
        <f t="shared" si="5"/>
        <v>11.02609656</v>
      </c>
      <c r="AA583" s="21">
        <f t="shared" si="6"/>
        <v>0.2916673944</v>
      </c>
    </row>
    <row r="584">
      <c r="A584" s="4" t="s">
        <v>1927</v>
      </c>
      <c r="B584" s="4" t="str">
        <f>IFERROR(__xludf.DUMMYFUNCTION("SPLIT(A584:A1310, ""&gt;"")"),"US ")</f>
        <v>US </v>
      </c>
      <c r="C584" s="4" t="str">
        <f>IFERROR(__xludf.DUMMYFUNCTION("""COMPUTED_VALUE""")," Demographic ")</f>
        <v> Demographic </v>
      </c>
      <c r="D584" s="4" t="str">
        <f>IFERROR(__xludf.DUMMYFUNCTION("""COMPUTED_VALUE""")," Household Income $50k+")</f>
        <v> Household Income $50k+</v>
      </c>
      <c r="E584" s="4"/>
      <c r="F584" s="4"/>
      <c r="G584" s="4"/>
      <c r="H584" s="4"/>
      <c r="I584" s="5" t="s">
        <v>61</v>
      </c>
      <c r="J584" s="5" t="s">
        <v>42</v>
      </c>
      <c r="K584" s="5" t="s">
        <v>39</v>
      </c>
      <c r="L584" s="6" t="s">
        <v>865</v>
      </c>
      <c r="M584" s="5" t="s">
        <v>36</v>
      </c>
      <c r="N584" s="5" t="s">
        <v>27</v>
      </c>
      <c r="O584" s="5">
        <v>20417.0</v>
      </c>
      <c r="P584" s="5">
        <v>86.0</v>
      </c>
      <c r="Q584" s="5">
        <v>1016.0</v>
      </c>
      <c r="R584" s="5">
        <v>13468.0</v>
      </c>
      <c r="S584" s="5">
        <v>5.0</v>
      </c>
      <c r="T584" s="5">
        <v>1805.600513</v>
      </c>
      <c r="V584" s="21">
        <f t="shared" si="1"/>
        <v>88.43613229</v>
      </c>
      <c r="W584" s="21">
        <f t="shared" si="2"/>
        <v>1777.165859</v>
      </c>
      <c r="X584" s="21">
        <f t="shared" si="3"/>
        <v>5.813953488</v>
      </c>
      <c r="Y584" s="21">
        <f t="shared" si="4"/>
        <v>361.1201026</v>
      </c>
      <c r="Z584" s="21">
        <f t="shared" si="5"/>
        <v>20.9953548</v>
      </c>
      <c r="AA584" s="21">
        <f t="shared" si="6"/>
        <v>0.4212176128</v>
      </c>
    </row>
    <row r="585">
      <c r="A585" s="4" t="s">
        <v>1928</v>
      </c>
      <c r="B585" s="4" t="str">
        <f>IFERROR(__xludf.DUMMYFUNCTION("SPLIT(A585:A1311, ""&gt;"")"),"Mobile - US ")</f>
        <v>Mobile - US </v>
      </c>
      <c r="C585" s="4" t="str">
        <f>IFERROR(__xludf.DUMMYFUNCTION("""COMPUTED_VALUE""")," Food ")</f>
        <v> Food </v>
      </c>
      <c r="D585" s="4" t="str">
        <f>IFERROR(__xludf.DUMMYFUNCTION("""COMPUTED_VALUE""")," Restaurant ")</f>
        <v> Restaurant </v>
      </c>
      <c r="E585" s="4" t="str">
        <f>IFERROR(__xludf.DUMMYFUNCTION("""COMPUTED_VALUE""")," Brand ")</f>
        <v> Brand </v>
      </c>
      <c r="F585" s="4" t="str">
        <f>IFERROR(__xludf.DUMMYFUNCTION("""COMPUTED_VALUE""")," Red Lobster")</f>
        <v> Red Lobster</v>
      </c>
      <c r="G585" s="4"/>
      <c r="H585" s="4"/>
      <c r="I585" s="5" t="s">
        <v>15</v>
      </c>
      <c r="J585" s="5" t="s">
        <v>23</v>
      </c>
      <c r="K585" s="5" t="s">
        <v>35</v>
      </c>
      <c r="L585" s="6" t="s">
        <v>865</v>
      </c>
      <c r="M585" s="5" t="s">
        <v>46</v>
      </c>
      <c r="N585" s="5" t="s">
        <v>27</v>
      </c>
      <c r="O585" s="5">
        <v>57917.0</v>
      </c>
      <c r="P585" s="5">
        <v>212.0</v>
      </c>
      <c r="Q585" s="5">
        <v>3650.0</v>
      </c>
      <c r="R585" s="5">
        <v>55128.0</v>
      </c>
      <c r="S585" s="5">
        <v>5.0</v>
      </c>
      <c r="T585" s="5">
        <v>1669.728905</v>
      </c>
      <c r="V585" s="21">
        <f t="shared" si="1"/>
        <v>28.82968567</v>
      </c>
      <c r="W585" s="21">
        <f t="shared" si="2"/>
        <v>457.459974</v>
      </c>
      <c r="X585" s="21">
        <f t="shared" si="3"/>
        <v>2.358490566</v>
      </c>
      <c r="Y585" s="21">
        <f t="shared" si="4"/>
        <v>333.945781</v>
      </c>
      <c r="Z585" s="21">
        <f t="shared" si="5"/>
        <v>7.876079741</v>
      </c>
      <c r="AA585" s="21">
        <f t="shared" si="6"/>
        <v>0.3660410588</v>
      </c>
    </row>
    <row r="586">
      <c r="A586" s="4" t="s">
        <v>1929</v>
      </c>
      <c r="B586" s="4" t="str">
        <f>IFERROR(__xludf.DUMMYFUNCTION("SPLIT(A586:A1312, ""&gt;"")"),"US ")</f>
        <v>US </v>
      </c>
      <c r="C586" s="4" t="str">
        <f>IFERROR(__xludf.DUMMYFUNCTION("""COMPUTED_VALUE""")," B2B ")</f>
        <v> B2B </v>
      </c>
      <c r="D586" s="4" t="str">
        <f>IFERROR(__xludf.DUMMYFUNCTION("""COMPUTED_VALUE""")," B2B Decision Maker Responsibilities ")</f>
        <v> B2B Decision Maker Responsibilities </v>
      </c>
      <c r="E586" s="4" t="str">
        <f>IFERROR(__xludf.DUMMYFUNCTION("""COMPUTED_VALUE""")," Print, Copy or Photo Services")</f>
        <v> Print, Copy or Photo Services</v>
      </c>
      <c r="F586" s="4"/>
      <c r="G586" s="4"/>
      <c r="H586" s="4"/>
      <c r="I586" s="5" t="s">
        <v>15</v>
      </c>
      <c r="J586" s="5" t="s">
        <v>16</v>
      </c>
      <c r="K586" s="5" t="s">
        <v>29</v>
      </c>
      <c r="L586" s="6" t="s">
        <v>865</v>
      </c>
      <c r="M586" s="5" t="s">
        <v>19</v>
      </c>
      <c r="N586" s="5" t="s">
        <v>27</v>
      </c>
      <c r="O586" s="5">
        <v>141157.0</v>
      </c>
      <c r="P586" s="5">
        <v>420.0</v>
      </c>
      <c r="Q586" s="5">
        <v>8280.0</v>
      </c>
      <c r="R586" s="5">
        <v>107935.0</v>
      </c>
      <c r="S586" s="5">
        <v>4.0</v>
      </c>
      <c r="T586" s="5">
        <v>1631.782949</v>
      </c>
      <c r="V586" s="21">
        <f t="shared" si="1"/>
        <v>11.56005688</v>
      </c>
      <c r="W586" s="21">
        <f t="shared" si="2"/>
        <v>197.0752354</v>
      </c>
      <c r="X586" s="21">
        <f t="shared" si="3"/>
        <v>0.9523809524</v>
      </c>
      <c r="Y586" s="21">
        <f t="shared" si="4"/>
        <v>407.9457373</v>
      </c>
      <c r="Z586" s="21">
        <f t="shared" si="5"/>
        <v>3.885197498</v>
      </c>
      <c r="AA586" s="21">
        <f t="shared" si="6"/>
        <v>0.2975410359</v>
      </c>
    </row>
    <row r="587">
      <c r="A587" s="4" t="s">
        <v>1586</v>
      </c>
      <c r="B587" s="4" t="str">
        <f>IFERROR(__xludf.DUMMYFUNCTION("SPLIT(A587:A1313, ""&gt;"")"),"Online Behavior")</f>
        <v>Online Behavior</v>
      </c>
      <c r="C587" s="4" t="str">
        <f>IFERROR(__xludf.DUMMYFUNCTION("""COMPUTED_VALUE"""),"United States")</f>
        <v>United States</v>
      </c>
      <c r="D587" s="4" t="str">
        <f>IFERROR(__xludf.DUMMYFUNCTION("""COMPUTED_VALUE"""),"Beauty and Fitness")</f>
        <v>Beauty and Fitness</v>
      </c>
      <c r="E587" s="4" t="str">
        <f>IFERROR(__xludf.DUMMYFUNCTION("""COMPUTED_VALUE"""),"Face and Body Care ")</f>
        <v>Face and Body Care </v>
      </c>
      <c r="F587" s="4" t="str">
        <f>IFERROR(__xludf.DUMMYFUNCTION("""COMPUTED_VALUE""")," Hygiene and Toiletries")</f>
        <v> Hygiene and Toiletries</v>
      </c>
      <c r="G587" s="4"/>
      <c r="H587" s="4"/>
      <c r="I587" s="5" t="s">
        <v>15</v>
      </c>
      <c r="J587" s="5" t="s">
        <v>31</v>
      </c>
      <c r="K587" s="5" t="s">
        <v>35</v>
      </c>
      <c r="L587" s="6" t="s">
        <v>873</v>
      </c>
      <c r="M587" s="5" t="s">
        <v>48</v>
      </c>
      <c r="N587" s="5" t="s">
        <v>27</v>
      </c>
      <c r="O587" s="5">
        <v>247106.0</v>
      </c>
      <c r="P587" s="5">
        <v>750.0</v>
      </c>
      <c r="Q587" s="5">
        <v>159618.0</v>
      </c>
      <c r="R587" s="5">
        <v>233150.0</v>
      </c>
      <c r="S587" s="5">
        <v>32.0</v>
      </c>
      <c r="T587" s="5">
        <v>7629.94427</v>
      </c>
      <c r="V587" s="21">
        <f t="shared" si="1"/>
        <v>30.87721168</v>
      </c>
      <c r="W587" s="21">
        <f t="shared" si="2"/>
        <v>47.80127724</v>
      </c>
      <c r="X587" s="21">
        <f t="shared" si="3"/>
        <v>4.266666667</v>
      </c>
      <c r="Y587" s="21">
        <f t="shared" si="4"/>
        <v>238.4357584</v>
      </c>
      <c r="Z587" s="21">
        <f t="shared" si="5"/>
        <v>10.17325903</v>
      </c>
      <c r="AA587" s="21">
        <f t="shared" si="6"/>
        <v>0.303513472</v>
      </c>
    </row>
    <row r="588">
      <c r="A588" s="4" t="s">
        <v>1587</v>
      </c>
      <c r="B588" s="4" t="str">
        <f>IFERROR(__xludf.DUMMYFUNCTION("SPLIT(A588:A1314, ""&gt;"")"),"Online Behavior")</f>
        <v>Online Behavior</v>
      </c>
      <c r="C588" s="4" t="str">
        <f>IFERROR(__xludf.DUMMYFUNCTION("""COMPUTED_VALUE"""),"United States")</f>
        <v>United States</v>
      </c>
      <c r="D588" s="4" t="str">
        <f>IFERROR(__xludf.DUMMYFUNCTION("""COMPUTED_VALUE"""),"Finance ")</f>
        <v>Finance </v>
      </c>
      <c r="E588" s="4" t="str">
        <f>IFERROR(__xludf.DUMMYFUNCTION("""COMPUTED_VALUE""")," Banking")</f>
        <v> Banking</v>
      </c>
      <c r="F588" s="4" t="str">
        <f>IFERROR(__xludf.DUMMYFUNCTION("""COMPUTED_VALUE"""),"Savings Accounts")</f>
        <v>Savings Accounts</v>
      </c>
      <c r="G588" s="4"/>
      <c r="H588" s="4"/>
      <c r="I588" s="5" t="s">
        <v>15</v>
      </c>
      <c r="J588" s="5" t="s">
        <v>16</v>
      </c>
      <c r="K588" s="5" t="s">
        <v>35</v>
      </c>
      <c r="L588" s="6" t="s">
        <v>873</v>
      </c>
      <c r="M588" s="5" t="s">
        <v>19</v>
      </c>
      <c r="N588" s="5" t="s">
        <v>27</v>
      </c>
      <c r="O588" s="5">
        <v>357707.0</v>
      </c>
      <c r="P588" s="5">
        <v>951.0</v>
      </c>
      <c r="Q588" s="5">
        <v>203987.0</v>
      </c>
      <c r="R588" s="5">
        <v>338107.0</v>
      </c>
      <c r="S588" s="5">
        <v>74.0</v>
      </c>
      <c r="T588" s="5">
        <v>6749.202353</v>
      </c>
      <c r="V588" s="21">
        <f t="shared" si="1"/>
        <v>18.86796275</v>
      </c>
      <c r="W588" s="21">
        <f t="shared" si="2"/>
        <v>33.08643371</v>
      </c>
      <c r="X588" s="21">
        <f t="shared" si="3"/>
        <v>7.78128286</v>
      </c>
      <c r="Y588" s="21">
        <f t="shared" si="4"/>
        <v>91.2054372</v>
      </c>
      <c r="Z588" s="21">
        <f t="shared" si="5"/>
        <v>7.096953053</v>
      </c>
      <c r="AA588" s="21">
        <f t="shared" si="6"/>
        <v>0.2658600475</v>
      </c>
    </row>
    <row r="589">
      <c r="A589" s="4" t="s">
        <v>1588</v>
      </c>
      <c r="B589" s="4" t="str">
        <f>IFERROR(__xludf.DUMMYFUNCTION("SPLIT(A589:A1315, ""&gt;"")"),"Online Behavior")</f>
        <v>Online Behavior</v>
      </c>
      <c r="C589" s="4" t="str">
        <f>IFERROR(__xludf.DUMMYFUNCTION("""COMPUTED_VALUE"""),"United States")</f>
        <v>United States</v>
      </c>
      <c r="D589" s="4" t="str">
        <f>IFERROR(__xludf.DUMMYFUNCTION("""COMPUTED_VALUE"""),"Validated Demographic ")</f>
        <v>Validated Demographic </v>
      </c>
      <c r="E589" s="4" t="str">
        <f>IFERROR(__xludf.DUMMYFUNCTION("""COMPUTED_VALUE""")," Gender and Age Combined")</f>
        <v> Gender and Age Combined</v>
      </c>
      <c r="F589" s="4" t="str">
        <f>IFERROR(__xludf.DUMMYFUNCTION("""COMPUTED_VALUE"""),"Males 25-64")</f>
        <v>Males 25-64</v>
      </c>
      <c r="G589" s="4"/>
      <c r="H589" s="4"/>
      <c r="I589" s="5" t="s">
        <v>15</v>
      </c>
      <c r="J589" s="5" t="s">
        <v>42</v>
      </c>
      <c r="K589" s="5" t="s">
        <v>35</v>
      </c>
      <c r="L589" s="6" t="s">
        <v>873</v>
      </c>
      <c r="M589" s="5" t="s">
        <v>117</v>
      </c>
      <c r="N589" s="5" t="s">
        <v>20</v>
      </c>
      <c r="O589" s="5">
        <v>48707.0</v>
      </c>
      <c r="P589" s="5">
        <v>185.0</v>
      </c>
      <c r="Q589" s="5">
        <v>25182.0</v>
      </c>
      <c r="R589" s="5">
        <v>44696.0</v>
      </c>
      <c r="S589" s="5">
        <v>13.0</v>
      </c>
      <c r="T589" s="5">
        <v>5600.355643</v>
      </c>
      <c r="V589" s="21">
        <f t="shared" si="1"/>
        <v>114.9805088</v>
      </c>
      <c r="W589" s="21">
        <f t="shared" si="2"/>
        <v>222.3951887</v>
      </c>
      <c r="X589" s="21">
        <f t="shared" si="3"/>
        <v>7.027027027</v>
      </c>
      <c r="Y589" s="21">
        <f t="shared" si="4"/>
        <v>430.7965879</v>
      </c>
      <c r="Z589" s="21">
        <f t="shared" si="5"/>
        <v>30.27219266</v>
      </c>
      <c r="AA589" s="21">
        <f t="shared" si="6"/>
        <v>0.3798222021</v>
      </c>
    </row>
    <row r="590">
      <c r="A590" s="4" t="s">
        <v>1930</v>
      </c>
      <c r="B590" s="4" t="str">
        <f>IFERROR(__xludf.DUMMYFUNCTION("SPLIT(A590:A1316, ""&gt;"")"),"Mobile - US ")</f>
        <v>Mobile - US </v>
      </c>
      <c r="C590" s="4" t="str">
        <f>IFERROR(__xludf.DUMMYFUNCTION("""COMPUTED_VALUE""")," Gamers ")</f>
        <v> Gamers </v>
      </c>
      <c r="D590" s="4" t="str">
        <f>IFERROR(__xludf.DUMMYFUNCTION("""COMPUTED_VALUE""")," Online ")</f>
        <v> Online </v>
      </c>
      <c r="E590" s="4" t="str">
        <f>IFERROR(__xludf.DUMMYFUNCTION("""COMPUTED_VALUE""")," Users")</f>
        <v> Users</v>
      </c>
      <c r="F590" s="4"/>
      <c r="G590" s="4"/>
      <c r="H590" s="4"/>
      <c r="I590" s="5" t="s">
        <v>22</v>
      </c>
      <c r="J590" s="5" t="s">
        <v>16</v>
      </c>
      <c r="K590" s="5" t="s">
        <v>155</v>
      </c>
      <c r="L590" s="6" t="s">
        <v>873</v>
      </c>
      <c r="M590" s="5" t="s">
        <v>36</v>
      </c>
      <c r="N590" s="5" t="s">
        <v>27</v>
      </c>
      <c r="O590" s="5">
        <v>16372.0</v>
      </c>
      <c r="P590" s="5">
        <v>90.0</v>
      </c>
      <c r="Q590" s="5">
        <v>4731.0</v>
      </c>
      <c r="R590" s="5">
        <v>15332.0</v>
      </c>
      <c r="S590" s="5">
        <v>9.0</v>
      </c>
      <c r="T590" s="5">
        <v>1704.511123</v>
      </c>
      <c r="V590" s="21">
        <f t="shared" si="1"/>
        <v>104.1113562</v>
      </c>
      <c r="W590" s="21">
        <f t="shared" si="2"/>
        <v>360.2855893</v>
      </c>
      <c r="X590" s="21">
        <f t="shared" si="3"/>
        <v>10</v>
      </c>
      <c r="Y590" s="21">
        <f t="shared" si="4"/>
        <v>189.3901248</v>
      </c>
      <c r="Z590" s="21">
        <f t="shared" si="5"/>
        <v>18.93901248</v>
      </c>
      <c r="AA590" s="21">
        <f t="shared" si="6"/>
        <v>0.5497190325</v>
      </c>
    </row>
    <row r="591">
      <c r="A591" s="4" t="s">
        <v>1931</v>
      </c>
      <c r="B591" s="4" t="str">
        <f>IFERROR(__xludf.DUMMYFUNCTION("SPLIT(A591:A1317, ""&gt;"")"),"US ")</f>
        <v>US </v>
      </c>
      <c r="C591" s="4" t="str">
        <f>IFERROR(__xludf.DUMMYFUNCTION("""COMPUTED_VALUE""")," Interest Propensities ")</f>
        <v> Interest Propensities </v>
      </c>
      <c r="D591" s="4" t="str">
        <f>IFERROR(__xludf.DUMMYFUNCTION("""COMPUTED_VALUE""")," Activities and Interests ")</f>
        <v> Activities and Interests </v>
      </c>
      <c r="E591" s="4" t="str">
        <f>IFERROR(__xludf.DUMMYFUNCTION("""COMPUTED_VALUE""")," Buying and Selling Homes ")</f>
        <v> Buying and Selling Homes </v>
      </c>
      <c r="F591" s="4" t="str">
        <f>IFERROR(__xludf.DUMMYFUNCTION("""COMPUTED_VALUE""")," Real Estate")</f>
        <v> Real Estate</v>
      </c>
      <c r="G591" s="4"/>
      <c r="H591" s="4"/>
      <c r="I591" s="5" t="s">
        <v>15</v>
      </c>
      <c r="J591" s="5" t="s">
        <v>16</v>
      </c>
      <c r="K591" s="5" t="s">
        <v>55</v>
      </c>
      <c r="L591" s="6" t="s">
        <v>873</v>
      </c>
      <c r="M591" s="5" t="s">
        <v>19</v>
      </c>
      <c r="N591" s="5" t="s">
        <v>27</v>
      </c>
      <c r="O591" s="5">
        <v>14799.0</v>
      </c>
      <c r="P591" s="5">
        <v>59.0</v>
      </c>
      <c r="Q591" s="5">
        <v>1403.0</v>
      </c>
      <c r="R591" s="5">
        <v>13410.0</v>
      </c>
      <c r="S591" s="5">
        <v>9.0</v>
      </c>
      <c r="T591" s="5">
        <v>1693.760435</v>
      </c>
      <c r="V591" s="21">
        <f t="shared" si="1"/>
        <v>114.4510058</v>
      </c>
      <c r="W591" s="21">
        <f t="shared" si="2"/>
        <v>1207.241935</v>
      </c>
      <c r="X591" s="21">
        <f t="shared" si="3"/>
        <v>15.25423729</v>
      </c>
      <c r="Y591" s="21">
        <f t="shared" si="4"/>
        <v>188.1956039</v>
      </c>
      <c r="Z591" s="21">
        <f t="shared" si="5"/>
        <v>28.70780398</v>
      </c>
      <c r="AA591" s="21">
        <f t="shared" si="6"/>
        <v>0.3986755862</v>
      </c>
    </row>
    <row r="592">
      <c r="A592" s="4" t="s">
        <v>1932</v>
      </c>
      <c r="B592" s="4" t="str">
        <f>IFERROR(__xludf.DUMMYFUNCTION("SPLIT(A592:A1318, ""&gt;"")"),"OnAudience ")</f>
        <v>OnAudience </v>
      </c>
      <c r="C592" s="4" t="str">
        <f>IFERROR(__xludf.DUMMYFUNCTION("""COMPUTED_VALUE""")," Interest ")</f>
        <v> Interest </v>
      </c>
      <c r="D592" s="4" t="str">
        <f>IFERROR(__xludf.DUMMYFUNCTION("""COMPUTED_VALUE""")," Shopping ")</f>
        <v> Shopping </v>
      </c>
      <c r="E592" s="4" t="str">
        <f>IFERROR(__xludf.DUMMYFUNCTION("""COMPUTED_VALUE""")," Luxurious Brands")</f>
        <v> Luxurious Brands</v>
      </c>
      <c r="F592" s="4"/>
      <c r="G592" s="4"/>
      <c r="H592" s="4"/>
      <c r="I592" s="5" t="s">
        <v>22</v>
      </c>
      <c r="J592" s="5" t="s">
        <v>42</v>
      </c>
      <c r="K592" s="5" t="s">
        <v>45</v>
      </c>
      <c r="L592" s="6" t="s">
        <v>873</v>
      </c>
      <c r="M592" s="5" t="s">
        <v>19</v>
      </c>
      <c r="N592" s="5" t="s">
        <v>27</v>
      </c>
      <c r="O592" s="5">
        <v>97346.0</v>
      </c>
      <c r="P592" s="5">
        <v>790.0</v>
      </c>
      <c r="Q592" s="5">
        <v>44118.0</v>
      </c>
      <c r="R592" s="5">
        <v>91080.0</v>
      </c>
      <c r="S592" s="5">
        <v>19.0</v>
      </c>
      <c r="T592" s="5">
        <v>1657.56487</v>
      </c>
      <c r="V592" s="21">
        <f t="shared" si="1"/>
        <v>17.02756015</v>
      </c>
      <c r="W592" s="21">
        <f t="shared" si="2"/>
        <v>37.57116982</v>
      </c>
      <c r="X592" s="21">
        <f t="shared" si="3"/>
        <v>2.405063291</v>
      </c>
      <c r="Y592" s="21">
        <f t="shared" si="4"/>
        <v>87.24025632</v>
      </c>
      <c r="Z592" s="21">
        <f t="shared" si="5"/>
        <v>2.09818338</v>
      </c>
      <c r="AA592" s="21">
        <f t="shared" si="6"/>
        <v>0.8115382245</v>
      </c>
    </row>
    <row r="593">
      <c r="A593" s="4" t="s">
        <v>1592</v>
      </c>
      <c r="B593" s="4" t="str">
        <f>IFERROR(__xludf.DUMMYFUNCTION("SPLIT(A593:A1319, ""&gt;"")"),"Online Behavior")</f>
        <v>Online Behavior</v>
      </c>
      <c r="C593" s="4" t="str">
        <f>IFERROR(__xludf.DUMMYFUNCTION("""COMPUTED_VALUE"""),"United States")</f>
        <v>United States</v>
      </c>
      <c r="D593" s="4" t="str">
        <f>IFERROR(__xludf.DUMMYFUNCTION("""COMPUTED_VALUE"""),"Validated Demographic ")</f>
        <v>Validated Demographic </v>
      </c>
      <c r="E593" s="4" t="str">
        <f>IFERROR(__xludf.DUMMYFUNCTION("""COMPUTED_VALUE""")," Gender and Age Combined")</f>
        <v> Gender and Age Combined</v>
      </c>
      <c r="F593" s="4" t="str">
        <f>IFERROR(__xludf.DUMMYFUNCTION("""COMPUTED_VALUE"""),"Males 55-64")</f>
        <v>Males 55-64</v>
      </c>
      <c r="G593" s="4"/>
      <c r="H593" s="4"/>
      <c r="I593" s="5" t="s">
        <v>22</v>
      </c>
      <c r="J593" s="5" t="s">
        <v>23</v>
      </c>
      <c r="K593" s="5" t="s">
        <v>78</v>
      </c>
      <c r="L593" s="6" t="s">
        <v>880</v>
      </c>
      <c r="M593" s="5" t="s">
        <v>50</v>
      </c>
      <c r="N593" s="5" t="s">
        <v>27</v>
      </c>
      <c r="O593" s="5">
        <v>44361.0</v>
      </c>
      <c r="P593" s="5">
        <v>166.0</v>
      </c>
      <c r="Q593" s="5">
        <v>36040.0</v>
      </c>
      <c r="R593" s="5">
        <v>40684.0</v>
      </c>
      <c r="S593" s="5">
        <v>17.0</v>
      </c>
      <c r="T593" s="5">
        <v>5048.852553</v>
      </c>
      <c r="V593" s="21">
        <f t="shared" si="1"/>
        <v>113.8128661</v>
      </c>
      <c r="W593" s="21">
        <f t="shared" si="2"/>
        <v>140.0902484</v>
      </c>
      <c r="X593" s="21">
        <f t="shared" si="3"/>
        <v>10.24096386</v>
      </c>
      <c r="Y593" s="21">
        <f t="shared" si="4"/>
        <v>296.9913266</v>
      </c>
      <c r="Z593" s="21">
        <f t="shared" si="5"/>
        <v>30.41477442</v>
      </c>
      <c r="AA593" s="21">
        <f t="shared" si="6"/>
        <v>0.3742025653</v>
      </c>
    </row>
    <row r="594">
      <c r="A594" s="4" t="s">
        <v>881</v>
      </c>
      <c r="B594" s="4" t="str">
        <f>IFERROR(__xludf.DUMMYFUNCTION("SPLIT(A594:A1320, ""&gt;"")"),"Restaurants")</f>
        <v>Restaurants</v>
      </c>
      <c r="C594" s="4"/>
      <c r="D594" s="4"/>
      <c r="E594" s="4"/>
      <c r="F594" s="4"/>
      <c r="G594" s="4"/>
      <c r="H594" s="4"/>
      <c r="I594" s="5" t="s">
        <v>15</v>
      </c>
      <c r="J594" s="5" t="s">
        <v>42</v>
      </c>
      <c r="K594" s="5" t="s">
        <v>39</v>
      </c>
      <c r="L594" s="6" t="s">
        <v>880</v>
      </c>
      <c r="M594" s="5" t="s">
        <v>19</v>
      </c>
      <c r="N594" s="5" t="s">
        <v>27</v>
      </c>
      <c r="O594" s="5">
        <v>12280.0</v>
      </c>
      <c r="P594" s="5">
        <v>40.0</v>
      </c>
      <c r="Q594" s="5">
        <v>9613.0</v>
      </c>
      <c r="R594" s="5">
        <v>11247.0</v>
      </c>
      <c r="S594" s="5">
        <v>4.0</v>
      </c>
      <c r="T594" s="5">
        <v>1765.39871</v>
      </c>
      <c r="V594" s="21">
        <f t="shared" si="1"/>
        <v>143.7621099</v>
      </c>
      <c r="W594" s="21">
        <f t="shared" si="2"/>
        <v>183.6470103</v>
      </c>
      <c r="X594" s="21">
        <f t="shared" si="3"/>
        <v>10</v>
      </c>
      <c r="Y594" s="21">
        <f t="shared" si="4"/>
        <v>441.3496775</v>
      </c>
      <c r="Z594" s="21">
        <f t="shared" si="5"/>
        <v>44.13496775</v>
      </c>
      <c r="AA594" s="21">
        <f t="shared" si="6"/>
        <v>0.325732899</v>
      </c>
    </row>
    <row r="595">
      <c r="A595" s="4" t="s">
        <v>1593</v>
      </c>
      <c r="B595" s="4" t="str">
        <f>IFERROR(__xludf.DUMMYFUNCTION("SPLIT(A595:A1321, ""&gt;"")"),"OnAudience ")</f>
        <v>OnAudience </v>
      </c>
      <c r="C595" s="4" t="str">
        <f>IFERROR(__xludf.DUMMYFUNCTION("""COMPUTED_VALUE""")," Interest ")</f>
        <v> Interest </v>
      </c>
      <c r="D595" s="4" t="str">
        <f>IFERROR(__xludf.DUMMYFUNCTION("""COMPUTED_VALUE""")," Hobbies &amp; Interests ")</f>
        <v> Hobbies &amp; Interests </v>
      </c>
      <c r="E595" s="4" t="str">
        <f>IFERROR(__xludf.DUMMYFUNCTION("""COMPUTED_VALUE""")," Art")</f>
        <v> Art</v>
      </c>
      <c r="F595" s="4"/>
      <c r="G595" s="4"/>
      <c r="H595" s="4"/>
      <c r="I595" s="5" t="s">
        <v>15</v>
      </c>
      <c r="J595" s="5" t="s">
        <v>16</v>
      </c>
      <c r="K595" s="5" t="s">
        <v>17</v>
      </c>
      <c r="L595" s="6" t="s">
        <v>880</v>
      </c>
      <c r="M595" s="5" t="s">
        <v>36</v>
      </c>
      <c r="N595" s="5" t="s">
        <v>52</v>
      </c>
      <c r="O595" s="5">
        <v>22934.0</v>
      </c>
      <c r="P595" s="5">
        <v>81.0</v>
      </c>
      <c r="Q595" s="5">
        <v>18536.0</v>
      </c>
      <c r="R595" s="5">
        <v>21019.0</v>
      </c>
      <c r="S595" s="5">
        <v>5.0</v>
      </c>
      <c r="T595" s="5">
        <v>1711.106338</v>
      </c>
      <c r="V595" s="21">
        <f t="shared" si="1"/>
        <v>74.61002607</v>
      </c>
      <c r="W595" s="21">
        <f t="shared" si="2"/>
        <v>92.31259916</v>
      </c>
      <c r="X595" s="21">
        <f t="shared" si="3"/>
        <v>6.172839506</v>
      </c>
      <c r="Y595" s="21">
        <f t="shared" si="4"/>
        <v>342.2212676</v>
      </c>
      <c r="Z595" s="21">
        <f t="shared" si="5"/>
        <v>21.1247696</v>
      </c>
      <c r="AA595" s="21">
        <f t="shared" si="6"/>
        <v>0.3531874073</v>
      </c>
    </row>
    <row r="596">
      <c r="A596" s="4" t="s">
        <v>1594</v>
      </c>
      <c r="B596" s="4" t="str">
        <f>IFERROR(__xludf.DUMMYFUNCTION("SPLIT(A596:A1322, ""&gt;"")"),"Online Behavior")</f>
        <v>Online Behavior</v>
      </c>
      <c r="C596" s="4" t="str">
        <f>IFERROR(__xludf.DUMMYFUNCTION("""COMPUTED_VALUE"""),"United States")</f>
        <v>United States</v>
      </c>
      <c r="D596" s="4" t="str">
        <f>IFERROR(__xludf.DUMMYFUNCTION("""COMPUTED_VALUE"""),"Autos and Vehicles ")</f>
        <v>Autos and Vehicles </v>
      </c>
      <c r="E596" s="4" t="str">
        <f>IFERROR(__xludf.DUMMYFUNCTION("""COMPUTED_VALUE""")," Brands")</f>
        <v> Brands</v>
      </c>
      <c r="F596" s="4" t="str">
        <f>IFERROR(__xludf.DUMMYFUNCTION("""COMPUTED_VALUE"""),"Peugeot")</f>
        <v>Peugeot</v>
      </c>
      <c r="G596" s="4"/>
      <c r="H596" s="4"/>
      <c r="I596" s="5" t="s">
        <v>22</v>
      </c>
      <c r="J596" s="5" t="s">
        <v>42</v>
      </c>
      <c r="K596" s="5" t="s">
        <v>35</v>
      </c>
      <c r="L596" s="6" t="s">
        <v>884</v>
      </c>
      <c r="M596" s="5" t="s">
        <v>19</v>
      </c>
      <c r="N596" s="5" t="s">
        <v>27</v>
      </c>
      <c r="O596" s="5">
        <v>17317.0</v>
      </c>
      <c r="P596" s="5">
        <v>68.0</v>
      </c>
      <c r="Q596" s="5">
        <v>8055.0</v>
      </c>
      <c r="R596" s="5">
        <v>12724.0</v>
      </c>
      <c r="S596" s="5">
        <v>12.0</v>
      </c>
      <c r="T596" s="5">
        <v>5668.857079</v>
      </c>
      <c r="V596" s="21">
        <f t="shared" si="1"/>
        <v>327.3579188</v>
      </c>
      <c r="W596" s="21">
        <f t="shared" si="2"/>
        <v>703.7687249</v>
      </c>
      <c r="X596" s="21">
        <f t="shared" si="3"/>
        <v>17.64705882</v>
      </c>
      <c r="Y596" s="21">
        <f t="shared" si="4"/>
        <v>472.4047566</v>
      </c>
      <c r="Z596" s="21">
        <f t="shared" si="5"/>
        <v>83.36554528</v>
      </c>
      <c r="AA596" s="21">
        <f t="shared" si="6"/>
        <v>0.3926777155</v>
      </c>
    </row>
    <row r="597">
      <c r="A597" s="4" t="s">
        <v>1595</v>
      </c>
      <c r="B597" s="4" t="str">
        <f>IFERROR(__xludf.DUMMYFUNCTION("SPLIT(A597:A1323, ""&gt;"")"),"OnAudience ")</f>
        <v>OnAudience </v>
      </c>
      <c r="C597" s="4" t="str">
        <f>IFERROR(__xludf.DUMMYFUNCTION("""COMPUTED_VALUE""")," Interest")</f>
        <v> Interest</v>
      </c>
      <c r="D597" s="4"/>
      <c r="E597" s="4"/>
      <c r="F597" s="4"/>
      <c r="G597" s="4"/>
      <c r="H597" s="4"/>
      <c r="I597" s="5" t="s">
        <v>15</v>
      </c>
      <c r="J597" s="5" t="s">
        <v>23</v>
      </c>
      <c r="K597" s="5" t="s">
        <v>78</v>
      </c>
      <c r="L597" s="6" t="s">
        <v>886</v>
      </c>
      <c r="M597" s="5" t="s">
        <v>36</v>
      </c>
      <c r="N597" s="5" t="s">
        <v>27</v>
      </c>
      <c r="O597" s="5">
        <v>11343.0</v>
      </c>
      <c r="P597" s="5">
        <v>69.0</v>
      </c>
      <c r="Q597" s="5">
        <v>5900.0</v>
      </c>
      <c r="R597" s="5">
        <v>10175.0</v>
      </c>
      <c r="S597" s="5">
        <v>3.0</v>
      </c>
      <c r="T597" s="5">
        <v>2178.153775</v>
      </c>
      <c r="V597" s="21">
        <f t="shared" si="1"/>
        <v>192.0262519</v>
      </c>
      <c r="W597" s="21">
        <f t="shared" si="2"/>
        <v>369.1786059</v>
      </c>
      <c r="X597" s="21">
        <f t="shared" si="3"/>
        <v>4.347826087</v>
      </c>
      <c r="Y597" s="21">
        <f t="shared" si="4"/>
        <v>726.0512583</v>
      </c>
      <c r="Z597" s="21">
        <f t="shared" si="5"/>
        <v>31.56744601</v>
      </c>
      <c r="AA597" s="21">
        <f t="shared" si="6"/>
        <v>0.6083046813</v>
      </c>
    </row>
    <row r="598">
      <c r="A598" s="4" t="s">
        <v>1596</v>
      </c>
      <c r="B598" s="4" t="str">
        <f>IFERROR(__xludf.DUMMYFUNCTION("SPLIT(A598:A1324, ""&gt;"")"),"Real Estate ")</f>
        <v>Real Estate </v>
      </c>
      <c r="C598" s="4" t="str">
        <f>IFERROR(__xludf.DUMMYFUNCTION("""COMPUTED_VALUE""")," Property Type")</f>
        <v> Property Type</v>
      </c>
      <c r="D598" s="4" t="str">
        <f>IFERROR(__xludf.DUMMYFUNCTION("""COMPUTED_VALUE""")," Residential")</f>
        <v> Residential</v>
      </c>
      <c r="E598" s="4"/>
      <c r="F598" s="4"/>
      <c r="G598" s="4"/>
      <c r="H598" s="4"/>
      <c r="I598" s="5" t="s">
        <v>15</v>
      </c>
      <c r="J598" s="5" t="s">
        <v>42</v>
      </c>
      <c r="K598" s="5" t="s">
        <v>356</v>
      </c>
      <c r="L598" s="6" t="s">
        <v>886</v>
      </c>
      <c r="M598" s="5" t="s">
        <v>19</v>
      </c>
      <c r="N598" s="5" t="s">
        <v>20</v>
      </c>
      <c r="O598" s="5">
        <v>11043.0</v>
      </c>
      <c r="P598" s="5">
        <v>125.0</v>
      </c>
      <c r="Q598" s="5">
        <v>4547.0</v>
      </c>
      <c r="R598" s="5">
        <v>9666.0</v>
      </c>
      <c r="S598" s="5">
        <v>13.0</v>
      </c>
      <c r="T598" s="5">
        <v>1858.132171</v>
      </c>
      <c r="V598" s="21">
        <f t="shared" si="1"/>
        <v>168.2633497</v>
      </c>
      <c r="W598" s="21">
        <f t="shared" si="2"/>
        <v>408.6501366</v>
      </c>
      <c r="X598" s="21">
        <f t="shared" si="3"/>
        <v>10.4</v>
      </c>
      <c r="Y598" s="21">
        <f t="shared" si="4"/>
        <v>142.9332439</v>
      </c>
      <c r="Z598" s="21">
        <f t="shared" si="5"/>
        <v>14.86505737</v>
      </c>
      <c r="AA598" s="21">
        <f t="shared" si="6"/>
        <v>1.131938785</v>
      </c>
    </row>
    <row r="599">
      <c r="A599" s="4" t="s">
        <v>1933</v>
      </c>
      <c r="B599" s="4" t="str">
        <f>IFERROR(__xludf.DUMMYFUNCTION("SPLIT(A599:A1325, ""&gt;"")"),"Media Source ")</f>
        <v>Media Source </v>
      </c>
      <c r="C599" s="4" t="str">
        <f>IFERROR(__xludf.DUMMYFUNCTION("""COMPUTED_VALUE""")," LBDigital ")</f>
        <v> LBDigital </v>
      </c>
      <c r="D599" s="4" t="str">
        <f>IFERROR(__xludf.DUMMYFUNCTION("""COMPUTED_VALUE""")," Open For Business B2B")</f>
        <v> Open For Business B2B</v>
      </c>
      <c r="E599" s="4"/>
      <c r="F599" s="4"/>
      <c r="G599" s="4"/>
      <c r="H599" s="4"/>
      <c r="I599" s="5" t="s">
        <v>22</v>
      </c>
      <c r="J599" s="5" t="s">
        <v>31</v>
      </c>
      <c r="K599" s="5" t="s">
        <v>17</v>
      </c>
      <c r="L599" s="6" t="s">
        <v>886</v>
      </c>
      <c r="M599" s="5" t="s">
        <v>48</v>
      </c>
      <c r="N599" s="5" t="s">
        <v>27</v>
      </c>
      <c r="O599" s="5">
        <v>21737.0</v>
      </c>
      <c r="P599" s="5">
        <v>80.0</v>
      </c>
      <c r="Q599" s="5">
        <v>11206.0</v>
      </c>
      <c r="R599" s="5">
        <v>19459.0</v>
      </c>
      <c r="S599" s="5">
        <v>4.0</v>
      </c>
      <c r="T599" s="5">
        <v>1521.576648</v>
      </c>
      <c r="V599" s="21">
        <f t="shared" si="1"/>
        <v>69.99938575</v>
      </c>
      <c r="W599" s="21">
        <f t="shared" si="2"/>
        <v>135.7823173</v>
      </c>
      <c r="X599" s="21">
        <f t="shared" si="3"/>
        <v>5</v>
      </c>
      <c r="Y599" s="21">
        <f t="shared" si="4"/>
        <v>380.394162</v>
      </c>
      <c r="Z599" s="21">
        <f t="shared" si="5"/>
        <v>19.0197081</v>
      </c>
      <c r="AA599" s="21">
        <f t="shared" si="6"/>
        <v>0.3680360675</v>
      </c>
    </row>
    <row r="600">
      <c r="A600" s="4" t="s">
        <v>889</v>
      </c>
      <c r="B600" s="4" t="str">
        <f>IFERROR(__xludf.DUMMYFUNCTION("SPLIT(A600:A1326, ""&gt;"")"),"Online Behavior")</f>
        <v>Online Behavior</v>
      </c>
      <c r="C600" s="4" t="str">
        <f>IFERROR(__xludf.DUMMYFUNCTION("""COMPUTED_VALUE"""),"United States")</f>
        <v>United States</v>
      </c>
      <c r="D600" s="4" t="str">
        <f>IFERROR(__xludf.DUMMYFUNCTION("""COMPUTED_VALUE"""),"Life Event")</f>
        <v>Life Event</v>
      </c>
      <c r="E600" s="4" t="str">
        <f>IFERROR(__xludf.DUMMYFUNCTION("""COMPUTED_VALUE"""),"Home Buying")</f>
        <v>Home Buying</v>
      </c>
      <c r="F600" s="4"/>
      <c r="G600" s="4"/>
      <c r="H600" s="4"/>
      <c r="I600" s="5" t="s">
        <v>15</v>
      </c>
      <c r="J600" s="5" t="s">
        <v>16</v>
      </c>
      <c r="K600" s="5" t="s">
        <v>78</v>
      </c>
      <c r="L600" s="6" t="s">
        <v>890</v>
      </c>
      <c r="M600" s="5" t="s">
        <v>26</v>
      </c>
      <c r="N600" s="5" t="s">
        <v>27</v>
      </c>
      <c r="O600" s="5">
        <v>9362.0</v>
      </c>
      <c r="P600" s="5">
        <v>39.0</v>
      </c>
      <c r="Q600" s="5">
        <v>5202.0</v>
      </c>
      <c r="R600" s="5">
        <v>8928.0</v>
      </c>
      <c r="S600" s="5">
        <v>6.0</v>
      </c>
      <c r="T600" s="5">
        <v>7312.492757</v>
      </c>
      <c r="V600" s="21">
        <f t="shared" si="1"/>
        <v>781.0823282</v>
      </c>
      <c r="W600" s="21">
        <f t="shared" si="2"/>
        <v>1405.70795</v>
      </c>
      <c r="X600" s="21">
        <f t="shared" si="3"/>
        <v>15.38461538</v>
      </c>
      <c r="Y600" s="21">
        <f t="shared" si="4"/>
        <v>1218.748793</v>
      </c>
      <c r="Z600" s="21">
        <f t="shared" si="5"/>
        <v>187.4998143</v>
      </c>
      <c r="AA600" s="21">
        <f t="shared" si="6"/>
        <v>0.4165776543</v>
      </c>
    </row>
    <row r="601">
      <c r="A601" s="4" t="s">
        <v>1598</v>
      </c>
      <c r="B601" s="4" t="str">
        <f>IFERROR(__xludf.DUMMYFUNCTION("SPLIT(A601:A1327, ""&gt;"")"),"OnAudience ")</f>
        <v>OnAudience </v>
      </c>
      <c r="C601" s="4" t="str">
        <f>IFERROR(__xludf.DUMMYFUNCTION("""COMPUTED_VALUE""")," Intent ")</f>
        <v> Intent </v>
      </c>
      <c r="D601" s="4" t="str">
        <f>IFERROR(__xludf.DUMMYFUNCTION("""COMPUTED_VALUE""")," Baby &amp; Toddler")</f>
        <v> Baby &amp; Toddler</v>
      </c>
      <c r="E601" s="4"/>
      <c r="F601" s="4"/>
      <c r="G601" s="4"/>
      <c r="H601" s="4"/>
      <c r="I601" s="5" t="s">
        <v>15</v>
      </c>
      <c r="J601" s="5" t="s">
        <v>31</v>
      </c>
      <c r="K601" s="5" t="s">
        <v>183</v>
      </c>
      <c r="L601" s="6" t="s">
        <v>890</v>
      </c>
      <c r="M601" s="5" t="s">
        <v>117</v>
      </c>
      <c r="N601" s="5" t="s">
        <v>52</v>
      </c>
      <c r="O601" s="5">
        <v>16628.0</v>
      </c>
      <c r="P601" s="5">
        <v>70.0</v>
      </c>
      <c r="Q601" s="5">
        <v>7974.0</v>
      </c>
      <c r="R601" s="5">
        <v>15969.0</v>
      </c>
      <c r="S601" s="5">
        <v>13.0</v>
      </c>
      <c r="T601" s="5">
        <v>1665.965851</v>
      </c>
      <c r="V601" s="21">
        <f t="shared" si="1"/>
        <v>100.1903928</v>
      </c>
      <c r="W601" s="21">
        <f t="shared" si="2"/>
        <v>208.9247368</v>
      </c>
      <c r="X601" s="21">
        <f t="shared" si="3"/>
        <v>18.57142857</v>
      </c>
      <c r="Y601" s="21">
        <f t="shared" si="4"/>
        <v>128.1512193</v>
      </c>
      <c r="Z601" s="21">
        <f t="shared" si="5"/>
        <v>23.79951216</v>
      </c>
      <c r="AA601" s="21">
        <f t="shared" si="6"/>
        <v>0.4209766659</v>
      </c>
    </row>
    <row r="602">
      <c r="A602" s="4" t="s">
        <v>1599</v>
      </c>
      <c r="B602" s="4" t="str">
        <f>IFERROR(__xludf.DUMMYFUNCTION("SPLIT(A602:A1328, ""&gt;"")"),"Online Behavior")</f>
        <v>Online Behavior</v>
      </c>
      <c r="C602" s="4" t="str">
        <f>IFERROR(__xludf.DUMMYFUNCTION("""COMPUTED_VALUE"""),"United States")</f>
        <v>United States</v>
      </c>
      <c r="D602" s="4" t="str">
        <f>IFERROR(__xludf.DUMMYFUNCTION("""COMPUTED_VALUE"""),"Beauty and Fitness")</f>
        <v>Beauty and Fitness</v>
      </c>
      <c r="E602" s="4" t="str">
        <f>IFERROR(__xludf.DUMMYFUNCTION("""COMPUTED_VALUE"""),"Fitness ")</f>
        <v>Fitness </v>
      </c>
      <c r="F602" s="4" t="str">
        <f>IFERROR(__xludf.DUMMYFUNCTION("""COMPUTED_VALUE""")," Fitness Equipment and Accessories")</f>
        <v> Fitness Equipment and Accessories</v>
      </c>
      <c r="G602" s="4"/>
      <c r="H602" s="4"/>
      <c r="I602" s="5" t="s">
        <v>15</v>
      </c>
      <c r="J602" s="5" t="s">
        <v>31</v>
      </c>
      <c r="K602" s="5" t="s">
        <v>66</v>
      </c>
      <c r="L602" s="6" t="s">
        <v>893</v>
      </c>
      <c r="M602" s="5" t="s">
        <v>19</v>
      </c>
      <c r="N602" s="5" t="s">
        <v>52</v>
      </c>
      <c r="O602" s="5">
        <v>24875.0</v>
      </c>
      <c r="P602" s="5">
        <v>67.0</v>
      </c>
      <c r="Q602" s="5">
        <v>14213.0</v>
      </c>
      <c r="R602" s="5">
        <v>23455.0</v>
      </c>
      <c r="S602" s="5">
        <v>8.0</v>
      </c>
      <c r="T602" s="5">
        <v>4652.242051</v>
      </c>
      <c r="V602" s="21">
        <f t="shared" si="1"/>
        <v>187.0248061</v>
      </c>
      <c r="W602" s="21">
        <f t="shared" si="2"/>
        <v>327.3230177</v>
      </c>
      <c r="X602" s="21">
        <f t="shared" si="3"/>
        <v>11.94029851</v>
      </c>
      <c r="Y602" s="21">
        <f t="shared" si="4"/>
        <v>581.5302564</v>
      </c>
      <c r="Z602" s="21">
        <f t="shared" si="5"/>
        <v>69.43644852</v>
      </c>
      <c r="AA602" s="21">
        <f t="shared" si="6"/>
        <v>0.2693467337</v>
      </c>
    </row>
    <row r="603">
      <c r="A603" s="4" t="s">
        <v>1934</v>
      </c>
      <c r="B603" s="4" t="str">
        <f>IFERROR(__xludf.DUMMYFUNCTION("SPLIT(A603:A1329, ""&gt;"")"),"US Buying Channel Preference ")</f>
        <v>US Buying Channel Preference </v>
      </c>
      <c r="C603" s="4" t="str">
        <f>IFERROR(__xludf.DUMMYFUNCTION("""COMPUTED_VALUE""")," Online")</f>
        <v> Online</v>
      </c>
      <c r="D603" s="4"/>
      <c r="E603" s="4"/>
      <c r="F603" s="4"/>
      <c r="G603" s="4"/>
      <c r="H603" s="4"/>
      <c r="I603" s="5" t="s">
        <v>22</v>
      </c>
      <c r="J603" s="5" t="s">
        <v>31</v>
      </c>
      <c r="K603" s="5" t="s">
        <v>32</v>
      </c>
      <c r="L603" s="6" t="s">
        <v>893</v>
      </c>
      <c r="M603" s="5" t="s">
        <v>46</v>
      </c>
      <c r="N603" s="5" t="s">
        <v>27</v>
      </c>
      <c r="O603" s="5">
        <v>10707.0</v>
      </c>
      <c r="P603" s="5">
        <v>57.0</v>
      </c>
      <c r="Q603" s="5">
        <v>6300.0</v>
      </c>
      <c r="R603" s="5">
        <v>10089.0</v>
      </c>
      <c r="S603" s="5">
        <v>3.0</v>
      </c>
      <c r="T603" s="5">
        <v>1603.859264</v>
      </c>
      <c r="V603" s="21">
        <f t="shared" si="1"/>
        <v>149.7953922</v>
      </c>
      <c r="W603" s="21">
        <f t="shared" si="2"/>
        <v>254.5808356</v>
      </c>
      <c r="X603" s="21">
        <f t="shared" si="3"/>
        <v>5.263157895</v>
      </c>
      <c r="Y603" s="21">
        <f t="shared" si="4"/>
        <v>534.6197547</v>
      </c>
      <c r="Z603" s="21">
        <f t="shared" si="5"/>
        <v>28.13788182</v>
      </c>
      <c r="AA603" s="21">
        <f t="shared" si="6"/>
        <v>0.5323620062</v>
      </c>
    </row>
    <row r="604">
      <c r="A604" s="4" t="s">
        <v>1601</v>
      </c>
      <c r="B604" s="4" t="str">
        <f>IFERROR(__xludf.DUMMYFUNCTION("SPLIT(A604:A1330, ""&gt;"")"),"Online Behavior")</f>
        <v>Online Behavior</v>
      </c>
      <c r="C604" s="4" t="str">
        <f>IFERROR(__xludf.DUMMYFUNCTION("""COMPUTED_VALUE"""),"United States")</f>
        <v>United States</v>
      </c>
      <c r="D604" s="4" t="str">
        <f>IFERROR(__xludf.DUMMYFUNCTION("""COMPUTED_VALUE"""),"Validated Demographic ")</f>
        <v>Validated Demographic </v>
      </c>
      <c r="E604" s="4" t="str">
        <f>IFERROR(__xludf.DUMMYFUNCTION("""COMPUTED_VALUE""")," Age")</f>
        <v> Age</v>
      </c>
      <c r="F604" s="4" t="str">
        <f>IFERROR(__xludf.DUMMYFUNCTION("""COMPUTED_VALUE"""),"65 or older")</f>
        <v>65 or older</v>
      </c>
      <c r="G604" s="4"/>
      <c r="H604" s="4"/>
      <c r="I604" s="5" t="s">
        <v>22</v>
      </c>
      <c r="J604" s="5" t="s">
        <v>42</v>
      </c>
      <c r="K604" s="5" t="s">
        <v>39</v>
      </c>
      <c r="L604" s="6" t="s">
        <v>896</v>
      </c>
      <c r="M604" s="5" t="s">
        <v>167</v>
      </c>
      <c r="N604" s="5" t="s">
        <v>27</v>
      </c>
      <c r="O604" s="5">
        <v>10386.0</v>
      </c>
      <c r="P604" s="5">
        <v>65.0</v>
      </c>
      <c r="Q604" s="5">
        <v>5876.0</v>
      </c>
      <c r="R604" s="5">
        <v>10048.0</v>
      </c>
      <c r="S604" s="5">
        <v>15.0</v>
      </c>
      <c r="T604" s="5">
        <v>4439.838064</v>
      </c>
      <c r="V604" s="21">
        <f t="shared" si="1"/>
        <v>427.482964</v>
      </c>
      <c r="W604" s="21">
        <f t="shared" si="2"/>
        <v>755.5885065</v>
      </c>
      <c r="X604" s="21">
        <f t="shared" si="3"/>
        <v>23.07692308</v>
      </c>
      <c r="Y604" s="21">
        <f t="shared" si="4"/>
        <v>295.9892043</v>
      </c>
      <c r="Z604" s="21">
        <f t="shared" si="5"/>
        <v>68.30520098</v>
      </c>
      <c r="AA604" s="21">
        <f t="shared" si="6"/>
        <v>0.6258424803</v>
      </c>
    </row>
    <row r="605">
      <c r="A605" s="4" t="s">
        <v>1935</v>
      </c>
      <c r="B605" s="4" t="str">
        <f>IFERROR(__xludf.DUMMYFUNCTION("SPLIT(A605:A1331, ""&gt;"")"),"US ")</f>
        <v>US </v>
      </c>
      <c r="C605" s="4" t="str">
        <f>IFERROR(__xludf.DUMMYFUNCTION("""COMPUTED_VALUE"""),"Made In America Audience")</f>
        <v>Made In America Audience</v>
      </c>
      <c r="D605" s="4"/>
      <c r="E605" s="4"/>
      <c r="F605" s="4"/>
      <c r="G605" s="4"/>
      <c r="H605" s="4"/>
      <c r="I605" s="5" t="s">
        <v>22</v>
      </c>
      <c r="J605" s="5" t="s">
        <v>31</v>
      </c>
      <c r="K605" s="5" t="s">
        <v>78</v>
      </c>
      <c r="L605" s="6" t="s">
        <v>898</v>
      </c>
      <c r="M605" s="5" t="s">
        <v>26</v>
      </c>
      <c r="N605" s="5" t="s">
        <v>27</v>
      </c>
      <c r="O605" s="5">
        <v>16137.0</v>
      </c>
      <c r="P605" s="5">
        <v>40.0</v>
      </c>
      <c r="Q605" s="5">
        <v>7938.0</v>
      </c>
      <c r="R605" s="5">
        <v>14030.0</v>
      </c>
      <c r="S605" s="5">
        <v>4.0</v>
      </c>
      <c r="T605" s="5">
        <v>1835.048738</v>
      </c>
      <c r="V605" s="21">
        <f t="shared" si="1"/>
        <v>113.7168456</v>
      </c>
      <c r="W605" s="21">
        <f t="shared" si="2"/>
        <v>231.1726805</v>
      </c>
      <c r="X605" s="21">
        <f t="shared" si="3"/>
        <v>10</v>
      </c>
      <c r="Y605" s="21">
        <f t="shared" si="4"/>
        <v>458.7621845</v>
      </c>
      <c r="Z605" s="21">
        <f t="shared" si="5"/>
        <v>45.87621845</v>
      </c>
      <c r="AA605" s="21">
        <f t="shared" si="6"/>
        <v>0.2478775485</v>
      </c>
    </row>
    <row r="606">
      <c r="A606" s="4" t="s">
        <v>1603</v>
      </c>
      <c r="B606" s="4" t="str">
        <f>IFERROR(__xludf.DUMMYFUNCTION("SPLIT(A606:A1332, ""&gt;"")"),"Online Behavior")</f>
        <v>Online Behavior</v>
      </c>
      <c r="C606" s="4" t="str">
        <f>IFERROR(__xludf.DUMMYFUNCTION("""COMPUTED_VALUE"""),"United States")</f>
        <v>United States</v>
      </c>
      <c r="D606" s="4" t="str">
        <f>IFERROR(__xludf.DUMMYFUNCTION("""COMPUTED_VALUE"""),"Intent ")</f>
        <v>Intent </v>
      </c>
      <c r="E606" s="4" t="str">
        <f>IFERROR(__xludf.DUMMYFUNCTION("""COMPUTED_VALUE""")," Shopping")</f>
        <v> Shopping</v>
      </c>
      <c r="F606" s="4" t="str">
        <f>IFERROR(__xludf.DUMMYFUNCTION("""COMPUTED_VALUE"""),"Drug Stores ")</f>
        <v>Drug Stores </v>
      </c>
      <c r="G606" s="4" t="str">
        <f>IFERROR(__xludf.DUMMYFUNCTION("""COMPUTED_VALUE""")," Walgreens")</f>
        <v> Walgreens</v>
      </c>
      <c r="H606" s="4"/>
      <c r="I606" s="5" t="s">
        <v>61</v>
      </c>
      <c r="J606" s="5" t="s">
        <v>16</v>
      </c>
      <c r="K606" s="5" t="s">
        <v>78</v>
      </c>
      <c r="L606" s="6" t="s">
        <v>900</v>
      </c>
      <c r="M606" s="5" t="s">
        <v>19</v>
      </c>
      <c r="N606" s="5" t="s">
        <v>27</v>
      </c>
      <c r="O606" s="5">
        <v>39373.0</v>
      </c>
      <c r="P606" s="5">
        <v>99.0</v>
      </c>
      <c r="Q606" s="5">
        <v>23152.0</v>
      </c>
      <c r="R606" s="5">
        <v>35857.0</v>
      </c>
      <c r="S606" s="5">
        <v>17.0</v>
      </c>
      <c r="T606" s="5">
        <v>6342.885786</v>
      </c>
      <c r="V606" s="21">
        <f t="shared" si="1"/>
        <v>161.0973455</v>
      </c>
      <c r="W606" s="21">
        <f t="shared" si="2"/>
        <v>273.9670778</v>
      </c>
      <c r="X606" s="21">
        <f t="shared" si="3"/>
        <v>17.17171717</v>
      </c>
      <c r="Y606" s="21">
        <f t="shared" si="4"/>
        <v>373.1109286</v>
      </c>
      <c r="Z606" s="21">
        <f t="shared" si="5"/>
        <v>64.06955339</v>
      </c>
      <c r="AA606" s="21">
        <f t="shared" si="6"/>
        <v>0.2514413431</v>
      </c>
    </row>
    <row r="607">
      <c r="A607" s="4" t="s">
        <v>1605</v>
      </c>
      <c r="B607" s="4" t="str">
        <f>IFERROR(__xludf.DUMMYFUNCTION("SPLIT(A607:A1333, ""&gt;"")"),"Online Behavior")</f>
        <v>Online Behavior</v>
      </c>
      <c r="C607" s="4" t="str">
        <f>IFERROR(__xludf.DUMMYFUNCTION("""COMPUTED_VALUE"""),"United States")</f>
        <v>United States</v>
      </c>
      <c r="D607" s="4" t="str">
        <f>IFERROR(__xludf.DUMMYFUNCTION("""COMPUTED_VALUE"""),"Validated Demographic ")</f>
        <v>Validated Demographic </v>
      </c>
      <c r="E607" s="4" t="str">
        <f>IFERROR(__xludf.DUMMYFUNCTION("""COMPUTED_VALUE""")," Gender and Age Combined")</f>
        <v> Gender and Age Combined</v>
      </c>
      <c r="F607" s="4" t="str">
        <f>IFERROR(__xludf.DUMMYFUNCTION("""COMPUTED_VALUE"""),"Males 25 or older")</f>
        <v>Males 25 or older</v>
      </c>
      <c r="G607" s="4"/>
      <c r="H607" s="4"/>
      <c r="I607" s="5" t="s">
        <v>22</v>
      </c>
      <c r="J607" s="5" t="s">
        <v>16</v>
      </c>
      <c r="K607" s="5" t="s">
        <v>35</v>
      </c>
      <c r="L607" s="6" t="s">
        <v>900</v>
      </c>
      <c r="M607" s="5" t="s">
        <v>48</v>
      </c>
      <c r="N607" s="5" t="s">
        <v>27</v>
      </c>
      <c r="O607" s="5">
        <v>47016.0</v>
      </c>
      <c r="P607" s="5">
        <v>199.0</v>
      </c>
      <c r="Q607" s="5">
        <v>12210.0</v>
      </c>
      <c r="R607" s="5">
        <v>38039.0</v>
      </c>
      <c r="S607" s="5">
        <v>13.0</v>
      </c>
      <c r="T607" s="5">
        <v>5974.87508</v>
      </c>
      <c r="V607" s="21">
        <f t="shared" si="1"/>
        <v>127.0817398</v>
      </c>
      <c r="W607" s="21">
        <f t="shared" si="2"/>
        <v>489.3427584</v>
      </c>
      <c r="X607" s="21">
        <f t="shared" si="3"/>
        <v>6.532663317</v>
      </c>
      <c r="Y607" s="21">
        <f t="shared" si="4"/>
        <v>459.6057754</v>
      </c>
      <c r="Z607" s="21">
        <f t="shared" si="5"/>
        <v>30.02449789</v>
      </c>
      <c r="AA607" s="21">
        <f t="shared" si="6"/>
        <v>0.4232601668</v>
      </c>
    </row>
    <row r="608">
      <c r="A608" s="4" t="s">
        <v>1606</v>
      </c>
      <c r="B608" s="4" t="str">
        <f>IFERROR(__xludf.DUMMYFUNCTION("SPLIT(A608:A1334, ""&gt;"")"),"Online Behavior")</f>
        <v>Online Behavior</v>
      </c>
      <c r="C608" s="4" t="str">
        <f>IFERROR(__xludf.DUMMYFUNCTION("""COMPUTED_VALUE"""),"United States")</f>
        <v>United States</v>
      </c>
      <c r="D608" s="4" t="str">
        <f>IFERROR(__xludf.DUMMYFUNCTION("""COMPUTED_VALUE"""),"Intent ")</f>
        <v>Intent </v>
      </c>
      <c r="E608" s="4" t="str">
        <f>IFERROR(__xludf.DUMMYFUNCTION("""COMPUTED_VALUE""")," Auto Buyers ")</f>
        <v> Auto Buyers </v>
      </c>
      <c r="F608" s="4" t="str">
        <f>IFERROR(__xludf.DUMMYFUNCTION("""COMPUTED_VALUE""")," Type")</f>
        <v> Type</v>
      </c>
      <c r="G608" s="4" t="str">
        <f>IFERROR(__xludf.DUMMYFUNCTION("""COMPUTED_VALUE"""),"Crossover")</f>
        <v>Crossover</v>
      </c>
      <c r="H608" s="4"/>
      <c r="I608" s="5" t="s">
        <v>22</v>
      </c>
      <c r="J608" s="5" t="s">
        <v>31</v>
      </c>
      <c r="K608" s="5" t="s">
        <v>35</v>
      </c>
      <c r="L608" s="6" t="s">
        <v>900</v>
      </c>
      <c r="M608" s="5" t="s">
        <v>19</v>
      </c>
      <c r="N608" s="5" t="s">
        <v>27</v>
      </c>
      <c r="O608" s="5">
        <v>25539.0</v>
      </c>
      <c r="P608" s="5">
        <v>78.0</v>
      </c>
      <c r="Q608" s="5">
        <v>12130.0</v>
      </c>
      <c r="R608" s="5">
        <v>24129.0</v>
      </c>
      <c r="S608" s="5">
        <v>15.0</v>
      </c>
      <c r="T608" s="5">
        <v>4804.493233</v>
      </c>
      <c r="V608" s="21">
        <f t="shared" si="1"/>
        <v>188.1237806</v>
      </c>
      <c r="W608" s="21">
        <f t="shared" si="2"/>
        <v>396.0835312</v>
      </c>
      <c r="X608" s="21">
        <f t="shared" si="3"/>
        <v>19.23076923</v>
      </c>
      <c r="Y608" s="21">
        <f t="shared" si="4"/>
        <v>320.2995489</v>
      </c>
      <c r="Z608" s="21">
        <f t="shared" si="5"/>
        <v>61.59606709</v>
      </c>
      <c r="AA608" s="21">
        <f t="shared" si="6"/>
        <v>0.3054152473</v>
      </c>
    </row>
    <row r="609">
      <c r="A609" s="4" t="s">
        <v>1607</v>
      </c>
      <c r="B609" s="4" t="str">
        <f>IFERROR(__xludf.DUMMYFUNCTION("SPLIT(A609:A1335, ""&gt;"")"),"Online Behavior")</f>
        <v>Online Behavior</v>
      </c>
      <c r="C609" s="4" t="str">
        <f>IFERROR(__xludf.DUMMYFUNCTION("""COMPUTED_VALUE"""),"United States")</f>
        <v>United States</v>
      </c>
      <c r="D609" s="4" t="str">
        <f>IFERROR(__xludf.DUMMYFUNCTION("""COMPUTED_VALUE"""),"Intent ")</f>
        <v>Intent </v>
      </c>
      <c r="E609" s="4" t="str">
        <f>IFERROR(__xludf.DUMMYFUNCTION("""COMPUTED_VALUE""")," Auto Buyers ")</f>
        <v> Auto Buyers </v>
      </c>
      <c r="F609" s="4" t="str">
        <f>IFERROR(__xludf.DUMMYFUNCTION("""COMPUTED_VALUE""")," Car Make")</f>
        <v> Car Make</v>
      </c>
      <c r="G609" s="4" t="str">
        <f>IFERROR(__xludf.DUMMYFUNCTION("""COMPUTED_VALUE"""),"Peugeot")</f>
        <v>Peugeot</v>
      </c>
      <c r="H609" s="4"/>
      <c r="I609" s="5" t="s">
        <v>15</v>
      </c>
      <c r="J609" s="5" t="s">
        <v>23</v>
      </c>
      <c r="K609" s="5" t="s">
        <v>78</v>
      </c>
      <c r="L609" s="6" t="s">
        <v>900</v>
      </c>
      <c r="M609" s="5" t="s">
        <v>19</v>
      </c>
      <c r="N609" s="5" t="s">
        <v>27</v>
      </c>
      <c r="O609" s="5">
        <v>186404.0</v>
      </c>
      <c r="P609" s="5">
        <v>940.0</v>
      </c>
      <c r="Q609" s="5">
        <v>30885.0</v>
      </c>
      <c r="R609" s="5">
        <v>151358.0</v>
      </c>
      <c r="S609" s="5">
        <v>3.0</v>
      </c>
      <c r="T609" s="5">
        <v>4702.027505</v>
      </c>
      <c r="V609" s="21">
        <f t="shared" si="1"/>
        <v>25.22492814</v>
      </c>
      <c r="W609" s="21">
        <f t="shared" si="2"/>
        <v>152.2430793</v>
      </c>
      <c r="X609" s="21">
        <f t="shared" si="3"/>
        <v>0.3191489362</v>
      </c>
      <c r="Y609" s="21">
        <f t="shared" si="4"/>
        <v>1567.342502</v>
      </c>
      <c r="Z609" s="21">
        <f t="shared" si="5"/>
        <v>5.00215692</v>
      </c>
      <c r="AA609" s="21">
        <f t="shared" si="6"/>
        <v>0.504281024</v>
      </c>
    </row>
    <row r="610">
      <c r="A610" s="4" t="s">
        <v>1608</v>
      </c>
      <c r="B610" s="4" t="str">
        <f>IFERROR(__xludf.DUMMYFUNCTION("SPLIT(A610:A1336, ""&gt;"")"),"Purchase Behaviors ")</f>
        <v>Purchase Behaviors </v>
      </c>
      <c r="C610" s="4" t="str">
        <f>IFERROR(__xludf.DUMMYFUNCTION("""COMPUTED_VALUE""")," Q2 Spring Cleaners")</f>
        <v> Q2 Spring Cleaners</v>
      </c>
      <c r="D610" s="4"/>
      <c r="E610" s="4"/>
      <c r="F610" s="4"/>
      <c r="G610" s="4"/>
      <c r="H610" s="4"/>
      <c r="I610" s="5" t="s">
        <v>22</v>
      </c>
      <c r="J610" s="5" t="s">
        <v>16</v>
      </c>
      <c r="K610" s="5" t="s">
        <v>433</v>
      </c>
      <c r="L610" s="6" t="s">
        <v>900</v>
      </c>
      <c r="M610" s="5" t="s">
        <v>46</v>
      </c>
      <c r="N610" s="5" t="s">
        <v>27</v>
      </c>
      <c r="O610" s="5">
        <v>19549.0</v>
      </c>
      <c r="P610" s="5">
        <v>84.0</v>
      </c>
      <c r="Q610" s="5">
        <v>6187.0</v>
      </c>
      <c r="R610" s="5">
        <v>17166.0</v>
      </c>
      <c r="S610" s="5">
        <v>2.0</v>
      </c>
      <c r="T610" s="5">
        <v>1844.986921</v>
      </c>
      <c r="V610" s="21">
        <f t="shared" si="1"/>
        <v>94.37756003</v>
      </c>
      <c r="W610" s="21">
        <f t="shared" si="2"/>
        <v>298.2038017</v>
      </c>
      <c r="X610" s="21">
        <f t="shared" si="3"/>
        <v>2.380952381</v>
      </c>
      <c r="Y610" s="21">
        <f t="shared" si="4"/>
        <v>922.4934605</v>
      </c>
      <c r="Z610" s="21">
        <f t="shared" si="5"/>
        <v>21.96413001</v>
      </c>
      <c r="AA610" s="21">
        <f t="shared" si="6"/>
        <v>0.4296894982</v>
      </c>
    </row>
    <row r="611">
      <c r="A611" s="4" t="s">
        <v>1936</v>
      </c>
      <c r="B611" s="4" t="str">
        <f>IFERROR(__xludf.DUMMYFUNCTION("SPLIT(A611:A1337, ""&gt;"")"),"Mobile - US ")</f>
        <v>Mobile - US </v>
      </c>
      <c r="C611" s="4" t="str">
        <f>IFERROR(__xludf.DUMMYFUNCTION("""COMPUTED_VALUE""")," Automotive ")</f>
        <v> Automotive </v>
      </c>
      <c r="D611" s="4" t="str">
        <f>IFERROR(__xludf.DUMMYFUNCTION("""COMPUTED_VALUE""")," Vehicle Ownership ")</f>
        <v> Vehicle Ownership </v>
      </c>
      <c r="E611" s="4" t="str">
        <f>IFERROR(__xludf.DUMMYFUNCTION("""COMPUTED_VALUE""")," Brand ")</f>
        <v> Brand </v>
      </c>
      <c r="F611" s="4" t="str">
        <f>IFERROR(__xludf.DUMMYFUNCTION("""COMPUTED_VALUE""")," BMW")</f>
        <v> BMW</v>
      </c>
      <c r="G611" s="4"/>
      <c r="H611" s="4"/>
      <c r="I611" s="5" t="s">
        <v>22</v>
      </c>
      <c r="J611" s="5" t="s">
        <v>42</v>
      </c>
      <c r="K611" s="5" t="s">
        <v>39</v>
      </c>
      <c r="L611" s="6" t="s">
        <v>906</v>
      </c>
      <c r="M611" s="5" t="s">
        <v>46</v>
      </c>
      <c r="N611" s="5" t="s">
        <v>27</v>
      </c>
      <c r="O611" s="5">
        <v>17561.0</v>
      </c>
      <c r="P611" s="5">
        <v>50.0</v>
      </c>
      <c r="Q611" s="5">
        <v>2960.0</v>
      </c>
      <c r="R611" s="5">
        <v>9953.0</v>
      </c>
      <c r="S611" s="5">
        <v>10.0</v>
      </c>
      <c r="T611" s="5">
        <v>1519.90401</v>
      </c>
      <c r="V611" s="21">
        <f t="shared" si="1"/>
        <v>86.54996925</v>
      </c>
      <c r="W611" s="21">
        <f t="shared" si="2"/>
        <v>513.4810845</v>
      </c>
      <c r="X611" s="21">
        <f t="shared" si="3"/>
        <v>20</v>
      </c>
      <c r="Y611" s="21">
        <f t="shared" si="4"/>
        <v>151.990401</v>
      </c>
      <c r="Z611" s="21">
        <f t="shared" si="5"/>
        <v>30.3980802</v>
      </c>
      <c r="AA611" s="21">
        <f t="shared" si="6"/>
        <v>0.2847218268</v>
      </c>
    </row>
    <row r="612">
      <c r="A612" s="4" t="s">
        <v>1937</v>
      </c>
      <c r="B612" s="4" t="str">
        <f>IFERROR(__xludf.DUMMYFUNCTION("SPLIT(A612:A1338, ""&gt;"")"),"Mobile - US ")</f>
        <v>Mobile - US </v>
      </c>
      <c r="C612" s="4" t="str">
        <f>IFERROR(__xludf.DUMMYFUNCTION("""COMPUTED_VALUE""")," Food ")</f>
        <v> Food </v>
      </c>
      <c r="D612" s="4" t="str">
        <f>IFERROR(__xludf.DUMMYFUNCTION("""COMPUTED_VALUE""")," Restaurant ")</f>
        <v> Restaurant </v>
      </c>
      <c r="E612" s="4" t="str">
        <f>IFERROR(__xludf.DUMMYFUNCTION("""COMPUTED_VALUE""")," Brand ")</f>
        <v> Brand </v>
      </c>
      <c r="F612" s="4" t="str">
        <f>IFERROR(__xludf.DUMMYFUNCTION("""COMPUTED_VALUE""")," Krispy Kreme")</f>
        <v> Krispy Kreme</v>
      </c>
      <c r="G612" s="4"/>
      <c r="H612" s="4"/>
      <c r="I612" s="5" t="s">
        <v>61</v>
      </c>
      <c r="J612" s="5" t="s">
        <v>42</v>
      </c>
      <c r="K612" s="5" t="s">
        <v>32</v>
      </c>
      <c r="L612" s="6" t="s">
        <v>908</v>
      </c>
      <c r="M612" s="5" t="s">
        <v>26</v>
      </c>
      <c r="N612" s="5" t="s">
        <v>27</v>
      </c>
      <c r="O612" s="5">
        <v>13608.0</v>
      </c>
      <c r="P612" s="5">
        <v>66.0</v>
      </c>
      <c r="Q612" s="5">
        <v>2714.0</v>
      </c>
      <c r="R612" s="5">
        <v>9332.0</v>
      </c>
      <c r="S612" s="5">
        <v>1.0</v>
      </c>
      <c r="T612" s="5">
        <v>1762.663235</v>
      </c>
      <c r="V612" s="21">
        <f t="shared" si="1"/>
        <v>129.5313959</v>
      </c>
      <c r="W612" s="21">
        <f t="shared" si="2"/>
        <v>649.4706098</v>
      </c>
      <c r="X612" s="21">
        <f t="shared" si="3"/>
        <v>1.515151515</v>
      </c>
      <c r="Y612" s="21">
        <f t="shared" si="4"/>
        <v>1762.663235</v>
      </c>
      <c r="Z612" s="21">
        <f t="shared" si="5"/>
        <v>26.70701871</v>
      </c>
      <c r="AA612" s="21">
        <f t="shared" si="6"/>
        <v>0.4850088183</v>
      </c>
    </row>
    <row r="613">
      <c r="A613" s="4" t="s">
        <v>1938</v>
      </c>
      <c r="B613" s="4" t="str">
        <f>IFERROR(__xludf.DUMMYFUNCTION("SPLIT(A613:A1339, ""&gt;"")"),"Online Behavior")</f>
        <v>Online Behavior</v>
      </c>
      <c r="C613" s="4" t="str">
        <f>IFERROR(__xludf.DUMMYFUNCTION("""COMPUTED_VALUE"""),"United States")</f>
        <v>United States</v>
      </c>
      <c r="D613" s="4" t="str">
        <f>IFERROR(__xludf.DUMMYFUNCTION("""COMPUTED_VALUE"""),"Arts and Entertainment")</f>
        <v>Arts and Entertainment</v>
      </c>
      <c r="E613" s="4" t="str">
        <f>IFERROR(__xludf.DUMMYFUNCTION("""COMPUTED_VALUE"""),"Events and Listings ")</f>
        <v>Events and Listings </v>
      </c>
      <c r="F613" s="4" t="str">
        <f>IFERROR(__xludf.DUMMYFUNCTION("""COMPUTED_VALUE""")," Concerts and Music Festivals")</f>
        <v> Concerts and Music Festivals</v>
      </c>
      <c r="G613" s="4"/>
      <c r="H613" s="4"/>
      <c r="I613" s="5" t="s">
        <v>61</v>
      </c>
      <c r="J613" s="5" t="s">
        <v>23</v>
      </c>
      <c r="K613" s="5" t="s">
        <v>35</v>
      </c>
      <c r="L613" s="6" t="s">
        <v>910</v>
      </c>
      <c r="M613" s="5" t="s">
        <v>19</v>
      </c>
      <c r="N613" s="5" t="s">
        <v>27</v>
      </c>
      <c r="O613" s="7">
        <v>446774.0</v>
      </c>
      <c r="P613" s="5">
        <v>951.0</v>
      </c>
      <c r="Q613" s="7">
        <v>196581.0</v>
      </c>
      <c r="R613" s="7">
        <v>379758.0</v>
      </c>
      <c r="S613" s="5">
        <v>33.0</v>
      </c>
      <c r="T613" s="5">
        <v>6956.627366</v>
      </c>
      <c r="V613" s="21">
        <f t="shared" si="1"/>
        <v>15.57079724</v>
      </c>
      <c r="W613" s="21">
        <f t="shared" si="2"/>
        <v>35.38809634</v>
      </c>
      <c r="X613" s="21">
        <f t="shared" si="3"/>
        <v>3.470031546</v>
      </c>
      <c r="Y613" s="21">
        <f t="shared" si="4"/>
        <v>210.8068899</v>
      </c>
      <c r="Z613" s="21">
        <f t="shared" si="5"/>
        <v>7.315065579</v>
      </c>
      <c r="AA613" s="21">
        <f t="shared" si="6"/>
        <v>0.212859298</v>
      </c>
    </row>
    <row r="614">
      <c r="A614" s="4" t="s">
        <v>911</v>
      </c>
      <c r="B614" s="4" t="str">
        <f>IFERROR(__xludf.DUMMYFUNCTION("SPLIT(A614:A1340, ""&gt;"")"),"Online Behavior")</f>
        <v>Online Behavior</v>
      </c>
      <c r="C614" s="4" t="str">
        <f>IFERROR(__xludf.DUMMYFUNCTION("""COMPUTED_VALUE"""),"United States")</f>
        <v>United States</v>
      </c>
      <c r="D614" s="4" t="str">
        <f>IFERROR(__xludf.DUMMYFUNCTION("""COMPUTED_VALUE"""),"Home and Garden")</f>
        <v>Home and Garden</v>
      </c>
      <c r="E614" s="4" t="str">
        <f>IFERROR(__xludf.DUMMYFUNCTION("""COMPUTED_VALUE"""),"Yard and Patio")</f>
        <v>Yard and Patio</v>
      </c>
      <c r="F614" s="4"/>
      <c r="G614" s="4"/>
      <c r="H614" s="4"/>
      <c r="I614" s="5" t="s">
        <v>15</v>
      </c>
      <c r="J614" s="5" t="s">
        <v>16</v>
      </c>
      <c r="K614" s="5" t="s">
        <v>17</v>
      </c>
      <c r="L614" s="6" t="s">
        <v>912</v>
      </c>
      <c r="M614" s="5" t="s">
        <v>117</v>
      </c>
      <c r="N614" s="5" t="s">
        <v>27</v>
      </c>
      <c r="O614" s="5">
        <v>11607.0</v>
      </c>
      <c r="P614" s="5">
        <v>184.0</v>
      </c>
      <c r="Q614" s="5">
        <v>5218.0</v>
      </c>
      <c r="R614" s="5">
        <v>10763.0</v>
      </c>
      <c r="S614" s="5">
        <v>12.0</v>
      </c>
      <c r="T614" s="5">
        <v>6909.732318</v>
      </c>
      <c r="V614" s="21">
        <f t="shared" si="1"/>
        <v>595.3073419</v>
      </c>
      <c r="W614" s="21">
        <f t="shared" si="2"/>
        <v>1324.21087</v>
      </c>
      <c r="X614" s="21">
        <f t="shared" si="3"/>
        <v>6.52173913</v>
      </c>
      <c r="Y614" s="21">
        <f t="shared" si="4"/>
        <v>575.8110265</v>
      </c>
      <c r="Z614" s="21">
        <f t="shared" si="5"/>
        <v>37.55289303</v>
      </c>
      <c r="AA614" s="21">
        <f t="shared" si="6"/>
        <v>1.58525028</v>
      </c>
    </row>
    <row r="615">
      <c r="A615" s="4" t="s">
        <v>1939</v>
      </c>
      <c r="B615" s="4" t="str">
        <f>IFERROR(__xludf.DUMMYFUNCTION("SPLIT(A615:A1341, ""&gt;"")"),"US ")</f>
        <v>US </v>
      </c>
      <c r="C615" s="4" t="str">
        <f>IFERROR(__xludf.DUMMYFUNCTION("""COMPUTED_VALUE""")," Sociodemographic ")</f>
        <v> Sociodemographic </v>
      </c>
      <c r="D615" s="4" t="str">
        <f>IFERROR(__xludf.DUMMYFUNCTION("""COMPUTED_VALUE""")," PRIZM Premier Lifestage ")</f>
        <v> PRIZM Premier Lifestage </v>
      </c>
      <c r="E615" s="4" t="str">
        <f>IFERROR(__xludf.DUMMYFUNCTION("""COMPUTED_VALUE""")," F2 Young Accumulators")</f>
        <v> F2 Young Accumulators</v>
      </c>
      <c r="F615" s="4"/>
      <c r="G615" s="4"/>
      <c r="H615" s="4"/>
      <c r="I615" s="5" t="s">
        <v>61</v>
      </c>
      <c r="J615" s="5" t="s">
        <v>16</v>
      </c>
      <c r="K615" s="5" t="s">
        <v>78</v>
      </c>
      <c r="L615" s="6" t="s">
        <v>912</v>
      </c>
      <c r="M615" s="5" t="s">
        <v>117</v>
      </c>
      <c r="N615" s="5" t="s">
        <v>27</v>
      </c>
      <c r="O615" s="5">
        <v>72117.0</v>
      </c>
      <c r="P615" s="5">
        <v>187.0</v>
      </c>
      <c r="Q615" s="5">
        <v>9807.0</v>
      </c>
      <c r="R615" s="5">
        <v>68568.0</v>
      </c>
      <c r="S615" s="5">
        <v>16.0</v>
      </c>
      <c r="T615" s="5">
        <v>1702.317206</v>
      </c>
      <c r="V615" s="21">
        <f t="shared" si="1"/>
        <v>23.60493651</v>
      </c>
      <c r="W615" s="21">
        <f t="shared" si="2"/>
        <v>173.5818503</v>
      </c>
      <c r="X615" s="21">
        <f t="shared" si="3"/>
        <v>8.556149733</v>
      </c>
      <c r="Y615" s="21">
        <f t="shared" si="4"/>
        <v>106.3948254</v>
      </c>
      <c r="Z615" s="21">
        <f t="shared" si="5"/>
        <v>9.103300567</v>
      </c>
      <c r="AA615" s="21">
        <f t="shared" si="6"/>
        <v>0.2593008583</v>
      </c>
    </row>
    <row r="616">
      <c r="A616" s="4" t="s">
        <v>1616</v>
      </c>
      <c r="B616" s="4" t="str">
        <f>IFERROR(__xludf.DUMMYFUNCTION("SPLIT(A616:A1342, ""&gt;"")"),"OnAudience ")</f>
        <v>OnAudience </v>
      </c>
      <c r="C616" s="4" t="str">
        <f>IFERROR(__xludf.DUMMYFUNCTION("""COMPUTED_VALUE""")," Interest ")</f>
        <v> Interest </v>
      </c>
      <c r="D616" s="4" t="str">
        <f>IFERROR(__xludf.DUMMYFUNCTION("""COMPUTED_VALUE""")," Food &amp; Drink")</f>
        <v> Food &amp; Drink</v>
      </c>
      <c r="E616" s="4"/>
      <c r="F616" s="4"/>
      <c r="G616" s="4"/>
      <c r="H616" s="4"/>
      <c r="I616" s="5" t="s">
        <v>15</v>
      </c>
      <c r="J616" s="5" t="s">
        <v>42</v>
      </c>
      <c r="K616" s="5" t="s">
        <v>126</v>
      </c>
      <c r="L616" s="6" t="s">
        <v>912</v>
      </c>
      <c r="M616" s="5" t="s">
        <v>19</v>
      </c>
      <c r="N616" s="5" t="s">
        <v>52</v>
      </c>
      <c r="O616" s="5">
        <v>38070.0</v>
      </c>
      <c r="P616" s="5">
        <v>146.0</v>
      </c>
      <c r="Q616" s="5">
        <v>15253.0</v>
      </c>
      <c r="R616" s="5">
        <v>35453.0</v>
      </c>
      <c r="S616" s="5">
        <v>8.0</v>
      </c>
      <c r="T616" s="5">
        <v>1653.510777</v>
      </c>
      <c r="V616" s="21">
        <f t="shared" si="1"/>
        <v>43.43343255</v>
      </c>
      <c r="W616" s="21">
        <f t="shared" si="2"/>
        <v>108.4056105</v>
      </c>
      <c r="X616" s="21">
        <f t="shared" si="3"/>
        <v>5.479452055</v>
      </c>
      <c r="Y616" s="21">
        <f t="shared" si="4"/>
        <v>206.6888471</v>
      </c>
      <c r="Z616" s="21">
        <f t="shared" si="5"/>
        <v>11.32541628</v>
      </c>
      <c r="AA616" s="21">
        <f t="shared" si="6"/>
        <v>0.3835040714</v>
      </c>
    </row>
    <row r="617">
      <c r="A617" s="4" t="s">
        <v>1940</v>
      </c>
      <c r="B617" s="4" t="str">
        <f>IFERROR(__xludf.DUMMYFUNCTION("SPLIT(A617:A1343, ""&gt;"")"),"US ")</f>
        <v>US </v>
      </c>
      <c r="C617" s="4" t="str">
        <f>IFERROR(__xludf.DUMMYFUNCTION("""COMPUTED_VALUE""")," Brand Propensities ")</f>
        <v> Brand Propensities </v>
      </c>
      <c r="D617" s="4" t="str">
        <f>IFERROR(__xludf.DUMMYFUNCTION("""COMPUTED_VALUE""")," Travel ")</f>
        <v> Travel </v>
      </c>
      <c r="E617" s="4" t="str">
        <f>IFERROR(__xludf.DUMMYFUNCTION("""COMPUTED_VALUE""")," MGM Resorts International Buyer Propensity")</f>
        <v> MGM Resorts International Buyer Propensity</v>
      </c>
      <c r="F617" s="4"/>
      <c r="G617" s="4"/>
      <c r="H617" s="4"/>
      <c r="I617" s="5" t="s">
        <v>61</v>
      </c>
      <c r="J617" s="5" t="s">
        <v>16</v>
      </c>
      <c r="K617" s="5" t="s">
        <v>78</v>
      </c>
      <c r="L617" s="6" t="s">
        <v>912</v>
      </c>
      <c r="M617" s="5" t="s">
        <v>46</v>
      </c>
      <c r="N617" s="5" t="s">
        <v>27</v>
      </c>
      <c r="O617" s="5">
        <v>32400.0</v>
      </c>
      <c r="P617" s="5">
        <v>87.0</v>
      </c>
      <c r="Q617" s="5">
        <v>5152.0</v>
      </c>
      <c r="R617" s="5">
        <v>30383.0</v>
      </c>
      <c r="S617" s="5">
        <v>9.0</v>
      </c>
      <c r="T617" s="5">
        <v>1522.352623</v>
      </c>
      <c r="V617" s="21">
        <f t="shared" si="1"/>
        <v>46.98619207</v>
      </c>
      <c r="W617" s="21">
        <f t="shared" si="2"/>
        <v>295.4876986</v>
      </c>
      <c r="X617" s="21">
        <f t="shared" si="3"/>
        <v>10.34482759</v>
      </c>
      <c r="Y617" s="21">
        <f t="shared" si="4"/>
        <v>169.1502914</v>
      </c>
      <c r="Z617" s="21">
        <f t="shared" si="5"/>
        <v>17.49830601</v>
      </c>
      <c r="AA617" s="21">
        <f t="shared" si="6"/>
        <v>0.2685185185</v>
      </c>
    </row>
    <row r="618">
      <c r="A618" s="4" t="s">
        <v>916</v>
      </c>
      <c r="B618" s="4" t="str">
        <f>IFERROR(__xludf.DUMMYFUNCTION("SPLIT(A618:A1344, ""&gt;"")"),"Online Behavior")</f>
        <v>Online Behavior</v>
      </c>
      <c r="C618" s="4" t="str">
        <f>IFERROR(__xludf.DUMMYFUNCTION("""COMPUTED_VALUE"""),"United States")</f>
        <v>United States</v>
      </c>
      <c r="D618" s="4" t="str">
        <f>IFERROR(__xludf.DUMMYFUNCTION("""COMPUTED_VALUE"""),"Law and Government")</f>
        <v>Law and Government</v>
      </c>
      <c r="E618" s="4" t="str">
        <f>IFERROR(__xludf.DUMMYFUNCTION("""COMPUTED_VALUE"""),"Legal")</f>
        <v>Legal</v>
      </c>
      <c r="F618" s="4"/>
      <c r="G618" s="4"/>
      <c r="H618" s="4"/>
      <c r="I618" s="5" t="s">
        <v>22</v>
      </c>
      <c r="J618" s="5" t="s">
        <v>42</v>
      </c>
      <c r="K618" s="5" t="s">
        <v>35</v>
      </c>
      <c r="L618" s="6" t="s">
        <v>917</v>
      </c>
      <c r="M618" s="5" t="s">
        <v>33</v>
      </c>
      <c r="N618" s="5" t="s">
        <v>27</v>
      </c>
      <c r="O618" s="5">
        <v>9867.0</v>
      </c>
      <c r="P618" s="5">
        <v>30.0</v>
      </c>
      <c r="Q618" s="5">
        <v>6867.0</v>
      </c>
      <c r="R618" s="5">
        <v>9347.0</v>
      </c>
      <c r="S618" s="5">
        <v>12.0</v>
      </c>
      <c r="T618" s="5">
        <v>6839.569086</v>
      </c>
      <c r="V618" s="21">
        <f t="shared" si="1"/>
        <v>693.1761514</v>
      </c>
      <c r="W618" s="21">
        <f t="shared" si="2"/>
        <v>996.0054006</v>
      </c>
      <c r="X618" s="21">
        <f t="shared" si="3"/>
        <v>40</v>
      </c>
      <c r="Y618" s="21">
        <f t="shared" si="4"/>
        <v>569.9640905</v>
      </c>
      <c r="Z618" s="21">
        <f t="shared" si="5"/>
        <v>227.9856362</v>
      </c>
      <c r="AA618" s="21">
        <f t="shared" si="6"/>
        <v>0.3040437823</v>
      </c>
    </row>
    <row r="619">
      <c r="A619" s="4" t="s">
        <v>918</v>
      </c>
      <c r="B619" s="4" t="str">
        <f>IFERROR(__xludf.DUMMYFUNCTION("SPLIT(A619:A1345, ""&gt;"")"),"Online Behavior")</f>
        <v>Online Behavior</v>
      </c>
      <c r="C619" s="4" t="str">
        <f>IFERROR(__xludf.DUMMYFUNCTION("""COMPUTED_VALUE"""),"United States")</f>
        <v>United States</v>
      </c>
      <c r="D619" s="4" t="str">
        <f>IFERROR(__xludf.DUMMYFUNCTION("""COMPUTED_VALUE"""),"Sports")</f>
        <v>Sports</v>
      </c>
      <c r="E619" s="4" t="str">
        <f>IFERROR(__xludf.DUMMYFUNCTION("""COMPUTED_VALUE"""),"College Sports")</f>
        <v>College Sports</v>
      </c>
      <c r="F619" s="4"/>
      <c r="G619" s="4"/>
      <c r="H619" s="4"/>
      <c r="I619" s="5" t="s">
        <v>15</v>
      </c>
      <c r="J619" s="5" t="s">
        <v>31</v>
      </c>
      <c r="K619" s="5" t="s">
        <v>17</v>
      </c>
      <c r="L619" s="6" t="s">
        <v>919</v>
      </c>
      <c r="M619" s="5" t="s">
        <v>36</v>
      </c>
      <c r="N619" s="5" t="s">
        <v>27</v>
      </c>
      <c r="O619" s="5">
        <v>1109184.0</v>
      </c>
      <c r="P619" s="5">
        <v>3142.0</v>
      </c>
      <c r="Q619" s="5">
        <v>83035.0</v>
      </c>
      <c r="R619" s="5">
        <v>782482.0</v>
      </c>
      <c r="S619" s="5">
        <v>25.0</v>
      </c>
      <c r="T619" s="5">
        <v>7490.860779</v>
      </c>
      <c r="V619" s="21">
        <f t="shared" si="1"/>
        <v>6.753487951</v>
      </c>
      <c r="W619" s="21">
        <f t="shared" si="2"/>
        <v>90.21329294</v>
      </c>
      <c r="X619" s="21">
        <f t="shared" si="3"/>
        <v>0.7956715468</v>
      </c>
      <c r="Y619" s="21">
        <f t="shared" si="4"/>
        <v>299.6344312</v>
      </c>
      <c r="Z619" s="21">
        <f t="shared" si="5"/>
        <v>2.384105913</v>
      </c>
      <c r="AA619" s="21">
        <f t="shared" si="6"/>
        <v>0.2832713058</v>
      </c>
    </row>
    <row r="620">
      <c r="A620" s="4" t="s">
        <v>1618</v>
      </c>
      <c r="B620" s="4" t="str">
        <f>IFERROR(__xludf.DUMMYFUNCTION("SPLIT(A620:A1346, ""&gt;"")"),"Online Behavior")</f>
        <v>Online Behavior</v>
      </c>
      <c r="C620" s="4" t="str">
        <f>IFERROR(__xludf.DUMMYFUNCTION("""COMPUTED_VALUE"""),"United States")</f>
        <v>United States</v>
      </c>
      <c r="D620" s="4" t="str">
        <f>IFERROR(__xludf.DUMMYFUNCTION("""COMPUTED_VALUE"""),"B2B ")</f>
        <v>B2B </v>
      </c>
      <c r="E620" s="4" t="str">
        <f>IFERROR(__xludf.DUMMYFUNCTION("""COMPUTED_VALUE""")," Occupation")</f>
        <v> Occupation</v>
      </c>
      <c r="F620" s="4" t="str">
        <f>IFERROR(__xludf.DUMMYFUNCTION("""COMPUTED_VALUE"""),"Entrepreneur")</f>
        <v>Entrepreneur</v>
      </c>
      <c r="G620" s="4"/>
      <c r="H620" s="4"/>
      <c r="I620" s="5" t="s">
        <v>22</v>
      </c>
      <c r="J620" s="5" t="s">
        <v>42</v>
      </c>
      <c r="K620" s="5" t="s">
        <v>29</v>
      </c>
      <c r="L620" s="6" t="s">
        <v>919</v>
      </c>
      <c r="M620" s="5" t="s">
        <v>26</v>
      </c>
      <c r="N620" s="5" t="s">
        <v>27</v>
      </c>
      <c r="O620" s="5">
        <v>686858.0</v>
      </c>
      <c r="P620" s="5">
        <v>2085.0</v>
      </c>
      <c r="Q620" s="5">
        <v>81956.0</v>
      </c>
      <c r="R620" s="5">
        <v>624118.0</v>
      </c>
      <c r="S620" s="5">
        <v>19.0</v>
      </c>
      <c r="T620" s="5">
        <v>7467.081487</v>
      </c>
      <c r="V620" s="21">
        <f t="shared" si="1"/>
        <v>10.87136131</v>
      </c>
      <c r="W620" s="21">
        <f t="shared" si="2"/>
        <v>91.11085811</v>
      </c>
      <c r="X620" s="21">
        <f t="shared" si="3"/>
        <v>0.9112709832</v>
      </c>
      <c r="Y620" s="21">
        <f t="shared" si="4"/>
        <v>393.0042888</v>
      </c>
      <c r="Z620" s="21">
        <f t="shared" si="5"/>
        <v>3.581334047</v>
      </c>
      <c r="AA620" s="21">
        <f t="shared" si="6"/>
        <v>0.3035561936</v>
      </c>
    </row>
    <row r="621">
      <c r="A621" s="4" t="s">
        <v>921</v>
      </c>
      <c r="B621" s="4" t="str">
        <f>IFERROR(__xludf.DUMMYFUNCTION("SPLIT(A621:A1347, ""&gt;"")"),"Online Behavior")</f>
        <v>Online Behavior</v>
      </c>
      <c r="C621" s="4" t="str">
        <f>IFERROR(__xludf.DUMMYFUNCTION("""COMPUTED_VALUE"""),"United States")</f>
        <v>United States</v>
      </c>
      <c r="D621" s="4" t="str">
        <f>IFERROR(__xludf.DUMMYFUNCTION("""COMPUTED_VALUE"""),"Food and Drink")</f>
        <v>Food and Drink</v>
      </c>
      <c r="E621" s="4" t="str">
        <f>IFERROR(__xludf.DUMMYFUNCTION("""COMPUTED_VALUE"""),"Cooking and Recipes")</f>
        <v>Cooking and Recipes</v>
      </c>
      <c r="F621" s="4"/>
      <c r="G621" s="4"/>
      <c r="H621" s="4"/>
      <c r="I621" s="5" t="s">
        <v>61</v>
      </c>
      <c r="J621" s="5" t="s">
        <v>23</v>
      </c>
      <c r="K621" s="5" t="s">
        <v>35</v>
      </c>
      <c r="L621" s="6" t="s">
        <v>919</v>
      </c>
      <c r="M621" s="5" t="s">
        <v>46</v>
      </c>
      <c r="N621" s="5" t="s">
        <v>27</v>
      </c>
      <c r="O621" s="5">
        <v>40929.0</v>
      </c>
      <c r="P621" s="5">
        <v>142.0</v>
      </c>
      <c r="Q621" s="5">
        <v>9249.0</v>
      </c>
      <c r="R621" s="5">
        <v>31564.0</v>
      </c>
      <c r="S621" s="5">
        <v>8.0</v>
      </c>
      <c r="T621" s="5">
        <v>6764.520637</v>
      </c>
      <c r="V621" s="21">
        <f t="shared" si="1"/>
        <v>165.2745153</v>
      </c>
      <c r="W621" s="21">
        <f t="shared" si="2"/>
        <v>731.3785963</v>
      </c>
      <c r="X621" s="21">
        <f t="shared" si="3"/>
        <v>5.633802817</v>
      </c>
      <c r="Y621" s="21">
        <f t="shared" si="4"/>
        <v>845.5650796</v>
      </c>
      <c r="Z621" s="21">
        <f t="shared" si="5"/>
        <v>47.63746927</v>
      </c>
      <c r="AA621" s="21">
        <f t="shared" si="6"/>
        <v>0.3469422659</v>
      </c>
    </row>
    <row r="622">
      <c r="A622" s="4" t="s">
        <v>922</v>
      </c>
      <c r="B622" s="4" t="str">
        <f>IFERROR(__xludf.DUMMYFUNCTION("SPLIT(A622:A1348, ""&gt;"")"),"Online Behavior")</f>
        <v>Online Behavior</v>
      </c>
      <c r="C622" s="4" t="str">
        <f>IFERROR(__xludf.DUMMYFUNCTION("""COMPUTED_VALUE"""),"United States")</f>
        <v>United States</v>
      </c>
      <c r="D622" s="4" t="str">
        <f>IFERROR(__xludf.DUMMYFUNCTION("""COMPUTED_VALUE"""),"Online Communities")</f>
        <v>Online Communities</v>
      </c>
      <c r="E622" s="4" t="str">
        <f>IFERROR(__xludf.DUMMYFUNCTION("""COMPUTED_VALUE"""),"Dating and Personals")</f>
        <v>Dating and Personals</v>
      </c>
      <c r="F622" s="4"/>
      <c r="G622" s="4"/>
      <c r="H622" s="4"/>
      <c r="I622" s="5" t="s">
        <v>22</v>
      </c>
      <c r="J622" s="5" t="s">
        <v>23</v>
      </c>
      <c r="K622" s="5" t="s">
        <v>39</v>
      </c>
      <c r="L622" s="6" t="s">
        <v>919</v>
      </c>
      <c r="M622" s="5" t="s">
        <v>19</v>
      </c>
      <c r="N622" s="5" t="s">
        <v>27</v>
      </c>
      <c r="O622" s="5">
        <v>39844.0</v>
      </c>
      <c r="P622" s="5">
        <v>99.0</v>
      </c>
      <c r="Q622" s="5">
        <v>11077.0</v>
      </c>
      <c r="R622" s="5">
        <v>30190.0</v>
      </c>
      <c r="S622" s="5">
        <v>9.0</v>
      </c>
      <c r="T622" s="5">
        <v>6367.869929</v>
      </c>
      <c r="V622" s="21">
        <f t="shared" si="1"/>
        <v>159.8200464</v>
      </c>
      <c r="W622" s="21">
        <f t="shared" si="2"/>
        <v>574.8731542</v>
      </c>
      <c r="X622" s="21">
        <f t="shared" si="3"/>
        <v>9.090909091</v>
      </c>
      <c r="Y622" s="21">
        <f t="shared" si="4"/>
        <v>707.5411032</v>
      </c>
      <c r="Z622" s="21">
        <f t="shared" si="5"/>
        <v>64.32191847</v>
      </c>
      <c r="AA622" s="21">
        <f t="shared" si="6"/>
        <v>0.2484690292</v>
      </c>
    </row>
    <row r="623">
      <c r="A623" s="4" t="s">
        <v>1941</v>
      </c>
      <c r="B623" s="4" t="str">
        <f>IFERROR(__xludf.DUMMYFUNCTION("SPLIT(A623:A1349, ""&gt;"")"),"Online Behavior")</f>
        <v>Online Behavior</v>
      </c>
      <c r="C623" s="4" t="str">
        <f>IFERROR(__xludf.DUMMYFUNCTION("""COMPUTED_VALUE"""),"United States")</f>
        <v>United States</v>
      </c>
      <c r="D623" s="4" t="str">
        <f>IFERROR(__xludf.DUMMYFUNCTION("""COMPUTED_VALUE"""),"Intent ")</f>
        <v>Intent </v>
      </c>
      <c r="E623" s="4" t="str">
        <f>IFERROR(__xludf.DUMMYFUNCTION("""COMPUTED_VALUE""")," Shopping")</f>
        <v> Shopping</v>
      </c>
      <c r="F623" s="4" t="str">
        <f>IFERROR(__xludf.DUMMYFUNCTION("""COMPUTED_VALUE"""),"CPG� Home Care")</f>
        <v>CPG� Home Care</v>
      </c>
      <c r="G623" s="4"/>
      <c r="H623" s="4"/>
      <c r="I623" s="5" t="s">
        <v>22</v>
      </c>
      <c r="J623" s="5" t="s">
        <v>16</v>
      </c>
      <c r="K623" s="5" t="s">
        <v>66</v>
      </c>
      <c r="L623" s="6" t="s">
        <v>919</v>
      </c>
      <c r="M623" s="5" t="s">
        <v>19</v>
      </c>
      <c r="N623" s="5" t="s">
        <v>27</v>
      </c>
      <c r="O623" s="5">
        <v>210700.0</v>
      </c>
      <c r="P623" s="5">
        <v>704.0</v>
      </c>
      <c r="Q623" s="5">
        <v>94625.0</v>
      </c>
      <c r="R623" s="5">
        <v>180681.0</v>
      </c>
      <c r="S623" s="5">
        <v>3.0</v>
      </c>
      <c r="T623" s="5">
        <v>6341.879301</v>
      </c>
      <c r="V623" s="21">
        <f t="shared" si="1"/>
        <v>30.09909493</v>
      </c>
      <c r="W623" s="21">
        <f t="shared" si="2"/>
        <v>67.02118152</v>
      </c>
      <c r="X623" s="21">
        <f t="shared" si="3"/>
        <v>0.4261363636</v>
      </c>
      <c r="Y623" s="21">
        <f t="shared" si="4"/>
        <v>2113.959767</v>
      </c>
      <c r="Z623" s="21">
        <f t="shared" si="5"/>
        <v>9.00835128</v>
      </c>
      <c r="AA623" s="21">
        <f t="shared" si="6"/>
        <v>0.3341243474</v>
      </c>
    </row>
    <row r="624">
      <c r="A624" s="4" t="s">
        <v>1620</v>
      </c>
      <c r="B624" s="4" t="str">
        <f>IFERROR(__xludf.DUMMYFUNCTION("SPLIT(A624:A1350, ""&gt;"")"),"Online Behavior")</f>
        <v>Online Behavior</v>
      </c>
      <c r="C624" s="4" t="str">
        <f>IFERROR(__xludf.DUMMYFUNCTION("""COMPUTED_VALUE"""),"United States")</f>
        <v>United States</v>
      </c>
      <c r="D624" s="4" t="str">
        <f>IFERROR(__xludf.DUMMYFUNCTION("""COMPUTED_VALUE"""),"Intent ")</f>
        <v>Intent </v>
      </c>
      <c r="E624" s="4" t="str">
        <f>IFERROR(__xludf.DUMMYFUNCTION("""COMPUTED_VALUE""")," Financial Intent")</f>
        <v> Financial Intent</v>
      </c>
      <c r="F624" s="4" t="str">
        <f>IFERROR(__xludf.DUMMYFUNCTION("""COMPUTED_VALUE"""),"Insurance ")</f>
        <v>Insurance </v>
      </c>
      <c r="G624" s="4" t="str">
        <f>IFERROR(__xludf.DUMMYFUNCTION("""COMPUTED_VALUE""")," Auto")</f>
        <v> Auto</v>
      </c>
      <c r="H624" s="4"/>
      <c r="I624" s="5" t="s">
        <v>22</v>
      </c>
      <c r="J624" s="5" t="s">
        <v>23</v>
      </c>
      <c r="K624" s="5" t="s">
        <v>142</v>
      </c>
      <c r="L624" s="6" t="s">
        <v>919</v>
      </c>
      <c r="M624" s="5" t="s">
        <v>26</v>
      </c>
      <c r="N624" s="5" t="s">
        <v>27</v>
      </c>
      <c r="O624" s="5">
        <v>42884.0</v>
      </c>
      <c r="P624" s="5">
        <v>104.0</v>
      </c>
      <c r="Q624" s="5">
        <v>4345.0</v>
      </c>
      <c r="R624" s="5">
        <v>25153.0</v>
      </c>
      <c r="S624" s="5">
        <v>9.0</v>
      </c>
      <c r="T624" s="5">
        <v>6322.152655</v>
      </c>
      <c r="V624" s="21">
        <f t="shared" si="1"/>
        <v>147.4245093</v>
      </c>
      <c r="W624" s="21">
        <f t="shared" si="2"/>
        <v>1455.040887</v>
      </c>
      <c r="X624" s="21">
        <f t="shared" si="3"/>
        <v>8.653846154</v>
      </c>
      <c r="Y624" s="21">
        <f t="shared" si="4"/>
        <v>702.4614061</v>
      </c>
      <c r="Z624" s="21">
        <f t="shared" si="5"/>
        <v>60.78992938</v>
      </c>
      <c r="AA624" s="21">
        <f t="shared" si="6"/>
        <v>0.2425146908</v>
      </c>
    </row>
    <row r="625">
      <c r="A625" s="4" t="s">
        <v>1621</v>
      </c>
      <c r="B625" s="4" t="str">
        <f>IFERROR(__xludf.DUMMYFUNCTION("SPLIT(A625:A1351, ""&gt;"")"),"Online Behavior")</f>
        <v>Online Behavior</v>
      </c>
      <c r="C625" s="4" t="str">
        <f>IFERROR(__xludf.DUMMYFUNCTION("""COMPUTED_VALUE"""),"United States")</f>
        <v>United States</v>
      </c>
      <c r="D625" s="4" t="str">
        <f>IFERROR(__xludf.DUMMYFUNCTION("""COMPUTED_VALUE"""),"Intent ")</f>
        <v>Intent </v>
      </c>
      <c r="E625" s="4" t="str">
        <f>IFERROR(__xludf.DUMMYFUNCTION("""COMPUTED_VALUE""")," Auto Buyers ")</f>
        <v> Auto Buyers </v>
      </c>
      <c r="F625" s="4" t="str">
        <f>IFERROR(__xludf.DUMMYFUNCTION("""COMPUTED_VALUE""")," Car Make")</f>
        <v> Car Make</v>
      </c>
      <c r="G625" s="4" t="str">
        <f>IFERROR(__xludf.DUMMYFUNCTION("""COMPUTED_VALUE"""),"Jeep")</f>
        <v>Jeep</v>
      </c>
      <c r="H625" s="4"/>
      <c r="I625" s="5" t="s">
        <v>15</v>
      </c>
      <c r="J625" s="5" t="s">
        <v>23</v>
      </c>
      <c r="K625" s="5" t="s">
        <v>78</v>
      </c>
      <c r="L625" s="6" t="s">
        <v>919</v>
      </c>
      <c r="M625" s="5" t="s">
        <v>136</v>
      </c>
      <c r="N625" s="5" t="s">
        <v>52</v>
      </c>
      <c r="O625" s="5">
        <v>96779.0</v>
      </c>
      <c r="P625" s="5">
        <v>299.0</v>
      </c>
      <c r="Q625" s="5">
        <v>9831.0</v>
      </c>
      <c r="R625" s="5">
        <v>63640.0</v>
      </c>
      <c r="S625" s="5">
        <v>12.0</v>
      </c>
      <c r="T625" s="5">
        <v>6317.510754</v>
      </c>
      <c r="V625" s="21">
        <f t="shared" si="1"/>
        <v>65.27770233</v>
      </c>
      <c r="W625" s="21">
        <f t="shared" si="2"/>
        <v>642.6112048</v>
      </c>
      <c r="X625" s="21">
        <f t="shared" si="3"/>
        <v>4.013377926</v>
      </c>
      <c r="Y625" s="21">
        <f t="shared" si="4"/>
        <v>526.4592295</v>
      </c>
      <c r="Z625" s="21">
        <f t="shared" si="5"/>
        <v>21.12879851</v>
      </c>
      <c r="AA625" s="21">
        <f t="shared" si="6"/>
        <v>0.3089513221</v>
      </c>
    </row>
    <row r="626">
      <c r="A626" s="4" t="s">
        <v>926</v>
      </c>
      <c r="B626" s="4" t="str">
        <f>IFERROR(__xludf.DUMMYFUNCTION("SPLIT(A626:A1352, ""&gt;"")"),"Online Behavior")</f>
        <v>Online Behavior</v>
      </c>
      <c r="C626" s="4" t="str">
        <f>IFERROR(__xludf.DUMMYFUNCTION("""COMPUTED_VALUE"""),"United States")</f>
        <v>United States</v>
      </c>
      <c r="D626" s="4" t="str">
        <f>IFERROR(__xludf.DUMMYFUNCTION("""COMPUTED_VALUE"""),"Travel")</f>
        <v>Travel</v>
      </c>
      <c r="E626" s="4" t="str">
        <f>IFERROR(__xludf.DUMMYFUNCTION("""COMPUTED_VALUE"""),"Specialty Travel")</f>
        <v>Specialty Travel</v>
      </c>
      <c r="F626" s="4"/>
      <c r="G626" s="4"/>
      <c r="H626" s="4"/>
      <c r="I626" s="5" t="s">
        <v>15</v>
      </c>
      <c r="J626" s="5" t="s">
        <v>23</v>
      </c>
      <c r="K626" s="5" t="s">
        <v>35</v>
      </c>
      <c r="L626" s="6" t="s">
        <v>919</v>
      </c>
      <c r="M626" s="5" t="s">
        <v>19</v>
      </c>
      <c r="N626" s="5" t="s">
        <v>27</v>
      </c>
      <c r="O626" s="5">
        <v>182114.0</v>
      </c>
      <c r="P626" s="5">
        <v>500.0</v>
      </c>
      <c r="Q626" s="5">
        <v>14477.0</v>
      </c>
      <c r="R626" s="5">
        <v>139167.0</v>
      </c>
      <c r="S626" s="5">
        <v>29.0</v>
      </c>
      <c r="T626" s="5">
        <v>6307.900751</v>
      </c>
      <c r="V626" s="21">
        <f t="shared" si="1"/>
        <v>34.63709957</v>
      </c>
      <c r="W626" s="21">
        <f t="shared" si="2"/>
        <v>435.7187781</v>
      </c>
      <c r="X626" s="21">
        <f t="shared" si="3"/>
        <v>5.8</v>
      </c>
      <c r="Y626" s="21">
        <f t="shared" si="4"/>
        <v>217.513819</v>
      </c>
      <c r="Z626" s="21">
        <f t="shared" si="5"/>
        <v>12.6158015</v>
      </c>
      <c r="AA626" s="21">
        <f t="shared" si="6"/>
        <v>0.2745533018</v>
      </c>
    </row>
    <row r="627">
      <c r="A627" s="4" t="s">
        <v>927</v>
      </c>
      <c r="B627" s="4" t="str">
        <f>IFERROR(__xludf.DUMMYFUNCTION("SPLIT(A627:A1353, ""&gt;"")"),"Online Behavior")</f>
        <v>Online Behavior</v>
      </c>
      <c r="C627" s="4" t="str">
        <f>IFERROR(__xludf.DUMMYFUNCTION("""COMPUTED_VALUE"""),"United States")</f>
        <v>United States</v>
      </c>
      <c r="D627" s="4" t="str">
        <f>IFERROR(__xludf.DUMMYFUNCTION("""COMPUTED_VALUE"""),"Hobbies and Leisure")</f>
        <v>Hobbies and Leisure</v>
      </c>
      <c r="E627" s="4" t="str">
        <f>IFERROR(__xludf.DUMMYFUNCTION("""COMPUTED_VALUE"""),"Clubs and Organizations")</f>
        <v>Clubs and Organizations</v>
      </c>
      <c r="F627" s="4"/>
      <c r="G627" s="4"/>
      <c r="H627" s="4"/>
      <c r="I627" s="5" t="s">
        <v>61</v>
      </c>
      <c r="J627" s="5" t="s">
        <v>16</v>
      </c>
      <c r="K627" s="5" t="s">
        <v>35</v>
      </c>
      <c r="L627" s="6" t="s">
        <v>919</v>
      </c>
      <c r="M627" s="5" t="s">
        <v>19</v>
      </c>
      <c r="N627" s="5" t="s">
        <v>27</v>
      </c>
      <c r="O627" s="5">
        <v>207823.0</v>
      </c>
      <c r="P627" s="5">
        <v>600.0</v>
      </c>
      <c r="Q627" s="5">
        <v>33602.0</v>
      </c>
      <c r="R627" s="5">
        <v>167814.0</v>
      </c>
      <c r="S627" s="5">
        <v>13.0</v>
      </c>
      <c r="T627" s="5">
        <v>6048.955611</v>
      </c>
      <c r="V627" s="21">
        <f t="shared" si="1"/>
        <v>29.10628569</v>
      </c>
      <c r="W627" s="21">
        <f t="shared" si="2"/>
        <v>180.0177255</v>
      </c>
      <c r="X627" s="21">
        <f t="shared" si="3"/>
        <v>2.166666667</v>
      </c>
      <c r="Y627" s="21">
        <f t="shared" si="4"/>
        <v>465.3042778</v>
      </c>
      <c r="Z627" s="21">
        <f t="shared" si="5"/>
        <v>10.08159269</v>
      </c>
      <c r="AA627" s="21">
        <f t="shared" si="6"/>
        <v>0.2887072172</v>
      </c>
    </row>
    <row r="628">
      <c r="A628" s="4" t="s">
        <v>1622</v>
      </c>
      <c r="B628" s="4" t="str">
        <f>IFERROR(__xludf.DUMMYFUNCTION("SPLIT(A628:A1354, ""&gt;"")"),"Online Behavior")</f>
        <v>Online Behavior</v>
      </c>
      <c r="C628" s="4" t="str">
        <f>IFERROR(__xludf.DUMMYFUNCTION("""COMPUTED_VALUE"""),"United States")</f>
        <v>United States</v>
      </c>
      <c r="D628" s="4" t="str">
        <f>IFERROR(__xludf.DUMMYFUNCTION("""COMPUTED_VALUE"""),"Autos and Vehicles ")</f>
        <v>Autos and Vehicles </v>
      </c>
      <c r="E628" s="4" t="str">
        <f>IFERROR(__xludf.DUMMYFUNCTION("""COMPUTED_VALUE""")," Brands")</f>
        <v> Brands</v>
      </c>
      <c r="F628" s="4" t="str">
        <f>IFERROR(__xludf.DUMMYFUNCTION("""COMPUTED_VALUE"""),"Kia")</f>
        <v>Kia</v>
      </c>
      <c r="G628" s="4"/>
      <c r="H628" s="4"/>
      <c r="I628" s="5" t="s">
        <v>61</v>
      </c>
      <c r="J628" s="5" t="s">
        <v>16</v>
      </c>
      <c r="K628" s="5" t="s">
        <v>29</v>
      </c>
      <c r="L628" s="6" t="s">
        <v>919</v>
      </c>
      <c r="M628" s="5" t="s">
        <v>19</v>
      </c>
      <c r="N628" s="5" t="s">
        <v>27</v>
      </c>
      <c r="O628" s="5">
        <v>257862.0</v>
      </c>
      <c r="P628" s="5">
        <v>700.0</v>
      </c>
      <c r="Q628" s="5">
        <v>105048.0</v>
      </c>
      <c r="R628" s="5">
        <v>238629.0</v>
      </c>
      <c r="S628" s="5">
        <v>21.0</v>
      </c>
      <c r="T628" s="5">
        <v>5899.429483</v>
      </c>
      <c r="V628" s="21">
        <f t="shared" si="1"/>
        <v>22.87824295</v>
      </c>
      <c r="W628" s="21">
        <f t="shared" si="2"/>
        <v>56.15936984</v>
      </c>
      <c r="X628" s="21">
        <f t="shared" si="3"/>
        <v>3</v>
      </c>
      <c r="Y628" s="21">
        <f t="shared" si="4"/>
        <v>280.9252135</v>
      </c>
      <c r="Z628" s="21">
        <f t="shared" si="5"/>
        <v>8.427756404</v>
      </c>
      <c r="AA628" s="21">
        <f t="shared" si="6"/>
        <v>0.2714630306</v>
      </c>
    </row>
    <row r="629">
      <c r="A629" s="4" t="s">
        <v>929</v>
      </c>
      <c r="B629" s="4" t="str">
        <f>IFERROR(__xludf.DUMMYFUNCTION("SPLIT(A629:A1355, ""&gt;"")"),"Online Behavior")</f>
        <v>Online Behavior</v>
      </c>
      <c r="C629" s="4" t="str">
        <f>IFERROR(__xludf.DUMMYFUNCTION("""COMPUTED_VALUE"""),"United States")</f>
        <v>United States</v>
      </c>
      <c r="D629" s="4" t="str">
        <f>IFERROR(__xludf.DUMMYFUNCTION("""COMPUTED_VALUE"""),"Internet and Telecom")</f>
        <v>Internet and Telecom</v>
      </c>
      <c r="E629" s="4" t="str">
        <f>IFERROR(__xludf.DUMMYFUNCTION("""COMPUTED_VALUE"""),"Search Engines")</f>
        <v>Search Engines</v>
      </c>
      <c r="F629" s="4"/>
      <c r="G629" s="4"/>
      <c r="H629" s="4"/>
      <c r="I629" s="5" t="s">
        <v>15</v>
      </c>
      <c r="J629" s="5" t="s">
        <v>42</v>
      </c>
      <c r="K629" s="5" t="s">
        <v>35</v>
      </c>
      <c r="L629" s="6" t="s">
        <v>919</v>
      </c>
      <c r="M629" s="5" t="s">
        <v>26</v>
      </c>
      <c r="N629" s="5" t="s">
        <v>52</v>
      </c>
      <c r="O629" s="5">
        <v>26439.0</v>
      </c>
      <c r="P629" s="5">
        <v>95.0</v>
      </c>
      <c r="Q629" s="5">
        <v>7093.0</v>
      </c>
      <c r="R629" s="5">
        <v>19681.0</v>
      </c>
      <c r="S629" s="5">
        <v>7.0</v>
      </c>
      <c r="T629" s="5">
        <v>5330.781969</v>
      </c>
      <c r="V629" s="21">
        <f t="shared" si="1"/>
        <v>201.6257033</v>
      </c>
      <c r="W629" s="21">
        <f t="shared" si="2"/>
        <v>751.5553319</v>
      </c>
      <c r="X629" s="21">
        <f t="shared" si="3"/>
        <v>7.368421053</v>
      </c>
      <c r="Y629" s="21">
        <f t="shared" si="4"/>
        <v>761.5402813</v>
      </c>
      <c r="Z629" s="21">
        <f t="shared" si="5"/>
        <v>56.11349441</v>
      </c>
      <c r="AA629" s="21">
        <f t="shared" si="6"/>
        <v>0.3593176746</v>
      </c>
    </row>
    <row r="630">
      <c r="A630" s="4" t="s">
        <v>930</v>
      </c>
      <c r="B630" s="4" t="str">
        <f>IFERROR(__xludf.DUMMYFUNCTION("SPLIT(A630:A1356, ""&gt;"")"),"Online Behavior")</f>
        <v>Online Behavior</v>
      </c>
      <c r="C630" s="4" t="str">
        <f>IFERROR(__xludf.DUMMYFUNCTION("""COMPUTED_VALUE"""),"United States")</f>
        <v>United States</v>
      </c>
      <c r="D630" s="4" t="str">
        <f>IFERROR(__xludf.DUMMYFUNCTION("""COMPUTED_VALUE"""),"Internet and Telecom")</f>
        <v>Internet and Telecom</v>
      </c>
      <c r="E630" s="4" t="str">
        <f>IFERROR(__xludf.DUMMYFUNCTION("""COMPUTED_VALUE"""),"Web Portals")</f>
        <v>Web Portals</v>
      </c>
      <c r="F630" s="4"/>
      <c r="G630" s="4"/>
      <c r="H630" s="4"/>
      <c r="I630" s="5" t="s">
        <v>22</v>
      </c>
      <c r="J630" s="5" t="s">
        <v>42</v>
      </c>
      <c r="K630" s="5" t="s">
        <v>204</v>
      </c>
      <c r="L630" s="6" t="s">
        <v>919</v>
      </c>
      <c r="M630" s="5" t="s">
        <v>19</v>
      </c>
      <c r="N630" s="5" t="s">
        <v>27</v>
      </c>
      <c r="O630" s="5">
        <v>96508.0</v>
      </c>
      <c r="P630" s="5">
        <v>351.0</v>
      </c>
      <c r="Q630" s="5">
        <v>47065.0</v>
      </c>
      <c r="R630" s="5">
        <v>73640.0</v>
      </c>
      <c r="S630" s="5">
        <v>15.0</v>
      </c>
      <c r="T630" s="5">
        <v>5310.769572</v>
      </c>
      <c r="V630" s="21">
        <f t="shared" si="1"/>
        <v>55.02931956</v>
      </c>
      <c r="W630" s="21">
        <f t="shared" si="2"/>
        <v>112.8390433</v>
      </c>
      <c r="X630" s="21">
        <f t="shared" si="3"/>
        <v>4.273504274</v>
      </c>
      <c r="Y630" s="21">
        <f t="shared" si="4"/>
        <v>354.0513048</v>
      </c>
      <c r="Z630" s="21">
        <f t="shared" si="5"/>
        <v>15.13039764</v>
      </c>
      <c r="AA630" s="21">
        <f t="shared" si="6"/>
        <v>0.3637004186</v>
      </c>
    </row>
    <row r="631">
      <c r="A631" s="4" t="s">
        <v>1623</v>
      </c>
      <c r="B631" s="4" t="str">
        <f>IFERROR(__xludf.DUMMYFUNCTION("SPLIT(A631:A1357, ""&gt;"")"),"Online Behavior")</f>
        <v>Online Behavior</v>
      </c>
      <c r="C631" s="4" t="str">
        <f>IFERROR(__xludf.DUMMYFUNCTION("""COMPUTED_VALUE"""),"United States")</f>
        <v>United States</v>
      </c>
      <c r="D631" s="4" t="str">
        <f>IFERROR(__xludf.DUMMYFUNCTION("""COMPUTED_VALUE"""),"Validated Demographic ")</f>
        <v>Validated Demographic </v>
      </c>
      <c r="E631" s="4" t="str">
        <f>IFERROR(__xludf.DUMMYFUNCTION("""COMPUTED_VALUE""")," Age")</f>
        <v> Age</v>
      </c>
      <c r="F631" s="4" t="str">
        <f>IFERROR(__xludf.DUMMYFUNCTION("""COMPUTED_VALUE"""),"25-54")</f>
        <v>25-54</v>
      </c>
      <c r="G631" s="4"/>
      <c r="H631" s="4"/>
      <c r="I631" s="5" t="s">
        <v>15</v>
      </c>
      <c r="J631" s="5" t="s">
        <v>16</v>
      </c>
      <c r="K631" s="5" t="s">
        <v>78</v>
      </c>
      <c r="L631" s="6" t="s">
        <v>919</v>
      </c>
      <c r="M631" s="5" t="s">
        <v>19</v>
      </c>
      <c r="N631" s="5" t="s">
        <v>27</v>
      </c>
      <c r="O631" s="5">
        <v>198163.0</v>
      </c>
      <c r="P631" s="5">
        <v>469.0</v>
      </c>
      <c r="Q631" s="5">
        <v>76695.0</v>
      </c>
      <c r="R631" s="5">
        <v>183585.0</v>
      </c>
      <c r="S631" s="5">
        <v>31.0</v>
      </c>
      <c r="T631" s="5">
        <v>5204.313768</v>
      </c>
      <c r="V631" s="21">
        <f t="shared" si="1"/>
        <v>26.26279259</v>
      </c>
      <c r="W631" s="21">
        <f t="shared" si="2"/>
        <v>67.85727581</v>
      </c>
      <c r="X631" s="21">
        <f t="shared" si="3"/>
        <v>6.609808102</v>
      </c>
      <c r="Y631" s="21">
        <f t="shared" si="4"/>
        <v>167.8810893</v>
      </c>
      <c r="Z631" s="21">
        <f t="shared" si="5"/>
        <v>11.09661784</v>
      </c>
      <c r="AA631" s="21">
        <f t="shared" si="6"/>
        <v>0.2366738493</v>
      </c>
    </row>
    <row r="632">
      <c r="A632" s="4" t="s">
        <v>932</v>
      </c>
      <c r="B632" s="4" t="str">
        <f>IFERROR(__xludf.DUMMYFUNCTION("SPLIT(A632:A1358, ""&gt;"")"),"Online Behavior")</f>
        <v>Online Behavior</v>
      </c>
      <c r="C632" s="4" t="str">
        <f>IFERROR(__xludf.DUMMYFUNCTION("""COMPUTED_VALUE"""),"United States")</f>
        <v>United States</v>
      </c>
      <c r="D632" s="4" t="str">
        <f>IFERROR(__xludf.DUMMYFUNCTION("""COMPUTED_VALUE"""),"Hobbies and Leisure")</f>
        <v>Hobbies and Leisure</v>
      </c>
      <c r="E632" s="4" t="str">
        <f>IFERROR(__xludf.DUMMYFUNCTION("""COMPUTED_VALUE"""),"Water Activities")</f>
        <v>Water Activities</v>
      </c>
      <c r="F632" s="4"/>
      <c r="G632" s="4"/>
      <c r="H632" s="4"/>
      <c r="I632" s="5" t="s">
        <v>22</v>
      </c>
      <c r="J632" s="5" t="s">
        <v>31</v>
      </c>
      <c r="K632" s="5" t="s">
        <v>214</v>
      </c>
      <c r="L632" s="6" t="s">
        <v>919</v>
      </c>
      <c r="M632" s="5" t="s">
        <v>19</v>
      </c>
      <c r="N632" s="5" t="s">
        <v>27</v>
      </c>
      <c r="O632" s="5">
        <v>156427.0</v>
      </c>
      <c r="P632" s="5">
        <v>512.0</v>
      </c>
      <c r="Q632" s="5">
        <v>61821.0</v>
      </c>
      <c r="R632" s="5">
        <v>145505.0</v>
      </c>
      <c r="S632" s="5">
        <v>3.0</v>
      </c>
      <c r="T632" s="5">
        <v>5159.747494</v>
      </c>
      <c r="V632" s="21">
        <f t="shared" si="1"/>
        <v>32.98501853</v>
      </c>
      <c r="W632" s="21">
        <f t="shared" si="2"/>
        <v>83.46269866</v>
      </c>
      <c r="X632" s="21">
        <f t="shared" si="3"/>
        <v>0.5859375</v>
      </c>
      <c r="Y632" s="21">
        <f t="shared" si="4"/>
        <v>1719.915831</v>
      </c>
      <c r="Z632" s="21">
        <f t="shared" si="5"/>
        <v>10.07763182</v>
      </c>
      <c r="AA632" s="21">
        <f t="shared" si="6"/>
        <v>0.3273092241</v>
      </c>
    </row>
    <row r="633">
      <c r="A633" s="4" t="s">
        <v>1624</v>
      </c>
      <c r="B633" s="4" t="str">
        <f>IFERROR(__xludf.DUMMYFUNCTION("SPLIT(A633:A1359, ""&gt;"")"),"Online Behavior")</f>
        <v>Online Behavior</v>
      </c>
      <c r="C633" s="4" t="str">
        <f>IFERROR(__xludf.DUMMYFUNCTION("""COMPUTED_VALUE"""),"United States")</f>
        <v>United States</v>
      </c>
      <c r="D633" s="4" t="str">
        <f>IFERROR(__xludf.DUMMYFUNCTION("""COMPUTED_VALUE"""),"Finance ")</f>
        <v>Finance </v>
      </c>
      <c r="E633" s="4" t="str">
        <f>IFERROR(__xludf.DUMMYFUNCTION("""COMPUTED_VALUE""")," Insurance")</f>
        <v> Insurance</v>
      </c>
      <c r="F633" s="4" t="str">
        <f>IFERROR(__xludf.DUMMYFUNCTION("""COMPUTED_VALUE"""),"Travel Insurance")</f>
        <v>Travel Insurance</v>
      </c>
      <c r="G633" s="4"/>
      <c r="H633" s="4"/>
      <c r="I633" s="5" t="s">
        <v>15</v>
      </c>
      <c r="J633" s="5" t="s">
        <v>42</v>
      </c>
      <c r="K633" s="5" t="s">
        <v>39</v>
      </c>
      <c r="L633" s="6" t="s">
        <v>919</v>
      </c>
      <c r="M633" s="5" t="s">
        <v>36</v>
      </c>
      <c r="N633" s="5" t="s">
        <v>27</v>
      </c>
      <c r="O633" s="5">
        <v>61574.0</v>
      </c>
      <c r="P633" s="5">
        <v>280.0</v>
      </c>
      <c r="Q633" s="5">
        <v>18717.0</v>
      </c>
      <c r="R633" s="5">
        <v>46367.0</v>
      </c>
      <c r="S633" s="5">
        <v>8.0</v>
      </c>
      <c r="T633" s="5">
        <v>4999.665205</v>
      </c>
      <c r="V633" s="21">
        <f t="shared" si="1"/>
        <v>81.19766793</v>
      </c>
      <c r="W633" s="21">
        <f t="shared" si="2"/>
        <v>267.1189403</v>
      </c>
      <c r="X633" s="21">
        <f t="shared" si="3"/>
        <v>2.857142857</v>
      </c>
      <c r="Y633" s="21">
        <f t="shared" si="4"/>
        <v>624.9581506</v>
      </c>
      <c r="Z633" s="21">
        <f t="shared" si="5"/>
        <v>17.85594716</v>
      </c>
      <c r="AA633" s="21">
        <f t="shared" si="6"/>
        <v>0.4547373892</v>
      </c>
    </row>
    <row r="634">
      <c r="A634" s="4" t="s">
        <v>1625</v>
      </c>
      <c r="B634" s="4" t="str">
        <f>IFERROR(__xludf.DUMMYFUNCTION("SPLIT(A634:A1360, ""&gt;"")"),"Online Behavior")</f>
        <v>Online Behavior</v>
      </c>
      <c r="C634" s="4" t="str">
        <f>IFERROR(__xludf.DUMMYFUNCTION("""COMPUTED_VALUE"""),"United States")</f>
        <v>United States</v>
      </c>
      <c r="D634" s="4" t="str">
        <f>IFERROR(__xludf.DUMMYFUNCTION("""COMPUTED_VALUE"""),"Intent ")</f>
        <v>Intent </v>
      </c>
      <c r="E634" s="4" t="str">
        <f>IFERROR(__xludf.DUMMYFUNCTION("""COMPUTED_VALUE""")," Services")</f>
        <v> Services</v>
      </c>
      <c r="F634" s="4" t="str">
        <f>IFERROR(__xludf.DUMMYFUNCTION("""COMPUTED_VALUE"""),"Restaurants")</f>
        <v>Restaurants</v>
      </c>
      <c r="G634" s="4"/>
      <c r="H634" s="4"/>
      <c r="I634" s="5" t="s">
        <v>15</v>
      </c>
      <c r="J634" s="5" t="s">
        <v>31</v>
      </c>
      <c r="K634" s="5" t="s">
        <v>29</v>
      </c>
      <c r="L634" s="6" t="s">
        <v>919</v>
      </c>
      <c r="M634" s="5" t="s">
        <v>19</v>
      </c>
      <c r="N634" s="5" t="s">
        <v>20</v>
      </c>
      <c r="O634" s="5">
        <v>29856.0</v>
      </c>
      <c r="P634" s="5">
        <v>111.0</v>
      </c>
      <c r="Q634" s="5">
        <v>7664.0</v>
      </c>
      <c r="R634" s="5">
        <v>21698.0</v>
      </c>
      <c r="S634" s="5">
        <v>9.0</v>
      </c>
      <c r="T634" s="5">
        <v>4851.394446</v>
      </c>
      <c r="V634" s="21">
        <f t="shared" si="1"/>
        <v>162.4931152</v>
      </c>
      <c r="W634" s="21">
        <f t="shared" si="2"/>
        <v>633.0107576</v>
      </c>
      <c r="X634" s="21">
        <f t="shared" si="3"/>
        <v>8.108108108</v>
      </c>
      <c r="Y634" s="21">
        <f t="shared" si="4"/>
        <v>539.0438273</v>
      </c>
      <c r="Z634" s="21">
        <f t="shared" si="5"/>
        <v>43.70625627</v>
      </c>
      <c r="AA634" s="21">
        <f t="shared" si="6"/>
        <v>0.3717845659</v>
      </c>
    </row>
    <row r="635">
      <c r="A635" s="4" t="s">
        <v>1626</v>
      </c>
      <c r="B635" s="4" t="str">
        <f>IFERROR(__xludf.DUMMYFUNCTION("SPLIT(A635:A1361, ""&gt;"")"),"Online Behavior")</f>
        <v>Online Behavior</v>
      </c>
      <c r="C635" s="4" t="str">
        <f>IFERROR(__xludf.DUMMYFUNCTION("""COMPUTED_VALUE"""),"United States")</f>
        <v>United States</v>
      </c>
      <c r="D635" s="4" t="str">
        <f>IFERROR(__xludf.DUMMYFUNCTION("""COMPUTED_VALUE"""),"Intent ")</f>
        <v>Intent </v>
      </c>
      <c r="E635" s="4" t="str">
        <f>IFERROR(__xludf.DUMMYFUNCTION("""COMPUTED_VALUE""")," Travel")</f>
        <v> Travel</v>
      </c>
      <c r="F635" s="4" t="str">
        <f>IFERROR(__xludf.DUMMYFUNCTION("""COMPUTED_VALUE"""),"Future Travel")</f>
        <v>Future Travel</v>
      </c>
      <c r="G635" s="4"/>
      <c r="H635" s="4"/>
      <c r="I635" s="5" t="s">
        <v>15</v>
      </c>
      <c r="J635" s="5" t="s">
        <v>31</v>
      </c>
      <c r="K635" s="5" t="s">
        <v>35</v>
      </c>
      <c r="L635" s="6" t="s">
        <v>919</v>
      </c>
      <c r="M635" s="5" t="s">
        <v>19</v>
      </c>
      <c r="N635" s="5" t="s">
        <v>27</v>
      </c>
      <c r="O635" s="5">
        <v>100991.0</v>
      </c>
      <c r="P635" s="5">
        <v>286.0</v>
      </c>
      <c r="Q635" s="5">
        <v>56138.0</v>
      </c>
      <c r="R635" s="5">
        <v>88836.0</v>
      </c>
      <c r="S635" s="5">
        <v>9.0</v>
      </c>
      <c r="T635" s="5">
        <v>4652.367629</v>
      </c>
      <c r="V635" s="21">
        <f t="shared" si="1"/>
        <v>46.06715083</v>
      </c>
      <c r="W635" s="21">
        <f t="shared" si="2"/>
        <v>82.87376873</v>
      </c>
      <c r="X635" s="21">
        <f t="shared" si="3"/>
        <v>3.146853147</v>
      </c>
      <c r="Y635" s="21">
        <f t="shared" si="4"/>
        <v>516.9297366</v>
      </c>
      <c r="Z635" s="21">
        <f t="shared" si="5"/>
        <v>16.26701968</v>
      </c>
      <c r="AA635" s="21">
        <f t="shared" si="6"/>
        <v>0.2831935519</v>
      </c>
    </row>
    <row r="636">
      <c r="A636" s="4" t="s">
        <v>1942</v>
      </c>
      <c r="B636" s="4" t="str">
        <f>IFERROR(__xludf.DUMMYFUNCTION("SPLIT(A636:A1362, ""&gt;"")"),"Online Behavior")</f>
        <v>Online Behavior</v>
      </c>
      <c r="C636" s="4" t="str">
        <f>IFERROR(__xludf.DUMMYFUNCTION("""COMPUTED_VALUE"""),"United States")</f>
        <v>United States</v>
      </c>
      <c r="D636" s="4" t="str">
        <f>IFERROR(__xludf.DUMMYFUNCTION("""COMPUTED_VALUE"""),"Intent ")</f>
        <v>Intent </v>
      </c>
      <c r="E636" s="4" t="str">
        <f>IFERROR(__xludf.DUMMYFUNCTION("""COMPUTED_VALUE""")," Shopping")</f>
        <v> Shopping</v>
      </c>
      <c r="F636" s="4" t="str">
        <f>IFERROR(__xludf.DUMMYFUNCTION("""COMPUTED_VALUE"""),"CPG� Cosmetics")</f>
        <v>CPG� Cosmetics</v>
      </c>
      <c r="G636" s="4"/>
      <c r="H636" s="4"/>
      <c r="I636" s="5" t="s">
        <v>22</v>
      </c>
      <c r="J636" s="5" t="s">
        <v>16</v>
      </c>
      <c r="K636" s="5" t="s">
        <v>35</v>
      </c>
      <c r="L636" s="6" t="s">
        <v>919</v>
      </c>
      <c r="M636" s="5" t="s">
        <v>19</v>
      </c>
      <c r="N636" s="5" t="s">
        <v>27</v>
      </c>
      <c r="O636" s="5">
        <v>43327.0</v>
      </c>
      <c r="P636" s="5">
        <v>140.0</v>
      </c>
      <c r="Q636" s="5">
        <v>4689.0</v>
      </c>
      <c r="R636" s="5">
        <v>31363.0</v>
      </c>
      <c r="S636" s="5">
        <v>14.0</v>
      </c>
      <c r="T636" s="5">
        <v>4554.876884</v>
      </c>
      <c r="V636" s="21">
        <f t="shared" si="1"/>
        <v>105.1279083</v>
      </c>
      <c r="W636" s="21">
        <f t="shared" si="2"/>
        <v>971.3962218</v>
      </c>
      <c r="X636" s="21">
        <f t="shared" si="3"/>
        <v>10</v>
      </c>
      <c r="Y636" s="21">
        <f t="shared" si="4"/>
        <v>325.3483489</v>
      </c>
      <c r="Z636" s="21">
        <f t="shared" si="5"/>
        <v>32.53483489</v>
      </c>
      <c r="AA636" s="21">
        <f t="shared" si="6"/>
        <v>0.3231241489</v>
      </c>
    </row>
    <row r="637">
      <c r="A637" s="4" t="s">
        <v>937</v>
      </c>
      <c r="B637" s="4" t="str">
        <f>IFERROR(__xludf.DUMMYFUNCTION("SPLIT(A637:A1363, ""&gt;"")"),"Online Behavior")</f>
        <v>Online Behavior</v>
      </c>
      <c r="C637" s="4" t="str">
        <f>IFERROR(__xludf.DUMMYFUNCTION("""COMPUTED_VALUE"""),"United States")</f>
        <v>United States</v>
      </c>
      <c r="D637" s="4" t="str">
        <f>IFERROR(__xludf.DUMMYFUNCTION("""COMPUTED_VALUE"""),"Travel")</f>
        <v>Travel</v>
      </c>
      <c r="E637" s="4" t="str">
        <f>IFERROR(__xludf.DUMMYFUNCTION("""COMPUTED_VALUE"""),"Travel Guides and Travelogues")</f>
        <v>Travel Guides and Travelogues</v>
      </c>
      <c r="F637" s="4"/>
      <c r="G637" s="4"/>
      <c r="H637" s="4"/>
      <c r="I637" s="5" t="s">
        <v>22</v>
      </c>
      <c r="J637" s="5" t="s">
        <v>16</v>
      </c>
      <c r="K637" s="5" t="s">
        <v>29</v>
      </c>
      <c r="L637" s="6" t="s">
        <v>919</v>
      </c>
      <c r="M637" s="5" t="s">
        <v>19</v>
      </c>
      <c r="N637" s="5" t="s">
        <v>27</v>
      </c>
      <c r="O637" s="5">
        <v>212009.0</v>
      </c>
      <c r="P637" s="5">
        <v>555.0</v>
      </c>
      <c r="Q637" s="5">
        <v>16903.0</v>
      </c>
      <c r="R637" s="5">
        <v>149653.0</v>
      </c>
      <c r="S637" s="5">
        <v>15.0</v>
      </c>
      <c r="T637" s="5">
        <v>3983.621797</v>
      </c>
      <c r="V637" s="21">
        <f t="shared" si="1"/>
        <v>18.78987117</v>
      </c>
      <c r="W637" s="21">
        <f t="shared" si="2"/>
        <v>235.6754302</v>
      </c>
      <c r="X637" s="21">
        <f t="shared" si="3"/>
        <v>2.702702703</v>
      </c>
      <c r="Y637" s="21">
        <f t="shared" si="4"/>
        <v>265.5747865</v>
      </c>
      <c r="Z637" s="21">
        <f t="shared" si="5"/>
        <v>7.177696932</v>
      </c>
      <c r="AA637" s="21">
        <f t="shared" si="6"/>
        <v>0.2617813395</v>
      </c>
    </row>
    <row r="638">
      <c r="A638" s="4" t="s">
        <v>938</v>
      </c>
      <c r="B638" s="4" t="str">
        <f>IFERROR(__xludf.DUMMYFUNCTION("SPLIT(A638:A1364, ""&gt;"")"),"Online Behavior")</f>
        <v>Online Behavior</v>
      </c>
      <c r="C638" s="4" t="str">
        <f>IFERROR(__xludf.DUMMYFUNCTION("""COMPUTED_VALUE"""),"United States")</f>
        <v>United States</v>
      </c>
      <c r="D638" s="4" t="str">
        <f>IFERROR(__xludf.DUMMYFUNCTION("""COMPUTED_VALUE"""),"The Changing Consumer")</f>
        <v>The Changing Consumer</v>
      </c>
      <c r="E638" s="4" t="str">
        <f>IFERROR(__xludf.DUMMYFUNCTION("""COMPUTED_VALUE"""),"Pet Adoption")</f>
        <v>Pet Adoption</v>
      </c>
      <c r="F638" s="4"/>
      <c r="G638" s="4"/>
      <c r="H638" s="4"/>
      <c r="I638" s="5" t="s">
        <v>15</v>
      </c>
      <c r="J638" s="5" t="s">
        <v>16</v>
      </c>
      <c r="K638" s="5" t="s">
        <v>66</v>
      </c>
      <c r="L638" s="6" t="s">
        <v>919</v>
      </c>
      <c r="M638" s="5" t="s">
        <v>19</v>
      </c>
      <c r="N638" s="5" t="s">
        <v>20</v>
      </c>
      <c r="O638" s="5">
        <v>45668.0</v>
      </c>
      <c r="P638" s="5">
        <v>130.0</v>
      </c>
      <c r="Q638" s="5">
        <v>16872.0</v>
      </c>
      <c r="R638" s="5">
        <v>32085.0</v>
      </c>
      <c r="S638" s="5">
        <v>9.0</v>
      </c>
      <c r="T638" s="5">
        <v>3444.202946</v>
      </c>
      <c r="V638" s="21">
        <f t="shared" si="1"/>
        <v>75.41830047</v>
      </c>
      <c r="W638" s="21">
        <f t="shared" si="2"/>
        <v>204.1372064</v>
      </c>
      <c r="X638" s="21">
        <f t="shared" si="3"/>
        <v>6.923076923</v>
      </c>
      <c r="Y638" s="21">
        <f t="shared" si="4"/>
        <v>382.6892162</v>
      </c>
      <c r="Z638" s="21">
        <f t="shared" si="5"/>
        <v>26.49386882</v>
      </c>
      <c r="AA638" s="21">
        <f t="shared" si="6"/>
        <v>0.2846632215</v>
      </c>
    </row>
    <row r="639">
      <c r="A639" s="4" t="s">
        <v>939</v>
      </c>
      <c r="B639" s="4" t="str">
        <f>IFERROR(__xludf.DUMMYFUNCTION("SPLIT(A639:A1365, ""&gt;"")"),"Media and Entertainment")</f>
        <v>Media and Entertainment</v>
      </c>
      <c r="C639" s="4"/>
      <c r="D639" s="4"/>
      <c r="E639" s="4"/>
      <c r="F639" s="4"/>
      <c r="G639" s="4"/>
      <c r="H639" s="4"/>
      <c r="I639" s="5" t="s">
        <v>22</v>
      </c>
      <c r="J639" s="5" t="s">
        <v>42</v>
      </c>
      <c r="K639" s="5" t="s">
        <v>78</v>
      </c>
      <c r="L639" s="6" t="s">
        <v>919</v>
      </c>
      <c r="M639" s="5" t="s">
        <v>19</v>
      </c>
      <c r="N639" s="5" t="s">
        <v>27</v>
      </c>
      <c r="O639" s="5">
        <v>654902.0</v>
      </c>
      <c r="P639" s="5">
        <v>1874.0</v>
      </c>
      <c r="Q639" s="5">
        <v>40733.0</v>
      </c>
      <c r="R639" s="5">
        <v>477114.0</v>
      </c>
      <c r="S639" s="5">
        <v>14.0</v>
      </c>
      <c r="T639" s="5">
        <v>3178.610315</v>
      </c>
      <c r="V639" s="21">
        <f t="shared" si="1"/>
        <v>4.853566358</v>
      </c>
      <c r="W639" s="21">
        <f t="shared" si="2"/>
        <v>78.0352617</v>
      </c>
      <c r="X639" s="21">
        <f t="shared" si="3"/>
        <v>0.7470651014</v>
      </c>
      <c r="Y639" s="21">
        <f t="shared" si="4"/>
        <v>227.0435939</v>
      </c>
      <c r="Z639" s="21">
        <f t="shared" si="5"/>
        <v>1.696163455</v>
      </c>
      <c r="AA639" s="21">
        <f t="shared" si="6"/>
        <v>0.2861496835</v>
      </c>
    </row>
    <row r="640">
      <c r="A640" s="4" t="s">
        <v>940</v>
      </c>
      <c r="B640" s="4" t="str">
        <f>IFERROR(__xludf.DUMMYFUNCTION("SPLIT(A640:A1366, ""&gt;"")"),"Retail")</f>
        <v>Retail</v>
      </c>
      <c r="C640" s="4"/>
      <c r="D640" s="4"/>
      <c r="E640" s="4"/>
      <c r="F640" s="4"/>
      <c r="G640" s="4"/>
      <c r="H640" s="4"/>
      <c r="I640" s="5" t="s">
        <v>22</v>
      </c>
      <c r="J640" s="5" t="s">
        <v>23</v>
      </c>
      <c r="K640" s="5" t="s">
        <v>150</v>
      </c>
      <c r="L640" s="6" t="s">
        <v>919</v>
      </c>
      <c r="M640" s="5" t="s">
        <v>26</v>
      </c>
      <c r="N640" s="5" t="s">
        <v>27</v>
      </c>
      <c r="O640" s="5">
        <v>239164.0</v>
      </c>
      <c r="P640" s="5">
        <v>699.0</v>
      </c>
      <c r="Q640" s="5">
        <v>86250.0</v>
      </c>
      <c r="R640" s="5">
        <v>198209.0</v>
      </c>
      <c r="S640" s="5">
        <v>41.0</v>
      </c>
      <c r="T640" s="5">
        <v>2819.935266</v>
      </c>
      <c r="V640" s="21">
        <f t="shared" si="1"/>
        <v>11.79080157</v>
      </c>
      <c r="W640" s="21">
        <f t="shared" si="2"/>
        <v>32.69490163</v>
      </c>
      <c r="X640" s="21">
        <f t="shared" si="3"/>
        <v>5.865522175</v>
      </c>
      <c r="Y640" s="21">
        <f t="shared" si="4"/>
        <v>68.77890893</v>
      </c>
      <c r="Z640" s="21">
        <f t="shared" si="5"/>
        <v>4.034242155</v>
      </c>
      <c r="AA640" s="21">
        <f t="shared" si="6"/>
        <v>0.2922680671</v>
      </c>
    </row>
    <row r="641">
      <c r="A641" s="4" t="s">
        <v>1943</v>
      </c>
      <c r="B641" s="4" t="str">
        <f>IFERROR(__xludf.DUMMYFUNCTION("SPLIT(A641:A1367, ""&gt;"")"),"US ")</f>
        <v>US </v>
      </c>
      <c r="C641" s="4" t="str">
        <f>IFERROR(__xludf.DUMMYFUNCTION("""COMPUTED_VALUE""")," Reach ")</f>
        <v> Reach </v>
      </c>
      <c r="D641" s="4" t="str">
        <f>IFERROR(__xludf.DUMMYFUNCTION("""COMPUTED_VALUE""")," Propensity Models ")</f>
        <v> Propensity Models </v>
      </c>
      <c r="E641" s="4" t="str">
        <f>IFERROR(__xludf.DUMMYFUNCTION("""COMPUTED_VALUE""")," Hobbies and Interest ")</f>
        <v> Hobbies and Interest </v>
      </c>
      <c r="F641" s="4" t="str">
        <f>IFERROR(__xludf.DUMMYFUNCTION("""COMPUTED_VALUE""")," Sports ")</f>
        <v> Sports </v>
      </c>
      <c r="G641" s="4" t="str">
        <f>IFERROR(__xludf.DUMMYFUNCTION("""COMPUTED_VALUE""")," Boating")</f>
        <v> Boating</v>
      </c>
      <c r="H641" s="4"/>
      <c r="I641" s="5" t="s">
        <v>15</v>
      </c>
      <c r="J641" s="5" t="s">
        <v>16</v>
      </c>
      <c r="K641" s="5" t="s">
        <v>35</v>
      </c>
      <c r="L641" s="6" t="s">
        <v>919</v>
      </c>
      <c r="M641" s="5" t="s">
        <v>36</v>
      </c>
      <c r="N641" s="5" t="s">
        <v>27</v>
      </c>
      <c r="O641" s="5">
        <v>564387.0</v>
      </c>
      <c r="P641" s="5">
        <v>1984.0</v>
      </c>
      <c r="Q641" s="5">
        <v>78234.0</v>
      </c>
      <c r="R641" s="5">
        <v>438695.0</v>
      </c>
      <c r="S641" s="5">
        <v>6.0</v>
      </c>
      <c r="T641" s="5">
        <v>2712.379678</v>
      </c>
      <c r="V641" s="21">
        <f t="shared" si="1"/>
        <v>4.80588617</v>
      </c>
      <c r="W641" s="21">
        <f t="shared" si="2"/>
        <v>34.67008817</v>
      </c>
      <c r="X641" s="21">
        <f t="shared" si="3"/>
        <v>0.3024193548</v>
      </c>
      <c r="Y641" s="21">
        <f t="shared" si="4"/>
        <v>452.0632797</v>
      </c>
      <c r="Z641" s="21">
        <f t="shared" si="5"/>
        <v>1.367126854</v>
      </c>
      <c r="AA641" s="21">
        <f t="shared" si="6"/>
        <v>0.351531839</v>
      </c>
    </row>
    <row r="642">
      <c r="A642" s="4" t="s">
        <v>1944</v>
      </c>
      <c r="B642" s="4" t="str">
        <f>IFERROR(__xludf.DUMMYFUNCTION("SPLIT(A642:A1368, ""&gt;"")"),"US ")</f>
        <v>US </v>
      </c>
      <c r="C642" s="4" t="str">
        <f>IFERROR(__xludf.DUMMYFUNCTION("""COMPUTED_VALUE""")," Financially in Charge ")</f>
        <v> Financially in Charge </v>
      </c>
      <c r="D642" s="4" t="str">
        <f>IFERROR(__xludf.DUMMYFUNCTION("""COMPUTED_VALUE""")," Performance Score: Top 50%")</f>
        <v> Performance Score: Top 50%</v>
      </c>
      <c r="E642" s="4"/>
      <c r="F642" s="4"/>
      <c r="G642" s="4"/>
      <c r="H642" s="4"/>
      <c r="I642" s="5" t="s">
        <v>22</v>
      </c>
      <c r="J642" s="5" t="s">
        <v>42</v>
      </c>
      <c r="K642" s="5" t="s">
        <v>78</v>
      </c>
      <c r="L642" s="6" t="s">
        <v>919</v>
      </c>
      <c r="M642" s="5" t="s">
        <v>19</v>
      </c>
      <c r="N642" s="5" t="s">
        <v>27</v>
      </c>
      <c r="O642" s="5">
        <v>12512.0</v>
      </c>
      <c r="P642" s="5">
        <v>69.0</v>
      </c>
      <c r="Q642" s="5">
        <v>6240.0</v>
      </c>
      <c r="R642" s="5">
        <v>9672.0</v>
      </c>
      <c r="S642" s="5">
        <v>1.0</v>
      </c>
      <c r="T642" s="5">
        <v>2298.888965</v>
      </c>
      <c r="V642" s="21">
        <f t="shared" si="1"/>
        <v>183.7347319</v>
      </c>
      <c r="W642" s="21">
        <f t="shared" si="2"/>
        <v>368.4116931</v>
      </c>
      <c r="X642" s="21">
        <f t="shared" si="3"/>
        <v>1.449275362</v>
      </c>
      <c r="Y642" s="21">
        <f t="shared" si="4"/>
        <v>2298.888965</v>
      </c>
      <c r="Z642" s="21">
        <f t="shared" si="5"/>
        <v>33.31723138</v>
      </c>
      <c r="AA642" s="21">
        <f t="shared" si="6"/>
        <v>0.5514705882</v>
      </c>
    </row>
    <row r="643">
      <c r="A643" s="4" t="s">
        <v>1945</v>
      </c>
      <c r="B643" s="4" t="str">
        <f>IFERROR(__xludf.DUMMYFUNCTION("SPLIT(A643:A1369, ""&gt;"")"),"US ")</f>
        <v>US </v>
      </c>
      <c r="C643" s="4" t="str">
        <f>IFERROR(__xludf.DUMMYFUNCTION("""COMPUTED_VALUE""")," Reach ")</f>
        <v> Reach </v>
      </c>
      <c r="D643" s="4" t="str">
        <f>IFERROR(__xludf.DUMMYFUNCTION("""COMPUTED_VALUE""")," Propensity Models ")</f>
        <v> Propensity Models </v>
      </c>
      <c r="E643" s="4" t="str">
        <f>IFERROR(__xludf.DUMMYFUNCTION("""COMPUTED_VALUE""")," Online ")</f>
        <v> Online </v>
      </c>
      <c r="F643" s="4" t="str">
        <f>IFERROR(__xludf.DUMMYFUNCTION("""COMPUTED_VALUE""")," Pets")</f>
        <v> Pets</v>
      </c>
      <c r="G643" s="4"/>
      <c r="H643" s="4"/>
      <c r="I643" s="5" t="s">
        <v>22</v>
      </c>
      <c r="J643" s="5" t="s">
        <v>16</v>
      </c>
      <c r="K643" s="5" t="s">
        <v>17</v>
      </c>
      <c r="L643" s="6" t="s">
        <v>919</v>
      </c>
      <c r="M643" s="5" t="s">
        <v>19</v>
      </c>
      <c r="N643" s="5" t="s">
        <v>27</v>
      </c>
      <c r="O643" s="5">
        <v>68008.0</v>
      </c>
      <c r="P643" s="5">
        <v>204.0</v>
      </c>
      <c r="Q643" s="5">
        <v>2996.0</v>
      </c>
      <c r="R643" s="5">
        <v>49686.0</v>
      </c>
      <c r="S643" s="5">
        <v>9.0</v>
      </c>
      <c r="T643" s="5">
        <v>1923.808141</v>
      </c>
      <c r="V643" s="21">
        <f t="shared" si="1"/>
        <v>28.28796819</v>
      </c>
      <c r="W643" s="21">
        <f t="shared" si="2"/>
        <v>642.1255477</v>
      </c>
      <c r="X643" s="21">
        <f t="shared" si="3"/>
        <v>4.411764706</v>
      </c>
      <c r="Y643" s="21">
        <f t="shared" si="4"/>
        <v>213.7564601</v>
      </c>
      <c r="Z643" s="21">
        <f t="shared" si="5"/>
        <v>9.430432064</v>
      </c>
      <c r="AA643" s="21">
        <f t="shared" si="6"/>
        <v>0.29996471</v>
      </c>
    </row>
    <row r="644">
      <c r="A644" s="4" t="s">
        <v>1946</v>
      </c>
      <c r="B644" s="4" t="str">
        <f>IFERROR(__xludf.DUMMYFUNCTION("SPLIT(A644:A1370, ""&gt;"")"),"US ")</f>
        <v>US </v>
      </c>
      <c r="C644" s="4" t="str">
        <f>IFERROR(__xludf.DUMMYFUNCTION("""COMPUTED_VALUE""")," Interest Propensities ")</f>
        <v> Interest Propensities </v>
      </c>
      <c r="D644" s="4" t="str">
        <f>IFERROR(__xludf.DUMMYFUNCTION("""COMPUTED_VALUE""")," Insurance ")</f>
        <v> Insurance </v>
      </c>
      <c r="E644" s="4" t="str">
        <f>IFERROR(__xludf.DUMMYFUNCTION("""COMPUTED_VALUE""")," Lincoln Heritage")</f>
        <v> Lincoln Heritage</v>
      </c>
      <c r="F644" s="4"/>
      <c r="G644" s="4"/>
      <c r="H644" s="4"/>
      <c r="I644" s="5" t="s">
        <v>22</v>
      </c>
      <c r="J644" s="5" t="s">
        <v>23</v>
      </c>
      <c r="K644" s="5" t="s">
        <v>78</v>
      </c>
      <c r="L644" s="6" t="s">
        <v>919</v>
      </c>
      <c r="M644" s="5" t="s">
        <v>26</v>
      </c>
      <c r="N644" s="5" t="s">
        <v>27</v>
      </c>
      <c r="O644" s="5">
        <v>61848.0</v>
      </c>
      <c r="P644" s="5">
        <v>213.0</v>
      </c>
      <c r="Q644" s="5">
        <v>6581.0</v>
      </c>
      <c r="R644" s="5">
        <v>44917.0</v>
      </c>
      <c r="S644" s="5">
        <v>15.0</v>
      </c>
      <c r="T644" s="5">
        <v>1819.893602</v>
      </c>
      <c r="V644" s="21">
        <f t="shared" si="1"/>
        <v>29.42526196</v>
      </c>
      <c r="W644" s="21">
        <f t="shared" si="2"/>
        <v>276.5375478</v>
      </c>
      <c r="X644" s="21">
        <f t="shared" si="3"/>
        <v>7.042253521</v>
      </c>
      <c r="Y644" s="21">
        <f t="shared" si="4"/>
        <v>121.3262401</v>
      </c>
      <c r="Z644" s="21">
        <f t="shared" si="5"/>
        <v>8.544101418</v>
      </c>
      <c r="AA644" s="21">
        <f t="shared" si="6"/>
        <v>0.3443927047</v>
      </c>
    </row>
    <row r="645">
      <c r="A645" s="4" t="s">
        <v>1632</v>
      </c>
      <c r="B645" s="4" t="str">
        <f>IFERROR(__xludf.DUMMYFUNCTION("SPLIT(A645:A1371, ""&gt;"")"),"Real Estate ")</f>
        <v>Real Estate </v>
      </c>
      <c r="C645" s="4" t="str">
        <f>IFERROR(__xludf.DUMMYFUNCTION("""COMPUTED_VALUE""")," Lot Size ")</f>
        <v> Lot Size </v>
      </c>
      <c r="D645" s="4" t="str">
        <f>IFERROR(__xludf.DUMMYFUNCTION("""COMPUTED_VALUE""")," Cozy Outdoor Living Space (Less than  an Acre)")</f>
        <v> Cozy Outdoor Living Space (Less than  an Acre)</v>
      </c>
      <c r="E645" s="4"/>
      <c r="F645" s="4"/>
      <c r="G645" s="4"/>
      <c r="H645" s="4"/>
      <c r="I645" s="5" t="s">
        <v>15</v>
      </c>
      <c r="J645" s="5" t="s">
        <v>31</v>
      </c>
      <c r="K645" s="5" t="s">
        <v>78</v>
      </c>
      <c r="L645" s="6" t="s">
        <v>919</v>
      </c>
      <c r="M645" s="5" t="s">
        <v>36</v>
      </c>
      <c r="N645" s="5" t="s">
        <v>27</v>
      </c>
      <c r="O645" s="5">
        <v>232635.0</v>
      </c>
      <c r="P645" s="5">
        <v>666.0</v>
      </c>
      <c r="Q645" s="5">
        <v>34008.0</v>
      </c>
      <c r="R645" s="5">
        <v>195803.0</v>
      </c>
      <c r="S645" s="5">
        <v>39.0</v>
      </c>
      <c r="T645" s="5">
        <v>1773.991882</v>
      </c>
      <c r="V645" s="21">
        <f t="shared" si="1"/>
        <v>7.625644817</v>
      </c>
      <c r="W645" s="21">
        <f t="shared" si="2"/>
        <v>52.16395795</v>
      </c>
      <c r="X645" s="21">
        <f t="shared" si="3"/>
        <v>5.855855856</v>
      </c>
      <c r="Y645" s="21">
        <f t="shared" si="4"/>
        <v>45.48697133</v>
      </c>
      <c r="Z645" s="21">
        <f t="shared" si="5"/>
        <v>2.663651474</v>
      </c>
      <c r="AA645" s="21">
        <f t="shared" si="6"/>
        <v>0.2862853827</v>
      </c>
    </row>
    <row r="646">
      <c r="A646" s="4" t="s">
        <v>1947</v>
      </c>
      <c r="B646" s="4" t="str">
        <f>IFERROR(__xludf.DUMMYFUNCTION("SPLIT(A646:A1372, ""&gt;"")"),"US Demographic ")</f>
        <v>US Demographic </v>
      </c>
      <c r="C646" s="4" t="str">
        <f>IFERROR(__xludf.DUMMYFUNCTION("""COMPUTED_VALUE""")," Age ")</f>
        <v> Age </v>
      </c>
      <c r="D646" s="4" t="str">
        <f>IFERROR(__xludf.DUMMYFUNCTION("""COMPUTED_VALUE""")," Specialty Age Range ")</f>
        <v> Specialty Age Range </v>
      </c>
      <c r="E646" s="4" t="str">
        <f>IFERROR(__xludf.DUMMYFUNCTION("""COMPUTED_VALUE""")," 21+")</f>
        <v> 21+</v>
      </c>
      <c r="F646" s="4"/>
      <c r="G646" s="4"/>
      <c r="H646" s="4"/>
      <c r="I646" s="5" t="s">
        <v>15</v>
      </c>
      <c r="J646" s="5" t="s">
        <v>16</v>
      </c>
      <c r="K646" s="5" t="s">
        <v>35</v>
      </c>
      <c r="L646" s="6" t="s">
        <v>919</v>
      </c>
      <c r="M646" s="5" t="s">
        <v>26</v>
      </c>
      <c r="N646" s="5" t="s">
        <v>27</v>
      </c>
      <c r="O646" s="5">
        <v>180353.0</v>
      </c>
      <c r="P646" s="5">
        <v>471.0</v>
      </c>
      <c r="Q646" s="5">
        <v>67637.0</v>
      </c>
      <c r="R646" s="5">
        <v>145416.0</v>
      </c>
      <c r="S646" s="5">
        <v>8.0</v>
      </c>
      <c r="T646" s="5">
        <v>1720.881985</v>
      </c>
      <c r="V646" s="21">
        <f t="shared" si="1"/>
        <v>9.541743054</v>
      </c>
      <c r="W646" s="21">
        <f t="shared" si="2"/>
        <v>25.44290825</v>
      </c>
      <c r="X646" s="21">
        <f t="shared" si="3"/>
        <v>1.6985138</v>
      </c>
      <c r="Y646" s="21">
        <f t="shared" si="4"/>
        <v>215.1102481</v>
      </c>
      <c r="Z646" s="21">
        <f t="shared" si="5"/>
        <v>3.653677251</v>
      </c>
      <c r="AA646" s="21">
        <f t="shared" si="6"/>
        <v>0.2611545136</v>
      </c>
    </row>
    <row r="647">
      <c r="A647" s="4" t="s">
        <v>947</v>
      </c>
      <c r="B647" s="4" t="str">
        <f>IFERROR(__xludf.DUMMYFUNCTION("SPLIT(A647:A1373, ""&gt;"")"),"US Mail Order Buyer")</f>
        <v>US Mail Order Buyer</v>
      </c>
      <c r="C647" s="4"/>
      <c r="D647" s="4"/>
      <c r="E647" s="4"/>
      <c r="F647" s="4"/>
      <c r="G647" s="4"/>
      <c r="H647" s="4"/>
      <c r="I647" s="5" t="s">
        <v>22</v>
      </c>
      <c r="J647" s="5" t="s">
        <v>16</v>
      </c>
      <c r="K647" s="5" t="s">
        <v>78</v>
      </c>
      <c r="L647" s="6" t="s">
        <v>919</v>
      </c>
      <c r="M647" s="5" t="s">
        <v>19</v>
      </c>
      <c r="N647" s="5" t="s">
        <v>27</v>
      </c>
      <c r="O647" s="5">
        <v>78433.0</v>
      </c>
      <c r="P647" s="5">
        <v>204.0</v>
      </c>
      <c r="Q647" s="5">
        <v>24067.0</v>
      </c>
      <c r="R647" s="5">
        <v>58308.0</v>
      </c>
      <c r="S647" s="5">
        <v>16.0</v>
      </c>
      <c r="T647" s="5">
        <v>1612.549327</v>
      </c>
      <c r="V647" s="21">
        <f t="shared" si="1"/>
        <v>20.55957731</v>
      </c>
      <c r="W647" s="21">
        <f t="shared" si="2"/>
        <v>67.00250663</v>
      </c>
      <c r="X647" s="21">
        <f t="shared" si="3"/>
        <v>7.843137255</v>
      </c>
      <c r="Y647" s="21">
        <f t="shared" si="4"/>
        <v>100.7843329</v>
      </c>
      <c r="Z647" s="21">
        <f t="shared" si="5"/>
        <v>7.904653564</v>
      </c>
      <c r="AA647" s="21">
        <f t="shared" si="6"/>
        <v>0.260094603</v>
      </c>
    </row>
    <row r="648">
      <c r="A648" s="4" t="s">
        <v>1948</v>
      </c>
      <c r="B648" s="4" t="str">
        <f>IFERROR(__xludf.DUMMYFUNCTION("SPLIT(A648:A1374, ""&gt;"")"),"US ")</f>
        <v>US </v>
      </c>
      <c r="C648" s="4" t="str">
        <f>IFERROR(__xludf.DUMMYFUNCTION("""COMPUTED_VALUE""")," Brand Propensities ")</f>
        <v> Brand Propensities </v>
      </c>
      <c r="D648" s="4" t="str">
        <f>IFERROR(__xludf.DUMMYFUNCTION("""COMPUTED_VALUE""")," Big Box Dollar General Buyer Propensity")</f>
        <v> Big Box Dollar General Buyer Propensity</v>
      </c>
      <c r="E648" s="4"/>
      <c r="F648" s="4"/>
      <c r="G648" s="4"/>
      <c r="H648" s="4"/>
      <c r="I648" s="5" t="s">
        <v>22</v>
      </c>
      <c r="J648" s="5" t="s">
        <v>23</v>
      </c>
      <c r="K648" s="5" t="s">
        <v>35</v>
      </c>
      <c r="L648" s="6" t="s">
        <v>919</v>
      </c>
      <c r="M648" s="5" t="s">
        <v>117</v>
      </c>
      <c r="N648" s="5" t="s">
        <v>27</v>
      </c>
      <c r="O648" s="5">
        <v>194833.0</v>
      </c>
      <c r="P648" s="5">
        <v>499.0</v>
      </c>
      <c r="Q648" s="5">
        <v>29091.0</v>
      </c>
      <c r="R648" s="5">
        <v>143813.0</v>
      </c>
      <c r="S648" s="5">
        <v>4.0</v>
      </c>
      <c r="T648" s="5">
        <v>1586.314519</v>
      </c>
      <c r="V648" s="21">
        <f t="shared" si="1"/>
        <v>8.141919074</v>
      </c>
      <c r="W648" s="21">
        <f t="shared" si="2"/>
        <v>54.52939119</v>
      </c>
      <c r="X648" s="21">
        <f t="shared" si="3"/>
        <v>0.8016032064</v>
      </c>
      <c r="Y648" s="21">
        <f t="shared" si="4"/>
        <v>396.5786298</v>
      </c>
      <c r="Z648" s="21">
        <f t="shared" si="5"/>
        <v>3.178987012</v>
      </c>
      <c r="AA648" s="21">
        <f t="shared" si="6"/>
        <v>0.2561167769</v>
      </c>
    </row>
    <row r="649">
      <c r="A649" s="4" t="s">
        <v>1636</v>
      </c>
      <c r="B649" s="4" t="str">
        <f>IFERROR(__xludf.DUMMYFUNCTION("SPLIT(A649:A1375, ""&gt;"")"),"OnAudience ")</f>
        <v>OnAudience </v>
      </c>
      <c r="C649" s="4" t="str">
        <f>IFERROR(__xludf.DUMMYFUNCTION("""COMPUTED_VALUE""")," Interest ")</f>
        <v> Interest </v>
      </c>
      <c r="D649" s="4" t="str">
        <f>IFERROR(__xludf.DUMMYFUNCTION("""COMPUTED_VALUE""")," News ")</f>
        <v> News </v>
      </c>
      <c r="E649" s="4" t="str">
        <f>IFERROR(__xludf.DUMMYFUNCTION("""COMPUTED_VALUE""")," International News")</f>
        <v> International News</v>
      </c>
      <c r="F649" s="4"/>
      <c r="G649" s="4"/>
      <c r="H649" s="4"/>
      <c r="I649" s="5" t="s">
        <v>15</v>
      </c>
      <c r="J649" s="5" t="s">
        <v>31</v>
      </c>
      <c r="K649" s="5" t="s">
        <v>142</v>
      </c>
      <c r="L649" s="6" t="s">
        <v>919</v>
      </c>
      <c r="M649" s="5" t="s">
        <v>117</v>
      </c>
      <c r="N649" s="5" t="s">
        <v>27</v>
      </c>
      <c r="O649" s="5">
        <v>197192.0</v>
      </c>
      <c r="P649" s="5">
        <v>519.0</v>
      </c>
      <c r="Q649" s="5">
        <v>80623.0</v>
      </c>
      <c r="R649" s="5">
        <v>181763.0</v>
      </c>
      <c r="S649" s="5">
        <v>5.0</v>
      </c>
      <c r="T649" s="5">
        <v>1584.731757</v>
      </c>
      <c r="V649" s="21">
        <f t="shared" si="1"/>
        <v>8.03649112</v>
      </c>
      <c r="W649" s="21">
        <f t="shared" si="2"/>
        <v>19.65607528</v>
      </c>
      <c r="X649" s="21">
        <f t="shared" si="3"/>
        <v>0.9633911368</v>
      </c>
      <c r="Y649" s="21">
        <f t="shared" si="4"/>
        <v>316.9463514</v>
      </c>
      <c r="Z649" s="21">
        <f t="shared" si="5"/>
        <v>3.053433058</v>
      </c>
      <c r="AA649" s="21">
        <f t="shared" si="6"/>
        <v>0.2631952615</v>
      </c>
    </row>
    <row r="650">
      <c r="A650" s="4" t="s">
        <v>1949</v>
      </c>
      <c r="B650" s="4" t="str">
        <f>IFERROR(__xludf.DUMMYFUNCTION("SPLIT(A650:A1376, ""&gt;"")"),"Mobile Audience ")</f>
        <v>Mobile Audience </v>
      </c>
      <c r="C650" s="4" t="str">
        <f>IFERROR(__xludf.DUMMYFUNCTION("""COMPUTED_VALUE""")," Lifestyle ")</f>
        <v> Lifestyle </v>
      </c>
      <c r="D650" s="4" t="str">
        <f>IFERROR(__xludf.DUMMYFUNCTION("""COMPUTED_VALUE""")," Arts Enthusiasts")</f>
        <v> Arts Enthusiasts</v>
      </c>
      <c r="E650" s="4"/>
      <c r="F650" s="4"/>
      <c r="G650" s="4"/>
      <c r="H650" s="4"/>
      <c r="I650" s="5" t="s">
        <v>15</v>
      </c>
      <c r="J650" s="5" t="s">
        <v>42</v>
      </c>
      <c r="K650" s="5" t="s">
        <v>55</v>
      </c>
      <c r="L650" s="6" t="s">
        <v>919</v>
      </c>
      <c r="M650" s="5" t="s">
        <v>26</v>
      </c>
      <c r="N650" s="5" t="s">
        <v>27</v>
      </c>
      <c r="O650" s="5">
        <v>40519.0</v>
      </c>
      <c r="P650" s="5">
        <v>111.0</v>
      </c>
      <c r="Q650" s="5">
        <v>6105.0</v>
      </c>
      <c r="R650" s="5">
        <v>26283.0</v>
      </c>
      <c r="S650" s="5">
        <v>10.0</v>
      </c>
      <c r="T650" s="5">
        <v>1582.410977</v>
      </c>
      <c r="V650" s="21">
        <f t="shared" si="1"/>
        <v>39.05355455</v>
      </c>
      <c r="W650" s="21">
        <f t="shared" si="2"/>
        <v>259.1991772</v>
      </c>
      <c r="X650" s="21">
        <f t="shared" si="3"/>
        <v>9.009009009</v>
      </c>
      <c r="Y650" s="21">
        <f t="shared" si="4"/>
        <v>158.2410977</v>
      </c>
      <c r="Z650" s="21">
        <f t="shared" si="5"/>
        <v>14.25595475</v>
      </c>
      <c r="AA650" s="21">
        <f t="shared" si="6"/>
        <v>0.2739455564</v>
      </c>
    </row>
    <row r="651">
      <c r="A651" s="4" t="s">
        <v>1950</v>
      </c>
      <c r="B651" s="4" t="str">
        <f>IFERROR(__xludf.DUMMYFUNCTION("SPLIT(A651:A1377, ""&gt;"")"),"US ")</f>
        <v>US </v>
      </c>
      <c r="C651" s="4" t="str">
        <f>IFERROR(__xludf.DUMMYFUNCTION("""COMPUTED_VALUE""")," Interest Propensities ")</f>
        <v> Interest Propensities </v>
      </c>
      <c r="D651" s="4" t="str">
        <f>IFERROR(__xludf.DUMMYFUNCTION("""COMPUTED_VALUE""")," Music ")</f>
        <v> Music </v>
      </c>
      <c r="E651" s="4" t="str">
        <f>IFERROR(__xludf.DUMMYFUNCTION("""COMPUTED_VALUE""")," Hip Hop and Rap")</f>
        <v> Hip Hop and Rap</v>
      </c>
      <c r="F651" s="4"/>
      <c r="G651" s="4"/>
      <c r="H651" s="4"/>
      <c r="I651" s="5" t="s">
        <v>22</v>
      </c>
      <c r="J651" s="5" t="s">
        <v>23</v>
      </c>
      <c r="K651" s="5" t="s">
        <v>173</v>
      </c>
      <c r="L651" s="6" t="s">
        <v>919</v>
      </c>
      <c r="M651" s="5" t="s">
        <v>19</v>
      </c>
      <c r="N651" s="5" t="s">
        <v>27</v>
      </c>
      <c r="O651" s="5">
        <v>254780.0</v>
      </c>
      <c r="P651" s="5">
        <v>699.0</v>
      </c>
      <c r="Q651" s="5">
        <v>19169.0</v>
      </c>
      <c r="R651" s="5">
        <v>182583.0</v>
      </c>
      <c r="S651" s="5">
        <v>4.0</v>
      </c>
      <c r="T651" s="5">
        <v>1561.021915</v>
      </c>
      <c r="V651" s="21">
        <f t="shared" si="1"/>
        <v>6.126940557</v>
      </c>
      <c r="W651" s="21">
        <f t="shared" si="2"/>
        <v>81.43470786</v>
      </c>
      <c r="X651" s="21">
        <f t="shared" si="3"/>
        <v>0.5722460658</v>
      </c>
      <c r="Y651" s="21">
        <f t="shared" si="4"/>
        <v>390.2554788</v>
      </c>
      <c r="Z651" s="21">
        <f t="shared" si="5"/>
        <v>2.233221624</v>
      </c>
      <c r="AA651" s="21">
        <f t="shared" si="6"/>
        <v>0.2743543449</v>
      </c>
    </row>
    <row r="652">
      <c r="A652" s="4" t="s">
        <v>1639</v>
      </c>
      <c r="B652" s="4" t="str">
        <f>IFERROR(__xludf.DUMMYFUNCTION("SPLIT(A652:A1378, ""&gt;"")"),"Lotame ")</f>
        <v>Lotame </v>
      </c>
      <c r="C652" s="4" t="str">
        <f>IFERROR(__xludf.DUMMYFUNCTION("""COMPUTED_VALUE""")," Travel ")</f>
        <v> Travel </v>
      </c>
      <c r="D652" s="4" t="str">
        <f>IFERROR(__xludf.DUMMYFUNCTION("""COMPUTED_VALUE""")," Thanksgiving Travel")</f>
        <v> Thanksgiving Travel</v>
      </c>
      <c r="E652" s="4"/>
      <c r="F652" s="4"/>
      <c r="G652" s="4"/>
      <c r="H652" s="4"/>
      <c r="I652" s="5" t="s">
        <v>22</v>
      </c>
      <c r="J652" s="5" t="s">
        <v>31</v>
      </c>
      <c r="K652" s="5" t="s">
        <v>953</v>
      </c>
      <c r="L652" s="6" t="s">
        <v>919</v>
      </c>
      <c r="M652" s="5" t="s">
        <v>19</v>
      </c>
      <c r="N652" s="5" t="s">
        <v>27</v>
      </c>
      <c r="O652" s="5">
        <v>36543.0</v>
      </c>
      <c r="P652" s="5">
        <v>147.0</v>
      </c>
      <c r="Q652" s="5">
        <v>18046.0</v>
      </c>
      <c r="R652" s="5">
        <v>27358.0</v>
      </c>
      <c r="S652" s="5">
        <v>6.0</v>
      </c>
      <c r="T652" s="5">
        <v>1513.088728</v>
      </c>
      <c r="V652" s="21">
        <f t="shared" si="1"/>
        <v>41.40570637</v>
      </c>
      <c r="W652" s="21">
        <f t="shared" si="2"/>
        <v>83.84621124</v>
      </c>
      <c r="X652" s="21">
        <f t="shared" si="3"/>
        <v>4.081632653</v>
      </c>
      <c r="Y652" s="21">
        <f t="shared" si="4"/>
        <v>252.1814547</v>
      </c>
      <c r="Z652" s="21">
        <f t="shared" si="5"/>
        <v>10.2931206</v>
      </c>
      <c r="AA652" s="21">
        <f t="shared" si="6"/>
        <v>0.4022658238</v>
      </c>
    </row>
    <row r="653">
      <c r="A653" s="4" t="s">
        <v>1951</v>
      </c>
      <c r="B653" s="4" t="str">
        <f>IFERROR(__xludf.DUMMYFUNCTION("SPLIT(A653:A1379, ""&gt;"")"),"US ")</f>
        <v>US </v>
      </c>
      <c r="C653" s="4" t="str">
        <f>IFERROR(__xludf.DUMMYFUNCTION("""COMPUTED_VALUE""")," Sociodemographic ")</f>
        <v> Sociodemographic </v>
      </c>
      <c r="D653" s="4" t="str">
        <f>IFERROR(__xludf.DUMMYFUNCTION("""COMPUTED_VALUE""")," ConneXions Lifestage ")</f>
        <v> ConneXions Lifestage </v>
      </c>
      <c r="E653" s="4" t="str">
        <f>IFERROR(__xludf.DUMMYFUNCTION("""COMPUTED_VALUE""")," F2 Suburban Spenders")</f>
        <v> F2 Suburban Spenders</v>
      </c>
      <c r="F653" s="4"/>
      <c r="G653" s="4"/>
      <c r="H653" s="4"/>
      <c r="I653" s="5" t="s">
        <v>22</v>
      </c>
      <c r="J653" s="5" t="s">
        <v>23</v>
      </c>
      <c r="K653" s="5" t="s">
        <v>29</v>
      </c>
      <c r="L653" s="6" t="s">
        <v>919</v>
      </c>
      <c r="M653" s="5" t="s">
        <v>19</v>
      </c>
      <c r="N653" s="5" t="s">
        <v>27</v>
      </c>
      <c r="O653" s="5">
        <v>292885.0</v>
      </c>
      <c r="P653" s="5">
        <v>796.0</v>
      </c>
      <c r="Q653" s="5">
        <v>12733.0</v>
      </c>
      <c r="R653" s="5">
        <v>203986.0</v>
      </c>
      <c r="S653" s="5">
        <v>4.0</v>
      </c>
      <c r="T653" s="5">
        <v>1503.913054</v>
      </c>
      <c r="V653" s="21">
        <f t="shared" si="1"/>
        <v>5.134824433</v>
      </c>
      <c r="W653" s="21">
        <f t="shared" si="2"/>
        <v>118.1114469</v>
      </c>
      <c r="X653" s="21">
        <f t="shared" si="3"/>
        <v>0.5025125628</v>
      </c>
      <c r="Y653" s="21">
        <f t="shared" si="4"/>
        <v>375.9782635</v>
      </c>
      <c r="Z653" s="21">
        <f t="shared" si="5"/>
        <v>1.889338008</v>
      </c>
      <c r="AA653" s="21">
        <f t="shared" si="6"/>
        <v>0.2717790259</v>
      </c>
    </row>
    <row r="654">
      <c r="A654" s="4" t="s">
        <v>1641</v>
      </c>
      <c r="B654" s="4" t="str">
        <f>IFERROR(__xludf.DUMMYFUNCTION("SPLIT(A654:A1380, ""&gt;"")"),"Travel and Tourism ")</f>
        <v>Travel and Tourism </v>
      </c>
      <c r="C654" s="4" t="str">
        <f>IFERROR(__xludf.DUMMYFUNCTION("""COMPUTED_VALUE""")," Interest (Affinity) ")</f>
        <v> Interest (Affinity) </v>
      </c>
      <c r="D654" s="4" t="str">
        <f>IFERROR(__xludf.DUMMYFUNCTION("""COMPUTED_VALUE""")," Destinations ")</f>
        <v> Destinations </v>
      </c>
      <c r="E654" s="4" t="str">
        <f>IFERROR(__xludf.DUMMYFUNCTION("""COMPUTED_VALUE""")," Africa")</f>
        <v> Africa</v>
      </c>
      <c r="F654" s="4"/>
      <c r="G654" s="4"/>
      <c r="H654" s="4"/>
      <c r="I654" s="5" t="s">
        <v>15</v>
      </c>
      <c r="J654" s="5" t="s">
        <v>16</v>
      </c>
      <c r="K654" s="5" t="s">
        <v>55</v>
      </c>
      <c r="L654" s="6" t="s">
        <v>919</v>
      </c>
      <c r="M654" s="5" t="s">
        <v>136</v>
      </c>
      <c r="N654" s="5" t="s">
        <v>27</v>
      </c>
      <c r="O654" s="5">
        <v>253577.0</v>
      </c>
      <c r="P654" s="5">
        <v>890.0</v>
      </c>
      <c r="Q654" s="5">
        <v>66972.0</v>
      </c>
      <c r="R654" s="5">
        <v>191183.0</v>
      </c>
      <c r="S654" s="5">
        <v>44.0</v>
      </c>
      <c r="T654" s="5">
        <v>1493.074494</v>
      </c>
      <c r="V654" s="21">
        <f t="shared" si="1"/>
        <v>5.888051732</v>
      </c>
      <c r="W654" s="21">
        <f t="shared" si="2"/>
        <v>22.29401084</v>
      </c>
      <c r="X654" s="21">
        <f t="shared" si="3"/>
        <v>4.943820225</v>
      </c>
      <c r="Y654" s="21">
        <f t="shared" si="4"/>
        <v>33.93351123</v>
      </c>
      <c r="Z654" s="21">
        <f t="shared" si="5"/>
        <v>1.677611791</v>
      </c>
      <c r="AA654" s="21">
        <f t="shared" si="6"/>
        <v>0.3509782039</v>
      </c>
    </row>
    <row r="655">
      <c r="A655" s="4" t="s">
        <v>1642</v>
      </c>
      <c r="B655" s="4" t="str">
        <f>IFERROR(__xludf.DUMMYFUNCTION("SPLIT(A655:A1381, ""&gt;"")"),"Purchase-Based ")</f>
        <v>Purchase-Based </v>
      </c>
      <c r="C655" s="4" t="str">
        <f>IFERROR(__xludf.DUMMYFUNCTION("""COMPUTED_VALUE""")," Categories ")</f>
        <v> Categories </v>
      </c>
      <c r="D655" s="4" t="str">
        <f>IFERROR(__xludf.DUMMYFUNCTION("""COMPUTED_VALUE""")," Office Supplies Buyers")</f>
        <v> Office Supplies Buyers</v>
      </c>
      <c r="E655" s="4"/>
      <c r="F655" s="4"/>
      <c r="G655" s="4"/>
      <c r="H655" s="4"/>
      <c r="I655" s="5" t="s">
        <v>15</v>
      </c>
      <c r="J655" s="5" t="s">
        <v>16</v>
      </c>
      <c r="K655" s="5" t="s">
        <v>35</v>
      </c>
      <c r="L655" s="6" t="s">
        <v>919</v>
      </c>
      <c r="M655" s="5" t="s">
        <v>184</v>
      </c>
      <c r="N655" s="5" t="s">
        <v>27</v>
      </c>
      <c r="O655" s="5">
        <v>12280.0</v>
      </c>
      <c r="P655" s="5">
        <v>90.0</v>
      </c>
      <c r="Q655" s="5">
        <v>7633.0</v>
      </c>
      <c r="R655" s="5">
        <v>11053.0</v>
      </c>
      <c r="S655" s="5">
        <v>5.0</v>
      </c>
      <c r="T655" s="5">
        <v>1452.207361</v>
      </c>
      <c r="V655" s="21">
        <f t="shared" si="1"/>
        <v>118.2579284</v>
      </c>
      <c r="W655" s="21">
        <f t="shared" si="2"/>
        <v>190.2538138</v>
      </c>
      <c r="X655" s="21">
        <f t="shared" si="3"/>
        <v>5.555555556</v>
      </c>
      <c r="Y655" s="21">
        <f t="shared" si="4"/>
        <v>290.4414722</v>
      </c>
      <c r="Z655" s="21">
        <f t="shared" si="5"/>
        <v>16.13563734</v>
      </c>
      <c r="AA655" s="21">
        <f t="shared" si="6"/>
        <v>0.7328990228</v>
      </c>
    </row>
    <row r="656">
      <c r="A656" s="4" t="s">
        <v>957</v>
      </c>
      <c r="B656" s="4" t="str">
        <f>IFERROR(__xludf.DUMMYFUNCTION("SPLIT(A656:A1382, ""&gt;"")"),"Online Behavior")</f>
        <v>Online Behavior</v>
      </c>
      <c r="C656" s="4" t="str">
        <f>IFERROR(__xludf.DUMMYFUNCTION("""COMPUTED_VALUE"""),"United States")</f>
        <v>United States</v>
      </c>
      <c r="D656" s="4" t="str">
        <f>IFERROR(__xludf.DUMMYFUNCTION("""COMPUTED_VALUE"""),"Sports")</f>
        <v>Sports</v>
      </c>
      <c r="E656" s="4" t="str">
        <f>IFERROR(__xludf.DUMMYFUNCTION("""COMPUTED_VALUE"""),"Extreme Sports")</f>
        <v>Extreme Sports</v>
      </c>
      <c r="F656" s="4"/>
      <c r="G656" s="4"/>
      <c r="H656" s="4"/>
      <c r="I656" s="5" t="s">
        <v>15</v>
      </c>
      <c r="J656" s="5" t="s">
        <v>16</v>
      </c>
      <c r="K656" s="5" t="s">
        <v>55</v>
      </c>
      <c r="L656" s="6" t="s">
        <v>958</v>
      </c>
      <c r="M656" s="5" t="s">
        <v>50</v>
      </c>
      <c r="N656" s="5" t="s">
        <v>27</v>
      </c>
      <c r="O656" s="5">
        <v>14599.0</v>
      </c>
      <c r="P656" s="5">
        <v>33.0</v>
      </c>
      <c r="Q656" s="5">
        <v>1779.0</v>
      </c>
      <c r="R656" s="5">
        <v>12458.0</v>
      </c>
      <c r="S656" s="5">
        <v>4.0</v>
      </c>
      <c r="T656" s="5">
        <v>5092.559215</v>
      </c>
      <c r="V656" s="21">
        <f t="shared" si="1"/>
        <v>348.8293181</v>
      </c>
      <c r="W656" s="21">
        <f t="shared" si="2"/>
        <v>2862.596523</v>
      </c>
      <c r="X656" s="21">
        <f t="shared" si="3"/>
        <v>12.12121212</v>
      </c>
      <c r="Y656" s="21">
        <f t="shared" si="4"/>
        <v>1273.139804</v>
      </c>
      <c r="Z656" s="21">
        <f t="shared" si="5"/>
        <v>154.3199762</v>
      </c>
      <c r="AA656" s="21">
        <f t="shared" si="6"/>
        <v>0.2260428796</v>
      </c>
    </row>
    <row r="657">
      <c r="A657" s="4" t="s">
        <v>1952</v>
      </c>
      <c r="B657" s="4" t="str">
        <f>IFERROR(__xludf.DUMMYFUNCTION("SPLIT(A657:A1383, ""&gt;"")"),"US Financial ")</f>
        <v>US Financial </v>
      </c>
      <c r="C657" s="4" t="str">
        <f>IFERROR(__xludf.DUMMYFUNCTION("""COMPUTED_VALUE""")," Likely Attitude and Behavior ")</f>
        <v> Likely Attitude and Behavior </v>
      </c>
      <c r="D657" s="4" t="str">
        <f>IFERROR(__xludf.DUMMYFUNCTION("""COMPUTED_VALUE""")," Completely Disagree ")</f>
        <v> Completely Disagree </v>
      </c>
      <c r="E657" s="4" t="str">
        <f>IFERROR(__xludf.DUMMYFUNCTION("""COMPUTED_VALUE""")," When I Find A Financial Product/Service I Like I Typically Recommend It To People I Know (Financial)")</f>
        <v> When I Find A Financial Product/Service I Like I Typically Recommend It To People I Know (Financial)</v>
      </c>
      <c r="F657" s="4"/>
      <c r="G657" s="4"/>
      <c r="H657" s="4"/>
      <c r="I657" s="5" t="s">
        <v>15</v>
      </c>
      <c r="J657" s="5" t="s">
        <v>16</v>
      </c>
      <c r="K657" s="5" t="s">
        <v>78</v>
      </c>
      <c r="L657" s="6" t="s">
        <v>958</v>
      </c>
      <c r="M657" s="5" t="s">
        <v>19</v>
      </c>
      <c r="N657" s="5" t="s">
        <v>52</v>
      </c>
      <c r="O657" s="5">
        <v>16175.0</v>
      </c>
      <c r="P657" s="5">
        <v>35.0</v>
      </c>
      <c r="Q657" s="5">
        <v>1923.0</v>
      </c>
      <c r="R657" s="5">
        <v>15085.0</v>
      </c>
      <c r="S657" s="5">
        <v>2.0</v>
      </c>
      <c r="T657" s="5">
        <v>1649.069475</v>
      </c>
      <c r="V657" s="21">
        <f t="shared" si="1"/>
        <v>101.951745</v>
      </c>
      <c r="W657" s="21">
        <f t="shared" si="2"/>
        <v>857.550429</v>
      </c>
      <c r="X657" s="21">
        <f t="shared" si="3"/>
        <v>5.714285714</v>
      </c>
      <c r="Y657" s="21">
        <f t="shared" si="4"/>
        <v>824.5347375</v>
      </c>
      <c r="Z657" s="21">
        <f t="shared" si="5"/>
        <v>47.11627071</v>
      </c>
      <c r="AA657" s="21">
        <f t="shared" si="6"/>
        <v>0.2163833076</v>
      </c>
    </row>
    <row r="658">
      <c r="A658" s="4" t="s">
        <v>1644</v>
      </c>
      <c r="B658" s="4" t="str">
        <f>IFERROR(__xludf.DUMMYFUNCTION("SPLIT(A658:A1384, ""&gt;"")"),"Online Behavior")</f>
        <v>Online Behavior</v>
      </c>
      <c r="C658" s="4" t="str">
        <f>IFERROR(__xludf.DUMMYFUNCTION("""COMPUTED_VALUE"""),"United States")</f>
        <v>United States</v>
      </c>
      <c r="D658" s="4" t="str">
        <f>IFERROR(__xludf.DUMMYFUNCTION("""COMPUTED_VALUE"""),"Intent ")</f>
        <v>Intent </v>
      </c>
      <c r="E658" s="4" t="str">
        <f>IFERROR(__xludf.DUMMYFUNCTION("""COMPUTED_VALUE""")," Auto Buyers")</f>
        <v> Auto Buyers</v>
      </c>
      <c r="F658" s="4" t="str">
        <f>IFERROR(__xludf.DUMMYFUNCTION("""COMPUTED_VALUE"""),"New")</f>
        <v>New</v>
      </c>
      <c r="G658" s="4"/>
      <c r="H658" s="4"/>
      <c r="I658" s="5" t="s">
        <v>22</v>
      </c>
      <c r="J658" s="5" t="s">
        <v>31</v>
      </c>
      <c r="K658" s="5" t="s">
        <v>17</v>
      </c>
      <c r="L658" s="6" t="s">
        <v>961</v>
      </c>
      <c r="M658" s="5" t="s">
        <v>19</v>
      </c>
      <c r="N658" s="5" t="s">
        <v>27</v>
      </c>
      <c r="O658" s="5">
        <v>42830.0</v>
      </c>
      <c r="P658" s="5">
        <v>160.0</v>
      </c>
      <c r="Q658" s="5">
        <v>24499.0</v>
      </c>
      <c r="R658" s="5">
        <v>34496.0</v>
      </c>
      <c r="S658" s="5">
        <v>5.0</v>
      </c>
      <c r="T658" s="5">
        <v>6261.575724</v>
      </c>
      <c r="V658" s="21">
        <f t="shared" si="1"/>
        <v>146.1960244</v>
      </c>
      <c r="W658" s="21">
        <f t="shared" si="2"/>
        <v>255.5849514</v>
      </c>
      <c r="X658" s="21">
        <f t="shared" si="3"/>
        <v>3.125</v>
      </c>
      <c r="Y658" s="21">
        <f t="shared" si="4"/>
        <v>1252.315145</v>
      </c>
      <c r="Z658" s="21">
        <f t="shared" si="5"/>
        <v>39.13484828</v>
      </c>
      <c r="AA658" s="21">
        <f t="shared" si="6"/>
        <v>0.3735699276</v>
      </c>
    </row>
    <row r="659">
      <c r="A659" s="4" t="s">
        <v>962</v>
      </c>
      <c r="B659" s="4" t="str">
        <f>IFERROR(__xludf.DUMMYFUNCTION("SPLIT(A659:A1385, ""&gt;"")"),"Online Behavior")</f>
        <v>Online Behavior</v>
      </c>
      <c r="C659" s="4" t="str">
        <f>IFERROR(__xludf.DUMMYFUNCTION("""COMPUTED_VALUE"""),"United States")</f>
        <v>United States</v>
      </c>
      <c r="D659" s="4" t="str">
        <f>IFERROR(__xludf.DUMMYFUNCTION("""COMPUTED_VALUE"""),"The Changing Consumer")</f>
        <v>The Changing Consumer</v>
      </c>
      <c r="E659" s="4" t="str">
        <f>IFERROR(__xludf.DUMMYFUNCTION("""COMPUTED_VALUE"""),"Home Learning")</f>
        <v>Home Learning</v>
      </c>
      <c r="F659" s="4"/>
      <c r="G659" s="4"/>
      <c r="H659" s="4"/>
      <c r="I659" s="5" t="s">
        <v>22</v>
      </c>
      <c r="J659" s="5" t="s">
        <v>31</v>
      </c>
      <c r="K659" s="5" t="s">
        <v>35</v>
      </c>
      <c r="L659" s="6" t="s">
        <v>961</v>
      </c>
      <c r="M659" s="5" t="s">
        <v>19</v>
      </c>
      <c r="N659" s="5" t="s">
        <v>27</v>
      </c>
      <c r="O659" s="5">
        <v>12209.0</v>
      </c>
      <c r="P659" s="5">
        <v>147.0</v>
      </c>
      <c r="Q659" s="5">
        <v>3976.0</v>
      </c>
      <c r="R659" s="5">
        <v>5219.0</v>
      </c>
      <c r="S659" s="5">
        <v>4.0</v>
      </c>
      <c r="T659" s="5">
        <v>3818.955182</v>
      </c>
      <c r="V659" s="21">
        <f t="shared" si="1"/>
        <v>312.7983604</v>
      </c>
      <c r="W659" s="21">
        <f t="shared" si="2"/>
        <v>960.5018063</v>
      </c>
      <c r="X659" s="21">
        <f t="shared" si="3"/>
        <v>2.721088435</v>
      </c>
      <c r="Y659" s="21">
        <f t="shared" si="4"/>
        <v>954.7387955</v>
      </c>
      <c r="Z659" s="21">
        <f t="shared" si="5"/>
        <v>25.97928695</v>
      </c>
      <c r="AA659" s="21">
        <f t="shared" si="6"/>
        <v>1.204029814</v>
      </c>
    </row>
    <row r="660">
      <c r="A660" s="4" t="s">
        <v>1645</v>
      </c>
      <c r="B660" s="4" t="str">
        <f>IFERROR(__xludf.DUMMYFUNCTION("SPLIT(A660:A1386, ""&gt;"")"),"Online Behavior")</f>
        <v>Online Behavior</v>
      </c>
      <c r="C660" s="4" t="str">
        <f>IFERROR(__xludf.DUMMYFUNCTION("""COMPUTED_VALUE"""),"United States")</f>
        <v>United States</v>
      </c>
      <c r="D660" s="4" t="str">
        <f>IFERROR(__xludf.DUMMYFUNCTION("""COMPUTED_VALUE"""),"B2B ")</f>
        <v>B2B </v>
      </c>
      <c r="E660" s="4" t="str">
        <f>IFERROR(__xludf.DUMMYFUNCTION("""COMPUTED_VALUE""")," Occupation")</f>
        <v> Occupation</v>
      </c>
      <c r="F660" s="4" t="str">
        <f>IFERROR(__xludf.DUMMYFUNCTION("""COMPUTED_VALUE"""),"PropertyManager")</f>
        <v>PropertyManager</v>
      </c>
      <c r="G660" s="4"/>
      <c r="H660" s="4"/>
      <c r="I660" s="5" t="s">
        <v>15</v>
      </c>
      <c r="J660" s="5" t="s">
        <v>42</v>
      </c>
      <c r="K660" s="5" t="s">
        <v>35</v>
      </c>
      <c r="L660" s="6" t="s">
        <v>961</v>
      </c>
      <c r="M660" s="5" t="s">
        <v>19</v>
      </c>
      <c r="N660" s="5" t="s">
        <v>20</v>
      </c>
      <c r="O660" s="5">
        <v>7447.0</v>
      </c>
      <c r="P660" s="5">
        <v>10.0</v>
      </c>
      <c r="Q660" s="5">
        <v>4163.0</v>
      </c>
      <c r="R660" s="5">
        <v>5586.0</v>
      </c>
      <c r="S660" s="5">
        <v>19.0</v>
      </c>
      <c r="T660" s="5">
        <v>3311.941246</v>
      </c>
      <c r="V660" s="21">
        <f t="shared" si="1"/>
        <v>444.7349598</v>
      </c>
      <c r="W660" s="21">
        <f t="shared" si="2"/>
        <v>795.5659971</v>
      </c>
      <c r="X660" s="21">
        <f t="shared" si="3"/>
        <v>190</v>
      </c>
      <c r="Y660" s="21">
        <f t="shared" si="4"/>
        <v>174.3126972</v>
      </c>
      <c r="Z660" s="21">
        <f t="shared" si="5"/>
        <v>331.1941246</v>
      </c>
      <c r="AA660" s="21">
        <f t="shared" si="6"/>
        <v>0.1342822613</v>
      </c>
    </row>
    <row r="661">
      <c r="A661" s="4" t="s">
        <v>1953</v>
      </c>
      <c r="B661" s="4" t="str">
        <f>IFERROR(__xludf.DUMMYFUNCTION("SPLIT(A661:A1387, ""&gt;"")"),"US ")</f>
        <v>US </v>
      </c>
      <c r="C661" s="4" t="str">
        <f>IFERROR(__xludf.DUMMYFUNCTION("""COMPUTED_VALUE""")," Entertainment and Pastimes ")</f>
        <v> Entertainment and Pastimes </v>
      </c>
      <c r="D661" s="4" t="str">
        <f>IFERROR(__xludf.DUMMYFUNCTION("""COMPUTED_VALUE""")," Entertainment and Pastimes")</f>
        <v> Entertainment and Pastimes</v>
      </c>
      <c r="E661" s="4"/>
      <c r="F661" s="4"/>
      <c r="G661" s="4"/>
      <c r="H661" s="4"/>
      <c r="I661" s="5" t="s">
        <v>15</v>
      </c>
      <c r="J661" s="5" t="s">
        <v>42</v>
      </c>
      <c r="K661" s="5" t="s">
        <v>84</v>
      </c>
      <c r="L661" s="6" t="s">
        <v>961</v>
      </c>
      <c r="M661" s="5" t="s">
        <v>36</v>
      </c>
      <c r="N661" s="5" t="s">
        <v>27</v>
      </c>
      <c r="O661" s="5">
        <v>8545.0</v>
      </c>
      <c r="P661" s="5">
        <v>20.0</v>
      </c>
      <c r="Q661" s="5">
        <v>3454.0</v>
      </c>
      <c r="R661" s="5">
        <v>5510.0</v>
      </c>
      <c r="S661" s="5">
        <v>2.0</v>
      </c>
      <c r="T661" s="5">
        <v>2181.247949</v>
      </c>
      <c r="V661" s="21">
        <f t="shared" si="1"/>
        <v>255.2659975</v>
      </c>
      <c r="W661" s="21">
        <f t="shared" si="2"/>
        <v>631.5135926</v>
      </c>
      <c r="X661" s="21">
        <f t="shared" si="3"/>
        <v>10</v>
      </c>
      <c r="Y661" s="21">
        <f t="shared" si="4"/>
        <v>1090.623975</v>
      </c>
      <c r="Z661" s="21">
        <f t="shared" si="5"/>
        <v>109.0623975</v>
      </c>
      <c r="AA661" s="21">
        <f t="shared" si="6"/>
        <v>0.2340550029</v>
      </c>
    </row>
    <row r="662">
      <c r="A662" s="4" t="s">
        <v>965</v>
      </c>
      <c r="B662" s="4" t="str">
        <f>IFERROR(__xludf.DUMMYFUNCTION("SPLIT(A662:A1388, ""&gt;"")"),"Travel")</f>
        <v>Travel</v>
      </c>
      <c r="C662" s="4"/>
      <c r="D662" s="4"/>
      <c r="E662" s="4"/>
      <c r="F662" s="4"/>
      <c r="G662" s="4"/>
      <c r="H662" s="4"/>
      <c r="I662" s="5" t="s">
        <v>15</v>
      </c>
      <c r="J662" s="5" t="s">
        <v>23</v>
      </c>
      <c r="K662" s="5" t="s">
        <v>55</v>
      </c>
      <c r="L662" s="6" t="s">
        <v>961</v>
      </c>
      <c r="M662" s="5" t="s">
        <v>46</v>
      </c>
      <c r="N662" s="5" t="s">
        <v>27</v>
      </c>
      <c r="O662" s="5">
        <v>12319.0</v>
      </c>
      <c r="P662" s="5">
        <v>40.0</v>
      </c>
      <c r="Q662" s="5">
        <v>7028.0</v>
      </c>
      <c r="R662" s="5">
        <v>10191.0</v>
      </c>
      <c r="S662" s="5">
        <v>7.0</v>
      </c>
      <c r="T662" s="5">
        <v>1668.016</v>
      </c>
      <c r="V662" s="21">
        <f t="shared" si="1"/>
        <v>135.4018995</v>
      </c>
      <c r="W662" s="21">
        <f t="shared" si="2"/>
        <v>237.3386454</v>
      </c>
      <c r="X662" s="21">
        <f t="shared" si="3"/>
        <v>17.5</v>
      </c>
      <c r="Y662" s="21">
        <f t="shared" si="4"/>
        <v>238.288</v>
      </c>
      <c r="Z662" s="21">
        <f t="shared" si="5"/>
        <v>41.7004</v>
      </c>
      <c r="AA662" s="21">
        <f t="shared" si="6"/>
        <v>0.3247016803</v>
      </c>
    </row>
    <row r="663">
      <c r="A663" s="4" t="s">
        <v>1954</v>
      </c>
      <c r="B663" s="4" t="str">
        <f>IFERROR(__xludf.DUMMYFUNCTION("SPLIT(A663:A1389, ""&gt;"")"),"US ")</f>
        <v>US </v>
      </c>
      <c r="C663" s="4" t="str">
        <f>IFERROR(__xludf.DUMMYFUNCTION("""COMPUTED_VALUE""")," AUTO ")</f>
        <v> AUTO </v>
      </c>
      <c r="D663" s="4" t="str">
        <f>IFERROR(__xludf.DUMMYFUNCTION("""COMPUTED_VALUE""")," Auto Car Purchase Next Year ")</f>
        <v> Auto Car Purchase Next Year </v>
      </c>
      <c r="E663" s="4" t="str">
        <f>IFERROR(__xludf.DUMMYFUNCTION("""COMPUTED_VALUE""")," Yes")</f>
        <v> Yes</v>
      </c>
      <c r="F663" s="4"/>
      <c r="G663" s="4"/>
      <c r="H663" s="4"/>
      <c r="I663" s="5" t="s">
        <v>22</v>
      </c>
      <c r="J663" s="5" t="s">
        <v>16</v>
      </c>
      <c r="K663" s="5" t="s">
        <v>32</v>
      </c>
      <c r="L663" s="6" t="s">
        <v>961</v>
      </c>
      <c r="M663" s="5" t="s">
        <v>117</v>
      </c>
      <c r="N663" s="5" t="s">
        <v>27</v>
      </c>
      <c r="O663" s="5">
        <v>31359.0</v>
      </c>
      <c r="P663" s="5">
        <v>66.0</v>
      </c>
      <c r="Q663" s="5">
        <v>18348.0</v>
      </c>
      <c r="R663" s="5">
        <v>25950.0</v>
      </c>
      <c r="S663" s="5">
        <v>24.0</v>
      </c>
      <c r="T663" s="5">
        <v>1623.614838</v>
      </c>
      <c r="V663" s="21">
        <f t="shared" si="1"/>
        <v>51.77508333</v>
      </c>
      <c r="W663" s="21">
        <f t="shared" si="2"/>
        <v>88.49001733</v>
      </c>
      <c r="X663" s="21">
        <f t="shared" si="3"/>
        <v>36.36363636</v>
      </c>
      <c r="Y663" s="21">
        <f t="shared" si="4"/>
        <v>67.65061825</v>
      </c>
      <c r="Z663" s="21">
        <f t="shared" si="5"/>
        <v>24.60022482</v>
      </c>
      <c r="AA663" s="21">
        <f t="shared" si="6"/>
        <v>0.210465895</v>
      </c>
    </row>
    <row r="664">
      <c r="A664" s="4" t="s">
        <v>1955</v>
      </c>
      <c r="B664" s="4" t="str">
        <f>IFERROR(__xludf.DUMMYFUNCTION("SPLIT(A664:A1390, ""&gt;"")"),"US Financial ")</f>
        <v>US Financial </v>
      </c>
      <c r="C664" s="4" t="str">
        <f>IFERROR(__xludf.DUMMYFUNCTION("""COMPUTED_VALUE""")," Method of Payment ")</f>
        <v> Method of Payment </v>
      </c>
      <c r="D664" s="4" t="str">
        <f>IFERROR(__xludf.DUMMYFUNCTION("""COMPUTED_VALUE""")," Other")</f>
        <v> Other</v>
      </c>
      <c r="E664" s="4"/>
      <c r="F664" s="4"/>
      <c r="G664" s="4"/>
      <c r="H664" s="4"/>
      <c r="I664" s="5" t="s">
        <v>22</v>
      </c>
      <c r="J664" s="5" t="s">
        <v>16</v>
      </c>
      <c r="K664" s="5" t="s">
        <v>29</v>
      </c>
      <c r="L664" s="6" t="s">
        <v>961</v>
      </c>
      <c r="M664" s="5" t="s">
        <v>36</v>
      </c>
      <c r="N664" s="5" t="s">
        <v>27</v>
      </c>
      <c r="O664" s="5">
        <v>15311.0</v>
      </c>
      <c r="P664" s="5">
        <v>10.0</v>
      </c>
      <c r="Q664" s="5">
        <v>7757.0</v>
      </c>
      <c r="R664" s="5">
        <v>12630.0</v>
      </c>
      <c r="S664" s="5">
        <v>19.0</v>
      </c>
      <c r="T664" s="5">
        <v>1471.187144</v>
      </c>
      <c r="V664" s="21">
        <f t="shared" si="1"/>
        <v>96.08694037</v>
      </c>
      <c r="W664" s="21">
        <f t="shared" si="2"/>
        <v>189.6592941</v>
      </c>
      <c r="X664" s="21">
        <f t="shared" si="3"/>
        <v>190</v>
      </c>
      <c r="Y664" s="21">
        <f t="shared" si="4"/>
        <v>77.43090232</v>
      </c>
      <c r="Z664" s="21">
        <f t="shared" si="5"/>
        <v>147.1187144</v>
      </c>
      <c r="AA664" s="21">
        <f t="shared" si="6"/>
        <v>0.06531252041</v>
      </c>
    </row>
    <row r="665">
      <c r="A665" s="4" t="s">
        <v>1649</v>
      </c>
      <c r="B665" s="4" t="str">
        <f>IFERROR(__xludf.DUMMYFUNCTION("SPLIT(A665:A1391, ""&gt;"")"),"Online Behavior")</f>
        <v>Online Behavior</v>
      </c>
      <c r="C665" s="4" t="str">
        <f>IFERROR(__xludf.DUMMYFUNCTION("""COMPUTED_VALUE"""),"United States")</f>
        <v>United States</v>
      </c>
      <c r="D665" s="4" t="str">
        <f>IFERROR(__xludf.DUMMYFUNCTION("""COMPUTED_VALUE"""),"Arts and Entertainment")</f>
        <v>Arts and Entertainment</v>
      </c>
      <c r="E665" s="4" t="str">
        <f>IFERROR(__xludf.DUMMYFUNCTION("""COMPUTED_VALUE"""),"Events and Listings ")</f>
        <v>Events and Listings </v>
      </c>
      <c r="F665" s="4" t="str">
        <f>IFERROR(__xludf.DUMMYFUNCTION("""COMPUTED_VALUE""")," Event Ticket Sales")</f>
        <v> Event Ticket Sales</v>
      </c>
      <c r="G665" s="4"/>
      <c r="H665" s="4"/>
      <c r="I665" s="5" t="s">
        <v>61</v>
      </c>
      <c r="J665" s="5" t="s">
        <v>23</v>
      </c>
      <c r="K665" s="5" t="s">
        <v>39</v>
      </c>
      <c r="L665" s="6" t="s">
        <v>969</v>
      </c>
      <c r="M665" s="5" t="s">
        <v>36</v>
      </c>
      <c r="N665" s="5" t="s">
        <v>27</v>
      </c>
      <c r="O665" s="5">
        <v>23488.0</v>
      </c>
      <c r="P665" s="5">
        <v>75.0</v>
      </c>
      <c r="Q665" s="5">
        <v>4620.0</v>
      </c>
      <c r="R665" s="5">
        <v>22254.0</v>
      </c>
      <c r="S665" s="5">
        <v>9.0</v>
      </c>
      <c r="T665" s="5">
        <v>6667.727715</v>
      </c>
      <c r="V665" s="21">
        <f t="shared" si="1"/>
        <v>283.8780533</v>
      </c>
      <c r="W665" s="21">
        <f t="shared" si="2"/>
        <v>1443.231107</v>
      </c>
      <c r="X665" s="21">
        <f t="shared" si="3"/>
        <v>12</v>
      </c>
      <c r="Y665" s="21">
        <f t="shared" si="4"/>
        <v>740.858635</v>
      </c>
      <c r="Z665" s="21">
        <f t="shared" si="5"/>
        <v>88.9030362</v>
      </c>
      <c r="AA665" s="21">
        <f t="shared" si="6"/>
        <v>0.3193119891</v>
      </c>
    </row>
    <row r="666">
      <c r="A666" s="4" t="s">
        <v>1650</v>
      </c>
      <c r="B666" s="4" t="str">
        <f>IFERROR(__xludf.DUMMYFUNCTION("SPLIT(A666:A1392, ""&gt;"")"),"Online Behavior")</f>
        <v>Online Behavior</v>
      </c>
      <c r="C666" s="4" t="str">
        <f>IFERROR(__xludf.DUMMYFUNCTION("""COMPUTED_VALUE"""),"United States")</f>
        <v>United States</v>
      </c>
      <c r="D666" s="4" t="str">
        <f>IFERROR(__xludf.DUMMYFUNCTION("""COMPUTED_VALUE"""),"Intent ")</f>
        <v>Intent </v>
      </c>
      <c r="E666" s="4" t="str">
        <f>IFERROR(__xludf.DUMMYFUNCTION("""COMPUTED_VALUE""")," Travel")</f>
        <v> Travel</v>
      </c>
      <c r="F666" s="4" t="str">
        <f>IFERROR(__xludf.DUMMYFUNCTION("""COMPUTED_VALUE"""),"Travel")</f>
        <v>Travel</v>
      </c>
      <c r="G666" s="4"/>
      <c r="H666" s="4"/>
      <c r="I666" s="5" t="s">
        <v>61</v>
      </c>
      <c r="J666" s="5" t="s">
        <v>16</v>
      </c>
      <c r="K666" s="5" t="s">
        <v>78</v>
      </c>
      <c r="L666" s="6" t="s">
        <v>969</v>
      </c>
      <c r="M666" s="5" t="s">
        <v>26</v>
      </c>
      <c r="N666" s="5" t="s">
        <v>27</v>
      </c>
      <c r="O666" s="5">
        <v>11789.0</v>
      </c>
      <c r="P666" s="5">
        <v>20.0</v>
      </c>
      <c r="Q666" s="5">
        <v>6187.0</v>
      </c>
      <c r="R666" s="5">
        <v>10028.0</v>
      </c>
      <c r="S666" s="5">
        <v>3.0</v>
      </c>
      <c r="T666" s="5">
        <v>6505.526456</v>
      </c>
      <c r="V666" s="21">
        <f t="shared" si="1"/>
        <v>551.8302194</v>
      </c>
      <c r="W666" s="21">
        <f t="shared" si="2"/>
        <v>1051.483183</v>
      </c>
      <c r="X666" s="21">
        <f t="shared" si="3"/>
        <v>15</v>
      </c>
      <c r="Y666" s="21">
        <f t="shared" si="4"/>
        <v>2168.508819</v>
      </c>
      <c r="Z666" s="21">
        <f t="shared" si="5"/>
        <v>325.2763228</v>
      </c>
      <c r="AA666" s="21">
        <f t="shared" si="6"/>
        <v>0.1696496734</v>
      </c>
    </row>
    <row r="667">
      <c r="A667" s="4" t="s">
        <v>1956</v>
      </c>
      <c r="B667" s="4" t="str">
        <f>IFERROR(__xludf.DUMMYFUNCTION("SPLIT(A667:A1393, ""&gt;"")"),"US ")</f>
        <v>US </v>
      </c>
      <c r="C667" s="4" t="str">
        <f>IFERROR(__xludf.DUMMYFUNCTION("""COMPUTED_VALUE"""),"Quality-First Shopper Audience")</f>
        <v>Quality-First Shopper Audience</v>
      </c>
      <c r="D667" s="4"/>
      <c r="E667" s="4"/>
      <c r="F667" s="4"/>
      <c r="G667" s="4"/>
      <c r="H667" s="4"/>
      <c r="I667" s="5" t="s">
        <v>15</v>
      </c>
      <c r="J667" s="5" t="s">
        <v>42</v>
      </c>
      <c r="K667" s="5" t="s">
        <v>39</v>
      </c>
      <c r="L667" s="6" t="s">
        <v>969</v>
      </c>
      <c r="M667" s="5" t="s">
        <v>19</v>
      </c>
      <c r="N667" s="5" t="s">
        <v>52</v>
      </c>
      <c r="O667" s="5">
        <v>16142.0</v>
      </c>
      <c r="P667" s="5">
        <v>30.0</v>
      </c>
      <c r="Q667" s="5">
        <v>7064.0</v>
      </c>
      <c r="R667" s="5">
        <v>15433.0</v>
      </c>
      <c r="S667" s="5">
        <v>5.0</v>
      </c>
      <c r="T667" s="5">
        <v>2209.650957</v>
      </c>
      <c r="V667" s="21">
        <f t="shared" si="1"/>
        <v>136.8883011</v>
      </c>
      <c r="W667" s="21">
        <f t="shared" si="2"/>
        <v>312.8044956</v>
      </c>
      <c r="X667" s="21">
        <f t="shared" si="3"/>
        <v>16.66666667</v>
      </c>
      <c r="Y667" s="21">
        <f t="shared" si="4"/>
        <v>441.9301914</v>
      </c>
      <c r="Z667" s="21">
        <f t="shared" si="5"/>
        <v>73.6550319</v>
      </c>
      <c r="AA667" s="21">
        <f t="shared" si="6"/>
        <v>0.1858505761</v>
      </c>
    </row>
    <row r="668">
      <c r="A668" s="4" t="s">
        <v>1957</v>
      </c>
      <c r="B668" s="4" t="str">
        <f>IFERROR(__xludf.DUMMYFUNCTION("SPLIT(A668:A1394, ""&gt;"")"),"US Demographic ")</f>
        <v>US Demographic </v>
      </c>
      <c r="C668" s="4" t="str">
        <f>IFERROR(__xludf.DUMMYFUNCTION("""COMPUTED_VALUE""")," Preferred Language ")</f>
        <v> Preferred Language </v>
      </c>
      <c r="D668" s="4" t="str">
        <f>IFERROR(__xludf.DUMMYFUNCTION("""COMPUTED_VALUE""")," Non-Hispanic")</f>
        <v> Non-Hispanic</v>
      </c>
      <c r="E668" s="4"/>
      <c r="F668" s="4"/>
      <c r="G668" s="4"/>
      <c r="H668" s="4"/>
      <c r="I668" s="5" t="s">
        <v>15</v>
      </c>
      <c r="J668" s="5" t="s">
        <v>16</v>
      </c>
      <c r="K668" s="5" t="s">
        <v>39</v>
      </c>
      <c r="L668" s="6" t="s">
        <v>969</v>
      </c>
      <c r="M668" s="5" t="s">
        <v>46</v>
      </c>
      <c r="N668" s="5" t="s">
        <v>27</v>
      </c>
      <c r="O668" s="5">
        <v>37355.0</v>
      </c>
      <c r="P668" s="5">
        <v>145.0</v>
      </c>
      <c r="Q668" s="5">
        <v>17138.0</v>
      </c>
      <c r="R668" s="5">
        <v>35689.0</v>
      </c>
      <c r="S668" s="5">
        <v>3.0</v>
      </c>
      <c r="T668" s="5">
        <v>1577.366086</v>
      </c>
      <c r="V668" s="21">
        <f t="shared" si="1"/>
        <v>42.22637093</v>
      </c>
      <c r="W668" s="21">
        <f t="shared" si="2"/>
        <v>92.03909943</v>
      </c>
      <c r="X668" s="21">
        <f t="shared" si="3"/>
        <v>2.068965517</v>
      </c>
      <c r="Y668" s="21">
        <f t="shared" si="4"/>
        <v>525.7886953</v>
      </c>
      <c r="Z668" s="21">
        <f t="shared" si="5"/>
        <v>10.8783868</v>
      </c>
      <c r="AA668" s="21">
        <f t="shared" si="6"/>
        <v>0.3881675813</v>
      </c>
    </row>
    <row r="669">
      <c r="A669" s="4" t="s">
        <v>973</v>
      </c>
      <c r="B669" s="4" t="str">
        <f>IFERROR(__xludf.DUMMYFUNCTION("SPLIT(A669:A1395, ""&gt;"")"),"Online Behavior")</f>
        <v>Online Behavior</v>
      </c>
      <c r="C669" s="4" t="str">
        <f>IFERROR(__xludf.DUMMYFUNCTION("""COMPUTED_VALUE"""),"United States")</f>
        <v>United States</v>
      </c>
      <c r="D669" s="4" t="str">
        <f>IFERROR(__xludf.DUMMYFUNCTION("""COMPUTED_VALUE"""),"News")</f>
        <v>News</v>
      </c>
      <c r="E669" s="4" t="str">
        <f>IFERROR(__xludf.DUMMYFUNCTION("""COMPUTED_VALUE"""),"Weather")</f>
        <v>Weather</v>
      </c>
      <c r="F669" s="4"/>
      <c r="G669" s="4"/>
      <c r="H669" s="4"/>
      <c r="I669" s="5" t="s">
        <v>15</v>
      </c>
      <c r="J669" s="5" t="s">
        <v>31</v>
      </c>
      <c r="K669" s="5" t="s">
        <v>78</v>
      </c>
      <c r="L669" s="6" t="s">
        <v>969</v>
      </c>
      <c r="M669" s="5" t="s">
        <v>19</v>
      </c>
      <c r="N669" s="5" t="s">
        <v>27</v>
      </c>
      <c r="O669" s="5">
        <v>9404.0</v>
      </c>
      <c r="P669" s="5">
        <v>30.0</v>
      </c>
      <c r="Q669" s="5">
        <v>4781.0</v>
      </c>
      <c r="R669" s="5">
        <v>7943.0</v>
      </c>
      <c r="S669" s="5">
        <v>4.0</v>
      </c>
      <c r="T669" s="5">
        <v>1345.369</v>
      </c>
      <c r="V669" s="21">
        <f t="shared" si="1"/>
        <v>143.0634836</v>
      </c>
      <c r="W669" s="21">
        <f t="shared" si="2"/>
        <v>281.3990797</v>
      </c>
      <c r="X669" s="21">
        <f t="shared" si="3"/>
        <v>13.33333333</v>
      </c>
      <c r="Y669" s="21">
        <f t="shared" si="4"/>
        <v>336.34225</v>
      </c>
      <c r="Z669" s="21">
        <f t="shared" si="5"/>
        <v>44.84563333</v>
      </c>
      <c r="AA669" s="21">
        <f t="shared" si="6"/>
        <v>0.3190131859</v>
      </c>
    </row>
    <row r="670">
      <c r="A670" s="4" t="s">
        <v>1958</v>
      </c>
      <c r="B670" s="4" t="str">
        <f>IFERROR(__xludf.DUMMYFUNCTION("SPLIT(A670:A1396, ""&gt;"")"),"Mobile - US ")</f>
        <v>Mobile - US </v>
      </c>
      <c r="C670" s="4" t="str">
        <f>IFERROR(__xludf.DUMMYFUNCTION("""COMPUTED_VALUE""")," Sports ")</f>
        <v> Sports </v>
      </c>
      <c r="D670" s="4" t="str">
        <f>IFERROR(__xludf.DUMMYFUNCTION("""COMPUTED_VALUE""")," Basketball ")</f>
        <v> Basketball </v>
      </c>
      <c r="E670" s="4" t="str">
        <f>IFERROR(__xludf.DUMMYFUNCTION("""COMPUTED_VALUE""")," NCAA College Basketball")</f>
        <v> NCAA College Basketball</v>
      </c>
      <c r="F670" s="4"/>
      <c r="G670" s="4"/>
      <c r="H670" s="4"/>
      <c r="I670" s="5" t="s">
        <v>15</v>
      </c>
      <c r="J670" s="5" t="s">
        <v>16</v>
      </c>
      <c r="K670" s="5" t="s">
        <v>78</v>
      </c>
      <c r="L670" s="6" t="s">
        <v>975</v>
      </c>
      <c r="M670" s="5" t="s">
        <v>36</v>
      </c>
      <c r="N670" s="5" t="s">
        <v>27</v>
      </c>
      <c r="O670" s="5">
        <v>13642.0</v>
      </c>
      <c r="P670" s="5">
        <v>40.0</v>
      </c>
      <c r="Q670" s="5">
        <v>9830.0</v>
      </c>
      <c r="R670" s="5">
        <v>11658.0</v>
      </c>
      <c r="S670" s="5">
        <v>3.0</v>
      </c>
      <c r="T670" s="5">
        <v>1731.271848</v>
      </c>
      <c r="V670" s="21">
        <f t="shared" si="1"/>
        <v>126.9074804</v>
      </c>
      <c r="W670" s="21">
        <f t="shared" si="2"/>
        <v>176.121246</v>
      </c>
      <c r="X670" s="21">
        <f t="shared" si="3"/>
        <v>7.5</v>
      </c>
      <c r="Y670" s="21">
        <f t="shared" si="4"/>
        <v>577.090616</v>
      </c>
      <c r="Z670" s="21">
        <f t="shared" si="5"/>
        <v>43.2817962</v>
      </c>
      <c r="AA670" s="21">
        <f t="shared" si="6"/>
        <v>0.293212139</v>
      </c>
    </row>
    <row r="671">
      <c r="A671" s="4" t="s">
        <v>1654</v>
      </c>
      <c r="B671" s="4" t="str">
        <f>IFERROR(__xludf.DUMMYFUNCTION("SPLIT(A671:A1397, ""&gt;"")"),"Media and Entertainment ")</f>
        <v>Media and Entertainment </v>
      </c>
      <c r="C671" s="4" t="str">
        <f>IFERROR(__xludf.DUMMYFUNCTION("""COMPUTED_VALUE""")," Television (TV) ")</f>
        <v> Television (TV) </v>
      </c>
      <c r="D671" s="4" t="str">
        <f>IFERROR(__xludf.DUMMYFUNCTION("""COMPUTED_VALUE""")," Viewership")</f>
        <v> Viewership</v>
      </c>
      <c r="E671" s="4"/>
      <c r="F671" s="4"/>
      <c r="G671" s="4"/>
      <c r="H671" s="4"/>
      <c r="I671" s="5" t="s">
        <v>15</v>
      </c>
      <c r="J671" s="5" t="s">
        <v>23</v>
      </c>
      <c r="K671" s="5" t="s">
        <v>78</v>
      </c>
      <c r="L671" s="6" t="s">
        <v>977</v>
      </c>
      <c r="M671" s="5" t="s">
        <v>46</v>
      </c>
      <c r="N671" s="5" t="s">
        <v>27</v>
      </c>
      <c r="O671" s="5">
        <v>14693.0</v>
      </c>
      <c r="P671" s="5">
        <v>70.0</v>
      </c>
      <c r="Q671" s="5">
        <v>6597.0</v>
      </c>
      <c r="R671" s="5">
        <v>13508.0</v>
      </c>
      <c r="S671" s="5">
        <v>4.0</v>
      </c>
      <c r="T671" s="5">
        <v>2047.348924</v>
      </c>
      <c r="V671" s="21">
        <f t="shared" si="1"/>
        <v>139.3417902</v>
      </c>
      <c r="W671" s="21">
        <f t="shared" si="2"/>
        <v>310.3454485</v>
      </c>
      <c r="X671" s="21">
        <f t="shared" si="3"/>
        <v>5.714285714</v>
      </c>
      <c r="Y671" s="21">
        <f t="shared" si="4"/>
        <v>511.837231</v>
      </c>
      <c r="Z671" s="21">
        <f t="shared" si="5"/>
        <v>29.24784177</v>
      </c>
      <c r="AA671" s="21">
        <f t="shared" si="6"/>
        <v>0.4764173416</v>
      </c>
    </row>
    <row r="672">
      <c r="A672" s="4" t="s">
        <v>1655</v>
      </c>
      <c r="B672" s="4" t="str">
        <f>IFERROR(__xludf.DUMMYFUNCTION("SPLIT(A672:A1398, ""&gt;"")"),"Online Behavior")</f>
        <v>Online Behavior</v>
      </c>
      <c r="C672" s="4" t="str">
        <f>IFERROR(__xludf.DUMMYFUNCTION("""COMPUTED_VALUE"""),"United States")</f>
        <v>United States</v>
      </c>
      <c r="D672" s="4" t="str">
        <f>IFERROR(__xludf.DUMMYFUNCTION("""COMPUTED_VALUE"""),"Intent ")</f>
        <v>Intent </v>
      </c>
      <c r="E672" s="4" t="str">
        <f>IFERROR(__xludf.DUMMYFUNCTION("""COMPUTED_VALUE""")," Shopping")</f>
        <v> Shopping</v>
      </c>
      <c r="F672" s="4" t="str">
        <f>IFERROR(__xludf.DUMMYFUNCTION("""COMPUTED_VALUE"""),"Home Improvement")</f>
        <v>Home Improvement</v>
      </c>
      <c r="G672" s="4"/>
      <c r="H672" s="4"/>
      <c r="I672" s="5" t="s">
        <v>22</v>
      </c>
      <c r="J672" s="5" t="s">
        <v>16</v>
      </c>
      <c r="K672" s="5" t="s">
        <v>24</v>
      </c>
      <c r="L672" s="6" t="s">
        <v>979</v>
      </c>
      <c r="M672" s="5" t="s">
        <v>19</v>
      </c>
      <c r="N672" s="5" t="s">
        <v>27</v>
      </c>
      <c r="O672" s="5">
        <v>9357.0</v>
      </c>
      <c r="P672" s="5">
        <v>60.0</v>
      </c>
      <c r="Q672" s="5">
        <v>1754.0</v>
      </c>
      <c r="R672" s="5">
        <v>8343.0</v>
      </c>
      <c r="S672" s="5">
        <v>10.0</v>
      </c>
      <c r="T672" s="5">
        <v>6559.477756</v>
      </c>
      <c r="V672" s="21">
        <f t="shared" si="1"/>
        <v>701.0235926</v>
      </c>
      <c r="W672" s="21">
        <f t="shared" si="2"/>
        <v>3739.72506</v>
      </c>
      <c r="X672" s="21">
        <f t="shared" si="3"/>
        <v>16.66666667</v>
      </c>
      <c r="Y672" s="21">
        <f t="shared" si="4"/>
        <v>655.9477756</v>
      </c>
      <c r="Z672" s="21">
        <f t="shared" si="5"/>
        <v>109.3246293</v>
      </c>
      <c r="AA672" s="21">
        <f t="shared" si="6"/>
        <v>0.6412311638</v>
      </c>
    </row>
    <row r="673">
      <c r="A673" s="4" t="s">
        <v>1959</v>
      </c>
      <c r="B673" s="4" t="str">
        <f>IFERROR(__xludf.DUMMYFUNCTION("SPLIT(A673:A1399, ""&gt;"")"),"US ")</f>
        <v>US </v>
      </c>
      <c r="C673" s="4" t="str">
        <f>IFERROR(__xludf.DUMMYFUNCTION("""COMPUTED_VALUE""")," Interest Propensities ")</f>
        <v> Interest Propensities </v>
      </c>
      <c r="D673" s="4" t="str">
        <f>IFERROR(__xludf.DUMMYFUNCTION("""COMPUTED_VALUE""")," Activities and Interests ")</f>
        <v> Activities and Interests </v>
      </c>
      <c r="E673" s="4" t="str">
        <f>IFERROR(__xludf.DUMMYFUNCTION("""COMPUTED_VALUE""")," Ecommerce")</f>
        <v> Ecommerce</v>
      </c>
      <c r="F673" s="4"/>
      <c r="G673" s="4"/>
      <c r="H673" s="4"/>
      <c r="I673" s="5" t="s">
        <v>15</v>
      </c>
      <c r="J673" s="5" t="s">
        <v>16</v>
      </c>
      <c r="K673" s="5" t="s">
        <v>78</v>
      </c>
      <c r="L673" s="6" t="s">
        <v>981</v>
      </c>
      <c r="M673" s="5" t="s">
        <v>19</v>
      </c>
      <c r="N673" s="5" t="s">
        <v>52</v>
      </c>
      <c r="O673" s="5">
        <v>20459.0</v>
      </c>
      <c r="P673" s="5">
        <v>40.0</v>
      </c>
      <c r="Q673" s="5">
        <v>12668.0</v>
      </c>
      <c r="R673" s="5">
        <v>18613.0</v>
      </c>
      <c r="S673" s="5">
        <v>4.0</v>
      </c>
      <c r="T673" s="5">
        <v>1842.606513</v>
      </c>
      <c r="V673" s="21">
        <f t="shared" si="1"/>
        <v>90.06337128</v>
      </c>
      <c r="W673" s="21">
        <f t="shared" si="2"/>
        <v>145.4536243</v>
      </c>
      <c r="X673" s="21">
        <f t="shared" si="3"/>
        <v>10</v>
      </c>
      <c r="Y673" s="21">
        <f t="shared" si="4"/>
        <v>460.6516283</v>
      </c>
      <c r="Z673" s="21">
        <f t="shared" si="5"/>
        <v>46.06516283</v>
      </c>
      <c r="AA673" s="21">
        <f t="shared" si="6"/>
        <v>0.1955129772</v>
      </c>
    </row>
    <row r="674">
      <c r="A674" s="4" t="s">
        <v>1657</v>
      </c>
      <c r="B674" s="4" t="str">
        <f>IFERROR(__xludf.DUMMYFUNCTION("SPLIT(A674:A1400, ""&gt;"")"),"Online Behavior")</f>
        <v>Online Behavior</v>
      </c>
      <c r="C674" s="4" t="str">
        <f>IFERROR(__xludf.DUMMYFUNCTION("""COMPUTED_VALUE"""),"United States")</f>
        <v>United States</v>
      </c>
      <c r="D674" s="4" t="str">
        <f>IFERROR(__xludf.DUMMYFUNCTION("""COMPUTED_VALUE"""),"Autos and Vehicles ")</f>
        <v>Autos and Vehicles </v>
      </c>
      <c r="E674" s="4" t="str">
        <f>IFERROR(__xludf.DUMMYFUNCTION("""COMPUTED_VALUE""")," Brands")</f>
        <v> Brands</v>
      </c>
      <c r="F674" s="4" t="str">
        <f>IFERROR(__xludf.DUMMYFUNCTION("""COMPUTED_VALUE"""),"Vauxhall-Opel")</f>
        <v>Vauxhall-Opel</v>
      </c>
      <c r="G674" s="4"/>
      <c r="H674" s="4"/>
      <c r="I674" s="5" t="s">
        <v>61</v>
      </c>
      <c r="J674" s="5" t="s">
        <v>23</v>
      </c>
      <c r="K674" s="5" t="s">
        <v>17</v>
      </c>
      <c r="L674" s="6" t="s">
        <v>983</v>
      </c>
      <c r="M674" s="5" t="s">
        <v>19</v>
      </c>
      <c r="N674" s="5" t="s">
        <v>27</v>
      </c>
      <c r="O674" s="5">
        <v>17382.0</v>
      </c>
      <c r="P674" s="5">
        <v>100.0</v>
      </c>
      <c r="Q674" s="5">
        <v>7411.0</v>
      </c>
      <c r="R674" s="5">
        <v>16576.0</v>
      </c>
      <c r="S674" s="5">
        <v>8.0</v>
      </c>
      <c r="T674" s="5">
        <v>5797.219977</v>
      </c>
      <c r="V674" s="21">
        <f t="shared" si="1"/>
        <v>333.5185811</v>
      </c>
      <c r="W674" s="21">
        <f t="shared" si="2"/>
        <v>782.2453079</v>
      </c>
      <c r="X674" s="21">
        <f t="shared" si="3"/>
        <v>8</v>
      </c>
      <c r="Y674" s="21">
        <f t="shared" si="4"/>
        <v>724.6524971</v>
      </c>
      <c r="Z674" s="21">
        <f t="shared" si="5"/>
        <v>57.97219977</v>
      </c>
      <c r="AA674" s="21">
        <f t="shared" si="6"/>
        <v>0.5753077897</v>
      </c>
    </row>
    <row r="675">
      <c r="A675" s="4" t="s">
        <v>1960</v>
      </c>
      <c r="B675" s="4" t="str">
        <f>IFERROR(__xludf.DUMMYFUNCTION("SPLIT(A675:A1401, ""&gt;"")"),"Media and Entertainment ")</f>
        <v>Media and Entertainment </v>
      </c>
      <c r="C675" s="4" t="str">
        <f>IFERROR(__xludf.DUMMYFUNCTION("""COMPUTED_VALUE""")," Movies ")</f>
        <v> Movies </v>
      </c>
      <c r="D675" s="4" t="str">
        <f>IFERROR(__xludf.DUMMYFUNCTION("""COMPUTED_VALUE""")," Enthusiasts")</f>
        <v> Enthusiasts</v>
      </c>
      <c r="E675" s="4"/>
      <c r="F675" s="4"/>
      <c r="G675" s="4"/>
      <c r="H675" s="4"/>
      <c r="I675" s="5" t="s">
        <v>22</v>
      </c>
      <c r="J675" s="5" t="s">
        <v>16</v>
      </c>
      <c r="K675" s="5" t="s">
        <v>84</v>
      </c>
      <c r="L675" s="6" t="s">
        <v>985</v>
      </c>
      <c r="M675" s="5" t="s">
        <v>46</v>
      </c>
      <c r="N675" s="5" t="s">
        <v>27</v>
      </c>
      <c r="O675" s="5">
        <v>13466.0</v>
      </c>
      <c r="P675" s="5">
        <v>150.0</v>
      </c>
      <c r="Q675" s="5">
        <v>8684.0</v>
      </c>
      <c r="R675" s="5">
        <v>11766.0</v>
      </c>
      <c r="S675" s="5">
        <v>1.0</v>
      </c>
      <c r="T675" s="5">
        <v>1527.176274</v>
      </c>
      <c r="V675" s="21">
        <f t="shared" si="1"/>
        <v>113.4097931</v>
      </c>
      <c r="W675" s="21">
        <f t="shared" si="2"/>
        <v>175.8609251</v>
      </c>
      <c r="X675" s="21">
        <f t="shared" si="3"/>
        <v>0.6666666667</v>
      </c>
      <c r="Y675" s="21">
        <f t="shared" si="4"/>
        <v>1527.176274</v>
      </c>
      <c r="Z675" s="21">
        <f t="shared" si="5"/>
        <v>10.18117516</v>
      </c>
      <c r="AA675" s="21">
        <f t="shared" si="6"/>
        <v>1.113916531</v>
      </c>
    </row>
    <row r="676">
      <c r="A676" s="4" t="s">
        <v>1659</v>
      </c>
      <c r="B676" s="4" t="str">
        <f>IFERROR(__xludf.DUMMYFUNCTION("SPLIT(A676:A1402, ""&gt;"")"),"OnAudience ")</f>
        <v>OnAudience </v>
      </c>
      <c r="C676" s="4" t="str">
        <f>IFERROR(__xludf.DUMMYFUNCTION("""COMPUTED_VALUE""")," Interest ")</f>
        <v> Interest </v>
      </c>
      <c r="D676" s="4" t="str">
        <f>IFERROR(__xludf.DUMMYFUNCTION("""COMPUTED_VALUE""")," Technology &amp; Computing")</f>
        <v> Technology &amp; Computing</v>
      </c>
      <c r="E676" s="4"/>
      <c r="F676" s="4"/>
      <c r="G676" s="4"/>
      <c r="H676" s="4"/>
      <c r="I676" s="5" t="s">
        <v>61</v>
      </c>
      <c r="J676" s="5" t="s">
        <v>42</v>
      </c>
      <c r="K676" s="5" t="s">
        <v>131</v>
      </c>
      <c r="L676" s="6" t="s">
        <v>987</v>
      </c>
      <c r="M676" s="5" t="s">
        <v>26</v>
      </c>
      <c r="N676" s="5" t="s">
        <v>27</v>
      </c>
      <c r="O676" s="5">
        <v>23410.0</v>
      </c>
      <c r="P676" s="5">
        <v>66.0</v>
      </c>
      <c r="Q676" s="5">
        <v>13626.0</v>
      </c>
      <c r="R676" s="5">
        <v>22109.0</v>
      </c>
      <c r="S676" s="5">
        <v>6.0</v>
      </c>
      <c r="T676" s="5">
        <v>1930.180523</v>
      </c>
      <c r="V676" s="21">
        <f t="shared" si="1"/>
        <v>82.45111162</v>
      </c>
      <c r="W676" s="21">
        <f t="shared" si="2"/>
        <v>141.6542289</v>
      </c>
      <c r="X676" s="21">
        <f t="shared" si="3"/>
        <v>9.090909091</v>
      </c>
      <c r="Y676" s="21">
        <f t="shared" si="4"/>
        <v>321.6967538</v>
      </c>
      <c r="Z676" s="21">
        <f t="shared" si="5"/>
        <v>29.24515944</v>
      </c>
      <c r="AA676" s="21">
        <f t="shared" si="6"/>
        <v>0.2819307988</v>
      </c>
    </row>
    <row r="677">
      <c r="A677" s="4" t="s">
        <v>1660</v>
      </c>
      <c r="B677" s="4" t="str">
        <f>IFERROR(__xludf.DUMMYFUNCTION("SPLIT(A677:A1403, ""&gt;"")"),"Media and Entertainment ")</f>
        <v>Media and Entertainment </v>
      </c>
      <c r="C677" s="4" t="str">
        <f>IFERROR(__xludf.DUMMYFUNCTION("""COMPUTED_VALUE""")," Audio and Video Streaming ")</f>
        <v> Audio and Video Streaming </v>
      </c>
      <c r="D677" s="4" t="str">
        <f>IFERROR(__xludf.DUMMYFUNCTION("""COMPUTED_VALUE""")," Streaming Video")</f>
        <v> Streaming Video</v>
      </c>
      <c r="E677" s="4"/>
      <c r="F677" s="4"/>
      <c r="G677" s="4"/>
      <c r="H677" s="4"/>
      <c r="I677" s="5" t="s">
        <v>22</v>
      </c>
      <c r="J677" s="5" t="s">
        <v>16</v>
      </c>
      <c r="K677" s="5" t="s">
        <v>32</v>
      </c>
      <c r="L677" s="6" t="s">
        <v>987</v>
      </c>
      <c r="M677" s="5" t="s">
        <v>48</v>
      </c>
      <c r="N677" s="5" t="s">
        <v>27</v>
      </c>
      <c r="O677" s="5">
        <v>13713.0</v>
      </c>
      <c r="P677" s="5">
        <v>151.0</v>
      </c>
      <c r="Q677" s="5">
        <v>8339.0</v>
      </c>
      <c r="R677" s="5">
        <v>13051.0</v>
      </c>
      <c r="S677" s="5">
        <v>5.0</v>
      </c>
      <c r="T677" s="5">
        <v>1490.006197</v>
      </c>
      <c r="V677" s="21">
        <f t="shared" si="1"/>
        <v>108.6564717</v>
      </c>
      <c r="W677" s="21">
        <f t="shared" si="2"/>
        <v>178.6792418</v>
      </c>
      <c r="X677" s="21">
        <f t="shared" si="3"/>
        <v>3.311258278</v>
      </c>
      <c r="Y677" s="21">
        <f t="shared" si="4"/>
        <v>298.0012394</v>
      </c>
      <c r="Z677" s="21">
        <f t="shared" si="5"/>
        <v>9.867590709</v>
      </c>
      <c r="AA677" s="21">
        <f t="shared" si="6"/>
        <v>1.101144899</v>
      </c>
    </row>
    <row r="678">
      <c r="A678" s="4" t="s">
        <v>1661</v>
      </c>
      <c r="B678" s="4" t="str">
        <f>IFERROR(__xludf.DUMMYFUNCTION("SPLIT(A678:A1404, ""&gt;"")"),"Online Behavior")</f>
        <v>Online Behavior</v>
      </c>
      <c r="C678" s="4" t="str">
        <f>IFERROR(__xludf.DUMMYFUNCTION("""COMPUTED_VALUE"""),"United States")</f>
        <v>United States</v>
      </c>
      <c r="D678" s="4" t="str">
        <f>IFERROR(__xludf.DUMMYFUNCTION("""COMPUTED_VALUE"""),"Intent ")</f>
        <v>Intent </v>
      </c>
      <c r="E678" s="4" t="str">
        <f>IFERROR(__xludf.DUMMYFUNCTION("""COMPUTED_VALUE""")," Travel")</f>
        <v> Travel</v>
      </c>
      <c r="F678" s="4" t="str">
        <f>IFERROR(__xludf.DUMMYFUNCTION("""COMPUTED_VALUE"""),"Budget Travel")</f>
        <v>Budget Travel</v>
      </c>
      <c r="G678" s="4"/>
      <c r="H678" s="4"/>
      <c r="I678" s="5" t="s">
        <v>61</v>
      </c>
      <c r="J678" s="5" t="s">
        <v>16</v>
      </c>
      <c r="K678" s="5" t="s">
        <v>17</v>
      </c>
      <c r="L678" s="6" t="s">
        <v>990</v>
      </c>
      <c r="M678" s="5" t="s">
        <v>26</v>
      </c>
      <c r="N678" s="5" t="s">
        <v>27</v>
      </c>
      <c r="O678" s="5">
        <v>10565.0</v>
      </c>
      <c r="P678" s="5">
        <v>66.0</v>
      </c>
      <c r="Q678" s="5">
        <v>6248.0</v>
      </c>
      <c r="R678" s="5">
        <v>10141.0</v>
      </c>
      <c r="S678" s="5">
        <v>9.0</v>
      </c>
      <c r="T678" s="5">
        <v>6236.113094</v>
      </c>
      <c r="V678" s="21">
        <f t="shared" si="1"/>
        <v>590.2615328</v>
      </c>
      <c r="W678" s="21">
        <f t="shared" si="2"/>
        <v>998.0974862</v>
      </c>
      <c r="X678" s="21">
        <f t="shared" si="3"/>
        <v>13.63636364</v>
      </c>
      <c r="Y678" s="21">
        <f t="shared" si="4"/>
        <v>692.9014549</v>
      </c>
      <c r="Z678" s="21">
        <f t="shared" si="5"/>
        <v>94.48656203</v>
      </c>
      <c r="AA678" s="21">
        <f t="shared" si="6"/>
        <v>0.624704212</v>
      </c>
    </row>
    <row r="679">
      <c r="A679" s="4" t="s">
        <v>991</v>
      </c>
      <c r="B679" s="4" t="str">
        <f>IFERROR(__xludf.DUMMYFUNCTION("SPLIT(A679:A1405, ""&gt;"")"),"Online Behavior")</f>
        <v>Online Behavior</v>
      </c>
      <c r="C679" s="4" t="str">
        <f>IFERROR(__xludf.DUMMYFUNCTION("""COMPUTED_VALUE"""),"United States")</f>
        <v>United States</v>
      </c>
      <c r="D679" s="4" t="str">
        <f>IFERROR(__xludf.DUMMYFUNCTION("""COMPUTED_VALUE"""),"Beauty and Fitness")</f>
        <v>Beauty and Fitness</v>
      </c>
      <c r="E679" s="4" t="str">
        <f>IFERROR(__xludf.DUMMYFUNCTION("""COMPUTED_VALUE"""),"Spas and Beauty Services")</f>
        <v>Spas and Beauty Services</v>
      </c>
      <c r="F679" s="4"/>
      <c r="G679" s="4"/>
      <c r="H679" s="4"/>
      <c r="I679" s="5" t="s">
        <v>22</v>
      </c>
      <c r="J679" s="5" t="s">
        <v>23</v>
      </c>
      <c r="K679" s="5" t="s">
        <v>35</v>
      </c>
      <c r="L679" s="6" t="s">
        <v>992</v>
      </c>
      <c r="M679" s="5" t="s">
        <v>26</v>
      </c>
      <c r="N679" s="5" t="s">
        <v>27</v>
      </c>
      <c r="O679" s="5">
        <v>888037.0</v>
      </c>
      <c r="P679" s="5">
        <v>2841.0</v>
      </c>
      <c r="Q679" s="5">
        <v>370429.0</v>
      </c>
      <c r="R679" s="5">
        <v>820340.0</v>
      </c>
      <c r="S679" s="5">
        <v>42.0</v>
      </c>
      <c r="T679" s="5">
        <v>8134.350524</v>
      </c>
      <c r="V679" s="21">
        <f t="shared" si="1"/>
        <v>9.159922981</v>
      </c>
      <c r="W679" s="21">
        <f t="shared" si="2"/>
        <v>21.95927026</v>
      </c>
      <c r="X679" s="21">
        <f t="shared" si="3"/>
        <v>1.478352693</v>
      </c>
      <c r="Y679" s="21">
        <f t="shared" si="4"/>
        <v>193.6750125</v>
      </c>
      <c r="Z679" s="21">
        <f t="shared" si="5"/>
        <v>2.863199762</v>
      </c>
      <c r="AA679" s="21">
        <f t="shared" si="6"/>
        <v>0.3199191025</v>
      </c>
    </row>
    <row r="680">
      <c r="A680" s="4" t="s">
        <v>1662</v>
      </c>
      <c r="B680" s="4" t="str">
        <f>IFERROR(__xludf.DUMMYFUNCTION("SPLIT(A680:A1406, ""&gt;"")"),"Online Behavior")</f>
        <v>Online Behavior</v>
      </c>
      <c r="C680" s="4" t="str">
        <f>IFERROR(__xludf.DUMMYFUNCTION("""COMPUTED_VALUE"""),"United States")</f>
        <v>United States</v>
      </c>
      <c r="D680" s="4" t="str">
        <f>IFERROR(__xludf.DUMMYFUNCTION("""COMPUTED_VALUE"""),"Finance ")</f>
        <v>Finance </v>
      </c>
      <c r="E680" s="4" t="str">
        <f>IFERROR(__xludf.DUMMYFUNCTION("""COMPUTED_VALUE""")," Accounting and Auditing")</f>
        <v> Accounting and Auditing</v>
      </c>
      <c r="F680" s="4" t="str">
        <f>IFERROR(__xludf.DUMMYFUNCTION("""COMPUTED_VALUE"""),"Accounting and Auditing")</f>
        <v>Accounting and Auditing</v>
      </c>
      <c r="G680" s="4"/>
      <c r="H680" s="4"/>
      <c r="I680" s="5" t="s">
        <v>15</v>
      </c>
      <c r="J680" s="5" t="s">
        <v>16</v>
      </c>
      <c r="K680" s="5" t="s">
        <v>35</v>
      </c>
      <c r="L680" s="6" t="s">
        <v>992</v>
      </c>
      <c r="M680" s="5" t="s">
        <v>50</v>
      </c>
      <c r="N680" s="5" t="s">
        <v>27</v>
      </c>
      <c r="O680" s="5">
        <v>1767940.0</v>
      </c>
      <c r="P680" s="5">
        <v>4852.0</v>
      </c>
      <c r="Q680" s="5">
        <v>881525.0</v>
      </c>
      <c r="R680" s="5">
        <v>1550866.0</v>
      </c>
      <c r="S680" s="5">
        <v>78.0</v>
      </c>
      <c r="T680" s="5">
        <v>7511.656191</v>
      </c>
      <c r="V680" s="21">
        <f t="shared" si="1"/>
        <v>4.248818507</v>
      </c>
      <c r="W680" s="21">
        <f t="shared" si="2"/>
        <v>8.521206082</v>
      </c>
      <c r="X680" s="21">
        <f t="shared" si="3"/>
        <v>1.607584501</v>
      </c>
      <c r="Y680" s="21">
        <f t="shared" si="4"/>
        <v>96.3032845</v>
      </c>
      <c r="Z680" s="21">
        <f t="shared" si="5"/>
        <v>1.548156676</v>
      </c>
      <c r="AA680" s="21">
        <f t="shared" si="6"/>
        <v>0.2744437028</v>
      </c>
    </row>
    <row r="681">
      <c r="A681" s="4" t="s">
        <v>994</v>
      </c>
      <c r="B681" s="4" t="str">
        <f>IFERROR(__xludf.DUMMYFUNCTION("SPLIT(A681:A1407, ""&gt;"")"),"Online Behavior")</f>
        <v>Online Behavior</v>
      </c>
      <c r="C681" s="4" t="str">
        <f>IFERROR(__xludf.DUMMYFUNCTION("""COMPUTED_VALUE"""),"United States")</f>
        <v>United States</v>
      </c>
      <c r="D681" s="4" t="str">
        <f>IFERROR(__xludf.DUMMYFUNCTION("""COMPUTED_VALUE"""),"Life Event")</f>
        <v>Life Event</v>
      </c>
      <c r="E681" s="4" t="str">
        <f>IFERROR(__xludf.DUMMYFUNCTION("""COMPUTED_VALUE"""),"University Graduation")</f>
        <v>University Graduation</v>
      </c>
      <c r="F681" s="4"/>
      <c r="G681" s="4"/>
      <c r="H681" s="4"/>
      <c r="I681" s="5" t="s">
        <v>15</v>
      </c>
      <c r="J681" s="5" t="s">
        <v>23</v>
      </c>
      <c r="K681" s="5" t="s">
        <v>78</v>
      </c>
      <c r="L681" s="6" t="s">
        <v>992</v>
      </c>
      <c r="M681" s="5" t="s">
        <v>19</v>
      </c>
      <c r="N681" s="5" t="s">
        <v>27</v>
      </c>
      <c r="O681" s="5">
        <v>1221746.0</v>
      </c>
      <c r="P681" s="5">
        <v>3874.0</v>
      </c>
      <c r="Q681" s="5">
        <v>512107.0</v>
      </c>
      <c r="R681" s="5">
        <v>1088748.0</v>
      </c>
      <c r="S681" s="5">
        <v>19.0</v>
      </c>
      <c r="T681" s="5">
        <v>7483.887187</v>
      </c>
      <c r="V681" s="21">
        <f t="shared" si="1"/>
        <v>6.125567169</v>
      </c>
      <c r="W681" s="21">
        <f t="shared" si="2"/>
        <v>14.61391308</v>
      </c>
      <c r="X681" s="21">
        <f t="shared" si="3"/>
        <v>0.4904491482</v>
      </c>
      <c r="Y681" s="21">
        <f t="shared" si="4"/>
        <v>393.8887993</v>
      </c>
      <c r="Z681" s="21">
        <f t="shared" si="5"/>
        <v>1.931824261</v>
      </c>
      <c r="AA681" s="21">
        <f t="shared" si="6"/>
        <v>0.3170871851</v>
      </c>
    </row>
    <row r="682">
      <c r="A682" s="4" t="s">
        <v>995</v>
      </c>
      <c r="B682" s="4" t="str">
        <f>IFERROR(__xludf.DUMMYFUNCTION("SPLIT(A682:A1408, ""&gt;"")"),"Online Behavior")</f>
        <v>Online Behavior</v>
      </c>
      <c r="C682" s="4" t="str">
        <f>IFERROR(__xludf.DUMMYFUNCTION("""COMPUTED_VALUE"""),"United States")</f>
        <v>United States</v>
      </c>
      <c r="D682" s="4" t="str">
        <f>IFERROR(__xludf.DUMMYFUNCTION("""COMPUTED_VALUE"""),"Life Event")</f>
        <v>Life Event</v>
      </c>
      <c r="E682" s="4" t="str">
        <f>IFERROR(__xludf.DUMMYFUNCTION("""COMPUTED_VALUE"""),"College Applications")</f>
        <v>College Applications</v>
      </c>
      <c r="F682" s="4"/>
      <c r="G682" s="4"/>
      <c r="H682" s="4"/>
      <c r="I682" s="5" t="s">
        <v>22</v>
      </c>
      <c r="J682" s="5" t="s">
        <v>16</v>
      </c>
      <c r="K682" s="5" t="s">
        <v>35</v>
      </c>
      <c r="L682" s="6" t="s">
        <v>992</v>
      </c>
      <c r="M682" s="5" t="s">
        <v>33</v>
      </c>
      <c r="N682" s="5" t="s">
        <v>27</v>
      </c>
      <c r="O682" s="5">
        <v>446774.0</v>
      </c>
      <c r="P682" s="5">
        <v>1245.0</v>
      </c>
      <c r="Q682" s="5">
        <v>163786.0</v>
      </c>
      <c r="R682" s="5">
        <v>374116.0</v>
      </c>
      <c r="S682" s="5">
        <v>12.0</v>
      </c>
      <c r="T682" s="5">
        <v>7248.231612</v>
      </c>
      <c r="V682" s="21">
        <f t="shared" si="1"/>
        <v>16.22348573</v>
      </c>
      <c r="W682" s="21">
        <f t="shared" si="2"/>
        <v>44.25428066</v>
      </c>
      <c r="X682" s="21">
        <f t="shared" si="3"/>
        <v>0.9638554217</v>
      </c>
      <c r="Y682" s="21">
        <f t="shared" si="4"/>
        <v>604.019301</v>
      </c>
      <c r="Z682" s="21">
        <f t="shared" si="5"/>
        <v>5.821872781</v>
      </c>
      <c r="AA682" s="21">
        <f t="shared" si="6"/>
        <v>0.2786643806</v>
      </c>
    </row>
    <row r="683">
      <c r="A683" s="4" t="s">
        <v>996</v>
      </c>
      <c r="B683" s="4" t="str">
        <f>IFERROR(__xludf.DUMMYFUNCTION("SPLIT(A683:A1409, ""&gt;"")"),"Online Behavior")</f>
        <v>Online Behavior</v>
      </c>
      <c r="C683" s="4" t="str">
        <f>IFERROR(__xludf.DUMMYFUNCTION("""COMPUTED_VALUE"""),"United States")</f>
        <v>United States</v>
      </c>
      <c r="D683" s="4" t="str">
        <f>IFERROR(__xludf.DUMMYFUNCTION("""COMPUTED_VALUE"""),"Games")</f>
        <v>Games</v>
      </c>
      <c r="E683" s="4" t="str">
        <f>IFERROR(__xludf.DUMMYFUNCTION("""COMPUTED_VALUE"""),"Arcade and Coin-Op Games")</f>
        <v>Arcade and Coin-Op Games</v>
      </c>
      <c r="F683" s="4"/>
      <c r="G683" s="4"/>
      <c r="H683" s="4"/>
      <c r="I683" s="5" t="s">
        <v>22</v>
      </c>
      <c r="J683" s="5" t="s">
        <v>23</v>
      </c>
      <c r="K683" s="5" t="s">
        <v>45</v>
      </c>
      <c r="L683" s="6" t="s">
        <v>992</v>
      </c>
      <c r="M683" s="5" t="s">
        <v>46</v>
      </c>
      <c r="N683" s="5" t="s">
        <v>27</v>
      </c>
      <c r="O683" s="5">
        <v>120603.0</v>
      </c>
      <c r="P683" s="5">
        <v>298.0</v>
      </c>
      <c r="Q683" s="5">
        <v>47405.0</v>
      </c>
      <c r="R683" s="5">
        <v>100881.0</v>
      </c>
      <c r="S683" s="5">
        <v>10.0</v>
      </c>
      <c r="T683" s="5">
        <v>6633.532635</v>
      </c>
      <c r="V683" s="21">
        <f t="shared" si="1"/>
        <v>55.00304831</v>
      </c>
      <c r="W683" s="21">
        <f t="shared" si="2"/>
        <v>139.933185</v>
      </c>
      <c r="X683" s="21">
        <f t="shared" si="3"/>
        <v>3.355704698</v>
      </c>
      <c r="Y683" s="21">
        <f t="shared" si="4"/>
        <v>663.3532635</v>
      </c>
      <c r="Z683" s="21">
        <f t="shared" si="5"/>
        <v>22.26017663</v>
      </c>
      <c r="AA683" s="21">
        <f t="shared" si="6"/>
        <v>0.2470916976</v>
      </c>
    </row>
    <row r="684">
      <c r="A684" s="4" t="s">
        <v>997</v>
      </c>
      <c r="B684" s="4" t="str">
        <f>IFERROR(__xludf.DUMMYFUNCTION("SPLIT(A684:A1410, ""&gt;"")"),"Online Behavior")</f>
        <v>Online Behavior</v>
      </c>
      <c r="C684" s="4" t="str">
        <f>IFERROR(__xludf.DUMMYFUNCTION("""COMPUTED_VALUE"""),"United States")</f>
        <v>United States</v>
      </c>
      <c r="D684" s="4" t="str">
        <f>IFERROR(__xludf.DUMMYFUNCTION("""COMPUTED_VALUE"""),"Life Event")</f>
        <v>Life Event</v>
      </c>
      <c r="E684" s="4" t="str">
        <f>IFERROR(__xludf.DUMMYFUNCTION("""COMPUTED_VALUE"""),"Movers")</f>
        <v>Movers</v>
      </c>
      <c r="F684" s="4"/>
      <c r="G684" s="4"/>
      <c r="H684" s="4"/>
      <c r="I684" s="5" t="s">
        <v>15</v>
      </c>
      <c r="J684" s="5" t="s">
        <v>16</v>
      </c>
      <c r="K684" s="5" t="s">
        <v>32</v>
      </c>
      <c r="L684" s="6" t="s">
        <v>992</v>
      </c>
      <c r="M684" s="5" t="s">
        <v>19</v>
      </c>
      <c r="N684" s="5" t="s">
        <v>27</v>
      </c>
      <c r="O684" s="5">
        <v>310255.0</v>
      </c>
      <c r="P684" s="5">
        <v>970.0</v>
      </c>
      <c r="Q684" s="5">
        <v>105054.0</v>
      </c>
      <c r="R684" s="5">
        <v>260998.0</v>
      </c>
      <c r="S684" s="5">
        <v>14.0</v>
      </c>
      <c r="T684" s="5">
        <v>6057.856722</v>
      </c>
      <c r="V684" s="21">
        <f t="shared" si="1"/>
        <v>19.52541207</v>
      </c>
      <c r="W684" s="21">
        <f t="shared" si="2"/>
        <v>57.66421766</v>
      </c>
      <c r="X684" s="21">
        <f t="shared" si="3"/>
        <v>1.443298969</v>
      </c>
      <c r="Y684" s="21">
        <f t="shared" si="4"/>
        <v>432.7040516</v>
      </c>
      <c r="Z684" s="21">
        <f t="shared" si="5"/>
        <v>6.245213115</v>
      </c>
      <c r="AA684" s="21">
        <f t="shared" si="6"/>
        <v>0.3126460492</v>
      </c>
    </row>
    <row r="685">
      <c r="A685" s="4" t="s">
        <v>1663</v>
      </c>
      <c r="B685" s="4" t="str">
        <f>IFERROR(__xludf.DUMMYFUNCTION("SPLIT(A685:A1411, ""&gt;"")"),"Online Behavior")</f>
        <v>Online Behavior</v>
      </c>
      <c r="C685" s="4" t="str">
        <f>IFERROR(__xludf.DUMMYFUNCTION("""COMPUTED_VALUE"""),"United States")</f>
        <v>United States</v>
      </c>
      <c r="D685" s="4" t="str">
        <f>IFERROR(__xludf.DUMMYFUNCTION("""COMPUTED_VALUE"""),"Intent ")</f>
        <v>Intent </v>
      </c>
      <c r="E685" s="4" t="str">
        <f>IFERROR(__xludf.DUMMYFUNCTION("""COMPUTED_VALUE""")," Services")</f>
        <v> Services</v>
      </c>
      <c r="F685" s="4" t="str">
        <f>IFERROR(__xludf.DUMMYFUNCTION("""COMPUTED_VALUE"""),"Pets")</f>
        <v>Pets</v>
      </c>
      <c r="G685" s="4"/>
      <c r="H685" s="4"/>
      <c r="I685" s="5" t="s">
        <v>15</v>
      </c>
      <c r="J685" s="5" t="s">
        <v>31</v>
      </c>
      <c r="K685" s="5" t="s">
        <v>183</v>
      </c>
      <c r="L685" s="6" t="s">
        <v>992</v>
      </c>
      <c r="M685" s="5" t="s">
        <v>36</v>
      </c>
      <c r="N685" s="5" t="s">
        <v>27</v>
      </c>
      <c r="O685" s="5">
        <v>818919.0</v>
      </c>
      <c r="P685" s="5">
        <v>1987.0</v>
      </c>
      <c r="Q685" s="5">
        <v>395852.0</v>
      </c>
      <c r="R685" s="5">
        <v>699064.0</v>
      </c>
      <c r="S685" s="5">
        <v>22.0</v>
      </c>
      <c r="T685" s="5">
        <v>6012.102465</v>
      </c>
      <c r="V685" s="21">
        <f t="shared" si="1"/>
        <v>7.341510534</v>
      </c>
      <c r="W685" s="21">
        <f t="shared" si="2"/>
        <v>15.18775316</v>
      </c>
      <c r="X685" s="21">
        <f t="shared" si="3"/>
        <v>1.107196779</v>
      </c>
      <c r="Y685" s="21">
        <f t="shared" si="4"/>
        <v>273.2773848</v>
      </c>
      <c r="Z685" s="21">
        <f t="shared" si="5"/>
        <v>3.025718402</v>
      </c>
      <c r="AA685" s="21">
        <f t="shared" si="6"/>
        <v>0.2426369397</v>
      </c>
    </row>
    <row r="686">
      <c r="A686" s="4" t="s">
        <v>1664</v>
      </c>
      <c r="B686" s="4" t="str">
        <f>IFERROR(__xludf.DUMMYFUNCTION("SPLIT(A686:A1412, ""&gt;"")"),"Online Behavior")</f>
        <v>Online Behavior</v>
      </c>
      <c r="C686" s="4" t="str">
        <f>IFERROR(__xludf.DUMMYFUNCTION("""COMPUTED_VALUE"""),"United States")</f>
        <v>United States</v>
      </c>
      <c r="D686" s="4" t="str">
        <f>IFERROR(__xludf.DUMMYFUNCTION("""COMPUTED_VALUE"""),"Hobbies and Leisure")</f>
        <v>Hobbies and Leisure</v>
      </c>
      <c r="E686" s="4" t="str">
        <f>IFERROR(__xludf.DUMMYFUNCTION("""COMPUTED_VALUE"""),"Special Occasions ")</f>
        <v>Special Occasions </v>
      </c>
      <c r="F686" s="4" t="str">
        <f>IFERROR(__xludf.DUMMYFUNCTION("""COMPUTED_VALUE""")," Holidays and Seasonal Events")</f>
        <v> Holidays and Seasonal Events</v>
      </c>
      <c r="G686" s="4"/>
      <c r="H686" s="4"/>
      <c r="I686" s="5" t="s">
        <v>22</v>
      </c>
      <c r="J686" s="5" t="s">
        <v>16</v>
      </c>
      <c r="K686" s="5" t="s">
        <v>78</v>
      </c>
      <c r="L686" s="6" t="s">
        <v>992</v>
      </c>
      <c r="M686" s="5" t="s">
        <v>327</v>
      </c>
      <c r="N686" s="5" t="s">
        <v>27</v>
      </c>
      <c r="O686" s="5">
        <v>760502.0</v>
      </c>
      <c r="P686" s="5">
        <v>2140.0</v>
      </c>
      <c r="Q686" s="5">
        <v>326721.0</v>
      </c>
      <c r="R686" s="5">
        <v>700814.0</v>
      </c>
      <c r="S686" s="5">
        <v>17.0</v>
      </c>
      <c r="T686" s="5">
        <v>5179.041532</v>
      </c>
      <c r="V686" s="21">
        <f t="shared" si="1"/>
        <v>6.810030127</v>
      </c>
      <c r="W686" s="21">
        <f t="shared" si="2"/>
        <v>15.85157223</v>
      </c>
      <c r="X686" s="21">
        <f t="shared" si="3"/>
        <v>0.7943925234</v>
      </c>
      <c r="Y686" s="21">
        <f t="shared" si="4"/>
        <v>304.6495019</v>
      </c>
      <c r="Z686" s="21">
        <f t="shared" si="5"/>
        <v>2.420112865</v>
      </c>
      <c r="AA686" s="21">
        <f t="shared" si="6"/>
        <v>0.2813930798</v>
      </c>
    </row>
    <row r="687">
      <c r="A687" s="4" t="s">
        <v>1000</v>
      </c>
      <c r="B687" s="4" t="str">
        <f>IFERROR(__xludf.DUMMYFUNCTION("SPLIT(A687:A1413, ""&gt;"")"),"Online Behavior")</f>
        <v>Online Behavior</v>
      </c>
      <c r="C687" s="4" t="str">
        <f>IFERROR(__xludf.DUMMYFUNCTION("""COMPUTED_VALUE"""),"United States")</f>
        <v>United States</v>
      </c>
      <c r="D687" s="4" t="str">
        <f>IFERROR(__xludf.DUMMYFUNCTION("""COMPUTED_VALUE"""),"The Changing Consumer")</f>
        <v>The Changing Consumer</v>
      </c>
      <c r="E687" s="4" t="str">
        <f>IFERROR(__xludf.DUMMYFUNCTION("""COMPUTED_VALUE"""),"Virtual Events")</f>
        <v>Virtual Events</v>
      </c>
      <c r="F687" s="4"/>
      <c r="G687" s="4"/>
      <c r="H687" s="4"/>
      <c r="I687" s="5" t="s">
        <v>22</v>
      </c>
      <c r="J687" s="5" t="s">
        <v>42</v>
      </c>
      <c r="K687" s="5" t="s">
        <v>55</v>
      </c>
      <c r="L687" s="6" t="s">
        <v>992</v>
      </c>
      <c r="M687" s="5" t="s">
        <v>19</v>
      </c>
      <c r="N687" s="5" t="s">
        <v>27</v>
      </c>
      <c r="O687" s="5">
        <v>571090.0</v>
      </c>
      <c r="P687" s="5">
        <v>1541.0</v>
      </c>
      <c r="Q687" s="5">
        <v>246243.0</v>
      </c>
      <c r="R687" s="5">
        <v>532325.0</v>
      </c>
      <c r="S687" s="5">
        <v>11.0</v>
      </c>
      <c r="T687" s="5">
        <v>4733.618783</v>
      </c>
      <c r="V687" s="21">
        <f t="shared" si="1"/>
        <v>8.288743951</v>
      </c>
      <c r="W687" s="21">
        <f t="shared" si="2"/>
        <v>19.22336384</v>
      </c>
      <c r="X687" s="21">
        <f t="shared" si="3"/>
        <v>0.7138221934</v>
      </c>
      <c r="Y687" s="21">
        <f t="shared" si="4"/>
        <v>430.3289803</v>
      </c>
      <c r="Z687" s="21">
        <f t="shared" si="5"/>
        <v>3.071783766</v>
      </c>
      <c r="AA687" s="21">
        <f t="shared" si="6"/>
        <v>0.2698348772</v>
      </c>
    </row>
    <row r="688">
      <c r="A688" s="4" t="s">
        <v>1001</v>
      </c>
      <c r="B688" s="4" t="str">
        <f>IFERROR(__xludf.DUMMYFUNCTION("SPLIT(A688:A1414, ""&gt;"")"),"Online Behavior")</f>
        <v>Online Behavior</v>
      </c>
      <c r="C688" s="4" t="str">
        <f>IFERROR(__xludf.DUMMYFUNCTION("""COMPUTED_VALUE"""),"United States")</f>
        <v>United States</v>
      </c>
      <c r="D688" s="4" t="str">
        <f>IFERROR(__xludf.DUMMYFUNCTION("""COMPUTED_VALUE"""),"Beauty and Fitness")</f>
        <v>Beauty and Fitness</v>
      </c>
      <c r="E688" s="4" t="str">
        <f>IFERROR(__xludf.DUMMYFUNCTION("""COMPUTED_VALUE"""),"Beauty Pageants")</f>
        <v>Beauty Pageants</v>
      </c>
      <c r="F688" s="4"/>
      <c r="G688" s="4"/>
      <c r="H688" s="4"/>
      <c r="I688" s="5" t="s">
        <v>15</v>
      </c>
      <c r="J688" s="5" t="s">
        <v>23</v>
      </c>
      <c r="K688" s="5" t="s">
        <v>35</v>
      </c>
      <c r="L688" s="6" t="s">
        <v>992</v>
      </c>
      <c r="M688" s="5" t="s">
        <v>46</v>
      </c>
      <c r="N688" s="5" t="s">
        <v>20</v>
      </c>
      <c r="O688" s="5">
        <v>7584.0</v>
      </c>
      <c r="P688" s="5">
        <v>40.0</v>
      </c>
      <c r="Q688" s="5">
        <v>3093.0</v>
      </c>
      <c r="R688" s="5">
        <v>6897.0</v>
      </c>
      <c r="S688" s="5">
        <v>2.0</v>
      </c>
      <c r="T688" s="5">
        <v>4467.080758</v>
      </c>
      <c r="V688" s="21">
        <f t="shared" si="1"/>
        <v>589.013813</v>
      </c>
      <c r="W688" s="21">
        <f t="shared" si="2"/>
        <v>1444.255014</v>
      </c>
      <c r="X688" s="21">
        <f t="shared" si="3"/>
        <v>5</v>
      </c>
      <c r="Y688" s="21">
        <f t="shared" si="4"/>
        <v>2233.540379</v>
      </c>
      <c r="Z688" s="21">
        <f t="shared" si="5"/>
        <v>111.677019</v>
      </c>
      <c r="AA688" s="21">
        <f t="shared" si="6"/>
        <v>0.5274261603</v>
      </c>
    </row>
    <row r="689">
      <c r="A689" s="4" t="s">
        <v>1665</v>
      </c>
      <c r="B689" s="4" t="str">
        <f>IFERROR(__xludf.DUMMYFUNCTION("SPLIT(A689:A1415, ""&gt;"")"),"Online Behavior")</f>
        <v>Online Behavior</v>
      </c>
      <c r="C689" s="4" t="str">
        <f>IFERROR(__xludf.DUMMYFUNCTION("""COMPUTED_VALUE"""),"United States")</f>
        <v>United States</v>
      </c>
      <c r="D689" s="4" t="str">
        <f>IFERROR(__xludf.DUMMYFUNCTION("""COMPUTED_VALUE"""),"Autos and Vehicles ")</f>
        <v>Autos and Vehicles </v>
      </c>
      <c r="E689" s="4" t="str">
        <f>IFERROR(__xludf.DUMMYFUNCTION("""COMPUTED_VALUE""")," Brands")</f>
        <v> Brands</v>
      </c>
      <c r="F689" s="4" t="str">
        <f>IFERROR(__xludf.DUMMYFUNCTION("""COMPUTED_VALUE"""),"Aston Martin")</f>
        <v>Aston Martin</v>
      </c>
      <c r="G689" s="4"/>
      <c r="H689" s="4"/>
      <c r="I689" s="5" t="s">
        <v>15</v>
      </c>
      <c r="J689" s="5" t="s">
        <v>16</v>
      </c>
      <c r="K689" s="5" t="s">
        <v>24</v>
      </c>
      <c r="L689" s="6" t="s">
        <v>992</v>
      </c>
      <c r="M689" s="5" t="s">
        <v>19</v>
      </c>
      <c r="N689" s="5" t="s">
        <v>52</v>
      </c>
      <c r="O689" s="5">
        <v>84460.0</v>
      </c>
      <c r="P689" s="5">
        <v>209.0</v>
      </c>
      <c r="Q689" s="5">
        <v>13169.0</v>
      </c>
      <c r="R689" s="5">
        <v>26688.0</v>
      </c>
      <c r="S689" s="5">
        <v>1.0</v>
      </c>
      <c r="T689" s="5">
        <v>4279.230955</v>
      </c>
      <c r="V689" s="21">
        <f t="shared" si="1"/>
        <v>50.66577025</v>
      </c>
      <c r="W689" s="21">
        <f t="shared" si="2"/>
        <v>324.9472971</v>
      </c>
      <c r="X689" s="21">
        <f t="shared" si="3"/>
        <v>0.4784688995</v>
      </c>
      <c r="Y689" s="21">
        <f t="shared" si="4"/>
        <v>4279.230955</v>
      </c>
      <c r="Z689" s="21">
        <f t="shared" si="5"/>
        <v>20.47478926</v>
      </c>
      <c r="AA689" s="21">
        <f t="shared" si="6"/>
        <v>0.2474544163</v>
      </c>
    </row>
    <row r="690">
      <c r="A690" s="4" t="s">
        <v>1961</v>
      </c>
      <c r="B690" s="4" t="str">
        <f>IFERROR(__xludf.DUMMYFUNCTION("SPLIT(A690:A1416, ""&gt;"")"),"US ")</f>
        <v>US </v>
      </c>
      <c r="C690" s="4" t="str">
        <f>IFERROR(__xludf.DUMMYFUNCTION("""COMPUTED_VALUE""")," Reach ")</f>
        <v> Reach </v>
      </c>
      <c r="D690" s="4" t="str">
        <f>IFERROR(__xludf.DUMMYFUNCTION("""COMPUTED_VALUE""")," Propensity Models ")</f>
        <v> Propensity Models </v>
      </c>
      <c r="E690" s="4" t="str">
        <f>IFERROR(__xludf.DUMMYFUNCTION("""COMPUTED_VALUE""")," Hobbies and Interest ")</f>
        <v> Hobbies and Interest </v>
      </c>
      <c r="F690" s="4" t="str">
        <f>IFERROR(__xludf.DUMMYFUNCTION("""COMPUTED_VALUE""")," Books ")</f>
        <v> Books </v>
      </c>
      <c r="G690" s="4" t="str">
        <f>IFERROR(__xludf.DUMMYFUNCTION("""COMPUTED_VALUE""")," E-Book Reader")</f>
        <v> E-Book Reader</v>
      </c>
      <c r="H690" s="4"/>
      <c r="I690" s="5" t="s">
        <v>15</v>
      </c>
      <c r="J690" s="5" t="s">
        <v>42</v>
      </c>
      <c r="K690" s="5" t="s">
        <v>214</v>
      </c>
      <c r="L690" s="6" t="s">
        <v>992</v>
      </c>
      <c r="M690" s="5" t="s">
        <v>36</v>
      </c>
      <c r="N690" s="5" t="s">
        <v>27</v>
      </c>
      <c r="O690" s="5">
        <v>90123.0</v>
      </c>
      <c r="P690" s="5">
        <v>60.0</v>
      </c>
      <c r="Q690" s="5">
        <v>33421.0</v>
      </c>
      <c r="R690" s="5">
        <v>66729.0</v>
      </c>
      <c r="S690" s="5">
        <v>9.0</v>
      </c>
      <c r="T690" s="5">
        <v>3433.914287</v>
      </c>
      <c r="V690" s="21">
        <f t="shared" si="1"/>
        <v>38.10252973</v>
      </c>
      <c r="W690" s="21">
        <f t="shared" si="2"/>
        <v>102.7472035</v>
      </c>
      <c r="X690" s="21">
        <f t="shared" si="3"/>
        <v>15</v>
      </c>
      <c r="Y690" s="21">
        <f t="shared" si="4"/>
        <v>381.5460319</v>
      </c>
      <c r="Z690" s="21">
        <f t="shared" si="5"/>
        <v>57.23190478</v>
      </c>
      <c r="AA690" s="21">
        <f t="shared" si="6"/>
        <v>0.0665756799</v>
      </c>
    </row>
    <row r="691">
      <c r="A691" s="4" t="s">
        <v>1962</v>
      </c>
      <c r="B691" s="4" t="str">
        <f>IFERROR(__xludf.DUMMYFUNCTION("SPLIT(A691:A1417, ""&gt;"")"),"US ")</f>
        <v>US </v>
      </c>
      <c r="C691" s="4" t="str">
        <f>IFERROR(__xludf.DUMMYFUNCTION("""COMPUTED_VALUE""")," AUTO ")</f>
        <v> AUTO </v>
      </c>
      <c r="D691" s="4" t="str">
        <f>IFERROR(__xludf.DUMMYFUNCTION("""COMPUTED_VALUE""")," Decision Maker for Auto Purchase ")</f>
        <v> Decision Maker for Auto Purchase </v>
      </c>
      <c r="E691" s="4" t="str">
        <f>IFERROR(__xludf.DUMMYFUNCTION("""COMPUTED_VALUE""")," I was the sole decision-maker")</f>
        <v> I was the sole decision-maker</v>
      </c>
      <c r="F691" s="4"/>
      <c r="G691" s="4"/>
      <c r="H691" s="4"/>
      <c r="I691" s="5" t="s">
        <v>15</v>
      </c>
      <c r="J691" s="5" t="s">
        <v>16</v>
      </c>
      <c r="K691" s="5" t="s">
        <v>78</v>
      </c>
      <c r="L691" s="6" t="s">
        <v>992</v>
      </c>
      <c r="M691" s="5" t="s">
        <v>19</v>
      </c>
      <c r="N691" s="5" t="s">
        <v>27</v>
      </c>
      <c r="O691" s="5">
        <v>1116343.0</v>
      </c>
      <c r="P691" s="5">
        <v>3104.0</v>
      </c>
      <c r="Q691" s="5">
        <v>550519.0</v>
      </c>
      <c r="R691" s="5">
        <v>977978.0</v>
      </c>
      <c r="S691" s="5">
        <v>9.0</v>
      </c>
      <c r="T691" s="5">
        <v>2494.217596</v>
      </c>
      <c r="V691" s="21">
        <f t="shared" si="1"/>
        <v>2.234275304</v>
      </c>
      <c r="W691" s="21">
        <f t="shared" si="2"/>
        <v>4.530665783</v>
      </c>
      <c r="X691" s="21">
        <f t="shared" si="3"/>
        <v>0.2899484536</v>
      </c>
      <c r="Y691" s="21">
        <f t="shared" si="4"/>
        <v>277.1352884</v>
      </c>
      <c r="Z691" s="21">
        <f t="shared" si="5"/>
        <v>0.8035494832</v>
      </c>
      <c r="AA691" s="21">
        <f t="shared" si="6"/>
        <v>0.2780507425</v>
      </c>
    </row>
    <row r="692">
      <c r="A692" s="4" t="s">
        <v>1963</v>
      </c>
      <c r="B692" s="4" t="str">
        <f>IFERROR(__xludf.DUMMYFUNCTION("SPLIT(A692:A1418, ""&gt;"")"),"US ")</f>
        <v>US </v>
      </c>
      <c r="C692" s="4" t="str">
        <f>IFERROR(__xludf.DUMMYFUNCTION("""COMPUTED_VALUE""")," B2B ")</f>
        <v> B2B </v>
      </c>
      <c r="D692" s="4" t="str">
        <f>IFERROR(__xludf.DUMMYFUNCTION("""COMPUTED_VALUE""")," B2B Decision Maker Responsibilities ")</f>
        <v> B2B Decision Maker Responsibilities </v>
      </c>
      <c r="E692" s="4" t="str">
        <f>IFERROR(__xludf.DUMMYFUNCTION("""COMPUTED_VALUE""")," Purchasing Vehicles or Automobile Services")</f>
        <v> Purchasing Vehicles or Automobile Services</v>
      </c>
      <c r="F692" s="4"/>
      <c r="G692" s="4"/>
      <c r="H692" s="4"/>
      <c r="I692" s="5" t="s">
        <v>15</v>
      </c>
      <c r="J692" s="5" t="s">
        <v>16</v>
      </c>
      <c r="K692" s="5" t="s">
        <v>273</v>
      </c>
      <c r="L692" s="6" t="s">
        <v>992</v>
      </c>
      <c r="M692" s="5" t="s">
        <v>26</v>
      </c>
      <c r="N692" s="5" t="s">
        <v>27</v>
      </c>
      <c r="O692" s="5">
        <v>276716.0</v>
      </c>
      <c r="P692" s="5">
        <v>799.0</v>
      </c>
      <c r="Q692" s="5">
        <v>114927.0</v>
      </c>
      <c r="R692" s="5">
        <v>255481.0</v>
      </c>
      <c r="S692" s="5">
        <v>49.0</v>
      </c>
      <c r="T692" s="5">
        <v>2276.277471</v>
      </c>
      <c r="V692" s="21">
        <f t="shared" si="1"/>
        <v>8.226042119</v>
      </c>
      <c r="W692" s="21">
        <f t="shared" si="2"/>
        <v>19.80628983</v>
      </c>
      <c r="X692" s="21">
        <f t="shared" si="3"/>
        <v>6.132665832</v>
      </c>
      <c r="Y692" s="21">
        <f t="shared" si="4"/>
        <v>46.45464227</v>
      </c>
      <c r="Z692" s="21">
        <f t="shared" si="5"/>
        <v>2.848907974</v>
      </c>
      <c r="AA692" s="21">
        <f t="shared" si="6"/>
        <v>0.2887436939</v>
      </c>
    </row>
    <row r="693">
      <c r="A693" s="4" t="s">
        <v>1669</v>
      </c>
      <c r="B693" s="4" t="str">
        <f>IFERROR(__xludf.DUMMYFUNCTION("SPLIT(A693:A1419, ""&gt;"")"),"Media and Entertainment ")</f>
        <v>Media and Entertainment </v>
      </c>
      <c r="C693" s="4" t="str">
        <f>IFERROR(__xludf.DUMMYFUNCTION("""COMPUTED_VALUE""")," Audio and Video Streaming ")</f>
        <v> Audio and Video Streaming </v>
      </c>
      <c r="D693" s="4" t="str">
        <f>IFERROR(__xludf.DUMMYFUNCTION("""COMPUTED_VALUE""")," Streaming Video ")</f>
        <v> Streaming Video </v>
      </c>
      <c r="E693" s="4" t="str">
        <f>IFERROR(__xludf.DUMMYFUNCTION("""COMPUTED_VALUE""")," Interest (Affinity) ")</f>
        <v> Interest (Affinity) </v>
      </c>
      <c r="F693" s="4" t="str">
        <f>IFERROR(__xludf.DUMMYFUNCTION("""COMPUTED_VALUE""")," Streaming Services")</f>
        <v> Streaming Services</v>
      </c>
      <c r="G693" s="4"/>
      <c r="H693" s="4"/>
      <c r="I693" s="5" t="s">
        <v>15</v>
      </c>
      <c r="J693" s="5" t="s">
        <v>23</v>
      </c>
      <c r="K693" s="5" t="s">
        <v>24</v>
      </c>
      <c r="L693" s="6" t="s">
        <v>992</v>
      </c>
      <c r="M693" s="5" t="s">
        <v>19</v>
      </c>
      <c r="N693" s="5" t="s">
        <v>20</v>
      </c>
      <c r="O693" s="5">
        <v>17049.0</v>
      </c>
      <c r="P693" s="5">
        <v>84.0</v>
      </c>
      <c r="Q693" s="5">
        <v>191.0</v>
      </c>
      <c r="R693" s="5">
        <v>15564.0</v>
      </c>
      <c r="S693" s="5">
        <v>15.0</v>
      </c>
      <c r="T693" s="5">
        <v>2144.489587</v>
      </c>
      <c r="V693" s="21">
        <f t="shared" si="1"/>
        <v>125.7838927</v>
      </c>
      <c r="W693" s="21">
        <f t="shared" si="2"/>
        <v>11227.69417</v>
      </c>
      <c r="X693" s="21">
        <f t="shared" si="3"/>
        <v>17.85714286</v>
      </c>
      <c r="Y693" s="21">
        <f t="shared" si="4"/>
        <v>142.9659725</v>
      </c>
      <c r="Z693" s="21">
        <f t="shared" si="5"/>
        <v>25.52963794</v>
      </c>
      <c r="AA693" s="21">
        <f t="shared" si="6"/>
        <v>0.4926975189</v>
      </c>
    </row>
    <row r="694">
      <c r="A694" s="4" t="s">
        <v>1964</v>
      </c>
      <c r="B694" s="4" t="str">
        <f>IFERROR(__xludf.DUMMYFUNCTION("SPLIT(A694:A1420, ""&gt;"")"),"Mobile - US ")</f>
        <v>Mobile - US </v>
      </c>
      <c r="C694" s="4" t="str">
        <f>IFERROR(__xludf.DUMMYFUNCTION("""COMPUTED_VALUE""")," Demographics ")</f>
        <v> Demographics </v>
      </c>
      <c r="D694" s="4" t="str">
        <f>IFERROR(__xludf.DUMMYFUNCTION("""COMPUTED_VALUE""")," Education ")</f>
        <v> Education </v>
      </c>
      <c r="E694" s="4" t="str">
        <f>IFERROR(__xludf.DUMMYFUNCTION("""COMPUTED_VALUE""")," High Education Achievement")</f>
        <v> High Education Achievement</v>
      </c>
      <c r="F694" s="4"/>
      <c r="G694" s="4"/>
      <c r="H694" s="4"/>
      <c r="I694" s="5" t="s">
        <v>15</v>
      </c>
      <c r="J694" s="5" t="s">
        <v>23</v>
      </c>
      <c r="K694" s="5" t="s">
        <v>17</v>
      </c>
      <c r="L694" s="6" t="s">
        <v>992</v>
      </c>
      <c r="M694" s="5" t="s">
        <v>19</v>
      </c>
      <c r="N694" s="5" t="s">
        <v>52</v>
      </c>
      <c r="O694" s="5">
        <v>74164.0</v>
      </c>
      <c r="P694" s="5">
        <v>241.0</v>
      </c>
      <c r="Q694" s="5">
        <v>25104.0</v>
      </c>
      <c r="R694" s="5">
        <v>61242.0</v>
      </c>
      <c r="S694" s="5">
        <v>19.0</v>
      </c>
      <c r="T694" s="5">
        <v>1902.301443</v>
      </c>
      <c r="V694" s="21">
        <f t="shared" si="1"/>
        <v>25.64993046</v>
      </c>
      <c r="W694" s="21">
        <f t="shared" si="2"/>
        <v>75.77682612</v>
      </c>
      <c r="X694" s="21">
        <f t="shared" si="3"/>
        <v>7.883817427</v>
      </c>
      <c r="Y694" s="21">
        <f t="shared" si="4"/>
        <v>100.1211286</v>
      </c>
      <c r="Z694" s="21">
        <f t="shared" si="5"/>
        <v>7.893366983</v>
      </c>
      <c r="AA694" s="21">
        <f t="shared" si="6"/>
        <v>0.324955504</v>
      </c>
    </row>
    <row r="695">
      <c r="A695" s="4" t="s">
        <v>1671</v>
      </c>
      <c r="B695" s="4" t="str">
        <f>IFERROR(__xludf.DUMMYFUNCTION("SPLIT(A695:A1421, ""&gt;"")"),"Media and Entertainment ")</f>
        <v>Media and Entertainment </v>
      </c>
      <c r="C695" s="4" t="str">
        <f>IFERROR(__xludf.DUMMYFUNCTION("""COMPUTED_VALUE""")," Sports and Recreational Activities ")</f>
        <v> Sports and Recreational Activities </v>
      </c>
      <c r="D695" s="4" t="str">
        <f>IFERROR(__xludf.DUMMYFUNCTION("""COMPUTED_VALUE""")," Interest (Affinity) ")</f>
        <v> Interest (Affinity) </v>
      </c>
      <c r="E695" s="4" t="str">
        <f>IFERROR(__xludf.DUMMYFUNCTION("""COMPUTED_VALUE""")," Individual Sports")</f>
        <v> Individual Sports</v>
      </c>
      <c r="F695" s="4"/>
      <c r="G695" s="4"/>
      <c r="H695" s="4"/>
      <c r="I695" s="5" t="s">
        <v>22</v>
      </c>
      <c r="J695" s="5" t="s">
        <v>16</v>
      </c>
      <c r="K695" s="5" t="s">
        <v>35</v>
      </c>
      <c r="L695" s="6" t="s">
        <v>992</v>
      </c>
      <c r="M695" s="5" t="s">
        <v>161</v>
      </c>
      <c r="N695" s="5" t="s">
        <v>27</v>
      </c>
      <c r="O695" s="5">
        <v>37227.0</v>
      </c>
      <c r="P695" s="5">
        <v>130.0</v>
      </c>
      <c r="Q695" s="5">
        <v>13542.0</v>
      </c>
      <c r="R695" s="5">
        <v>32456.0</v>
      </c>
      <c r="S695" s="5">
        <v>4.0</v>
      </c>
      <c r="T695" s="5">
        <v>1901.094691</v>
      </c>
      <c r="V695" s="21">
        <f t="shared" si="1"/>
        <v>51.06763078</v>
      </c>
      <c r="W695" s="21">
        <f t="shared" si="2"/>
        <v>140.3850754</v>
      </c>
      <c r="X695" s="21">
        <f t="shared" si="3"/>
        <v>3.076923077</v>
      </c>
      <c r="Y695" s="21">
        <f t="shared" si="4"/>
        <v>475.2736728</v>
      </c>
      <c r="Z695" s="21">
        <f t="shared" si="5"/>
        <v>14.62380532</v>
      </c>
      <c r="AA695" s="21">
        <f t="shared" si="6"/>
        <v>0.3492089075</v>
      </c>
    </row>
    <row r="696">
      <c r="A696" s="4" t="s">
        <v>1965</v>
      </c>
      <c r="B696" s="4" t="str">
        <f>IFERROR(__xludf.DUMMYFUNCTION("SPLIT(A696:A1422, ""&gt;"")"),"US ")</f>
        <v>US </v>
      </c>
      <c r="C696" s="4" t="str">
        <f>IFERROR(__xludf.DUMMYFUNCTION("""COMPUTED_VALUE""")," Interest Propensities ")</f>
        <v> Interest Propensities </v>
      </c>
      <c r="D696" s="4" t="str">
        <f>IFERROR(__xludf.DUMMYFUNCTION("""COMPUTED_VALUE""")," TV and Movies ")</f>
        <v> TV and Movies </v>
      </c>
      <c r="E696" s="4" t="str">
        <f>IFERROR(__xludf.DUMMYFUNCTION("""COMPUTED_VALUE""")," Drama")</f>
        <v> Drama</v>
      </c>
      <c r="F696" s="4"/>
      <c r="G696" s="4"/>
      <c r="H696" s="4"/>
      <c r="I696" s="5" t="s">
        <v>15</v>
      </c>
      <c r="J696" s="5" t="s">
        <v>42</v>
      </c>
      <c r="K696" s="5" t="s">
        <v>17</v>
      </c>
      <c r="L696" s="6" t="s">
        <v>992</v>
      </c>
      <c r="M696" s="5" t="s">
        <v>26</v>
      </c>
      <c r="N696" s="5" t="s">
        <v>27</v>
      </c>
      <c r="O696" s="5">
        <v>556152.0</v>
      </c>
      <c r="P696" s="5">
        <v>1867.0</v>
      </c>
      <c r="Q696" s="5">
        <v>221833.0</v>
      </c>
      <c r="R696" s="5">
        <v>480882.0</v>
      </c>
      <c r="S696" s="5">
        <v>7.0</v>
      </c>
      <c r="T696" s="5">
        <v>1818.100044</v>
      </c>
      <c r="V696" s="21">
        <f t="shared" si="1"/>
        <v>3.269070405</v>
      </c>
      <c r="W696" s="21">
        <f t="shared" si="2"/>
        <v>8.195805151</v>
      </c>
      <c r="X696" s="21">
        <f t="shared" si="3"/>
        <v>0.3749330477</v>
      </c>
      <c r="Y696" s="21">
        <f t="shared" si="4"/>
        <v>259.7285777</v>
      </c>
      <c r="Z696" s="21">
        <f t="shared" si="5"/>
        <v>0.9738082721</v>
      </c>
      <c r="AA696" s="21">
        <f t="shared" si="6"/>
        <v>0.3356995929</v>
      </c>
    </row>
    <row r="697">
      <c r="A697" s="4" t="s">
        <v>1966</v>
      </c>
      <c r="B697" s="4" t="str">
        <f>IFERROR(__xludf.DUMMYFUNCTION("SPLIT(A697:A1423, ""&gt;"")"),"US ")</f>
        <v>US </v>
      </c>
      <c r="C697" s="4" t="str">
        <f>IFERROR(__xludf.DUMMYFUNCTION("""COMPUTED_VALUE""")," Interest Propensities ")</f>
        <v> Interest Propensities </v>
      </c>
      <c r="D697" s="4" t="str">
        <f>IFERROR(__xludf.DUMMYFUNCTION("""COMPUTED_VALUE""")," Insurance ")</f>
        <v> Insurance </v>
      </c>
      <c r="E697" s="4" t="str">
        <f>IFERROR(__xludf.DUMMYFUNCTION("""COMPUTED_VALUE""")," Transamerica")</f>
        <v> Transamerica</v>
      </c>
      <c r="F697" s="4"/>
      <c r="G697" s="4"/>
      <c r="H697" s="4"/>
      <c r="I697" s="5" t="s">
        <v>15</v>
      </c>
      <c r="J697" s="5" t="s">
        <v>31</v>
      </c>
      <c r="K697" s="5" t="s">
        <v>35</v>
      </c>
      <c r="L697" s="6" t="s">
        <v>992</v>
      </c>
      <c r="M697" s="5" t="s">
        <v>19</v>
      </c>
      <c r="N697" s="5" t="s">
        <v>20</v>
      </c>
      <c r="O697" s="5">
        <v>598460.0</v>
      </c>
      <c r="P697" s="5">
        <v>1654.0</v>
      </c>
      <c r="Q697" s="5">
        <v>201153.0</v>
      </c>
      <c r="R697" s="5">
        <v>557263.0</v>
      </c>
      <c r="S697" s="5">
        <v>13.0</v>
      </c>
      <c r="T697" s="5">
        <v>1689.744507</v>
      </c>
      <c r="V697" s="21">
        <f t="shared" si="1"/>
        <v>2.823487797</v>
      </c>
      <c r="W697" s="21">
        <f t="shared" si="2"/>
        <v>8.400294835</v>
      </c>
      <c r="X697" s="21">
        <f t="shared" si="3"/>
        <v>0.7859733978</v>
      </c>
      <c r="Y697" s="21">
        <f t="shared" si="4"/>
        <v>129.9803467</v>
      </c>
      <c r="Z697" s="21">
        <f t="shared" si="5"/>
        <v>1.021610947</v>
      </c>
      <c r="AA697" s="21">
        <f t="shared" si="6"/>
        <v>0.2763760318</v>
      </c>
    </row>
    <row r="698">
      <c r="A698" s="4" t="s">
        <v>1011</v>
      </c>
      <c r="B698" s="4" t="str">
        <f>IFERROR(__xludf.DUMMYFUNCTION("SPLIT(A698:A1424, ""&gt;"")"),"Media &amp; Entertainment")</f>
        <v>Media &amp; Entertainment</v>
      </c>
      <c r="C698" s="4"/>
      <c r="D698" s="4"/>
      <c r="E698" s="4"/>
      <c r="F698" s="4"/>
      <c r="G698" s="4"/>
      <c r="H698" s="4"/>
      <c r="I698" s="5" t="s">
        <v>15</v>
      </c>
      <c r="J698" s="5" t="s">
        <v>16</v>
      </c>
      <c r="K698" s="5" t="s">
        <v>35</v>
      </c>
      <c r="L698" s="6" t="s">
        <v>992</v>
      </c>
      <c r="M698" s="5" t="s">
        <v>19</v>
      </c>
      <c r="N698" s="5" t="s">
        <v>27</v>
      </c>
      <c r="O698" s="5">
        <v>421110.0</v>
      </c>
      <c r="P698" s="5">
        <v>984.0</v>
      </c>
      <c r="Q698" s="5">
        <v>212140.0</v>
      </c>
      <c r="R698" s="5">
        <v>389474.0</v>
      </c>
      <c r="S698" s="5">
        <v>4.0</v>
      </c>
      <c r="T698" s="5">
        <v>1635.920216</v>
      </c>
      <c r="V698" s="21">
        <f t="shared" si="1"/>
        <v>3.884781212</v>
      </c>
      <c r="W698" s="21">
        <f t="shared" si="2"/>
        <v>7.711512284</v>
      </c>
      <c r="X698" s="21">
        <f t="shared" si="3"/>
        <v>0.406504065</v>
      </c>
      <c r="Y698" s="21">
        <f t="shared" si="4"/>
        <v>408.980054</v>
      </c>
      <c r="Z698" s="21">
        <f t="shared" si="5"/>
        <v>1.662520545</v>
      </c>
      <c r="AA698" s="21">
        <f t="shared" si="6"/>
        <v>0.2336681627</v>
      </c>
    </row>
    <row r="699">
      <c r="A699" s="4" t="s">
        <v>1967</v>
      </c>
      <c r="B699" s="4" t="str">
        <f>IFERROR(__xludf.DUMMYFUNCTION("SPLIT(A699:A1425, ""&gt;"")"),"US ")</f>
        <v>US </v>
      </c>
      <c r="C699" s="4" t="str">
        <f>IFERROR(__xludf.DUMMYFUNCTION("""COMPUTED_VALUE""")," Brand Propensities ")</f>
        <v> Brand Propensities </v>
      </c>
      <c r="D699" s="4" t="str">
        <f>IFERROR(__xludf.DUMMYFUNCTION("""COMPUTED_VALUE""")," Apparel ")</f>
        <v> Apparel </v>
      </c>
      <c r="E699" s="4" t="str">
        <f>IFERROR(__xludf.DUMMYFUNCTION("""COMPUTED_VALUE""")," The Men's Wearhouse Buyer Propensity")</f>
        <v> The Men's Wearhouse Buyer Propensity</v>
      </c>
      <c r="F699" s="4"/>
      <c r="G699" s="4"/>
      <c r="H699" s="4"/>
      <c r="I699" s="5" t="s">
        <v>15</v>
      </c>
      <c r="J699" s="5" t="s">
        <v>31</v>
      </c>
      <c r="K699" s="5" t="s">
        <v>45</v>
      </c>
      <c r="L699" s="6" t="s">
        <v>992</v>
      </c>
      <c r="M699" s="5" t="s">
        <v>46</v>
      </c>
      <c r="N699" s="5" t="s">
        <v>52</v>
      </c>
      <c r="O699" s="5">
        <v>59296.0</v>
      </c>
      <c r="P699" s="5">
        <v>170.0</v>
      </c>
      <c r="Q699" s="5">
        <v>25482.0</v>
      </c>
      <c r="R699" s="5">
        <v>54149.0</v>
      </c>
      <c r="S699" s="5">
        <v>4.0</v>
      </c>
      <c r="T699" s="5">
        <v>1568.715259</v>
      </c>
      <c r="V699" s="21">
        <f t="shared" si="1"/>
        <v>26.45566748</v>
      </c>
      <c r="W699" s="21">
        <f t="shared" si="2"/>
        <v>61.56170077</v>
      </c>
      <c r="X699" s="21">
        <f t="shared" si="3"/>
        <v>2.352941176</v>
      </c>
      <c r="Y699" s="21">
        <f t="shared" si="4"/>
        <v>392.1788148</v>
      </c>
      <c r="Z699" s="21">
        <f t="shared" si="5"/>
        <v>9.227736818</v>
      </c>
      <c r="AA699" s="21">
        <f t="shared" si="6"/>
        <v>0.2866972477</v>
      </c>
    </row>
    <row r="700">
      <c r="A700" s="4" t="s">
        <v>1675</v>
      </c>
      <c r="B700" s="4" t="str">
        <f>IFERROR(__xludf.DUMMYFUNCTION("SPLIT(A700:A1426, ""&gt;"")"),"Travel and Tourism ")</f>
        <v>Travel and Tourism </v>
      </c>
      <c r="C700" s="4" t="str">
        <f>IFERROR(__xludf.DUMMYFUNCTION("""COMPUTED_VALUE""")," Interest (Affinity) ")</f>
        <v> Interest (Affinity) </v>
      </c>
      <c r="D700" s="4" t="str">
        <f>IFERROR(__xludf.DUMMYFUNCTION("""COMPUTED_VALUE""")," Products ")</f>
        <v> Products </v>
      </c>
      <c r="E700" s="4" t="str">
        <f>IFERROR(__xludf.DUMMYFUNCTION("""COMPUTED_VALUE""")," Air Travel")</f>
        <v> Air Travel</v>
      </c>
      <c r="F700" s="4"/>
      <c r="G700" s="4"/>
      <c r="H700" s="4"/>
      <c r="I700" s="5" t="s">
        <v>15</v>
      </c>
      <c r="J700" s="5" t="s">
        <v>42</v>
      </c>
      <c r="K700" s="5" t="s">
        <v>398</v>
      </c>
      <c r="L700" s="6" t="s">
        <v>992</v>
      </c>
      <c r="M700" s="5" t="s">
        <v>46</v>
      </c>
      <c r="N700" s="5" t="s">
        <v>52</v>
      </c>
      <c r="O700" s="5">
        <v>307888.0</v>
      </c>
      <c r="P700" s="5">
        <v>863.0</v>
      </c>
      <c r="Q700" s="5">
        <v>134959.0</v>
      </c>
      <c r="R700" s="5">
        <v>274790.0</v>
      </c>
      <c r="S700" s="5">
        <v>11.0</v>
      </c>
      <c r="T700" s="5">
        <v>1559.643865</v>
      </c>
      <c r="V700" s="21">
        <f t="shared" si="1"/>
        <v>5.065620826</v>
      </c>
      <c r="W700" s="21">
        <f t="shared" si="2"/>
        <v>11.55642725</v>
      </c>
      <c r="X700" s="21">
        <f t="shared" si="3"/>
        <v>1.274623407</v>
      </c>
      <c r="Y700" s="21">
        <f t="shared" si="4"/>
        <v>141.7858059</v>
      </c>
      <c r="Z700" s="21">
        <f t="shared" si="5"/>
        <v>1.80723507</v>
      </c>
      <c r="AA700" s="21">
        <f t="shared" si="6"/>
        <v>0.2802967313</v>
      </c>
    </row>
    <row r="701">
      <c r="A701" s="4" t="s">
        <v>1676</v>
      </c>
      <c r="B701" s="4" t="str">
        <f>IFERROR(__xludf.DUMMYFUNCTION("SPLIT(A701:A1427, ""&gt;"")"),"OnAudience ")</f>
        <v>OnAudience </v>
      </c>
      <c r="C701" s="4" t="str">
        <f>IFERROR(__xludf.DUMMYFUNCTION("""COMPUTED_VALUE""")," Interest ")</f>
        <v> Interest </v>
      </c>
      <c r="D701" s="4" t="str">
        <f>IFERROR(__xludf.DUMMYFUNCTION("""COMPUTED_VALUE""")," Technology &amp; Computing ")</f>
        <v> Technology &amp; Computing </v>
      </c>
      <c r="E701" s="4" t="str">
        <f>IFERROR(__xludf.DUMMYFUNCTION("""COMPUTED_VALUE""")," Entertainment")</f>
        <v> Entertainment</v>
      </c>
      <c r="F701" s="4"/>
      <c r="G701" s="4"/>
      <c r="H701" s="4"/>
      <c r="I701" s="5" t="s">
        <v>15</v>
      </c>
      <c r="J701" s="5" t="s">
        <v>23</v>
      </c>
      <c r="K701" s="5" t="s">
        <v>24</v>
      </c>
      <c r="L701" s="6" t="s">
        <v>992</v>
      </c>
      <c r="M701" s="5" t="s">
        <v>46</v>
      </c>
      <c r="N701" s="5" t="s">
        <v>27</v>
      </c>
      <c r="O701" s="5">
        <v>85965.0</v>
      </c>
      <c r="P701" s="5">
        <v>233.0</v>
      </c>
      <c r="Q701" s="5">
        <v>33865.0</v>
      </c>
      <c r="R701" s="5">
        <v>78662.0</v>
      </c>
      <c r="S701" s="5">
        <v>3.0</v>
      </c>
      <c r="T701" s="5">
        <v>1555.534812</v>
      </c>
      <c r="V701" s="21">
        <f t="shared" si="1"/>
        <v>18.09497833</v>
      </c>
      <c r="W701" s="21">
        <f t="shared" si="2"/>
        <v>45.93340653</v>
      </c>
      <c r="X701" s="21">
        <f t="shared" si="3"/>
        <v>1.287553648</v>
      </c>
      <c r="Y701" s="21">
        <f t="shared" si="4"/>
        <v>518.511604</v>
      </c>
      <c r="Z701" s="21">
        <f t="shared" si="5"/>
        <v>6.676115073</v>
      </c>
      <c r="AA701" s="21">
        <f t="shared" si="6"/>
        <v>0.2710405398</v>
      </c>
    </row>
    <row r="702">
      <c r="A702" s="4" t="s">
        <v>1968</v>
      </c>
      <c r="B702" s="4" t="str">
        <f>IFERROR(__xludf.DUMMYFUNCTION("SPLIT(A702:A1428, ""&gt;"")"),"US ")</f>
        <v>US </v>
      </c>
      <c r="C702" s="4" t="str">
        <f>IFERROR(__xludf.DUMMYFUNCTION("""COMPUTED_VALUE""")," Brand Propensities ")</f>
        <v> Brand Propensities </v>
      </c>
      <c r="D702" s="4" t="str">
        <f>IFERROR(__xludf.DUMMYFUNCTION("""COMPUTED_VALUE""")," Restaurants and Dining ")</f>
        <v> Restaurants and Dining </v>
      </c>
      <c r="E702" s="4" t="str">
        <f>IFERROR(__xludf.DUMMYFUNCTION("""COMPUTED_VALUE""")," Seamless Buyer Propensity")</f>
        <v> Seamless Buyer Propensity</v>
      </c>
      <c r="F702" s="4"/>
      <c r="G702" s="4"/>
      <c r="H702" s="4"/>
      <c r="I702" s="5" t="s">
        <v>15</v>
      </c>
      <c r="J702" s="5" t="s">
        <v>31</v>
      </c>
      <c r="K702" s="5" t="s">
        <v>55</v>
      </c>
      <c r="L702" s="6" t="s">
        <v>992</v>
      </c>
      <c r="M702" s="5" t="s">
        <v>46</v>
      </c>
      <c r="N702" s="5" t="s">
        <v>27</v>
      </c>
      <c r="O702" s="5">
        <v>335664.0</v>
      </c>
      <c r="P702" s="5">
        <v>852.0</v>
      </c>
      <c r="Q702" s="5">
        <v>148742.0</v>
      </c>
      <c r="R702" s="5">
        <v>313071.0</v>
      </c>
      <c r="S702" s="5">
        <v>25.0</v>
      </c>
      <c r="T702" s="5">
        <v>1542.500216</v>
      </c>
      <c r="V702" s="21">
        <f t="shared" si="1"/>
        <v>4.595369822</v>
      </c>
      <c r="W702" s="21">
        <f t="shared" si="2"/>
        <v>10.37030708</v>
      </c>
      <c r="X702" s="21">
        <f t="shared" si="3"/>
        <v>2.9342723</v>
      </c>
      <c r="Y702" s="21">
        <f t="shared" si="4"/>
        <v>61.70000864</v>
      </c>
      <c r="Z702" s="21">
        <f t="shared" si="5"/>
        <v>1.810446263</v>
      </c>
      <c r="AA702" s="21">
        <f t="shared" si="6"/>
        <v>0.2538252538</v>
      </c>
    </row>
    <row r="703">
      <c r="A703" s="4" t="s">
        <v>1969</v>
      </c>
      <c r="B703" s="4" t="str">
        <f>IFERROR(__xludf.DUMMYFUNCTION("SPLIT(A703:A1429, ""&gt;"")"),"Mobile - US ")</f>
        <v>Mobile - US </v>
      </c>
      <c r="C703" s="4" t="str">
        <f>IFERROR(__xludf.DUMMYFUNCTION("""COMPUTED_VALUE""")," Sports ")</f>
        <v> Sports </v>
      </c>
      <c r="D703" s="4" t="str">
        <f>IFERROR(__xludf.DUMMYFUNCTION("""COMPUTED_VALUE""")," Motor Sports ")</f>
        <v> Motor Sports </v>
      </c>
      <c r="E703" s="4" t="str">
        <f>IFERROR(__xludf.DUMMYFUNCTION("""COMPUTED_VALUE""")," NASCAR")</f>
        <v> NASCAR</v>
      </c>
      <c r="F703" s="4"/>
      <c r="G703" s="4"/>
      <c r="H703" s="4"/>
      <c r="I703" s="5" t="s">
        <v>22</v>
      </c>
      <c r="J703" s="5" t="s">
        <v>31</v>
      </c>
      <c r="K703" s="5" t="s">
        <v>273</v>
      </c>
      <c r="L703" s="6" t="s">
        <v>992</v>
      </c>
      <c r="M703" s="5" t="s">
        <v>19</v>
      </c>
      <c r="N703" s="5" t="s">
        <v>27</v>
      </c>
      <c r="O703" s="5">
        <v>74516.0</v>
      </c>
      <c r="P703" s="5">
        <v>200.0</v>
      </c>
      <c r="Q703" s="5">
        <v>23985.0</v>
      </c>
      <c r="R703" s="5">
        <v>63853.0</v>
      </c>
      <c r="S703" s="5">
        <v>24.0</v>
      </c>
      <c r="T703" s="5">
        <v>1523.783909</v>
      </c>
      <c r="V703" s="21">
        <f t="shared" si="1"/>
        <v>20.44908354</v>
      </c>
      <c r="W703" s="21">
        <f t="shared" si="2"/>
        <v>63.5307029</v>
      </c>
      <c r="X703" s="21">
        <f t="shared" si="3"/>
        <v>12</v>
      </c>
      <c r="Y703" s="21">
        <f t="shared" si="4"/>
        <v>63.49099621</v>
      </c>
      <c r="Z703" s="21">
        <f t="shared" si="5"/>
        <v>7.618919545</v>
      </c>
      <c r="AA703" s="21">
        <f t="shared" si="6"/>
        <v>0.2683987332</v>
      </c>
    </row>
    <row r="704">
      <c r="A704" s="4" t="s">
        <v>1970</v>
      </c>
      <c r="B704" s="4" t="str">
        <f>IFERROR(__xludf.DUMMYFUNCTION("SPLIT(A704:A1430, ""&gt;"")"),"US ")</f>
        <v>US </v>
      </c>
      <c r="C704" s="4" t="str">
        <f>IFERROR(__xludf.DUMMYFUNCTION("""COMPUTED_VALUE""")," Reach ")</f>
        <v> Reach </v>
      </c>
      <c r="D704" s="4" t="str">
        <f>IFERROR(__xludf.DUMMYFUNCTION("""COMPUTED_VALUE""")," Propensity Models ")</f>
        <v> Propensity Models </v>
      </c>
      <c r="E704" s="4" t="str">
        <f>IFERROR(__xludf.DUMMYFUNCTION("""COMPUTED_VALUE""")," Hobbies and Interest ")</f>
        <v> Hobbies and Interest </v>
      </c>
      <c r="F704" s="4" t="str">
        <f>IFERROR(__xludf.DUMMYFUNCTION("""COMPUTED_VALUE""")," Food and Drinks ")</f>
        <v> Food and Drinks </v>
      </c>
      <c r="G704" s="4" t="str">
        <f>IFERROR(__xludf.DUMMYFUNCTION("""COMPUTED_VALUE""")," Coffee Connoisseurs")</f>
        <v> Coffee Connoisseurs</v>
      </c>
      <c r="H704" s="4"/>
      <c r="I704" s="5" t="s">
        <v>22</v>
      </c>
      <c r="J704" s="5" t="s">
        <v>42</v>
      </c>
      <c r="K704" s="5" t="s">
        <v>55</v>
      </c>
      <c r="L704" s="6" t="s">
        <v>992</v>
      </c>
      <c r="M704" s="5" t="s">
        <v>19</v>
      </c>
      <c r="N704" s="5" t="s">
        <v>27</v>
      </c>
      <c r="O704" s="5">
        <v>263752.0</v>
      </c>
      <c r="P704" s="5">
        <v>702.0</v>
      </c>
      <c r="Q704" s="5">
        <v>127042.0</v>
      </c>
      <c r="R704" s="5">
        <v>225121.0</v>
      </c>
      <c r="S704" s="5">
        <v>4.0</v>
      </c>
      <c r="T704" s="5">
        <v>1465.51471</v>
      </c>
      <c r="V704" s="21">
        <f t="shared" si="1"/>
        <v>5.556411743</v>
      </c>
      <c r="W704" s="21">
        <f t="shared" si="2"/>
        <v>11.53567096</v>
      </c>
      <c r="X704" s="21">
        <f t="shared" si="3"/>
        <v>0.5698005698</v>
      </c>
      <c r="Y704" s="21">
        <f t="shared" si="4"/>
        <v>366.3786775</v>
      </c>
      <c r="Z704" s="21">
        <f t="shared" si="5"/>
        <v>2.087627792</v>
      </c>
      <c r="AA704" s="21">
        <f t="shared" si="6"/>
        <v>0.2661591192</v>
      </c>
    </row>
    <row r="705">
      <c r="A705" s="4" t="s">
        <v>1971</v>
      </c>
      <c r="B705" s="4" t="str">
        <f>IFERROR(__xludf.DUMMYFUNCTION("SPLIT(A705:A1431, ""&gt;"")"),"US ")</f>
        <v>US </v>
      </c>
      <c r="C705" s="4" t="str">
        <f>IFERROR(__xludf.DUMMYFUNCTION("""COMPUTED_VALUE""")," Demographic ")</f>
        <v> Demographic </v>
      </c>
      <c r="D705" s="4" t="str">
        <f>IFERROR(__xludf.DUMMYFUNCTION("""COMPUTED_VALUE""")," Family ")</f>
        <v> Family </v>
      </c>
      <c r="E705" s="4" t="str">
        <f>IFERROR(__xludf.DUMMYFUNCTION("""COMPUTED_VALUE""")," Households with 2 Adults")</f>
        <v> Households with 2 Adults</v>
      </c>
      <c r="F705" s="4"/>
      <c r="G705" s="4"/>
      <c r="H705" s="4"/>
      <c r="I705" s="5" t="s">
        <v>22</v>
      </c>
      <c r="J705" s="5" t="s">
        <v>42</v>
      </c>
      <c r="K705" s="5" t="s">
        <v>398</v>
      </c>
      <c r="L705" s="6" t="s">
        <v>992</v>
      </c>
      <c r="M705" s="5" t="s">
        <v>46</v>
      </c>
      <c r="N705" s="5" t="s">
        <v>27</v>
      </c>
      <c r="O705" s="5">
        <v>507889.0</v>
      </c>
      <c r="P705" s="5">
        <v>823.0</v>
      </c>
      <c r="Q705" s="5">
        <v>176329.0</v>
      </c>
      <c r="R705" s="5">
        <v>450103.0</v>
      </c>
      <c r="S705" s="5">
        <v>78.0</v>
      </c>
      <c r="T705" s="5">
        <v>1440.745362</v>
      </c>
      <c r="V705" s="21">
        <f t="shared" si="1"/>
        <v>2.836732755</v>
      </c>
      <c r="W705" s="21">
        <f t="shared" si="2"/>
        <v>8.170779407</v>
      </c>
      <c r="X705" s="21">
        <f t="shared" si="3"/>
        <v>9.477521264</v>
      </c>
      <c r="Y705" s="21">
        <f t="shared" si="4"/>
        <v>18.47109438</v>
      </c>
      <c r="Z705" s="21">
        <f t="shared" si="5"/>
        <v>1.750601898</v>
      </c>
      <c r="AA705" s="21">
        <f t="shared" si="6"/>
        <v>0.1620432811</v>
      </c>
    </row>
    <row r="706">
      <c r="A706" s="4" t="s">
        <v>1972</v>
      </c>
      <c r="B706" s="4" t="str">
        <f>IFERROR(__xludf.DUMMYFUNCTION("SPLIT(A706:A1432, ""&gt;"")"),"US ")</f>
        <v>US </v>
      </c>
      <c r="C706" s="4" t="str">
        <f>IFERROR(__xludf.DUMMYFUNCTION("""COMPUTED_VALUE""")," Interest Propensities ")</f>
        <v> Interest Propensities </v>
      </c>
      <c r="D706" s="4" t="str">
        <f>IFERROR(__xludf.DUMMYFUNCTION("""COMPUTED_VALUE""")," Brands ")</f>
        <v> Brands </v>
      </c>
      <c r="E706" s="4" t="str">
        <f>IFERROR(__xludf.DUMMYFUNCTION("""COMPUTED_VALUE""")," Big Box Retail")</f>
        <v> Big Box Retail</v>
      </c>
      <c r="F706" s="4"/>
      <c r="G706" s="4"/>
      <c r="H706" s="4"/>
      <c r="I706" s="5" t="s">
        <v>22</v>
      </c>
      <c r="J706" s="5" t="s">
        <v>23</v>
      </c>
      <c r="K706" s="5" t="s">
        <v>84</v>
      </c>
      <c r="L706" s="6" t="s">
        <v>1020</v>
      </c>
      <c r="M706" s="5" t="s">
        <v>19</v>
      </c>
      <c r="N706" s="5" t="s">
        <v>27</v>
      </c>
      <c r="O706" s="5">
        <v>61474.0</v>
      </c>
      <c r="P706" s="5">
        <v>250.0</v>
      </c>
      <c r="Q706" s="5">
        <v>31245.0</v>
      </c>
      <c r="R706" s="5">
        <v>49089.0</v>
      </c>
      <c r="S706" s="5">
        <v>15.0</v>
      </c>
      <c r="T706" s="5">
        <v>2189.341349</v>
      </c>
      <c r="V706" s="21">
        <f t="shared" si="1"/>
        <v>35.61410269</v>
      </c>
      <c r="W706" s="21">
        <f t="shared" si="2"/>
        <v>70.07013439</v>
      </c>
      <c r="X706" s="21">
        <f t="shared" si="3"/>
        <v>6</v>
      </c>
      <c r="Y706" s="21">
        <f t="shared" si="4"/>
        <v>145.9560899</v>
      </c>
      <c r="Z706" s="21">
        <f t="shared" si="5"/>
        <v>8.757365396</v>
      </c>
      <c r="AA706" s="21">
        <f t="shared" si="6"/>
        <v>0.4066759931</v>
      </c>
    </row>
    <row r="707">
      <c r="A707" s="4" t="s">
        <v>1682</v>
      </c>
      <c r="B707" s="4" t="str">
        <f>IFERROR(__xludf.DUMMYFUNCTION("SPLIT(A707:A1433, ""&gt;"")"),"Travel and Tourism ")</f>
        <v>Travel and Tourism </v>
      </c>
      <c r="C707" s="4" t="str">
        <f>IFERROR(__xludf.DUMMYFUNCTION("""COMPUTED_VALUE""")," Interest (Affinity)")</f>
        <v> Interest (Affinity)</v>
      </c>
      <c r="D707" s="4"/>
      <c r="E707" s="4"/>
      <c r="F707" s="4"/>
      <c r="G707" s="4"/>
      <c r="H707" s="4"/>
      <c r="I707" s="5" t="s">
        <v>22</v>
      </c>
      <c r="J707" s="5" t="s">
        <v>16</v>
      </c>
      <c r="K707" s="5" t="s">
        <v>29</v>
      </c>
      <c r="L707" s="6" t="s">
        <v>1020</v>
      </c>
      <c r="M707" s="5" t="s">
        <v>19</v>
      </c>
      <c r="N707" s="5" t="s">
        <v>27</v>
      </c>
      <c r="O707" s="5">
        <v>14890.0</v>
      </c>
      <c r="P707" s="5">
        <v>60.0</v>
      </c>
      <c r="Q707" s="5">
        <v>6248.0</v>
      </c>
      <c r="R707" s="5">
        <v>11493.0</v>
      </c>
      <c r="S707" s="5">
        <v>6.0</v>
      </c>
      <c r="T707" s="5">
        <v>1982.416484</v>
      </c>
      <c r="V707" s="21">
        <f t="shared" si="1"/>
        <v>133.1374402</v>
      </c>
      <c r="W707" s="21">
        <f t="shared" si="2"/>
        <v>317.2881697</v>
      </c>
      <c r="X707" s="21">
        <f t="shared" si="3"/>
        <v>10</v>
      </c>
      <c r="Y707" s="21">
        <f t="shared" si="4"/>
        <v>330.4027473</v>
      </c>
      <c r="Z707" s="21">
        <f t="shared" si="5"/>
        <v>33.04027473</v>
      </c>
      <c r="AA707" s="21">
        <f t="shared" si="6"/>
        <v>0.4029550034</v>
      </c>
    </row>
    <row r="708">
      <c r="A708" s="4" t="s">
        <v>1973</v>
      </c>
      <c r="B708" s="4" t="str">
        <f>IFERROR(__xludf.DUMMYFUNCTION("SPLIT(A708:A1434, ""&gt;"")"),"US ")</f>
        <v>US </v>
      </c>
      <c r="C708" s="4" t="str">
        <f>IFERROR(__xludf.DUMMYFUNCTION("""COMPUTED_VALUE""")," Brand Propensities ")</f>
        <v> Brand Propensities </v>
      </c>
      <c r="D708" s="4" t="str">
        <f>IFERROR(__xludf.DUMMYFUNCTION("""COMPUTED_VALUE""")," Media and Entertainment ")</f>
        <v> Media and Entertainment </v>
      </c>
      <c r="E708" s="4" t="str">
        <f>IFERROR(__xludf.DUMMYFUNCTION("""COMPUTED_VALUE""")," pokerstars.net Buyer Propensity")</f>
        <v> pokerstars.net Buyer Propensity</v>
      </c>
      <c r="F708" s="4"/>
      <c r="G708" s="4"/>
      <c r="H708" s="4"/>
      <c r="I708" s="5" t="s">
        <v>15</v>
      </c>
      <c r="J708" s="5" t="s">
        <v>42</v>
      </c>
      <c r="K708" s="5" t="s">
        <v>35</v>
      </c>
      <c r="L708" s="6" t="s">
        <v>1020</v>
      </c>
      <c r="M708" s="5" t="s">
        <v>117</v>
      </c>
      <c r="N708" s="5" t="s">
        <v>27</v>
      </c>
      <c r="O708" s="5">
        <v>61227.0</v>
      </c>
      <c r="P708" s="5">
        <v>174.0</v>
      </c>
      <c r="Q708" s="5">
        <v>10434.0</v>
      </c>
      <c r="R708" s="5">
        <v>53104.0</v>
      </c>
      <c r="S708" s="5">
        <v>8.0</v>
      </c>
      <c r="T708" s="5">
        <v>1919.553678</v>
      </c>
      <c r="V708" s="21">
        <f t="shared" si="1"/>
        <v>31.35142467</v>
      </c>
      <c r="W708" s="21">
        <f t="shared" si="2"/>
        <v>183.9710253</v>
      </c>
      <c r="X708" s="21">
        <f t="shared" si="3"/>
        <v>4.597701149</v>
      </c>
      <c r="Y708" s="21">
        <f t="shared" si="4"/>
        <v>239.9442098</v>
      </c>
      <c r="Z708" s="21">
        <f t="shared" si="5"/>
        <v>11.03191769</v>
      </c>
      <c r="AA708" s="21">
        <f t="shared" si="6"/>
        <v>0.2841883483</v>
      </c>
    </row>
    <row r="709">
      <c r="A709" s="4" t="s">
        <v>1684</v>
      </c>
      <c r="B709" s="4" t="str">
        <f>IFERROR(__xludf.DUMMYFUNCTION("SPLIT(A709:A1435, ""&gt;"")"),"Online Behavior")</f>
        <v>Online Behavior</v>
      </c>
      <c r="C709" s="4" t="str">
        <f>IFERROR(__xludf.DUMMYFUNCTION("""COMPUTED_VALUE"""),"United States")</f>
        <v>United States</v>
      </c>
      <c r="D709" s="4" t="str">
        <f>IFERROR(__xludf.DUMMYFUNCTION("""COMPUTED_VALUE"""),"Intent ")</f>
        <v>Intent </v>
      </c>
      <c r="E709" s="4" t="str">
        <f>IFERROR(__xludf.DUMMYFUNCTION("""COMPUTED_VALUE""")," Shopping")</f>
        <v> Shopping</v>
      </c>
      <c r="F709" s="4" t="str">
        <f>IFERROR(__xludf.DUMMYFUNCTION("""COMPUTED_VALUE"""),"Pet Food ")</f>
        <v>Pet Food </v>
      </c>
      <c r="G709" s="4" t="str">
        <f>IFERROR(__xludf.DUMMYFUNCTION("""COMPUTED_VALUE""")," Dog")</f>
        <v> Dog</v>
      </c>
      <c r="H709" s="4"/>
      <c r="I709" s="5" t="s">
        <v>22</v>
      </c>
      <c r="J709" s="5" t="s">
        <v>16</v>
      </c>
      <c r="K709" s="5" t="s">
        <v>35</v>
      </c>
      <c r="L709" s="6" t="s">
        <v>1024</v>
      </c>
      <c r="M709" s="5" t="s">
        <v>19</v>
      </c>
      <c r="N709" s="5" t="s">
        <v>27</v>
      </c>
      <c r="O709" s="5">
        <v>18516.0</v>
      </c>
      <c r="P709" s="5">
        <v>68.0</v>
      </c>
      <c r="Q709" s="5">
        <v>8191.0</v>
      </c>
      <c r="R709" s="5">
        <v>13641.0</v>
      </c>
      <c r="S709" s="5">
        <v>13.0</v>
      </c>
      <c r="T709" s="5">
        <v>5087.561715</v>
      </c>
      <c r="V709" s="21">
        <f t="shared" si="1"/>
        <v>274.7657007</v>
      </c>
      <c r="W709" s="21">
        <f t="shared" si="2"/>
        <v>621.1160682</v>
      </c>
      <c r="X709" s="21">
        <f t="shared" si="3"/>
        <v>19.11764706</v>
      </c>
      <c r="Y709" s="21">
        <f t="shared" si="4"/>
        <v>391.3509012</v>
      </c>
      <c r="Z709" s="21">
        <f t="shared" si="5"/>
        <v>74.81708404</v>
      </c>
      <c r="AA709" s="21">
        <f t="shared" si="6"/>
        <v>0.367249946</v>
      </c>
    </row>
    <row r="710">
      <c r="A710" s="4" t="s">
        <v>1685</v>
      </c>
      <c r="B710" s="4" t="str">
        <f>IFERROR(__xludf.DUMMYFUNCTION("SPLIT(A710:A1436, ""&gt;"")"),"Online Behavior")</f>
        <v>Online Behavior</v>
      </c>
      <c r="C710" s="4" t="str">
        <f>IFERROR(__xludf.DUMMYFUNCTION("""COMPUTED_VALUE"""),"United States")</f>
        <v>United States</v>
      </c>
      <c r="D710" s="4" t="str">
        <f>IFERROR(__xludf.DUMMYFUNCTION("""COMPUTED_VALUE"""),"B2B ")</f>
        <v>B2B </v>
      </c>
      <c r="E710" s="4" t="str">
        <f>IFERROR(__xludf.DUMMYFUNCTION("""COMPUTED_VALUE""")," Occupation")</f>
        <v> Occupation</v>
      </c>
      <c r="F710" s="4" t="str">
        <f>IFERROR(__xludf.DUMMYFUNCTION("""COMPUTED_VALUE"""),"Architect")</f>
        <v>Architect</v>
      </c>
      <c r="G710" s="4"/>
      <c r="H710" s="4"/>
      <c r="I710" s="5" t="s">
        <v>15</v>
      </c>
      <c r="J710" s="5" t="s">
        <v>16</v>
      </c>
      <c r="K710" s="5" t="s">
        <v>55</v>
      </c>
      <c r="L710" s="6" t="s">
        <v>1024</v>
      </c>
      <c r="M710" s="5" t="s">
        <v>19</v>
      </c>
      <c r="N710" s="5" t="s">
        <v>27</v>
      </c>
      <c r="O710" s="5">
        <v>11420.0</v>
      </c>
      <c r="P710" s="5">
        <v>67.0</v>
      </c>
      <c r="Q710" s="5">
        <v>4647.0</v>
      </c>
      <c r="R710" s="5">
        <v>9909.0</v>
      </c>
      <c r="S710" s="5">
        <v>9.0</v>
      </c>
      <c r="T710" s="5">
        <v>3804.64417</v>
      </c>
      <c r="V710" s="21">
        <f t="shared" si="1"/>
        <v>333.156232</v>
      </c>
      <c r="W710" s="21">
        <f t="shared" si="2"/>
        <v>818.731261</v>
      </c>
      <c r="X710" s="21">
        <f t="shared" si="3"/>
        <v>13.43283582</v>
      </c>
      <c r="Y710" s="21">
        <f t="shared" si="4"/>
        <v>422.7382411</v>
      </c>
      <c r="Z710" s="21">
        <f t="shared" si="5"/>
        <v>56.78573388</v>
      </c>
      <c r="AA710" s="21">
        <f t="shared" si="6"/>
        <v>0.5866900175</v>
      </c>
    </row>
    <row r="711">
      <c r="A711" s="4" t="s">
        <v>1686</v>
      </c>
      <c r="B711" s="4" t="str">
        <f>IFERROR(__xludf.DUMMYFUNCTION("SPLIT(A711:A1437, ""&gt;"")"),"Online Behavior")</f>
        <v>Online Behavior</v>
      </c>
      <c r="C711" s="4" t="str">
        <f>IFERROR(__xludf.DUMMYFUNCTION("""COMPUTED_VALUE"""),"United States")</f>
        <v>United States</v>
      </c>
      <c r="D711" s="4" t="str">
        <f>IFERROR(__xludf.DUMMYFUNCTION("""COMPUTED_VALUE"""),"Validated Demographic ")</f>
        <v>Validated Demographic </v>
      </c>
      <c r="E711" s="4" t="str">
        <f>IFERROR(__xludf.DUMMYFUNCTION("""COMPUTED_VALUE""")," Gender")</f>
        <v> Gender</v>
      </c>
      <c r="F711" s="4" t="str">
        <f>IFERROR(__xludf.DUMMYFUNCTION("""COMPUTED_VALUE"""),"Female")</f>
        <v>Female</v>
      </c>
      <c r="G711" s="4"/>
      <c r="H711" s="4"/>
      <c r="I711" s="5" t="s">
        <v>61</v>
      </c>
      <c r="J711" s="5" t="s">
        <v>16</v>
      </c>
      <c r="K711" s="5" t="s">
        <v>55</v>
      </c>
      <c r="L711" s="6" t="s">
        <v>1027</v>
      </c>
      <c r="M711" s="5" t="s">
        <v>19</v>
      </c>
      <c r="N711" s="5" t="s">
        <v>27</v>
      </c>
      <c r="O711" s="5">
        <v>10906.0</v>
      </c>
      <c r="P711" s="5">
        <v>46.0</v>
      </c>
      <c r="Q711" s="5">
        <v>4735.0</v>
      </c>
      <c r="R711" s="5">
        <v>6390.0</v>
      </c>
      <c r="S711" s="5">
        <v>3.0</v>
      </c>
      <c r="T711" s="5">
        <v>5694.27094</v>
      </c>
      <c r="V711" s="21">
        <f t="shared" si="1"/>
        <v>522.122771</v>
      </c>
      <c r="W711" s="21">
        <f t="shared" si="2"/>
        <v>1202.59154</v>
      </c>
      <c r="X711" s="21">
        <f t="shared" si="3"/>
        <v>6.52173913</v>
      </c>
      <c r="Y711" s="21">
        <f t="shared" si="4"/>
        <v>1898.090313</v>
      </c>
      <c r="Z711" s="21">
        <f t="shared" si="5"/>
        <v>123.7884987</v>
      </c>
      <c r="AA711" s="21">
        <f t="shared" si="6"/>
        <v>0.4217861727</v>
      </c>
    </row>
    <row r="712">
      <c r="A712" s="4" t="s">
        <v>1687</v>
      </c>
      <c r="B712" s="4" t="str">
        <f>IFERROR(__xludf.DUMMYFUNCTION("SPLIT(A712:A1438, ""&gt;"")"),"Online Behavior")</f>
        <v>Online Behavior</v>
      </c>
      <c r="C712" s="4" t="str">
        <f>IFERROR(__xludf.DUMMYFUNCTION("""COMPUTED_VALUE"""),"United States")</f>
        <v>United States</v>
      </c>
      <c r="D712" s="4" t="str">
        <f>IFERROR(__xludf.DUMMYFUNCTION("""COMPUTED_VALUE"""),"Beauty and Fitness")</f>
        <v>Beauty and Fitness</v>
      </c>
      <c r="E712" s="4" t="str">
        <f>IFERROR(__xludf.DUMMYFUNCTION("""COMPUTED_VALUE"""),"Face and Body Care ")</f>
        <v>Face and Body Care </v>
      </c>
      <c r="F712" s="4" t="str">
        <f>IFERROR(__xludf.DUMMYFUNCTION("""COMPUTED_VALUE""")," Make-Up and Cosmetics")</f>
        <v> Make-Up and Cosmetics</v>
      </c>
      <c r="G712" s="4"/>
      <c r="H712" s="4"/>
      <c r="I712" s="5" t="s">
        <v>15</v>
      </c>
      <c r="J712" s="5" t="s">
        <v>42</v>
      </c>
      <c r="K712" s="5" t="s">
        <v>29</v>
      </c>
      <c r="L712" s="6" t="s">
        <v>1029</v>
      </c>
      <c r="M712" s="5" t="s">
        <v>46</v>
      </c>
      <c r="N712" s="5" t="s">
        <v>20</v>
      </c>
      <c r="O712" s="5">
        <v>7585.0</v>
      </c>
      <c r="P712" s="5">
        <v>13.0</v>
      </c>
      <c r="Q712" s="5">
        <v>5396.0</v>
      </c>
      <c r="R712" s="5">
        <v>7417.0</v>
      </c>
      <c r="S712" s="5">
        <v>24.0</v>
      </c>
      <c r="T712" s="5">
        <v>7082.653802</v>
      </c>
      <c r="V712" s="21">
        <f t="shared" si="1"/>
        <v>933.7711011</v>
      </c>
      <c r="W712" s="21">
        <f t="shared" si="2"/>
        <v>1312.574834</v>
      </c>
      <c r="X712" s="21">
        <f t="shared" si="3"/>
        <v>184.6153846</v>
      </c>
      <c r="Y712" s="21">
        <f t="shared" si="4"/>
        <v>295.1105751</v>
      </c>
      <c r="Z712" s="21">
        <f t="shared" si="5"/>
        <v>544.8195232</v>
      </c>
      <c r="AA712" s="21">
        <f t="shared" si="6"/>
        <v>0.1713909031</v>
      </c>
    </row>
    <row r="713">
      <c r="A713" s="4" t="s">
        <v>1974</v>
      </c>
      <c r="B713" s="4" t="str">
        <f>IFERROR(__xludf.DUMMYFUNCTION("SPLIT(A713:A1439, ""&gt;"")"),"US ")</f>
        <v>US </v>
      </c>
      <c r="C713" s="4" t="str">
        <f>IFERROR(__xludf.DUMMYFUNCTION("""COMPUTED_VALUE""")," Multibuyer Behaviors ")</f>
        <v> Multibuyer Behaviors </v>
      </c>
      <c r="D713" s="4" t="str">
        <f>IFERROR(__xludf.DUMMYFUNCTION("""COMPUTED_VALUE""")," Club ")</f>
        <v> Club </v>
      </c>
      <c r="E713" s="4" t="str">
        <f>IFERROR(__xludf.DUMMYFUNCTION("""COMPUTED_VALUE""")," Continuity Buyers")</f>
        <v> Continuity Buyers</v>
      </c>
      <c r="F713" s="4"/>
      <c r="G713" s="4"/>
      <c r="H713" s="4"/>
      <c r="I713" s="5" t="s">
        <v>22</v>
      </c>
      <c r="J713" s="5" t="s">
        <v>16</v>
      </c>
      <c r="K713" s="5" t="s">
        <v>55</v>
      </c>
      <c r="L713" s="6" t="s">
        <v>1029</v>
      </c>
      <c r="M713" s="5" t="s">
        <v>117</v>
      </c>
      <c r="N713" s="5" t="s">
        <v>27</v>
      </c>
      <c r="O713" s="5">
        <v>12692.0</v>
      </c>
      <c r="P713" s="5">
        <v>105.0</v>
      </c>
      <c r="Q713" s="5">
        <v>9048.0</v>
      </c>
      <c r="R713" s="5">
        <v>12326.0</v>
      </c>
      <c r="S713" s="5">
        <v>14.0</v>
      </c>
      <c r="T713" s="5">
        <v>1541.719598</v>
      </c>
      <c r="V713" s="21">
        <f t="shared" si="1"/>
        <v>121.4717616</v>
      </c>
      <c r="W713" s="21">
        <f t="shared" si="2"/>
        <v>170.3934127</v>
      </c>
      <c r="X713" s="21">
        <f t="shared" si="3"/>
        <v>13.33333333</v>
      </c>
      <c r="Y713" s="21">
        <f t="shared" si="4"/>
        <v>110.1228284</v>
      </c>
      <c r="Z713" s="21">
        <f t="shared" si="5"/>
        <v>14.68304379</v>
      </c>
      <c r="AA713" s="21">
        <f t="shared" si="6"/>
        <v>0.8272927829</v>
      </c>
    </row>
    <row r="714">
      <c r="A714" s="4" t="s">
        <v>1689</v>
      </c>
      <c r="B714" s="4" t="str">
        <f>IFERROR(__xludf.DUMMYFUNCTION("SPLIT(A714:A1440, ""&gt;"")"),"Online Behavior")</f>
        <v>Online Behavior</v>
      </c>
      <c r="C714" s="4" t="str">
        <f>IFERROR(__xludf.DUMMYFUNCTION("""COMPUTED_VALUE"""),"United States")</f>
        <v>United States</v>
      </c>
      <c r="D714" s="4" t="str">
        <f>IFERROR(__xludf.DUMMYFUNCTION("""COMPUTED_VALUE"""),"Travel")</f>
        <v>Travel</v>
      </c>
      <c r="E714" s="4" t="str">
        <f>IFERROR(__xludf.DUMMYFUNCTION("""COMPUTED_VALUE"""),"Tourist Destinations ")</f>
        <v>Tourist Destinations </v>
      </c>
      <c r="F714" s="4" t="str">
        <f>IFERROR(__xludf.DUMMYFUNCTION("""COMPUTED_VALUE""")," Theme Parks")</f>
        <v> Theme Parks</v>
      </c>
      <c r="G714" s="4"/>
      <c r="H714" s="4"/>
      <c r="I714" s="5" t="s">
        <v>22</v>
      </c>
      <c r="J714" s="5" t="s">
        <v>31</v>
      </c>
      <c r="K714" s="5" t="s">
        <v>17</v>
      </c>
      <c r="L714" s="6" t="s">
        <v>1032</v>
      </c>
      <c r="M714" s="5" t="s">
        <v>19</v>
      </c>
      <c r="N714" s="5" t="s">
        <v>27</v>
      </c>
      <c r="O714" s="5">
        <v>318269.0</v>
      </c>
      <c r="P714" s="5">
        <v>914.0</v>
      </c>
      <c r="Q714" s="5">
        <v>33355.0</v>
      </c>
      <c r="R714" s="5">
        <v>295405.0</v>
      </c>
      <c r="S714" s="5">
        <v>44.0</v>
      </c>
      <c r="T714" s="5">
        <v>7854.731991</v>
      </c>
      <c r="V714" s="21">
        <f t="shared" si="1"/>
        <v>24.67953835</v>
      </c>
      <c r="W714" s="21">
        <f t="shared" si="2"/>
        <v>235.488892</v>
      </c>
      <c r="X714" s="21">
        <f t="shared" si="3"/>
        <v>4.814004376</v>
      </c>
      <c r="Y714" s="21">
        <f t="shared" si="4"/>
        <v>178.5166362</v>
      </c>
      <c r="Z714" s="21">
        <f t="shared" si="5"/>
        <v>8.593798677</v>
      </c>
      <c r="AA714" s="21">
        <f t="shared" si="6"/>
        <v>0.287178456</v>
      </c>
    </row>
    <row r="715">
      <c r="A715" s="4" t="s">
        <v>1690</v>
      </c>
      <c r="B715" s="4" t="str">
        <f>IFERROR(__xludf.DUMMYFUNCTION("SPLIT(A715:A1441, ""&gt;"")"),"Online Behavior")</f>
        <v>Online Behavior</v>
      </c>
      <c r="C715" s="4" t="str">
        <f>IFERROR(__xludf.DUMMYFUNCTION("""COMPUTED_VALUE"""),"United States")</f>
        <v>United States</v>
      </c>
      <c r="D715" s="4" t="str">
        <f>IFERROR(__xludf.DUMMYFUNCTION("""COMPUTED_VALUE"""),"Food and Drink")</f>
        <v>Food and Drink</v>
      </c>
      <c r="E715" s="4" t="str">
        <f>IFERROR(__xludf.DUMMYFUNCTION("""COMPUTED_VALUE"""),"Beverages ")</f>
        <v>Beverages </v>
      </c>
      <c r="F715" s="4" t="str">
        <f>IFERROR(__xludf.DUMMYFUNCTION("""COMPUTED_VALUE""")," Beer")</f>
        <v> Beer</v>
      </c>
      <c r="G715" s="4"/>
      <c r="H715" s="4"/>
      <c r="I715" s="5" t="s">
        <v>15</v>
      </c>
      <c r="J715" s="5" t="s">
        <v>42</v>
      </c>
      <c r="K715" s="5" t="s">
        <v>35</v>
      </c>
      <c r="L715" s="6" t="s">
        <v>1032</v>
      </c>
      <c r="M715" s="5" t="s">
        <v>117</v>
      </c>
      <c r="N715" s="5" t="s">
        <v>20</v>
      </c>
      <c r="O715" s="5">
        <v>26212.0</v>
      </c>
      <c r="P715" s="5">
        <v>77.0</v>
      </c>
      <c r="Q715" s="5">
        <v>12726.0</v>
      </c>
      <c r="R715" s="5">
        <v>24442.0</v>
      </c>
      <c r="S715" s="5">
        <v>15.0</v>
      </c>
      <c r="T715" s="5">
        <v>6452.93501</v>
      </c>
      <c r="V715" s="21">
        <f t="shared" si="1"/>
        <v>246.1824741</v>
      </c>
      <c r="W715" s="21">
        <f t="shared" si="2"/>
        <v>507.0670289</v>
      </c>
      <c r="X715" s="21">
        <f t="shared" si="3"/>
        <v>19.48051948</v>
      </c>
      <c r="Y715" s="21">
        <f t="shared" si="4"/>
        <v>430.1956673</v>
      </c>
      <c r="Z715" s="21">
        <f t="shared" si="5"/>
        <v>83.80435078</v>
      </c>
      <c r="AA715" s="21">
        <f t="shared" si="6"/>
        <v>0.2937585839</v>
      </c>
    </row>
    <row r="716">
      <c r="A716" s="4" t="s">
        <v>1691</v>
      </c>
      <c r="B716" s="4" t="str">
        <f>IFERROR(__xludf.DUMMYFUNCTION("SPLIT(A716:A1442, ""&gt;"")"),"Online Behavior")</f>
        <v>Online Behavior</v>
      </c>
      <c r="C716" s="4" t="str">
        <f>IFERROR(__xludf.DUMMYFUNCTION("""COMPUTED_VALUE"""),"United States")</f>
        <v>United States</v>
      </c>
      <c r="D716" s="4" t="str">
        <f>IFERROR(__xludf.DUMMYFUNCTION("""COMPUTED_VALUE"""),"Arts and Entertainment")</f>
        <v>Arts and Entertainment</v>
      </c>
      <c r="E716" s="4" t="str">
        <f>IFERROR(__xludf.DUMMYFUNCTION("""COMPUTED_VALUE"""),"Events and Listings ")</f>
        <v>Events and Listings </v>
      </c>
      <c r="F716" s="4" t="str">
        <f>IFERROR(__xludf.DUMMYFUNCTION("""COMPUTED_VALUE""")," Expos and Conventions")</f>
        <v> Expos and Conventions</v>
      </c>
      <c r="G716" s="4"/>
      <c r="H716" s="4"/>
      <c r="I716" s="5" t="s">
        <v>15</v>
      </c>
      <c r="J716" s="5" t="s">
        <v>16</v>
      </c>
      <c r="K716" s="5" t="s">
        <v>17</v>
      </c>
      <c r="L716" s="6" t="s">
        <v>1032</v>
      </c>
      <c r="M716" s="5" t="s">
        <v>19</v>
      </c>
      <c r="N716" s="5" t="s">
        <v>20</v>
      </c>
      <c r="O716" s="5">
        <v>20833.0</v>
      </c>
      <c r="P716" s="5">
        <v>87.0</v>
      </c>
      <c r="Q716" s="5">
        <v>1777.0</v>
      </c>
      <c r="R716" s="5">
        <v>17211.0</v>
      </c>
      <c r="S716" s="5">
        <v>9.0</v>
      </c>
      <c r="T716" s="5">
        <v>5542.512181</v>
      </c>
      <c r="V716" s="21">
        <f t="shared" si="1"/>
        <v>266.0448414</v>
      </c>
      <c r="W716" s="21">
        <f t="shared" si="2"/>
        <v>3119.027676</v>
      </c>
      <c r="X716" s="21">
        <f t="shared" si="3"/>
        <v>10.34482759</v>
      </c>
      <c r="Y716" s="21">
        <f t="shared" si="4"/>
        <v>615.8346868</v>
      </c>
      <c r="Z716" s="21">
        <f t="shared" si="5"/>
        <v>63.70703656</v>
      </c>
      <c r="AA716" s="21">
        <f t="shared" si="6"/>
        <v>0.4176066817</v>
      </c>
    </row>
    <row r="717">
      <c r="A717" s="4" t="s">
        <v>1975</v>
      </c>
      <c r="B717" s="4" t="str">
        <f>IFERROR(__xludf.DUMMYFUNCTION("SPLIT(A717:A1443, ""&gt;"")"),"US ")</f>
        <v>US </v>
      </c>
      <c r="C717" s="4" t="str">
        <f>IFERROR(__xludf.DUMMYFUNCTION("""COMPUTED_VALUE""")," Reach ")</f>
        <v> Reach </v>
      </c>
      <c r="D717" s="4" t="str">
        <f>IFERROR(__xludf.DUMMYFUNCTION("""COMPUTED_VALUE""")," Sociodemographic ")</f>
        <v> Sociodemographic </v>
      </c>
      <c r="E717" s="4" t="str">
        <f>IFERROR(__xludf.DUMMYFUNCTION("""COMPUTED_VALUE""")," Household Income ")</f>
        <v> Household Income </v>
      </c>
      <c r="F717" s="4" t="str">
        <f>IFERROR(__xludf.DUMMYFUNCTION("""COMPUTED_VALUE""")," $50,000-$74,999")</f>
        <v> $50,000-$74,999</v>
      </c>
      <c r="G717" s="4"/>
      <c r="H717" s="4"/>
      <c r="I717" s="5" t="s">
        <v>22</v>
      </c>
      <c r="J717" s="5" t="s">
        <v>31</v>
      </c>
      <c r="K717" s="5" t="s">
        <v>150</v>
      </c>
      <c r="L717" s="6" t="s">
        <v>1032</v>
      </c>
      <c r="M717" s="5" t="s">
        <v>26</v>
      </c>
      <c r="N717" s="5" t="s">
        <v>27</v>
      </c>
      <c r="O717" s="5">
        <v>14181.0</v>
      </c>
      <c r="P717" s="5">
        <v>65.0</v>
      </c>
      <c r="Q717" s="5">
        <v>7106.0</v>
      </c>
      <c r="R717" s="5">
        <v>13189.0</v>
      </c>
      <c r="S717" s="5">
        <v>17.0</v>
      </c>
      <c r="T717" s="5">
        <v>2912.467156</v>
      </c>
      <c r="V717" s="21">
        <f t="shared" si="1"/>
        <v>205.3781226</v>
      </c>
      <c r="W717" s="21">
        <f t="shared" si="2"/>
        <v>409.8602809</v>
      </c>
      <c r="X717" s="21">
        <f t="shared" si="3"/>
        <v>26.15384615</v>
      </c>
      <c r="Y717" s="21">
        <f t="shared" si="4"/>
        <v>171.3215974</v>
      </c>
      <c r="Z717" s="21">
        <f t="shared" si="5"/>
        <v>44.80718702</v>
      </c>
      <c r="AA717" s="21">
        <f t="shared" si="6"/>
        <v>0.4583597772</v>
      </c>
    </row>
    <row r="718">
      <c r="A718" s="4" t="s">
        <v>1976</v>
      </c>
      <c r="B718" s="4" t="str">
        <f>IFERROR(__xludf.DUMMYFUNCTION("SPLIT(A718:A1444, ""&gt;"")"),"US ")</f>
        <v>US </v>
      </c>
      <c r="C718" s="4" t="str">
        <f>IFERROR(__xludf.DUMMYFUNCTION("""COMPUTED_VALUE""")," Brand Propensities ")</f>
        <v> Brand Propensities </v>
      </c>
      <c r="D718" s="4" t="str">
        <f>IFERROR(__xludf.DUMMYFUNCTION("""COMPUTED_VALUE""")," Automotive ")</f>
        <v> Automotive </v>
      </c>
      <c r="E718" s="4" t="str">
        <f>IFERROR(__xludf.DUMMYFUNCTION("""COMPUTED_VALUE""")," Ford Credit Buyer Propensity")</f>
        <v> Ford Credit Buyer Propensity</v>
      </c>
      <c r="F718" s="4"/>
      <c r="G718" s="4"/>
      <c r="H718" s="4"/>
      <c r="I718" s="5" t="s">
        <v>22</v>
      </c>
      <c r="J718" s="5" t="s">
        <v>16</v>
      </c>
      <c r="K718" s="5" t="s">
        <v>84</v>
      </c>
      <c r="L718" s="6" t="s">
        <v>1032</v>
      </c>
      <c r="M718" s="5" t="s">
        <v>19</v>
      </c>
      <c r="N718" s="5" t="s">
        <v>27</v>
      </c>
      <c r="O718" s="5">
        <v>304377.0</v>
      </c>
      <c r="P718" s="5">
        <v>801.0</v>
      </c>
      <c r="Q718" s="5">
        <v>27519.0</v>
      </c>
      <c r="R718" s="5">
        <v>270098.0</v>
      </c>
      <c r="S718" s="5">
        <v>63.0</v>
      </c>
      <c r="T718" s="5">
        <v>1595.48714</v>
      </c>
      <c r="V718" s="21">
        <f t="shared" si="1"/>
        <v>5.241812423</v>
      </c>
      <c r="W718" s="21">
        <f t="shared" si="2"/>
        <v>57.97765689</v>
      </c>
      <c r="X718" s="21">
        <f t="shared" si="3"/>
        <v>7.865168539</v>
      </c>
      <c r="Y718" s="21">
        <f t="shared" si="4"/>
        <v>25.3251927</v>
      </c>
      <c r="Z718" s="21">
        <f t="shared" si="5"/>
        <v>1.991869089</v>
      </c>
      <c r="AA718" s="21">
        <f t="shared" si="6"/>
        <v>0.2631604885</v>
      </c>
    </row>
    <row r="719">
      <c r="A719" s="4" t="s">
        <v>1977</v>
      </c>
      <c r="B719" s="4" t="str">
        <f>IFERROR(__xludf.DUMMYFUNCTION("SPLIT(A719:A1445, ""&gt;"")"),"US Technology ")</f>
        <v>US Technology </v>
      </c>
      <c r="C719" s="4" t="str">
        <f>IFERROR(__xludf.DUMMYFUNCTION("""COMPUTED_VALUE""")," Social Media ")</f>
        <v> Social Media </v>
      </c>
      <c r="D719" s="4" t="str">
        <f>IFERROR(__xludf.DUMMYFUNCTION("""COMPUTED_VALUE""")," Likely Behavior ")</f>
        <v> Likely Behavior </v>
      </c>
      <c r="E719" s="4" t="str">
        <f>IFERROR(__xludf.DUMMYFUNCTION("""COMPUTED_VALUE""")," Heavy Facebook User")</f>
        <v> Heavy Facebook User</v>
      </c>
      <c r="F719" s="4"/>
      <c r="G719" s="4"/>
      <c r="H719" s="4"/>
      <c r="I719" s="5" t="s">
        <v>15</v>
      </c>
      <c r="J719" s="5" t="s">
        <v>42</v>
      </c>
      <c r="K719" s="5" t="s">
        <v>78</v>
      </c>
      <c r="L719" s="6" t="s">
        <v>1032</v>
      </c>
      <c r="M719" s="5" t="s">
        <v>19</v>
      </c>
      <c r="N719" s="5" t="s">
        <v>27</v>
      </c>
      <c r="O719" s="5">
        <v>312206.0</v>
      </c>
      <c r="P719" s="5">
        <v>841.0</v>
      </c>
      <c r="Q719" s="5">
        <v>35661.0</v>
      </c>
      <c r="R719" s="5">
        <v>292992.0</v>
      </c>
      <c r="S719" s="5">
        <v>5.0</v>
      </c>
      <c r="T719" s="5">
        <v>1550.938318</v>
      </c>
      <c r="V719" s="21">
        <f t="shared" si="1"/>
        <v>4.967676207</v>
      </c>
      <c r="W719" s="21">
        <f t="shared" si="2"/>
        <v>43.49116172</v>
      </c>
      <c r="X719" s="21">
        <f t="shared" si="3"/>
        <v>0.594530321</v>
      </c>
      <c r="Y719" s="21">
        <f t="shared" si="4"/>
        <v>310.1876636</v>
      </c>
      <c r="Z719" s="21">
        <f t="shared" si="5"/>
        <v>1.844159712</v>
      </c>
      <c r="AA719" s="21">
        <f t="shared" si="6"/>
        <v>0.2693734265</v>
      </c>
    </row>
    <row r="720">
      <c r="A720" s="4" t="s">
        <v>1978</v>
      </c>
      <c r="B720" s="4" t="str">
        <f>IFERROR(__xludf.DUMMYFUNCTION("SPLIT(A720:A1446, ""&gt;"")"),"US ")</f>
        <v>US </v>
      </c>
      <c r="C720" s="4" t="str">
        <f>IFERROR(__xludf.DUMMYFUNCTION("""COMPUTED_VALUE""")," B2B ")</f>
        <v> B2B </v>
      </c>
      <c r="D720" s="4" t="str">
        <f>IFERROR(__xludf.DUMMYFUNCTION("""COMPUTED_VALUE""")," B2B Decision Maker Responsibilities ")</f>
        <v> B2B Decision Maker Responsibilities </v>
      </c>
      <c r="E720" s="4" t="str">
        <f>IFERROR(__xludf.DUMMYFUNCTION("""COMPUTED_VALUE""")," Real Estate Services")</f>
        <v> Real Estate Services</v>
      </c>
      <c r="F720" s="4"/>
      <c r="G720" s="4"/>
      <c r="H720" s="4"/>
      <c r="I720" s="5" t="s">
        <v>15</v>
      </c>
      <c r="J720" s="5" t="s">
        <v>42</v>
      </c>
      <c r="K720" s="5" t="s">
        <v>84</v>
      </c>
      <c r="L720" s="6" t="s">
        <v>1032</v>
      </c>
      <c r="M720" s="5" t="s">
        <v>46</v>
      </c>
      <c r="N720" s="5" t="s">
        <v>27</v>
      </c>
      <c r="O720" s="5">
        <v>9790.0</v>
      </c>
      <c r="P720" s="5">
        <v>24.0</v>
      </c>
      <c r="Q720" s="5">
        <v>1295.0</v>
      </c>
      <c r="R720" s="5">
        <v>9196.0</v>
      </c>
      <c r="S720" s="5">
        <v>2.0</v>
      </c>
      <c r="T720" s="5">
        <v>1532.148881</v>
      </c>
      <c r="V720" s="21">
        <f t="shared" si="1"/>
        <v>156.5014179</v>
      </c>
      <c r="W720" s="21">
        <f t="shared" si="2"/>
        <v>1183.126549</v>
      </c>
      <c r="X720" s="21">
        <f t="shared" si="3"/>
        <v>8.333333333</v>
      </c>
      <c r="Y720" s="21">
        <f t="shared" si="4"/>
        <v>766.0744405</v>
      </c>
      <c r="Z720" s="21">
        <f t="shared" si="5"/>
        <v>63.83953671</v>
      </c>
      <c r="AA720" s="21">
        <f t="shared" si="6"/>
        <v>0.2451481103</v>
      </c>
    </row>
    <row r="721">
      <c r="A721" s="4" t="s">
        <v>1696</v>
      </c>
      <c r="B721" s="4" t="str">
        <f>IFERROR(__xludf.DUMMYFUNCTION("SPLIT(A721:A1447, ""&gt;"")"),"Transactional ")</f>
        <v>Transactional </v>
      </c>
      <c r="C721" s="4" t="str">
        <f>IFERROR(__xludf.DUMMYFUNCTION("""COMPUTED_VALUE""")," Q3 Fashion Shoppers")</f>
        <v> Q3 Fashion Shoppers</v>
      </c>
      <c r="D721" s="4"/>
      <c r="E721" s="4"/>
      <c r="F721" s="4"/>
      <c r="G721" s="4"/>
      <c r="H721" s="4"/>
      <c r="I721" s="5" t="s">
        <v>61</v>
      </c>
      <c r="J721" s="5" t="s">
        <v>23</v>
      </c>
      <c r="K721" s="5" t="s">
        <v>131</v>
      </c>
      <c r="L721" s="6" t="s">
        <v>1032</v>
      </c>
      <c r="M721" s="5" t="s">
        <v>80</v>
      </c>
      <c r="N721" s="5" t="s">
        <v>27</v>
      </c>
      <c r="O721" s="5">
        <v>130602.0</v>
      </c>
      <c r="P721" s="5">
        <v>269.0</v>
      </c>
      <c r="Q721" s="5">
        <v>11736.0</v>
      </c>
      <c r="R721" s="5">
        <v>113735.0</v>
      </c>
      <c r="S721" s="5">
        <v>4.0</v>
      </c>
      <c r="T721" s="5">
        <v>1507.84712</v>
      </c>
      <c r="V721" s="21">
        <f t="shared" si="1"/>
        <v>11.5453601</v>
      </c>
      <c r="W721" s="21">
        <f t="shared" si="2"/>
        <v>128.4804976</v>
      </c>
      <c r="X721" s="21">
        <f t="shared" si="3"/>
        <v>1.486988848</v>
      </c>
      <c r="Y721" s="21">
        <f t="shared" si="4"/>
        <v>376.96178</v>
      </c>
      <c r="Z721" s="21">
        <f t="shared" si="5"/>
        <v>5.605379628</v>
      </c>
      <c r="AA721" s="21">
        <f t="shared" si="6"/>
        <v>0.2059692807</v>
      </c>
    </row>
    <row r="722">
      <c r="A722" s="4" t="s">
        <v>1697</v>
      </c>
      <c r="B722" s="4" t="str">
        <f>IFERROR(__xludf.DUMMYFUNCTION("SPLIT(A722:A1448, ""&gt;"")"),"Lotame ")</f>
        <v>Lotame </v>
      </c>
      <c r="C722" s="4" t="str">
        <f>IFERROR(__xludf.DUMMYFUNCTION("""COMPUTED_VALUE""")," Style, Fashion &amp; Clothing ")</f>
        <v> Style, Fashion &amp; Clothing </v>
      </c>
      <c r="D722" s="4" t="str">
        <f>IFERROR(__xludf.DUMMYFUNCTION("""COMPUTED_VALUE""")," Men's Clothing Shoppers")</f>
        <v> Men's Clothing Shoppers</v>
      </c>
      <c r="E722" s="4"/>
      <c r="F722" s="4"/>
      <c r="G722" s="4"/>
      <c r="H722" s="4"/>
      <c r="I722" s="5" t="s">
        <v>22</v>
      </c>
      <c r="J722" s="5" t="s">
        <v>23</v>
      </c>
      <c r="K722" s="5" t="s">
        <v>35</v>
      </c>
      <c r="L722" s="6" t="s">
        <v>1041</v>
      </c>
      <c r="M722" s="5" t="s">
        <v>26</v>
      </c>
      <c r="N722" s="5" t="s">
        <v>27</v>
      </c>
      <c r="O722" s="5">
        <v>10903.0</v>
      </c>
      <c r="P722" s="5">
        <v>35.0</v>
      </c>
      <c r="Q722" s="5">
        <v>3776.0</v>
      </c>
      <c r="R722" s="5">
        <v>9581.0</v>
      </c>
      <c r="S722" s="5">
        <v>2.0</v>
      </c>
      <c r="T722" s="5">
        <v>1460.009754</v>
      </c>
      <c r="V722" s="21">
        <f t="shared" si="1"/>
        <v>133.9089933</v>
      </c>
      <c r="W722" s="21">
        <f t="shared" si="2"/>
        <v>386.6551255</v>
      </c>
      <c r="X722" s="21">
        <f t="shared" si="3"/>
        <v>5.714285714</v>
      </c>
      <c r="Y722" s="21">
        <f t="shared" si="4"/>
        <v>730.004877</v>
      </c>
      <c r="Z722" s="21">
        <f t="shared" si="5"/>
        <v>41.7145644</v>
      </c>
      <c r="AA722" s="21">
        <f t="shared" si="6"/>
        <v>0.3210125653</v>
      </c>
    </row>
    <row r="723">
      <c r="A723" s="8"/>
      <c r="B723" s="8"/>
      <c r="C723" s="8"/>
      <c r="D723" s="8"/>
      <c r="E723" s="8"/>
      <c r="F723" s="8"/>
      <c r="G723" s="8"/>
      <c r="H723" s="8"/>
      <c r="V723" s="21"/>
      <c r="W723" s="21"/>
      <c r="X723" s="21"/>
      <c r="Y723" s="21"/>
      <c r="Z723" s="21"/>
      <c r="AA723" s="21"/>
    </row>
    <row r="724">
      <c r="A724" s="8"/>
      <c r="B724" s="8"/>
      <c r="C724" s="8"/>
      <c r="D724" s="8"/>
      <c r="E724" s="8"/>
      <c r="F724" s="8"/>
      <c r="G724" s="8"/>
      <c r="H724" s="8"/>
      <c r="V724" s="21"/>
      <c r="W724" s="21"/>
      <c r="X724" s="21"/>
      <c r="Y724" s="21"/>
      <c r="Z724" s="21"/>
      <c r="AA724" s="21"/>
    </row>
    <row r="725">
      <c r="A725" s="8"/>
      <c r="B725" s="8"/>
      <c r="C725" s="8"/>
      <c r="D725" s="8"/>
      <c r="E725" s="8"/>
      <c r="F725" s="8"/>
      <c r="G725" s="8"/>
      <c r="H725" s="8"/>
      <c r="V725" s="21"/>
      <c r="W725" s="21"/>
      <c r="X725" s="21"/>
      <c r="Y725" s="21"/>
      <c r="Z725" s="21"/>
      <c r="AA725" s="21"/>
    </row>
    <row r="726">
      <c r="A726" s="8"/>
      <c r="B726" s="8"/>
      <c r="C726" s="8"/>
      <c r="D726" s="8"/>
      <c r="E726" s="8"/>
      <c r="F726" s="8"/>
      <c r="G726" s="8"/>
      <c r="H726" s="8"/>
      <c r="V726" s="21"/>
      <c r="W726" s="21"/>
      <c r="X726" s="21"/>
      <c r="Y726" s="21"/>
      <c r="Z726" s="21"/>
      <c r="AA726" s="21"/>
    </row>
    <row r="727">
      <c r="A727" s="8"/>
      <c r="B727" s="8"/>
      <c r="C727" s="8"/>
      <c r="D727" s="8"/>
      <c r="E727" s="8"/>
      <c r="F727" s="8"/>
      <c r="G727" s="8"/>
      <c r="H727" s="8"/>
      <c r="V727" s="21"/>
      <c r="W727" s="21"/>
      <c r="X727" s="21"/>
      <c r="Y727" s="21"/>
      <c r="Z727" s="21"/>
      <c r="AA727" s="21"/>
    </row>
    <row r="728">
      <c r="A728" s="8"/>
      <c r="B728" s="8"/>
      <c r="C728" s="8"/>
      <c r="D728" s="8"/>
      <c r="E728" s="8"/>
      <c r="F728" s="8"/>
      <c r="G728" s="8"/>
      <c r="H728" s="8"/>
      <c r="V728" s="21"/>
      <c r="W728" s="21"/>
      <c r="X728" s="21"/>
      <c r="Y728" s="21"/>
      <c r="Z728" s="21"/>
      <c r="AA728" s="21"/>
    </row>
    <row r="729">
      <c r="A729" s="8"/>
      <c r="B729" s="8"/>
      <c r="C729" s="8"/>
      <c r="D729" s="8"/>
      <c r="E729" s="8"/>
      <c r="F729" s="8"/>
      <c r="G729" s="8"/>
      <c r="H729" s="8"/>
      <c r="V729" s="21"/>
      <c r="W729" s="21"/>
      <c r="X729" s="21"/>
      <c r="Y729" s="21"/>
      <c r="Z729" s="21"/>
      <c r="AA729" s="21"/>
    </row>
    <row r="730">
      <c r="A730" s="8"/>
      <c r="B730" s="8"/>
      <c r="C730" s="8"/>
      <c r="D730" s="8"/>
      <c r="E730" s="8"/>
      <c r="F730" s="8"/>
      <c r="G730" s="8"/>
      <c r="H730" s="8"/>
      <c r="V730" s="21"/>
      <c r="W730" s="21"/>
      <c r="X730" s="21"/>
      <c r="Y730" s="21"/>
      <c r="Z730" s="21"/>
      <c r="AA730" s="21"/>
    </row>
    <row r="731">
      <c r="A731" s="8"/>
      <c r="B731" s="8"/>
      <c r="C731" s="8"/>
      <c r="D731" s="8"/>
      <c r="E731" s="8"/>
      <c r="F731" s="8"/>
      <c r="G731" s="8"/>
      <c r="H731" s="8"/>
      <c r="V731" s="21"/>
      <c r="W731" s="21"/>
      <c r="X731" s="21"/>
      <c r="Y731" s="21"/>
      <c r="Z731" s="21"/>
      <c r="AA731" s="21"/>
    </row>
    <row r="732">
      <c r="A732" s="8"/>
      <c r="B732" s="8"/>
      <c r="C732" s="8"/>
      <c r="D732" s="8"/>
      <c r="E732" s="8"/>
      <c r="F732" s="8"/>
      <c r="G732" s="8"/>
      <c r="H732" s="8"/>
      <c r="V732" s="21"/>
      <c r="W732" s="21"/>
      <c r="X732" s="21"/>
      <c r="Y732" s="21"/>
      <c r="Z732" s="21"/>
      <c r="AA732" s="21"/>
    </row>
    <row r="733">
      <c r="A733" s="8"/>
      <c r="B733" s="8"/>
      <c r="C733" s="8"/>
      <c r="D733" s="8"/>
      <c r="E733" s="8"/>
      <c r="F733" s="8"/>
      <c r="G733" s="8"/>
      <c r="H733" s="8"/>
      <c r="V733" s="21"/>
      <c r="W733" s="21"/>
      <c r="X733" s="21"/>
      <c r="Y733" s="21"/>
      <c r="Z733" s="21"/>
      <c r="AA733" s="21"/>
    </row>
    <row r="734">
      <c r="A734" s="8"/>
      <c r="B734" s="8"/>
      <c r="C734" s="8"/>
      <c r="D734" s="8"/>
      <c r="E734" s="8"/>
      <c r="F734" s="8"/>
      <c r="G734" s="8"/>
      <c r="H734" s="8"/>
      <c r="V734" s="21"/>
      <c r="W734" s="21"/>
      <c r="X734" s="21"/>
      <c r="Y734" s="21"/>
      <c r="Z734" s="21"/>
      <c r="AA734" s="21"/>
    </row>
    <row r="735">
      <c r="A735" s="8"/>
      <c r="B735" s="8"/>
      <c r="C735" s="8"/>
      <c r="D735" s="8"/>
      <c r="E735" s="8"/>
      <c r="F735" s="8"/>
      <c r="G735" s="8"/>
      <c r="H735" s="8"/>
      <c r="V735" s="21"/>
      <c r="W735" s="21"/>
      <c r="X735" s="21"/>
      <c r="Y735" s="21"/>
      <c r="Z735" s="21"/>
      <c r="AA735" s="21"/>
    </row>
    <row r="736">
      <c r="A736" s="8"/>
      <c r="B736" s="8"/>
      <c r="C736" s="8"/>
      <c r="D736" s="8"/>
      <c r="E736" s="8"/>
      <c r="F736" s="8"/>
      <c r="G736" s="8"/>
      <c r="H736" s="8"/>
      <c r="V736" s="21"/>
      <c r="W736" s="21"/>
      <c r="X736" s="21"/>
      <c r="Y736" s="21"/>
      <c r="Z736" s="21"/>
      <c r="AA736" s="21"/>
    </row>
    <row r="737">
      <c r="A737" s="8"/>
      <c r="B737" s="8"/>
      <c r="C737" s="8"/>
      <c r="D737" s="8"/>
      <c r="E737" s="8"/>
      <c r="F737" s="8"/>
      <c r="G737" s="8"/>
      <c r="H737" s="8"/>
      <c r="V737" s="21"/>
      <c r="W737" s="21"/>
      <c r="X737" s="21"/>
      <c r="Y737" s="21"/>
      <c r="Z737" s="21"/>
      <c r="AA737" s="21"/>
    </row>
    <row r="738">
      <c r="A738" s="8"/>
      <c r="B738" s="8"/>
      <c r="C738" s="8"/>
      <c r="D738" s="8"/>
      <c r="E738" s="8"/>
      <c r="F738" s="8"/>
      <c r="G738" s="8"/>
      <c r="H738" s="8"/>
      <c r="V738" s="21"/>
      <c r="W738" s="21"/>
      <c r="X738" s="21"/>
      <c r="Y738" s="21"/>
      <c r="Z738" s="21"/>
      <c r="AA738" s="21"/>
    </row>
    <row r="739">
      <c r="A739" s="8"/>
      <c r="B739" s="8"/>
      <c r="C739" s="8"/>
      <c r="D739" s="8"/>
      <c r="E739" s="8"/>
      <c r="F739" s="8"/>
      <c r="G739" s="8"/>
      <c r="H739" s="8"/>
      <c r="V739" s="21"/>
      <c r="W739" s="21"/>
      <c r="X739" s="21"/>
      <c r="Y739" s="21"/>
      <c r="Z739" s="21"/>
      <c r="AA739" s="21"/>
    </row>
    <row r="740">
      <c r="A740" s="8"/>
      <c r="B740" s="8"/>
      <c r="C740" s="8"/>
      <c r="D740" s="8"/>
      <c r="E740" s="8"/>
      <c r="F740" s="8"/>
      <c r="G740" s="8"/>
      <c r="H740" s="8"/>
      <c r="V740" s="21"/>
      <c r="W740" s="21"/>
      <c r="X740" s="21"/>
      <c r="Y740" s="21"/>
      <c r="Z740" s="21"/>
      <c r="AA740" s="21"/>
    </row>
    <row r="741">
      <c r="A741" s="8"/>
      <c r="B741" s="8"/>
      <c r="C741" s="8"/>
      <c r="D741" s="8"/>
      <c r="E741" s="8"/>
      <c r="F741" s="8"/>
      <c r="G741" s="8"/>
      <c r="H741" s="8"/>
      <c r="V741" s="21"/>
      <c r="W741" s="21"/>
      <c r="X741" s="21"/>
      <c r="Y741" s="21"/>
      <c r="Z741" s="21"/>
      <c r="AA741" s="21"/>
    </row>
    <row r="742">
      <c r="A742" s="8"/>
      <c r="B742" s="8"/>
      <c r="C742" s="8"/>
      <c r="D742" s="8"/>
      <c r="E742" s="8"/>
      <c r="F742" s="8"/>
      <c r="G742" s="8"/>
      <c r="H742" s="8"/>
      <c r="V742" s="21"/>
      <c r="W742" s="21"/>
      <c r="X742" s="21"/>
      <c r="Y742" s="21"/>
      <c r="Z742" s="21"/>
      <c r="AA742" s="21"/>
    </row>
    <row r="743">
      <c r="A743" s="8"/>
      <c r="B743" s="8"/>
      <c r="C743" s="8"/>
      <c r="D743" s="8"/>
      <c r="E743" s="8"/>
      <c r="F743" s="8"/>
      <c r="G743" s="8"/>
      <c r="H743" s="8"/>
      <c r="V743" s="21"/>
      <c r="W743" s="21"/>
      <c r="X743" s="21"/>
      <c r="Y743" s="21"/>
      <c r="Z743" s="21"/>
      <c r="AA743" s="21"/>
    </row>
    <row r="744">
      <c r="A744" s="8"/>
      <c r="B744" s="8"/>
      <c r="C744" s="8"/>
      <c r="D744" s="8"/>
      <c r="E744" s="8"/>
      <c r="F744" s="8"/>
      <c r="G744" s="8"/>
      <c r="H744" s="8"/>
      <c r="V744" s="21"/>
      <c r="W744" s="21"/>
      <c r="X744" s="21"/>
      <c r="Y744" s="21"/>
      <c r="Z744" s="21"/>
      <c r="AA744" s="21"/>
    </row>
    <row r="745">
      <c r="A745" s="8"/>
      <c r="B745" s="8"/>
      <c r="C745" s="8"/>
      <c r="D745" s="8"/>
      <c r="E745" s="8"/>
      <c r="F745" s="8"/>
      <c r="G745" s="8"/>
      <c r="H745" s="8"/>
      <c r="V745" s="21"/>
      <c r="W745" s="21"/>
      <c r="X745" s="21"/>
      <c r="Y745" s="21"/>
      <c r="Z745" s="21"/>
      <c r="AA745" s="21"/>
    </row>
    <row r="746">
      <c r="A746" s="8"/>
      <c r="B746" s="8"/>
      <c r="C746" s="8"/>
      <c r="D746" s="8"/>
      <c r="E746" s="8"/>
      <c r="F746" s="8"/>
      <c r="G746" s="8"/>
      <c r="H746" s="8"/>
      <c r="V746" s="21"/>
      <c r="W746" s="21"/>
      <c r="X746" s="21"/>
      <c r="Y746" s="21"/>
      <c r="Z746" s="21"/>
      <c r="AA746" s="21"/>
    </row>
    <row r="747">
      <c r="A747" s="8"/>
      <c r="B747" s="8"/>
      <c r="C747" s="8"/>
      <c r="D747" s="8"/>
      <c r="E747" s="8"/>
      <c r="F747" s="8"/>
      <c r="G747" s="8"/>
      <c r="H747" s="8"/>
      <c r="V747" s="21"/>
      <c r="W747" s="21"/>
      <c r="X747" s="21"/>
      <c r="Y747" s="21"/>
      <c r="Z747" s="21"/>
      <c r="AA747" s="21"/>
    </row>
    <row r="748">
      <c r="A748" s="8"/>
      <c r="B748" s="8"/>
      <c r="C748" s="8"/>
      <c r="D748" s="8"/>
      <c r="E748" s="8"/>
      <c r="F748" s="8"/>
      <c r="G748" s="8"/>
      <c r="H748" s="8"/>
      <c r="V748" s="21"/>
      <c r="W748" s="21"/>
      <c r="X748" s="21"/>
      <c r="Y748" s="21"/>
      <c r="Z748" s="21"/>
      <c r="AA748" s="21"/>
    </row>
    <row r="749">
      <c r="A749" s="8"/>
      <c r="B749" s="8"/>
      <c r="C749" s="8"/>
      <c r="D749" s="8"/>
      <c r="E749" s="8"/>
      <c r="F749" s="8"/>
      <c r="G749" s="8"/>
      <c r="H749" s="8"/>
      <c r="V749" s="21"/>
      <c r="W749" s="21"/>
      <c r="X749" s="21"/>
      <c r="Y749" s="21"/>
      <c r="Z749" s="21"/>
      <c r="AA749" s="21"/>
    </row>
    <row r="750">
      <c r="A750" s="8"/>
      <c r="B750" s="8"/>
      <c r="C750" s="8"/>
      <c r="D750" s="8"/>
      <c r="E750" s="8"/>
      <c r="F750" s="8"/>
      <c r="G750" s="8"/>
      <c r="H750" s="8"/>
      <c r="V750" s="21"/>
      <c r="W750" s="21"/>
      <c r="X750" s="21"/>
      <c r="Y750" s="21"/>
      <c r="Z750" s="21"/>
      <c r="AA750" s="21"/>
    </row>
    <row r="751">
      <c r="A751" s="8"/>
      <c r="B751" s="8"/>
      <c r="C751" s="8"/>
      <c r="D751" s="8"/>
      <c r="E751" s="8"/>
      <c r="F751" s="8"/>
      <c r="G751" s="8"/>
      <c r="H751" s="8"/>
      <c r="V751" s="21"/>
      <c r="W751" s="21"/>
      <c r="X751" s="21"/>
      <c r="Y751" s="21"/>
      <c r="Z751" s="21"/>
      <c r="AA751" s="21"/>
    </row>
    <row r="752">
      <c r="A752" s="8"/>
      <c r="B752" s="8"/>
      <c r="C752" s="8"/>
      <c r="D752" s="8"/>
      <c r="E752" s="8"/>
      <c r="F752" s="8"/>
      <c r="G752" s="8"/>
      <c r="H752" s="8"/>
      <c r="V752" s="21"/>
      <c r="W752" s="21"/>
      <c r="X752" s="21"/>
      <c r="Y752" s="21"/>
      <c r="Z752" s="21"/>
      <c r="AA752" s="21"/>
    </row>
    <row r="753">
      <c r="A753" s="8"/>
      <c r="B753" s="8"/>
      <c r="C753" s="8"/>
      <c r="D753" s="8"/>
      <c r="E753" s="8"/>
      <c r="F753" s="8"/>
      <c r="G753" s="8"/>
      <c r="H753" s="8"/>
      <c r="V753" s="21"/>
      <c r="W753" s="21"/>
      <c r="X753" s="21"/>
      <c r="Y753" s="21"/>
      <c r="Z753" s="21"/>
      <c r="AA753" s="21"/>
    </row>
    <row r="754">
      <c r="A754" s="8"/>
      <c r="B754" s="8"/>
      <c r="C754" s="8"/>
      <c r="D754" s="8"/>
      <c r="E754" s="8"/>
      <c r="F754" s="8"/>
      <c r="G754" s="8"/>
      <c r="H754" s="8"/>
      <c r="V754" s="21"/>
      <c r="W754" s="21"/>
      <c r="X754" s="21"/>
      <c r="Y754" s="21"/>
      <c r="Z754" s="21"/>
      <c r="AA754" s="21"/>
    </row>
    <row r="755">
      <c r="A755" s="8"/>
      <c r="B755" s="8"/>
      <c r="C755" s="8"/>
      <c r="D755" s="8"/>
      <c r="E755" s="8"/>
      <c r="F755" s="8"/>
      <c r="G755" s="8"/>
      <c r="H755" s="8"/>
      <c r="V755" s="21"/>
      <c r="W755" s="21"/>
      <c r="X755" s="21"/>
      <c r="Y755" s="21"/>
      <c r="Z755" s="21"/>
      <c r="AA755" s="21"/>
    </row>
    <row r="756">
      <c r="A756" s="8"/>
      <c r="B756" s="8"/>
      <c r="C756" s="8"/>
      <c r="D756" s="8"/>
      <c r="E756" s="8"/>
      <c r="F756" s="8"/>
      <c r="G756" s="8"/>
      <c r="H756" s="8"/>
      <c r="V756" s="21"/>
      <c r="W756" s="21"/>
      <c r="X756" s="21"/>
      <c r="Y756" s="21"/>
      <c r="Z756" s="21"/>
      <c r="AA756" s="21"/>
    </row>
    <row r="757">
      <c r="A757" s="8"/>
      <c r="B757" s="8"/>
      <c r="C757" s="8"/>
      <c r="D757" s="8"/>
      <c r="E757" s="8"/>
      <c r="F757" s="8"/>
      <c r="G757" s="8"/>
      <c r="H757" s="8"/>
      <c r="V757" s="21"/>
      <c r="W757" s="21"/>
      <c r="X757" s="21"/>
      <c r="Y757" s="21"/>
      <c r="Z757" s="21"/>
      <c r="AA757" s="21"/>
    </row>
    <row r="758">
      <c r="A758" s="8"/>
      <c r="B758" s="8"/>
      <c r="C758" s="8"/>
      <c r="D758" s="8"/>
      <c r="E758" s="8"/>
      <c r="F758" s="8"/>
      <c r="G758" s="8"/>
      <c r="H758" s="8"/>
      <c r="V758" s="21"/>
      <c r="W758" s="21"/>
      <c r="X758" s="21"/>
      <c r="Y758" s="21"/>
      <c r="Z758" s="21"/>
      <c r="AA758" s="21"/>
    </row>
    <row r="759">
      <c r="A759" s="8"/>
      <c r="B759" s="8"/>
      <c r="C759" s="8"/>
      <c r="D759" s="8"/>
      <c r="E759" s="8"/>
      <c r="F759" s="8"/>
      <c r="G759" s="8"/>
      <c r="H759" s="8"/>
      <c r="V759" s="21"/>
      <c r="W759" s="21"/>
      <c r="X759" s="21"/>
      <c r="Y759" s="21"/>
      <c r="Z759" s="21"/>
      <c r="AA759" s="21"/>
    </row>
    <row r="760">
      <c r="A760" s="8"/>
      <c r="B760" s="8"/>
      <c r="C760" s="8"/>
      <c r="D760" s="8"/>
      <c r="E760" s="8"/>
      <c r="F760" s="8"/>
      <c r="G760" s="8"/>
      <c r="H760" s="8"/>
      <c r="V760" s="21"/>
      <c r="W760" s="21"/>
      <c r="X760" s="21"/>
      <c r="Y760" s="21"/>
      <c r="Z760" s="21"/>
      <c r="AA760" s="21"/>
    </row>
    <row r="761">
      <c r="A761" s="8"/>
      <c r="B761" s="8"/>
      <c r="C761" s="8"/>
      <c r="D761" s="8"/>
      <c r="E761" s="8"/>
      <c r="F761" s="8"/>
      <c r="G761" s="8"/>
      <c r="H761" s="8"/>
      <c r="V761" s="21"/>
      <c r="W761" s="21"/>
      <c r="X761" s="21"/>
      <c r="Y761" s="21"/>
      <c r="Z761" s="21"/>
      <c r="AA761" s="21"/>
    </row>
    <row r="762">
      <c r="A762" s="8"/>
      <c r="B762" s="8"/>
      <c r="C762" s="8"/>
      <c r="D762" s="8"/>
      <c r="E762" s="8"/>
      <c r="F762" s="8"/>
      <c r="G762" s="8"/>
      <c r="H762" s="8"/>
      <c r="V762" s="21"/>
      <c r="W762" s="21"/>
      <c r="X762" s="21"/>
      <c r="Y762" s="21"/>
      <c r="Z762" s="21"/>
      <c r="AA762" s="21"/>
    </row>
    <row r="763">
      <c r="A763" s="8"/>
      <c r="B763" s="8"/>
      <c r="C763" s="8"/>
      <c r="D763" s="8"/>
      <c r="E763" s="8"/>
      <c r="F763" s="8"/>
      <c r="G763" s="8"/>
      <c r="H763" s="8"/>
      <c r="V763" s="21"/>
      <c r="W763" s="21"/>
      <c r="X763" s="21"/>
      <c r="Y763" s="21"/>
      <c r="Z763" s="21"/>
      <c r="AA763" s="21"/>
    </row>
    <row r="764">
      <c r="A764" s="8"/>
      <c r="B764" s="8"/>
      <c r="C764" s="8"/>
      <c r="D764" s="8"/>
      <c r="E764" s="8"/>
      <c r="F764" s="8"/>
      <c r="G764" s="8"/>
      <c r="H764" s="8"/>
      <c r="V764" s="21"/>
      <c r="W764" s="21"/>
      <c r="X764" s="21"/>
      <c r="Y764" s="21"/>
      <c r="Z764" s="21"/>
      <c r="AA764" s="21"/>
    </row>
    <row r="765">
      <c r="A765" s="8"/>
      <c r="B765" s="8"/>
      <c r="C765" s="8"/>
      <c r="D765" s="8"/>
      <c r="E765" s="8"/>
      <c r="F765" s="8"/>
      <c r="G765" s="8"/>
      <c r="H765" s="8"/>
      <c r="V765" s="21"/>
      <c r="W765" s="21"/>
      <c r="X765" s="21"/>
      <c r="Y765" s="21"/>
      <c r="Z765" s="21"/>
      <c r="AA765" s="21"/>
    </row>
    <row r="766">
      <c r="A766" s="8"/>
      <c r="B766" s="8"/>
      <c r="C766" s="8"/>
      <c r="D766" s="8"/>
      <c r="E766" s="8"/>
      <c r="F766" s="8"/>
      <c r="G766" s="8"/>
      <c r="H766" s="8"/>
      <c r="V766" s="21"/>
      <c r="W766" s="21"/>
      <c r="X766" s="21"/>
      <c r="Y766" s="21"/>
      <c r="Z766" s="21"/>
      <c r="AA766" s="21"/>
    </row>
    <row r="767">
      <c r="A767" s="8"/>
      <c r="B767" s="8"/>
      <c r="C767" s="8"/>
      <c r="D767" s="8"/>
      <c r="E767" s="8"/>
      <c r="F767" s="8"/>
      <c r="G767" s="8"/>
      <c r="H767" s="8"/>
      <c r="V767" s="21"/>
      <c r="W767" s="21"/>
      <c r="X767" s="21"/>
      <c r="Y767" s="21"/>
      <c r="Z767" s="21"/>
      <c r="AA767" s="21"/>
    </row>
    <row r="768">
      <c r="A768" s="8"/>
      <c r="B768" s="8"/>
      <c r="C768" s="8"/>
      <c r="D768" s="8"/>
      <c r="E768" s="8"/>
      <c r="F768" s="8"/>
      <c r="G768" s="8"/>
      <c r="H768" s="8"/>
      <c r="V768" s="21"/>
      <c r="W768" s="21"/>
      <c r="X768" s="21"/>
      <c r="Y768" s="21"/>
      <c r="Z768" s="21"/>
      <c r="AA768" s="21"/>
    </row>
    <row r="769">
      <c r="A769" s="8"/>
      <c r="B769" s="8"/>
      <c r="C769" s="8"/>
      <c r="D769" s="8"/>
      <c r="E769" s="8"/>
      <c r="F769" s="8"/>
      <c r="G769" s="8"/>
      <c r="H769" s="8"/>
      <c r="V769" s="21"/>
      <c r="W769" s="21"/>
      <c r="X769" s="21"/>
      <c r="Y769" s="21"/>
      <c r="Z769" s="21"/>
      <c r="AA769" s="21"/>
    </row>
    <row r="770">
      <c r="A770" s="8"/>
      <c r="B770" s="8"/>
      <c r="C770" s="8"/>
      <c r="D770" s="8"/>
      <c r="E770" s="8"/>
      <c r="F770" s="8"/>
      <c r="G770" s="8"/>
      <c r="H770" s="8"/>
      <c r="V770" s="21"/>
      <c r="W770" s="21"/>
      <c r="X770" s="21"/>
      <c r="Y770" s="21"/>
      <c r="Z770" s="21"/>
      <c r="AA770" s="21"/>
    </row>
    <row r="771">
      <c r="A771" s="8"/>
      <c r="B771" s="8"/>
      <c r="C771" s="8"/>
      <c r="D771" s="8"/>
      <c r="E771" s="8"/>
      <c r="F771" s="8"/>
      <c r="G771" s="8"/>
      <c r="H771" s="8"/>
      <c r="V771" s="21"/>
      <c r="W771" s="21"/>
      <c r="X771" s="21"/>
      <c r="Y771" s="21"/>
      <c r="Z771" s="21"/>
      <c r="AA771" s="21"/>
    </row>
    <row r="772">
      <c r="A772" s="8"/>
      <c r="B772" s="8"/>
      <c r="C772" s="8"/>
      <c r="D772" s="8"/>
      <c r="E772" s="8"/>
      <c r="F772" s="8"/>
      <c r="G772" s="8"/>
      <c r="H772" s="8"/>
      <c r="V772" s="21"/>
      <c r="W772" s="21"/>
      <c r="X772" s="21"/>
      <c r="Y772" s="21"/>
      <c r="Z772" s="21"/>
      <c r="AA772" s="21"/>
    </row>
    <row r="773">
      <c r="A773" s="8"/>
      <c r="B773" s="8"/>
      <c r="C773" s="8"/>
      <c r="D773" s="8"/>
      <c r="E773" s="8"/>
      <c r="F773" s="8"/>
      <c r="G773" s="8"/>
      <c r="H773" s="8"/>
      <c r="V773" s="21"/>
      <c r="W773" s="21"/>
      <c r="X773" s="21"/>
      <c r="Y773" s="21"/>
      <c r="Z773" s="21"/>
      <c r="AA773" s="21"/>
    </row>
    <row r="774">
      <c r="A774" s="8"/>
      <c r="B774" s="8"/>
      <c r="C774" s="8"/>
      <c r="D774" s="8"/>
      <c r="E774" s="8"/>
      <c r="F774" s="8"/>
      <c r="G774" s="8"/>
      <c r="H774" s="8"/>
      <c r="V774" s="21"/>
      <c r="W774" s="21"/>
      <c r="X774" s="21"/>
      <c r="Y774" s="21"/>
      <c r="Z774" s="21"/>
      <c r="AA774" s="21"/>
    </row>
    <row r="775">
      <c r="A775" s="8"/>
      <c r="B775" s="8"/>
      <c r="C775" s="8"/>
      <c r="D775" s="8"/>
      <c r="E775" s="8"/>
      <c r="F775" s="8"/>
      <c r="G775" s="8"/>
      <c r="H775" s="8"/>
      <c r="V775" s="21"/>
      <c r="W775" s="21"/>
      <c r="X775" s="21"/>
      <c r="Y775" s="21"/>
      <c r="Z775" s="21"/>
      <c r="AA775" s="21"/>
    </row>
    <row r="776">
      <c r="A776" s="8"/>
      <c r="B776" s="8"/>
      <c r="C776" s="8"/>
      <c r="D776" s="8"/>
      <c r="E776" s="8"/>
      <c r="F776" s="8"/>
      <c r="G776" s="8"/>
      <c r="H776" s="8"/>
      <c r="V776" s="21"/>
      <c r="W776" s="21"/>
      <c r="X776" s="21"/>
      <c r="Y776" s="21"/>
      <c r="Z776" s="21"/>
      <c r="AA776" s="21"/>
    </row>
    <row r="777">
      <c r="A777" s="8"/>
      <c r="B777" s="8"/>
      <c r="C777" s="8"/>
      <c r="D777" s="8"/>
      <c r="E777" s="8"/>
      <c r="F777" s="8"/>
      <c r="G777" s="8"/>
      <c r="H777" s="8"/>
      <c r="V777" s="21"/>
      <c r="W777" s="21"/>
      <c r="X777" s="21"/>
      <c r="Y777" s="21"/>
      <c r="Z777" s="21"/>
      <c r="AA777" s="21"/>
    </row>
    <row r="778">
      <c r="A778" s="8"/>
      <c r="B778" s="8"/>
      <c r="C778" s="8"/>
      <c r="D778" s="8"/>
      <c r="E778" s="8"/>
      <c r="F778" s="8"/>
      <c r="G778" s="8"/>
      <c r="H778" s="8"/>
      <c r="V778" s="21"/>
      <c r="W778" s="21"/>
      <c r="X778" s="21"/>
      <c r="Y778" s="21"/>
      <c r="Z778" s="21"/>
      <c r="AA778" s="21"/>
    </row>
    <row r="779">
      <c r="A779" s="8"/>
      <c r="B779" s="8"/>
      <c r="C779" s="8"/>
      <c r="D779" s="8"/>
      <c r="E779" s="8"/>
      <c r="F779" s="8"/>
      <c r="G779" s="8"/>
      <c r="H779" s="8"/>
      <c r="V779" s="21"/>
      <c r="W779" s="21"/>
      <c r="X779" s="21"/>
      <c r="Y779" s="21"/>
      <c r="Z779" s="21"/>
      <c r="AA779" s="21"/>
    </row>
    <row r="780">
      <c r="A780" s="8"/>
      <c r="B780" s="8"/>
      <c r="C780" s="8"/>
      <c r="D780" s="8"/>
      <c r="E780" s="8"/>
      <c r="F780" s="8"/>
      <c r="G780" s="8"/>
      <c r="H780" s="8"/>
      <c r="V780" s="21"/>
      <c r="W780" s="21"/>
      <c r="X780" s="21"/>
      <c r="Y780" s="21"/>
      <c r="Z780" s="21"/>
      <c r="AA780" s="21"/>
    </row>
    <row r="781">
      <c r="A781" s="8"/>
      <c r="B781" s="8"/>
      <c r="C781" s="8"/>
      <c r="D781" s="8"/>
      <c r="E781" s="8"/>
      <c r="F781" s="8"/>
      <c r="G781" s="8"/>
      <c r="H781" s="8"/>
      <c r="V781" s="21"/>
      <c r="W781" s="21"/>
      <c r="X781" s="21"/>
      <c r="Y781" s="21"/>
      <c r="Z781" s="21"/>
      <c r="AA781" s="21"/>
    </row>
    <row r="782">
      <c r="A782" s="8"/>
      <c r="B782" s="8"/>
      <c r="C782" s="8"/>
      <c r="D782" s="8"/>
      <c r="E782" s="8"/>
      <c r="F782" s="8"/>
      <c r="G782" s="8"/>
      <c r="H782" s="8"/>
      <c r="V782" s="21"/>
      <c r="W782" s="21"/>
      <c r="X782" s="21"/>
      <c r="Y782" s="21"/>
      <c r="Z782" s="21"/>
      <c r="AA782" s="21"/>
    </row>
    <row r="783">
      <c r="A783" s="8"/>
      <c r="B783" s="8"/>
      <c r="C783" s="8"/>
      <c r="D783" s="8"/>
      <c r="E783" s="8"/>
      <c r="F783" s="8"/>
      <c r="G783" s="8"/>
      <c r="H783" s="8"/>
      <c r="V783" s="21"/>
      <c r="W783" s="21"/>
      <c r="X783" s="21"/>
      <c r="Y783" s="21"/>
      <c r="Z783" s="21"/>
      <c r="AA783" s="21"/>
    </row>
    <row r="784">
      <c r="A784" s="8"/>
      <c r="B784" s="8"/>
      <c r="C784" s="8"/>
      <c r="D784" s="8"/>
      <c r="E784" s="8"/>
      <c r="F784" s="8"/>
      <c r="G784" s="8"/>
      <c r="H784" s="8"/>
      <c r="V784" s="21"/>
      <c r="W784" s="21"/>
      <c r="X784" s="21"/>
      <c r="Y784" s="21"/>
      <c r="Z784" s="21"/>
      <c r="AA784" s="21"/>
    </row>
    <row r="785">
      <c r="A785" s="8"/>
      <c r="B785" s="8"/>
      <c r="C785" s="8"/>
      <c r="D785" s="8"/>
      <c r="E785" s="8"/>
      <c r="F785" s="8"/>
      <c r="G785" s="8"/>
      <c r="H785" s="8"/>
      <c r="V785" s="21"/>
      <c r="W785" s="21"/>
      <c r="X785" s="21"/>
      <c r="Y785" s="21"/>
      <c r="Z785" s="21"/>
      <c r="AA785" s="21"/>
    </row>
    <row r="786">
      <c r="A786" s="8"/>
      <c r="B786" s="8"/>
      <c r="C786" s="8"/>
      <c r="D786" s="8"/>
      <c r="E786" s="8"/>
      <c r="F786" s="8"/>
      <c r="G786" s="8"/>
      <c r="H786" s="8"/>
      <c r="V786" s="21"/>
      <c r="W786" s="21"/>
      <c r="X786" s="21"/>
      <c r="Y786" s="21"/>
      <c r="Z786" s="21"/>
      <c r="AA786" s="21"/>
    </row>
    <row r="787">
      <c r="A787" s="8"/>
      <c r="B787" s="8"/>
      <c r="C787" s="8"/>
      <c r="D787" s="8"/>
      <c r="E787" s="8"/>
      <c r="F787" s="8"/>
      <c r="G787" s="8"/>
      <c r="H787" s="8"/>
      <c r="V787" s="21"/>
      <c r="W787" s="21"/>
      <c r="X787" s="21"/>
      <c r="Y787" s="21"/>
      <c r="Z787" s="21"/>
      <c r="AA787" s="21"/>
    </row>
    <row r="788">
      <c r="A788" s="8"/>
      <c r="B788" s="8"/>
      <c r="C788" s="8"/>
      <c r="D788" s="8"/>
      <c r="E788" s="8"/>
      <c r="F788" s="8"/>
      <c r="G788" s="8"/>
      <c r="H788" s="8"/>
      <c r="V788" s="21"/>
      <c r="W788" s="21"/>
      <c r="X788" s="21"/>
      <c r="Y788" s="21"/>
      <c r="Z788" s="21"/>
      <c r="AA788" s="21"/>
    </row>
    <row r="789">
      <c r="A789" s="8"/>
      <c r="B789" s="8"/>
      <c r="C789" s="8"/>
      <c r="D789" s="8"/>
      <c r="E789" s="8"/>
      <c r="F789" s="8"/>
      <c r="G789" s="8"/>
      <c r="H789" s="8"/>
      <c r="V789" s="21"/>
      <c r="W789" s="21"/>
      <c r="X789" s="21"/>
      <c r="Y789" s="21"/>
      <c r="Z789" s="21"/>
      <c r="AA789" s="21"/>
    </row>
    <row r="790">
      <c r="A790" s="8"/>
      <c r="B790" s="8"/>
      <c r="C790" s="8"/>
      <c r="D790" s="8"/>
      <c r="E790" s="8"/>
      <c r="F790" s="8"/>
      <c r="G790" s="8"/>
      <c r="H790" s="8"/>
      <c r="V790" s="21"/>
      <c r="W790" s="21"/>
      <c r="X790" s="21"/>
      <c r="Y790" s="21"/>
      <c r="Z790" s="21"/>
      <c r="AA790" s="21"/>
    </row>
    <row r="791">
      <c r="A791" s="8"/>
      <c r="B791" s="8"/>
      <c r="C791" s="8"/>
      <c r="D791" s="8"/>
      <c r="E791" s="8"/>
      <c r="F791" s="8"/>
      <c r="G791" s="8"/>
      <c r="H791" s="8"/>
      <c r="V791" s="21"/>
      <c r="W791" s="21"/>
      <c r="X791" s="21"/>
      <c r="Y791" s="21"/>
      <c r="Z791" s="21"/>
      <c r="AA791" s="21"/>
    </row>
    <row r="792">
      <c r="A792" s="8"/>
      <c r="B792" s="8"/>
      <c r="C792" s="8"/>
      <c r="D792" s="8"/>
      <c r="E792" s="8"/>
      <c r="F792" s="8"/>
      <c r="G792" s="8"/>
      <c r="H792" s="8"/>
      <c r="V792" s="21"/>
      <c r="W792" s="21"/>
      <c r="X792" s="21"/>
      <c r="Y792" s="21"/>
      <c r="Z792" s="21"/>
      <c r="AA792" s="21"/>
    </row>
    <row r="793">
      <c r="A793" s="8"/>
      <c r="B793" s="8"/>
      <c r="C793" s="8"/>
      <c r="D793" s="8"/>
      <c r="E793" s="8"/>
      <c r="F793" s="8"/>
      <c r="G793" s="8"/>
      <c r="H793" s="8"/>
      <c r="V793" s="21"/>
      <c r="W793" s="21"/>
      <c r="X793" s="21"/>
      <c r="Y793" s="21"/>
      <c r="Z793" s="21"/>
      <c r="AA793" s="21"/>
    </row>
    <row r="794">
      <c r="A794" s="8"/>
      <c r="B794" s="8"/>
      <c r="C794" s="8"/>
      <c r="D794" s="8"/>
      <c r="E794" s="8"/>
      <c r="F794" s="8"/>
      <c r="G794" s="8"/>
      <c r="H794" s="8"/>
      <c r="V794" s="21"/>
      <c r="W794" s="21"/>
      <c r="X794" s="21"/>
      <c r="Y794" s="21"/>
      <c r="Z794" s="21"/>
      <c r="AA794" s="21"/>
    </row>
    <row r="795">
      <c r="A795" s="8"/>
      <c r="B795" s="8"/>
      <c r="C795" s="8"/>
      <c r="D795" s="8"/>
      <c r="E795" s="8"/>
      <c r="F795" s="8"/>
      <c r="G795" s="8"/>
      <c r="H795" s="8"/>
      <c r="V795" s="21"/>
      <c r="W795" s="21"/>
      <c r="X795" s="21"/>
      <c r="Y795" s="21"/>
      <c r="Z795" s="21"/>
      <c r="AA795" s="21"/>
    </row>
    <row r="796">
      <c r="A796" s="8"/>
      <c r="B796" s="8"/>
      <c r="C796" s="8"/>
      <c r="D796" s="8"/>
      <c r="E796" s="8"/>
      <c r="F796" s="8"/>
      <c r="G796" s="8"/>
      <c r="H796" s="8"/>
      <c r="V796" s="21"/>
      <c r="W796" s="21"/>
      <c r="X796" s="21"/>
      <c r="Y796" s="21"/>
      <c r="Z796" s="21"/>
      <c r="AA796" s="21"/>
    </row>
    <row r="797">
      <c r="A797" s="8"/>
      <c r="B797" s="8"/>
      <c r="C797" s="8"/>
      <c r="D797" s="8"/>
      <c r="E797" s="8"/>
      <c r="F797" s="8"/>
      <c r="G797" s="8"/>
      <c r="H797" s="8"/>
      <c r="V797" s="21"/>
      <c r="W797" s="21"/>
      <c r="X797" s="21"/>
      <c r="Y797" s="21"/>
      <c r="Z797" s="21"/>
      <c r="AA797" s="21"/>
    </row>
    <row r="798">
      <c r="A798" s="8"/>
      <c r="B798" s="8"/>
      <c r="C798" s="8"/>
      <c r="D798" s="8"/>
      <c r="E798" s="8"/>
      <c r="F798" s="8"/>
      <c r="G798" s="8"/>
      <c r="H798" s="8"/>
      <c r="V798" s="21"/>
      <c r="W798" s="21"/>
      <c r="X798" s="21"/>
      <c r="Y798" s="21"/>
      <c r="Z798" s="21"/>
      <c r="AA798" s="21"/>
    </row>
    <row r="799">
      <c r="A799" s="8"/>
      <c r="B799" s="8"/>
      <c r="C799" s="8"/>
      <c r="D799" s="8"/>
      <c r="E799" s="8"/>
      <c r="F799" s="8"/>
      <c r="G799" s="8"/>
      <c r="H799" s="8"/>
      <c r="V799" s="21"/>
      <c r="W799" s="21"/>
      <c r="X799" s="21"/>
      <c r="Y799" s="21"/>
      <c r="Z799" s="21"/>
      <c r="AA799" s="21"/>
    </row>
    <row r="800">
      <c r="A800" s="8"/>
      <c r="B800" s="8"/>
      <c r="C800" s="8"/>
      <c r="D800" s="8"/>
      <c r="E800" s="8"/>
      <c r="F800" s="8"/>
      <c r="G800" s="8"/>
      <c r="H800" s="8"/>
      <c r="V800" s="21"/>
      <c r="W800" s="21"/>
      <c r="X800" s="21"/>
      <c r="Y800" s="21"/>
      <c r="Z800" s="21"/>
      <c r="AA800" s="21"/>
    </row>
    <row r="801">
      <c r="A801" s="8"/>
      <c r="B801" s="8"/>
      <c r="C801" s="8"/>
      <c r="D801" s="8"/>
      <c r="E801" s="8"/>
      <c r="F801" s="8"/>
      <c r="G801" s="8"/>
      <c r="H801" s="8"/>
      <c r="V801" s="21"/>
      <c r="W801" s="21"/>
      <c r="X801" s="21"/>
      <c r="Y801" s="21"/>
      <c r="Z801" s="21"/>
      <c r="AA801" s="21"/>
    </row>
    <row r="802">
      <c r="A802" s="8"/>
      <c r="B802" s="8"/>
      <c r="C802" s="8"/>
      <c r="D802" s="8"/>
      <c r="E802" s="8"/>
      <c r="F802" s="8"/>
      <c r="G802" s="8"/>
      <c r="H802" s="8"/>
      <c r="V802" s="21"/>
      <c r="W802" s="21"/>
      <c r="X802" s="21"/>
      <c r="Y802" s="21"/>
      <c r="Z802" s="21"/>
      <c r="AA802" s="21"/>
    </row>
    <row r="803">
      <c r="A803" s="8"/>
      <c r="B803" s="8"/>
      <c r="C803" s="8"/>
      <c r="D803" s="8"/>
      <c r="E803" s="8"/>
      <c r="F803" s="8"/>
      <c r="G803" s="8"/>
      <c r="H803" s="8"/>
      <c r="V803" s="21"/>
      <c r="W803" s="21"/>
      <c r="X803" s="21"/>
      <c r="Y803" s="21"/>
      <c r="Z803" s="21"/>
      <c r="AA803" s="21"/>
    </row>
    <row r="804">
      <c r="A804" s="8"/>
      <c r="B804" s="8"/>
      <c r="C804" s="8"/>
      <c r="D804" s="8"/>
      <c r="E804" s="8"/>
      <c r="F804" s="8"/>
      <c r="G804" s="8"/>
      <c r="H804" s="8"/>
      <c r="V804" s="21"/>
      <c r="W804" s="21"/>
      <c r="X804" s="21"/>
      <c r="Y804" s="21"/>
      <c r="Z804" s="21"/>
      <c r="AA804" s="21"/>
    </row>
    <row r="805">
      <c r="A805" s="8"/>
      <c r="B805" s="8"/>
      <c r="C805" s="8"/>
      <c r="D805" s="8"/>
      <c r="E805" s="8"/>
      <c r="F805" s="8"/>
      <c r="G805" s="8"/>
      <c r="H805" s="8"/>
      <c r="V805" s="21"/>
      <c r="W805" s="21"/>
      <c r="X805" s="21"/>
      <c r="Y805" s="21"/>
      <c r="Z805" s="21"/>
      <c r="AA805" s="21"/>
    </row>
    <row r="806">
      <c r="A806" s="8"/>
      <c r="B806" s="8"/>
      <c r="C806" s="8"/>
      <c r="D806" s="8"/>
      <c r="E806" s="8"/>
      <c r="F806" s="8"/>
      <c r="G806" s="8"/>
      <c r="H806" s="8"/>
      <c r="V806" s="21"/>
      <c r="W806" s="21"/>
      <c r="X806" s="21"/>
      <c r="Y806" s="21"/>
      <c r="Z806" s="21"/>
      <c r="AA806" s="21"/>
    </row>
    <row r="807">
      <c r="A807" s="8"/>
      <c r="B807" s="8"/>
      <c r="C807" s="8"/>
      <c r="D807" s="8"/>
      <c r="E807" s="8"/>
      <c r="F807" s="8"/>
      <c r="G807" s="8"/>
      <c r="H807" s="8"/>
      <c r="V807" s="21"/>
      <c r="W807" s="21"/>
      <c r="X807" s="21"/>
      <c r="Y807" s="21"/>
      <c r="Z807" s="21"/>
      <c r="AA807" s="21"/>
    </row>
    <row r="808">
      <c r="A808" s="8"/>
      <c r="B808" s="8"/>
      <c r="C808" s="8"/>
      <c r="D808" s="8"/>
      <c r="E808" s="8"/>
      <c r="F808" s="8"/>
      <c r="G808" s="8"/>
      <c r="H808" s="8"/>
      <c r="V808" s="21"/>
      <c r="W808" s="21"/>
      <c r="X808" s="21"/>
      <c r="Y808" s="21"/>
      <c r="Z808" s="21"/>
      <c r="AA808" s="21"/>
    </row>
    <row r="809">
      <c r="A809" s="8"/>
      <c r="B809" s="8"/>
      <c r="C809" s="8"/>
      <c r="D809" s="8"/>
      <c r="E809" s="8"/>
      <c r="F809" s="8"/>
      <c r="G809" s="8"/>
      <c r="H809" s="8"/>
      <c r="V809" s="21"/>
      <c r="W809" s="21"/>
      <c r="X809" s="21"/>
      <c r="Y809" s="21"/>
      <c r="Z809" s="21"/>
      <c r="AA809" s="21"/>
    </row>
    <row r="810">
      <c r="A810" s="8"/>
      <c r="B810" s="8"/>
      <c r="C810" s="8"/>
      <c r="D810" s="8"/>
      <c r="E810" s="8"/>
      <c r="F810" s="8"/>
      <c r="G810" s="8"/>
      <c r="H810" s="8"/>
      <c r="V810" s="21"/>
      <c r="W810" s="21"/>
      <c r="X810" s="21"/>
      <c r="Y810" s="21"/>
      <c r="Z810" s="21"/>
      <c r="AA810" s="21"/>
    </row>
    <row r="811">
      <c r="A811" s="8"/>
      <c r="B811" s="8"/>
      <c r="C811" s="8"/>
      <c r="D811" s="8"/>
      <c r="E811" s="8"/>
      <c r="F811" s="8"/>
      <c r="G811" s="8"/>
      <c r="H811" s="8"/>
      <c r="V811" s="21"/>
      <c r="W811" s="21"/>
      <c r="X811" s="21"/>
      <c r="Y811" s="21"/>
      <c r="Z811" s="21"/>
      <c r="AA811" s="21"/>
    </row>
    <row r="812">
      <c r="A812" s="8"/>
      <c r="B812" s="8"/>
      <c r="C812" s="8"/>
      <c r="D812" s="8"/>
      <c r="E812" s="8"/>
      <c r="F812" s="8"/>
      <c r="G812" s="8"/>
      <c r="H812" s="8"/>
      <c r="V812" s="21"/>
      <c r="W812" s="21"/>
      <c r="X812" s="21"/>
      <c r="Y812" s="21"/>
      <c r="Z812" s="21"/>
      <c r="AA812" s="21"/>
    </row>
    <row r="813">
      <c r="A813" s="8"/>
      <c r="B813" s="8"/>
      <c r="C813" s="8"/>
      <c r="D813" s="8"/>
      <c r="E813" s="8"/>
      <c r="F813" s="8"/>
      <c r="G813" s="8"/>
      <c r="H813" s="8"/>
      <c r="V813" s="21"/>
      <c r="W813" s="21"/>
      <c r="X813" s="21"/>
      <c r="Y813" s="21"/>
      <c r="Z813" s="21"/>
      <c r="AA813" s="21"/>
    </row>
    <row r="814">
      <c r="A814" s="8"/>
      <c r="B814" s="8"/>
      <c r="C814" s="8"/>
      <c r="D814" s="8"/>
      <c r="E814" s="8"/>
      <c r="F814" s="8"/>
      <c r="G814" s="8"/>
      <c r="H814" s="8"/>
      <c r="V814" s="21"/>
      <c r="W814" s="21"/>
      <c r="X814" s="21"/>
      <c r="Y814" s="21"/>
      <c r="Z814" s="21"/>
      <c r="AA814" s="21"/>
    </row>
    <row r="815">
      <c r="A815" s="8"/>
      <c r="B815" s="8"/>
      <c r="C815" s="8"/>
      <c r="D815" s="8"/>
      <c r="E815" s="8"/>
      <c r="F815" s="8"/>
      <c r="G815" s="8"/>
      <c r="H815" s="8"/>
      <c r="V815" s="21"/>
      <c r="W815" s="21"/>
      <c r="X815" s="21"/>
      <c r="Y815" s="21"/>
      <c r="Z815" s="21"/>
      <c r="AA815" s="21"/>
    </row>
    <row r="816">
      <c r="A816" s="8"/>
      <c r="B816" s="8"/>
      <c r="C816" s="8"/>
      <c r="D816" s="8"/>
      <c r="E816" s="8"/>
      <c r="F816" s="8"/>
      <c r="G816" s="8"/>
      <c r="H816" s="8"/>
      <c r="V816" s="21"/>
      <c r="W816" s="21"/>
      <c r="X816" s="21"/>
      <c r="Y816" s="21"/>
      <c r="Z816" s="21"/>
      <c r="AA816" s="21"/>
    </row>
    <row r="817">
      <c r="A817" s="8"/>
      <c r="B817" s="8"/>
      <c r="C817" s="8"/>
      <c r="D817" s="8"/>
      <c r="E817" s="8"/>
      <c r="F817" s="8"/>
      <c r="G817" s="8"/>
      <c r="H817" s="8"/>
      <c r="V817" s="21"/>
      <c r="W817" s="21"/>
      <c r="X817" s="21"/>
      <c r="Y817" s="21"/>
      <c r="Z817" s="21"/>
      <c r="AA817" s="21"/>
    </row>
    <row r="818">
      <c r="A818" s="8"/>
      <c r="B818" s="8"/>
      <c r="C818" s="8"/>
      <c r="D818" s="8"/>
      <c r="E818" s="8"/>
      <c r="F818" s="8"/>
      <c r="G818" s="8"/>
      <c r="H818" s="8"/>
      <c r="V818" s="21"/>
      <c r="W818" s="21"/>
      <c r="X818" s="21"/>
      <c r="Y818" s="21"/>
      <c r="Z818" s="21"/>
      <c r="AA818" s="21"/>
    </row>
    <row r="819">
      <c r="A819" s="8"/>
      <c r="B819" s="8"/>
      <c r="C819" s="8"/>
      <c r="D819" s="8"/>
      <c r="E819" s="8"/>
      <c r="F819" s="8"/>
      <c r="G819" s="8"/>
      <c r="H819" s="8"/>
      <c r="V819" s="21"/>
      <c r="W819" s="21"/>
      <c r="X819" s="21"/>
      <c r="Y819" s="21"/>
      <c r="Z819" s="21"/>
      <c r="AA819" s="21"/>
    </row>
    <row r="820">
      <c r="A820" s="8"/>
      <c r="B820" s="8"/>
      <c r="C820" s="8"/>
      <c r="D820" s="8"/>
      <c r="E820" s="8"/>
      <c r="F820" s="8"/>
      <c r="G820" s="8"/>
      <c r="H820" s="8"/>
      <c r="V820" s="21"/>
      <c r="W820" s="21"/>
      <c r="X820" s="21"/>
      <c r="Y820" s="21"/>
      <c r="Z820" s="21"/>
      <c r="AA820" s="21"/>
    </row>
    <row r="821">
      <c r="A821" s="8"/>
      <c r="B821" s="8"/>
      <c r="C821" s="8"/>
      <c r="D821" s="8"/>
      <c r="E821" s="8"/>
      <c r="F821" s="8"/>
      <c r="G821" s="8"/>
      <c r="H821" s="8"/>
      <c r="V821" s="21"/>
      <c r="W821" s="21"/>
      <c r="X821" s="21"/>
      <c r="Y821" s="21"/>
      <c r="Z821" s="21"/>
      <c r="AA821" s="21"/>
    </row>
    <row r="822">
      <c r="A822" s="8"/>
      <c r="B822" s="8"/>
      <c r="C822" s="8"/>
      <c r="D822" s="8"/>
      <c r="E822" s="8"/>
      <c r="F822" s="8"/>
      <c r="G822" s="8"/>
      <c r="H822" s="8"/>
      <c r="V822" s="21"/>
      <c r="W822" s="21"/>
      <c r="X822" s="21"/>
      <c r="Y822" s="21"/>
      <c r="Z822" s="21"/>
      <c r="AA822" s="21"/>
    </row>
    <row r="823">
      <c r="A823" s="8"/>
      <c r="B823" s="8"/>
      <c r="C823" s="8"/>
      <c r="D823" s="8"/>
      <c r="E823" s="8"/>
      <c r="F823" s="8"/>
      <c r="G823" s="8"/>
      <c r="H823" s="8"/>
      <c r="V823" s="21"/>
      <c r="W823" s="21"/>
      <c r="X823" s="21"/>
      <c r="Y823" s="21"/>
      <c r="Z823" s="21"/>
      <c r="AA823" s="21"/>
    </row>
    <row r="824">
      <c r="A824" s="8"/>
      <c r="B824" s="8"/>
      <c r="C824" s="8"/>
      <c r="D824" s="8"/>
      <c r="E824" s="8"/>
      <c r="F824" s="8"/>
      <c r="G824" s="8"/>
      <c r="H824" s="8"/>
      <c r="V824" s="21"/>
      <c r="W824" s="21"/>
      <c r="X824" s="21"/>
      <c r="Y824" s="21"/>
      <c r="Z824" s="21"/>
      <c r="AA824" s="21"/>
    </row>
    <row r="825">
      <c r="A825" s="8"/>
      <c r="B825" s="8"/>
      <c r="C825" s="8"/>
      <c r="D825" s="8"/>
      <c r="E825" s="8"/>
      <c r="F825" s="8"/>
      <c r="G825" s="8"/>
      <c r="H825" s="8"/>
      <c r="V825" s="21"/>
      <c r="W825" s="21"/>
      <c r="X825" s="21"/>
      <c r="Y825" s="21"/>
      <c r="Z825" s="21"/>
      <c r="AA825" s="21"/>
    </row>
    <row r="826">
      <c r="A826" s="8"/>
      <c r="B826" s="8"/>
      <c r="C826" s="8"/>
      <c r="D826" s="8"/>
      <c r="E826" s="8"/>
      <c r="F826" s="8"/>
      <c r="G826" s="8"/>
      <c r="H826" s="8"/>
      <c r="V826" s="21"/>
      <c r="W826" s="21"/>
      <c r="X826" s="21"/>
      <c r="Y826" s="21"/>
      <c r="Z826" s="21"/>
      <c r="AA826" s="21"/>
    </row>
    <row r="827">
      <c r="A827" s="8"/>
      <c r="B827" s="8"/>
      <c r="C827" s="8"/>
      <c r="D827" s="8"/>
      <c r="E827" s="8"/>
      <c r="F827" s="8"/>
      <c r="G827" s="8"/>
      <c r="H827" s="8"/>
      <c r="V827" s="21"/>
      <c r="W827" s="21"/>
      <c r="X827" s="21"/>
      <c r="Y827" s="21"/>
      <c r="Z827" s="21"/>
      <c r="AA827" s="21"/>
    </row>
    <row r="828">
      <c r="A828" s="8"/>
      <c r="B828" s="8"/>
      <c r="C828" s="8"/>
      <c r="D828" s="8"/>
      <c r="E828" s="8"/>
      <c r="F828" s="8"/>
      <c r="G828" s="8"/>
      <c r="H828" s="8"/>
      <c r="V828" s="21"/>
      <c r="W828" s="21"/>
      <c r="X828" s="21"/>
      <c r="Y828" s="21"/>
      <c r="Z828" s="21"/>
      <c r="AA828" s="21"/>
    </row>
    <row r="829">
      <c r="A829" s="8"/>
      <c r="B829" s="8"/>
      <c r="C829" s="8"/>
      <c r="D829" s="8"/>
      <c r="E829" s="8"/>
      <c r="F829" s="8"/>
      <c r="G829" s="8"/>
      <c r="H829" s="8"/>
      <c r="V829" s="21"/>
      <c r="W829" s="21"/>
      <c r="X829" s="21"/>
      <c r="Y829" s="21"/>
      <c r="Z829" s="21"/>
      <c r="AA829" s="21"/>
    </row>
    <row r="830">
      <c r="A830" s="8"/>
      <c r="B830" s="8"/>
      <c r="C830" s="8"/>
      <c r="D830" s="8"/>
      <c r="E830" s="8"/>
      <c r="F830" s="8"/>
      <c r="G830" s="8"/>
      <c r="H830" s="8"/>
      <c r="V830" s="21"/>
      <c r="W830" s="21"/>
      <c r="X830" s="21"/>
      <c r="Y830" s="21"/>
      <c r="Z830" s="21"/>
      <c r="AA830" s="21"/>
    </row>
    <row r="831">
      <c r="A831" s="8"/>
      <c r="B831" s="8"/>
      <c r="C831" s="8"/>
      <c r="D831" s="8"/>
      <c r="E831" s="8"/>
      <c r="F831" s="8"/>
      <c r="G831" s="8"/>
      <c r="H831" s="8"/>
      <c r="V831" s="21"/>
      <c r="W831" s="21"/>
      <c r="X831" s="21"/>
      <c r="Y831" s="21"/>
      <c r="Z831" s="21"/>
      <c r="AA831" s="21"/>
    </row>
    <row r="832">
      <c r="A832" s="8"/>
      <c r="B832" s="8"/>
      <c r="C832" s="8"/>
      <c r="D832" s="8"/>
      <c r="E832" s="8"/>
      <c r="F832" s="8"/>
      <c r="G832" s="8"/>
      <c r="H832" s="8"/>
      <c r="V832" s="21"/>
      <c r="W832" s="21"/>
      <c r="X832" s="21"/>
      <c r="Y832" s="21"/>
      <c r="Z832" s="21"/>
      <c r="AA832" s="21"/>
    </row>
    <row r="833">
      <c r="A833" s="8"/>
      <c r="B833" s="8"/>
      <c r="C833" s="8"/>
      <c r="D833" s="8"/>
      <c r="E833" s="8"/>
      <c r="F833" s="8"/>
      <c r="G833" s="8"/>
      <c r="H833" s="8"/>
      <c r="V833" s="21"/>
      <c r="W833" s="21"/>
      <c r="X833" s="21"/>
      <c r="Y833" s="21"/>
      <c r="Z833" s="21"/>
      <c r="AA833" s="21"/>
    </row>
    <row r="834">
      <c r="A834" s="8"/>
      <c r="B834" s="8"/>
      <c r="C834" s="8"/>
      <c r="D834" s="8"/>
      <c r="E834" s="8"/>
      <c r="F834" s="8"/>
      <c r="G834" s="8"/>
      <c r="H834" s="8"/>
      <c r="V834" s="21"/>
      <c r="W834" s="21"/>
      <c r="X834" s="21"/>
      <c r="Y834" s="21"/>
      <c r="Z834" s="21"/>
      <c r="AA834" s="21"/>
    </row>
    <row r="835">
      <c r="A835" s="8"/>
      <c r="B835" s="8"/>
      <c r="C835" s="8"/>
      <c r="D835" s="8"/>
      <c r="E835" s="8"/>
      <c r="F835" s="8"/>
      <c r="G835" s="8"/>
      <c r="H835" s="8"/>
      <c r="V835" s="21"/>
      <c r="W835" s="21"/>
      <c r="X835" s="21"/>
      <c r="Y835" s="21"/>
      <c r="Z835" s="21"/>
      <c r="AA835" s="21"/>
    </row>
    <row r="836">
      <c r="A836" s="8"/>
      <c r="B836" s="8"/>
      <c r="C836" s="8"/>
      <c r="D836" s="8"/>
      <c r="E836" s="8"/>
      <c r="F836" s="8"/>
      <c r="G836" s="8"/>
      <c r="H836" s="8"/>
      <c r="V836" s="21"/>
      <c r="W836" s="21"/>
      <c r="X836" s="21"/>
      <c r="Y836" s="21"/>
      <c r="Z836" s="21"/>
      <c r="AA836" s="21"/>
    </row>
    <row r="837">
      <c r="A837" s="8"/>
      <c r="B837" s="8"/>
      <c r="C837" s="8"/>
      <c r="D837" s="8"/>
      <c r="E837" s="8"/>
      <c r="F837" s="8"/>
      <c r="G837" s="8"/>
      <c r="H837" s="8"/>
      <c r="V837" s="21"/>
      <c r="W837" s="21"/>
      <c r="X837" s="21"/>
      <c r="Y837" s="21"/>
      <c r="Z837" s="21"/>
      <c r="AA837" s="21"/>
    </row>
    <row r="838">
      <c r="A838" s="8"/>
      <c r="B838" s="8"/>
      <c r="C838" s="8"/>
      <c r="D838" s="8"/>
      <c r="E838" s="8"/>
      <c r="F838" s="8"/>
      <c r="G838" s="8"/>
      <c r="H838" s="8"/>
      <c r="V838" s="21"/>
      <c r="W838" s="21"/>
      <c r="X838" s="21"/>
      <c r="Y838" s="21"/>
      <c r="Z838" s="21"/>
      <c r="AA838" s="21"/>
    </row>
    <row r="839">
      <c r="A839" s="8"/>
      <c r="B839" s="8"/>
      <c r="C839" s="8"/>
      <c r="D839" s="8"/>
      <c r="E839" s="8"/>
      <c r="F839" s="8"/>
      <c r="G839" s="8"/>
      <c r="H839" s="8"/>
      <c r="V839" s="21"/>
      <c r="W839" s="21"/>
      <c r="X839" s="21"/>
      <c r="Y839" s="21"/>
      <c r="Z839" s="21"/>
      <c r="AA839" s="21"/>
    </row>
    <row r="840">
      <c r="A840" s="8"/>
      <c r="B840" s="8"/>
      <c r="C840" s="8"/>
      <c r="D840" s="8"/>
      <c r="E840" s="8"/>
      <c r="F840" s="8"/>
      <c r="G840" s="8"/>
      <c r="H840" s="8"/>
      <c r="V840" s="21"/>
      <c r="W840" s="21"/>
      <c r="X840" s="21"/>
      <c r="Y840" s="21"/>
      <c r="Z840" s="21"/>
      <c r="AA840" s="21"/>
    </row>
    <row r="841">
      <c r="A841" s="8"/>
      <c r="B841" s="8"/>
      <c r="C841" s="8"/>
      <c r="D841" s="8"/>
      <c r="E841" s="8"/>
      <c r="F841" s="8"/>
      <c r="G841" s="8"/>
      <c r="H841" s="8"/>
      <c r="V841" s="21"/>
      <c r="W841" s="21"/>
      <c r="X841" s="21"/>
      <c r="Y841" s="21"/>
      <c r="Z841" s="21"/>
      <c r="AA841" s="21"/>
    </row>
    <row r="842">
      <c r="A842" s="8"/>
      <c r="B842" s="8"/>
      <c r="C842" s="8"/>
      <c r="D842" s="8"/>
      <c r="E842" s="8"/>
      <c r="F842" s="8"/>
      <c r="G842" s="8"/>
      <c r="H842" s="8"/>
      <c r="V842" s="21"/>
      <c r="W842" s="21"/>
      <c r="X842" s="21"/>
      <c r="Y842" s="21"/>
      <c r="Z842" s="21"/>
      <c r="AA842" s="21"/>
    </row>
    <row r="843">
      <c r="A843" s="8"/>
      <c r="B843" s="8"/>
      <c r="C843" s="8"/>
      <c r="D843" s="8"/>
      <c r="E843" s="8"/>
      <c r="F843" s="8"/>
      <c r="G843" s="8"/>
      <c r="H843" s="8"/>
      <c r="V843" s="21"/>
      <c r="W843" s="21"/>
      <c r="X843" s="21"/>
      <c r="Y843" s="21"/>
      <c r="Z843" s="21"/>
      <c r="AA843" s="21"/>
    </row>
    <row r="844">
      <c r="A844" s="8"/>
      <c r="B844" s="8"/>
      <c r="C844" s="8"/>
      <c r="D844" s="8"/>
      <c r="E844" s="8"/>
      <c r="F844" s="8"/>
      <c r="G844" s="8"/>
      <c r="H844" s="8"/>
      <c r="V844" s="21"/>
      <c r="W844" s="21"/>
      <c r="X844" s="21"/>
      <c r="Y844" s="21"/>
      <c r="Z844" s="21"/>
      <c r="AA844" s="21"/>
    </row>
    <row r="845">
      <c r="A845" s="8"/>
      <c r="B845" s="8"/>
      <c r="C845" s="8"/>
      <c r="D845" s="8"/>
      <c r="E845" s="8"/>
      <c r="F845" s="8"/>
      <c r="G845" s="8"/>
      <c r="H845" s="8"/>
      <c r="V845" s="21"/>
      <c r="W845" s="21"/>
      <c r="X845" s="21"/>
      <c r="Y845" s="21"/>
      <c r="Z845" s="21"/>
      <c r="AA845" s="21"/>
    </row>
    <row r="846">
      <c r="A846" s="8"/>
      <c r="B846" s="8"/>
      <c r="C846" s="8"/>
      <c r="D846" s="8"/>
      <c r="E846" s="8"/>
      <c r="F846" s="8"/>
      <c r="G846" s="8"/>
      <c r="H846" s="8"/>
      <c r="V846" s="21"/>
      <c r="W846" s="21"/>
      <c r="X846" s="21"/>
      <c r="Y846" s="21"/>
      <c r="Z846" s="21"/>
      <c r="AA846" s="21"/>
    </row>
    <row r="847">
      <c r="A847" s="8"/>
      <c r="B847" s="8"/>
      <c r="C847" s="8"/>
      <c r="D847" s="8"/>
      <c r="E847" s="8"/>
      <c r="F847" s="8"/>
      <c r="G847" s="8"/>
      <c r="H847" s="8"/>
      <c r="V847" s="21"/>
      <c r="W847" s="21"/>
      <c r="X847" s="21"/>
      <c r="Y847" s="21"/>
      <c r="Z847" s="21"/>
      <c r="AA847" s="21"/>
    </row>
    <row r="848">
      <c r="A848" s="8"/>
      <c r="B848" s="8"/>
      <c r="C848" s="8"/>
      <c r="D848" s="8"/>
      <c r="E848" s="8"/>
      <c r="F848" s="8"/>
      <c r="G848" s="8"/>
      <c r="H848" s="8"/>
      <c r="V848" s="21"/>
      <c r="W848" s="21"/>
      <c r="X848" s="21"/>
      <c r="Y848" s="21"/>
      <c r="Z848" s="21"/>
      <c r="AA848" s="21"/>
    </row>
    <row r="849">
      <c r="A849" s="8"/>
      <c r="B849" s="8"/>
      <c r="C849" s="8"/>
      <c r="D849" s="8"/>
      <c r="E849" s="8"/>
      <c r="F849" s="8"/>
      <c r="G849" s="8"/>
      <c r="H849" s="8"/>
      <c r="V849" s="21"/>
      <c r="W849" s="21"/>
      <c r="X849" s="21"/>
      <c r="Y849" s="21"/>
      <c r="Z849" s="21"/>
      <c r="AA849" s="21"/>
    </row>
    <row r="850">
      <c r="A850" s="8"/>
      <c r="B850" s="8"/>
      <c r="C850" s="8"/>
      <c r="D850" s="8"/>
      <c r="E850" s="8"/>
      <c r="F850" s="8"/>
      <c r="G850" s="8"/>
      <c r="H850" s="8"/>
      <c r="V850" s="21"/>
      <c r="W850" s="21"/>
      <c r="X850" s="21"/>
      <c r="Y850" s="21"/>
      <c r="Z850" s="21"/>
      <c r="AA850" s="21"/>
    </row>
    <row r="851">
      <c r="A851" s="8"/>
      <c r="B851" s="8"/>
      <c r="C851" s="8"/>
      <c r="D851" s="8"/>
      <c r="E851" s="8"/>
      <c r="F851" s="8"/>
      <c r="G851" s="8"/>
      <c r="H851" s="8"/>
      <c r="V851" s="21"/>
      <c r="W851" s="21"/>
      <c r="X851" s="21"/>
      <c r="Y851" s="21"/>
      <c r="Z851" s="21"/>
      <c r="AA851" s="21"/>
    </row>
    <row r="852">
      <c r="A852" s="8"/>
      <c r="B852" s="8"/>
      <c r="C852" s="8"/>
      <c r="D852" s="8"/>
      <c r="E852" s="8"/>
      <c r="F852" s="8"/>
      <c r="G852" s="8"/>
      <c r="H852" s="8"/>
      <c r="V852" s="21"/>
      <c r="W852" s="21"/>
      <c r="X852" s="21"/>
      <c r="Y852" s="21"/>
      <c r="Z852" s="21"/>
      <c r="AA852" s="21"/>
    </row>
    <row r="853">
      <c r="A853" s="8"/>
      <c r="B853" s="8"/>
      <c r="C853" s="8"/>
      <c r="D853" s="8"/>
      <c r="E853" s="8"/>
      <c r="F853" s="8"/>
      <c r="G853" s="8"/>
      <c r="H853" s="8"/>
      <c r="V853" s="21"/>
      <c r="W853" s="21"/>
      <c r="X853" s="21"/>
      <c r="Y853" s="21"/>
      <c r="Z853" s="21"/>
      <c r="AA853" s="21"/>
    </row>
    <row r="854">
      <c r="A854" s="8"/>
      <c r="B854" s="8"/>
      <c r="C854" s="8"/>
      <c r="D854" s="8"/>
      <c r="E854" s="8"/>
      <c r="F854" s="8"/>
      <c r="G854" s="8"/>
      <c r="H854" s="8"/>
      <c r="V854" s="21"/>
      <c r="W854" s="21"/>
      <c r="X854" s="21"/>
      <c r="Y854" s="21"/>
      <c r="Z854" s="21"/>
      <c r="AA854" s="21"/>
    </row>
    <row r="855">
      <c r="A855" s="8"/>
      <c r="B855" s="8"/>
      <c r="C855" s="8"/>
      <c r="D855" s="8"/>
      <c r="E855" s="8"/>
      <c r="F855" s="8"/>
      <c r="G855" s="8"/>
      <c r="H855" s="8"/>
      <c r="V855" s="21"/>
      <c r="W855" s="21"/>
      <c r="X855" s="21"/>
      <c r="Y855" s="21"/>
      <c r="Z855" s="21"/>
      <c r="AA855" s="21"/>
    </row>
    <row r="856">
      <c r="A856" s="8"/>
      <c r="B856" s="8"/>
      <c r="C856" s="8"/>
      <c r="D856" s="8"/>
      <c r="E856" s="8"/>
      <c r="F856" s="8"/>
      <c r="G856" s="8"/>
      <c r="H856" s="8"/>
      <c r="V856" s="21"/>
      <c r="W856" s="21"/>
      <c r="X856" s="21"/>
      <c r="Y856" s="21"/>
      <c r="Z856" s="21"/>
      <c r="AA856" s="21"/>
    </row>
    <row r="857">
      <c r="A857" s="8"/>
      <c r="B857" s="8"/>
      <c r="C857" s="8"/>
      <c r="D857" s="8"/>
      <c r="E857" s="8"/>
      <c r="F857" s="8"/>
      <c r="G857" s="8"/>
      <c r="H857" s="8"/>
      <c r="V857" s="21"/>
      <c r="W857" s="21"/>
      <c r="X857" s="21"/>
      <c r="Y857" s="21"/>
      <c r="Z857" s="21"/>
      <c r="AA857" s="21"/>
    </row>
    <row r="858">
      <c r="A858" s="8"/>
      <c r="B858" s="8"/>
      <c r="C858" s="8"/>
      <c r="D858" s="8"/>
      <c r="E858" s="8"/>
      <c r="F858" s="8"/>
      <c r="G858" s="8"/>
      <c r="H858" s="8"/>
      <c r="V858" s="21"/>
      <c r="W858" s="21"/>
      <c r="X858" s="21"/>
      <c r="Y858" s="21"/>
      <c r="Z858" s="21"/>
      <c r="AA858" s="21"/>
    </row>
    <row r="859">
      <c r="A859" s="8"/>
      <c r="B859" s="8"/>
      <c r="C859" s="8"/>
      <c r="D859" s="8"/>
      <c r="E859" s="8"/>
      <c r="F859" s="8"/>
      <c r="G859" s="8"/>
      <c r="H859" s="8"/>
      <c r="V859" s="21"/>
      <c r="W859" s="21"/>
      <c r="X859" s="21"/>
      <c r="Y859" s="21"/>
      <c r="Z859" s="21"/>
      <c r="AA859" s="21"/>
    </row>
    <row r="860">
      <c r="A860" s="8"/>
      <c r="B860" s="8"/>
      <c r="C860" s="8"/>
      <c r="D860" s="8"/>
      <c r="E860" s="8"/>
      <c r="F860" s="8"/>
      <c r="G860" s="8"/>
      <c r="H860" s="8"/>
      <c r="V860" s="21"/>
      <c r="W860" s="21"/>
      <c r="X860" s="21"/>
      <c r="Y860" s="21"/>
      <c r="Z860" s="21"/>
      <c r="AA860" s="21"/>
    </row>
    <row r="861">
      <c r="A861" s="8"/>
      <c r="B861" s="8"/>
      <c r="C861" s="8"/>
      <c r="D861" s="8"/>
      <c r="E861" s="8"/>
      <c r="F861" s="8"/>
      <c r="G861" s="8"/>
      <c r="H861" s="8"/>
      <c r="V861" s="21"/>
      <c r="W861" s="21"/>
      <c r="X861" s="21"/>
      <c r="Y861" s="21"/>
      <c r="Z861" s="21"/>
      <c r="AA861" s="21"/>
    </row>
    <row r="862">
      <c r="A862" s="8"/>
      <c r="B862" s="8"/>
      <c r="C862" s="8"/>
      <c r="D862" s="8"/>
      <c r="E862" s="8"/>
      <c r="F862" s="8"/>
      <c r="G862" s="8"/>
      <c r="H862" s="8"/>
      <c r="V862" s="21"/>
      <c r="W862" s="21"/>
      <c r="X862" s="21"/>
      <c r="Y862" s="21"/>
      <c r="Z862" s="21"/>
      <c r="AA862" s="21"/>
    </row>
    <row r="863">
      <c r="A863" s="8"/>
      <c r="B863" s="8"/>
      <c r="C863" s="8"/>
      <c r="D863" s="8"/>
      <c r="E863" s="8"/>
      <c r="F863" s="8"/>
      <c r="G863" s="8"/>
      <c r="H863" s="8"/>
      <c r="V863" s="21"/>
      <c r="W863" s="21"/>
      <c r="X863" s="21"/>
      <c r="Y863" s="21"/>
      <c r="Z863" s="21"/>
      <c r="AA863" s="21"/>
    </row>
    <row r="864">
      <c r="A864" s="8"/>
      <c r="B864" s="8"/>
      <c r="C864" s="8"/>
      <c r="D864" s="8"/>
      <c r="E864" s="8"/>
      <c r="F864" s="8"/>
      <c r="G864" s="8"/>
      <c r="H864" s="8"/>
      <c r="V864" s="21"/>
      <c r="W864" s="21"/>
      <c r="X864" s="21"/>
      <c r="Y864" s="21"/>
      <c r="Z864" s="21"/>
      <c r="AA864" s="21"/>
    </row>
    <row r="865">
      <c r="A865" s="8"/>
      <c r="B865" s="8"/>
      <c r="C865" s="8"/>
      <c r="D865" s="8"/>
      <c r="E865" s="8"/>
      <c r="F865" s="8"/>
      <c r="G865" s="8"/>
      <c r="H865" s="8"/>
      <c r="V865" s="21"/>
      <c r="W865" s="21"/>
      <c r="X865" s="21"/>
      <c r="Y865" s="21"/>
      <c r="Z865" s="21"/>
      <c r="AA865" s="21"/>
    </row>
    <row r="866">
      <c r="A866" s="8"/>
      <c r="B866" s="8"/>
      <c r="C866" s="8"/>
      <c r="D866" s="8"/>
      <c r="E866" s="8"/>
      <c r="F866" s="8"/>
      <c r="G866" s="8"/>
      <c r="H866" s="8"/>
      <c r="V866" s="21"/>
      <c r="W866" s="21"/>
      <c r="X866" s="21"/>
      <c r="Y866" s="21"/>
      <c r="Z866" s="21"/>
      <c r="AA866" s="21"/>
    </row>
    <row r="867">
      <c r="A867" s="8"/>
      <c r="B867" s="8"/>
      <c r="C867" s="8"/>
      <c r="D867" s="8"/>
      <c r="E867" s="8"/>
      <c r="F867" s="8"/>
      <c r="G867" s="8"/>
      <c r="H867" s="8"/>
      <c r="V867" s="21"/>
      <c r="W867" s="21"/>
      <c r="X867" s="21"/>
      <c r="Y867" s="21"/>
      <c r="Z867" s="21"/>
      <c r="AA867" s="21"/>
    </row>
    <row r="868">
      <c r="A868" s="8"/>
      <c r="B868" s="8"/>
      <c r="C868" s="8"/>
      <c r="D868" s="8"/>
      <c r="E868" s="8"/>
      <c r="F868" s="8"/>
      <c r="G868" s="8"/>
      <c r="H868" s="8"/>
      <c r="V868" s="21"/>
      <c r="W868" s="21"/>
      <c r="X868" s="21"/>
      <c r="Y868" s="21"/>
      <c r="Z868" s="21"/>
      <c r="AA868" s="21"/>
    </row>
    <row r="869">
      <c r="A869" s="8"/>
      <c r="B869" s="8"/>
      <c r="C869" s="8"/>
      <c r="D869" s="8"/>
      <c r="E869" s="8"/>
      <c r="F869" s="8"/>
      <c r="G869" s="8"/>
      <c r="H869" s="8"/>
      <c r="V869" s="21"/>
      <c r="W869" s="21"/>
      <c r="X869" s="21"/>
      <c r="Y869" s="21"/>
      <c r="Z869" s="21"/>
      <c r="AA869" s="21"/>
    </row>
    <row r="870">
      <c r="A870" s="8"/>
      <c r="B870" s="8"/>
      <c r="C870" s="8"/>
      <c r="D870" s="8"/>
      <c r="E870" s="8"/>
      <c r="F870" s="8"/>
      <c r="G870" s="8"/>
      <c r="H870" s="8"/>
      <c r="V870" s="21"/>
      <c r="W870" s="21"/>
      <c r="X870" s="21"/>
      <c r="Y870" s="21"/>
      <c r="Z870" s="21"/>
      <c r="AA870" s="21"/>
    </row>
    <row r="871">
      <c r="A871" s="8"/>
      <c r="B871" s="8"/>
      <c r="C871" s="8"/>
      <c r="D871" s="8"/>
      <c r="E871" s="8"/>
      <c r="F871" s="8"/>
      <c r="G871" s="8"/>
      <c r="H871" s="8"/>
      <c r="V871" s="21"/>
      <c r="W871" s="21"/>
      <c r="X871" s="21"/>
      <c r="Y871" s="21"/>
      <c r="Z871" s="21"/>
      <c r="AA871" s="21"/>
    </row>
    <row r="872">
      <c r="A872" s="8"/>
      <c r="B872" s="8"/>
      <c r="C872" s="8"/>
      <c r="D872" s="8"/>
      <c r="E872" s="8"/>
      <c r="F872" s="8"/>
      <c r="G872" s="8"/>
      <c r="H872" s="8"/>
      <c r="V872" s="21"/>
      <c r="W872" s="21"/>
      <c r="X872" s="21"/>
      <c r="Y872" s="21"/>
      <c r="Z872" s="21"/>
      <c r="AA872" s="21"/>
    </row>
    <row r="873">
      <c r="A873" s="8"/>
      <c r="B873" s="8"/>
      <c r="C873" s="8"/>
      <c r="D873" s="8"/>
      <c r="E873" s="8"/>
      <c r="F873" s="8"/>
      <c r="G873" s="8"/>
      <c r="H873" s="8"/>
      <c r="V873" s="21"/>
      <c r="W873" s="21"/>
      <c r="X873" s="21"/>
      <c r="Y873" s="21"/>
      <c r="Z873" s="21"/>
      <c r="AA873" s="21"/>
    </row>
    <row r="874">
      <c r="A874" s="8"/>
      <c r="B874" s="8"/>
      <c r="C874" s="8"/>
      <c r="D874" s="8"/>
      <c r="E874" s="8"/>
      <c r="F874" s="8"/>
      <c r="G874" s="8"/>
      <c r="H874" s="8"/>
      <c r="V874" s="21"/>
      <c r="W874" s="21"/>
      <c r="X874" s="21"/>
      <c r="Y874" s="21"/>
      <c r="Z874" s="21"/>
      <c r="AA874" s="21"/>
    </row>
    <row r="875">
      <c r="A875" s="8"/>
      <c r="B875" s="8"/>
      <c r="C875" s="8"/>
      <c r="D875" s="8"/>
      <c r="E875" s="8"/>
      <c r="F875" s="8"/>
      <c r="G875" s="8"/>
      <c r="H875" s="8"/>
      <c r="V875" s="21"/>
      <c r="W875" s="21"/>
      <c r="X875" s="21"/>
      <c r="Y875" s="21"/>
      <c r="Z875" s="21"/>
      <c r="AA875" s="21"/>
    </row>
    <row r="876">
      <c r="A876" s="8"/>
      <c r="B876" s="8"/>
      <c r="C876" s="8"/>
      <c r="D876" s="8"/>
      <c r="E876" s="8"/>
      <c r="F876" s="8"/>
      <c r="G876" s="8"/>
      <c r="H876" s="8"/>
      <c r="V876" s="21"/>
      <c r="W876" s="21"/>
      <c r="X876" s="21"/>
      <c r="Y876" s="21"/>
      <c r="Z876" s="21"/>
      <c r="AA876" s="21"/>
    </row>
    <row r="877">
      <c r="A877" s="8"/>
      <c r="B877" s="8"/>
      <c r="C877" s="8"/>
      <c r="D877" s="8"/>
      <c r="E877" s="8"/>
      <c r="F877" s="8"/>
      <c r="G877" s="8"/>
      <c r="H877" s="8"/>
      <c r="V877" s="21"/>
      <c r="W877" s="21"/>
      <c r="X877" s="21"/>
      <c r="Y877" s="21"/>
      <c r="Z877" s="21"/>
      <c r="AA877" s="21"/>
    </row>
    <row r="878">
      <c r="A878" s="8"/>
      <c r="B878" s="8"/>
      <c r="C878" s="8"/>
      <c r="D878" s="8"/>
      <c r="E878" s="8"/>
      <c r="F878" s="8"/>
      <c r="G878" s="8"/>
      <c r="H878" s="8"/>
      <c r="V878" s="21"/>
      <c r="W878" s="21"/>
      <c r="X878" s="21"/>
      <c r="Y878" s="21"/>
      <c r="Z878" s="21"/>
      <c r="AA878" s="21"/>
    </row>
    <row r="879">
      <c r="A879" s="8"/>
      <c r="B879" s="8"/>
      <c r="C879" s="8"/>
      <c r="D879" s="8"/>
      <c r="E879" s="8"/>
      <c r="F879" s="8"/>
      <c r="G879" s="8"/>
      <c r="H879" s="8"/>
      <c r="V879" s="21"/>
      <c r="W879" s="21"/>
      <c r="X879" s="21"/>
      <c r="Y879" s="21"/>
      <c r="Z879" s="21"/>
      <c r="AA879" s="21"/>
    </row>
    <row r="880">
      <c r="A880" s="8"/>
      <c r="B880" s="8"/>
      <c r="C880" s="8"/>
      <c r="D880" s="8"/>
      <c r="E880" s="8"/>
      <c r="F880" s="8"/>
      <c r="G880" s="8"/>
      <c r="H880" s="8"/>
      <c r="V880" s="21"/>
      <c r="W880" s="21"/>
      <c r="X880" s="21"/>
      <c r="Y880" s="21"/>
      <c r="Z880" s="21"/>
      <c r="AA880" s="21"/>
    </row>
    <row r="881">
      <c r="A881" s="8"/>
      <c r="B881" s="8"/>
      <c r="C881" s="8"/>
      <c r="D881" s="8"/>
      <c r="E881" s="8"/>
      <c r="F881" s="8"/>
      <c r="G881" s="8"/>
      <c r="H881" s="8"/>
      <c r="V881" s="21"/>
      <c r="W881" s="21"/>
      <c r="X881" s="21"/>
      <c r="Y881" s="21"/>
      <c r="Z881" s="21"/>
      <c r="AA881" s="21"/>
    </row>
    <row r="882">
      <c r="A882" s="8"/>
      <c r="B882" s="8"/>
      <c r="C882" s="8"/>
      <c r="D882" s="8"/>
      <c r="E882" s="8"/>
      <c r="F882" s="8"/>
      <c r="G882" s="8"/>
      <c r="H882" s="8"/>
      <c r="V882" s="21"/>
      <c r="W882" s="21"/>
      <c r="X882" s="21"/>
      <c r="Y882" s="21"/>
      <c r="Z882" s="21"/>
      <c r="AA882" s="21"/>
    </row>
    <row r="883">
      <c r="A883" s="8"/>
      <c r="B883" s="8"/>
      <c r="C883" s="8"/>
      <c r="D883" s="8"/>
      <c r="E883" s="8"/>
      <c r="F883" s="8"/>
      <c r="G883" s="8"/>
      <c r="H883" s="8"/>
      <c r="V883" s="21"/>
      <c r="W883" s="21"/>
      <c r="X883" s="21"/>
      <c r="Y883" s="21"/>
      <c r="Z883" s="21"/>
      <c r="AA883" s="21"/>
    </row>
    <row r="884">
      <c r="A884" s="8"/>
      <c r="B884" s="8"/>
      <c r="C884" s="8"/>
      <c r="D884" s="8"/>
      <c r="E884" s="8"/>
      <c r="F884" s="8"/>
      <c r="G884" s="8"/>
      <c r="H884" s="8"/>
      <c r="V884" s="21"/>
      <c r="W884" s="21"/>
      <c r="X884" s="21"/>
      <c r="Y884" s="21"/>
      <c r="Z884" s="21"/>
      <c r="AA884" s="21"/>
    </row>
    <row r="885">
      <c r="A885" s="8"/>
      <c r="B885" s="8"/>
      <c r="C885" s="8"/>
      <c r="D885" s="8"/>
      <c r="E885" s="8"/>
      <c r="F885" s="8"/>
      <c r="G885" s="8"/>
      <c r="H885" s="8"/>
      <c r="V885" s="21"/>
      <c r="W885" s="21"/>
      <c r="X885" s="21"/>
      <c r="Y885" s="21"/>
      <c r="Z885" s="21"/>
      <c r="AA885" s="21"/>
    </row>
    <row r="886">
      <c r="A886" s="8"/>
      <c r="B886" s="8"/>
      <c r="C886" s="8"/>
      <c r="D886" s="8"/>
      <c r="E886" s="8"/>
      <c r="F886" s="8"/>
      <c r="G886" s="8"/>
      <c r="H886" s="8"/>
      <c r="V886" s="21"/>
      <c r="W886" s="21"/>
      <c r="X886" s="21"/>
      <c r="Y886" s="21"/>
      <c r="Z886" s="21"/>
      <c r="AA886" s="21"/>
    </row>
    <row r="887">
      <c r="A887" s="8"/>
      <c r="B887" s="8"/>
      <c r="C887" s="8"/>
      <c r="D887" s="8"/>
      <c r="E887" s="8"/>
      <c r="F887" s="8"/>
      <c r="G887" s="8"/>
      <c r="H887" s="8"/>
      <c r="V887" s="21"/>
      <c r="W887" s="21"/>
      <c r="X887" s="21"/>
      <c r="Y887" s="21"/>
      <c r="Z887" s="21"/>
      <c r="AA887" s="21"/>
    </row>
    <row r="888">
      <c r="A888" s="8"/>
      <c r="B888" s="8"/>
      <c r="C888" s="8"/>
      <c r="D888" s="8"/>
      <c r="E888" s="8"/>
      <c r="F888" s="8"/>
      <c r="G888" s="8"/>
      <c r="H888" s="8"/>
      <c r="V888" s="21"/>
      <c r="W888" s="21"/>
      <c r="X888" s="21"/>
      <c r="Y888" s="21"/>
      <c r="Z888" s="21"/>
      <c r="AA888" s="21"/>
    </row>
    <row r="889">
      <c r="A889" s="8"/>
      <c r="B889" s="8"/>
      <c r="C889" s="8"/>
      <c r="D889" s="8"/>
      <c r="E889" s="8"/>
      <c r="F889" s="8"/>
      <c r="G889" s="8"/>
      <c r="H889" s="8"/>
      <c r="V889" s="21"/>
      <c r="W889" s="21"/>
      <c r="X889" s="21"/>
      <c r="Y889" s="21"/>
      <c r="Z889" s="21"/>
      <c r="AA889" s="21"/>
    </row>
    <row r="890">
      <c r="A890" s="8"/>
      <c r="B890" s="8"/>
      <c r="C890" s="8"/>
      <c r="D890" s="8"/>
      <c r="E890" s="8"/>
      <c r="F890" s="8"/>
      <c r="G890" s="8"/>
      <c r="H890" s="8"/>
      <c r="V890" s="21"/>
      <c r="W890" s="21"/>
      <c r="X890" s="21"/>
      <c r="Y890" s="21"/>
      <c r="Z890" s="21"/>
      <c r="AA890" s="21"/>
    </row>
    <row r="891">
      <c r="A891" s="8"/>
      <c r="B891" s="8"/>
      <c r="C891" s="8"/>
      <c r="D891" s="8"/>
      <c r="E891" s="8"/>
      <c r="F891" s="8"/>
      <c r="G891" s="8"/>
      <c r="H891" s="8"/>
      <c r="V891" s="21"/>
      <c r="W891" s="21"/>
      <c r="X891" s="21"/>
      <c r="Y891" s="21"/>
      <c r="Z891" s="21"/>
      <c r="AA891" s="21"/>
    </row>
    <row r="892">
      <c r="A892" s="8"/>
      <c r="B892" s="8"/>
      <c r="C892" s="8"/>
      <c r="D892" s="8"/>
      <c r="E892" s="8"/>
      <c r="F892" s="8"/>
      <c r="G892" s="8"/>
      <c r="H892" s="8"/>
      <c r="V892" s="21"/>
      <c r="W892" s="21"/>
      <c r="X892" s="21"/>
      <c r="Y892" s="21"/>
      <c r="Z892" s="21"/>
      <c r="AA892" s="21"/>
    </row>
    <row r="893">
      <c r="A893" s="8"/>
      <c r="B893" s="8"/>
      <c r="C893" s="8"/>
      <c r="D893" s="8"/>
      <c r="E893" s="8"/>
      <c r="F893" s="8"/>
      <c r="G893" s="8"/>
      <c r="H893" s="8"/>
      <c r="V893" s="21"/>
      <c r="W893" s="21"/>
      <c r="X893" s="21"/>
      <c r="Y893" s="21"/>
      <c r="Z893" s="21"/>
      <c r="AA893" s="21"/>
    </row>
    <row r="894">
      <c r="A894" s="8"/>
      <c r="B894" s="8"/>
      <c r="C894" s="8"/>
      <c r="D894" s="8"/>
      <c r="E894" s="8"/>
      <c r="F894" s="8"/>
      <c r="G894" s="8"/>
      <c r="H894" s="8"/>
      <c r="V894" s="21"/>
      <c r="W894" s="21"/>
      <c r="X894" s="21"/>
      <c r="Y894" s="21"/>
      <c r="Z894" s="21"/>
      <c r="AA894" s="21"/>
    </row>
    <row r="895">
      <c r="A895" s="8"/>
      <c r="B895" s="8"/>
      <c r="C895" s="8"/>
      <c r="D895" s="8"/>
      <c r="E895" s="8"/>
      <c r="F895" s="8"/>
      <c r="G895" s="8"/>
      <c r="H895" s="8"/>
      <c r="V895" s="21"/>
      <c r="W895" s="21"/>
      <c r="X895" s="21"/>
      <c r="Y895" s="21"/>
      <c r="Z895" s="21"/>
      <c r="AA895" s="21"/>
    </row>
    <row r="896">
      <c r="A896" s="8"/>
      <c r="B896" s="8"/>
      <c r="C896" s="8"/>
      <c r="D896" s="8"/>
      <c r="E896" s="8"/>
      <c r="F896" s="8"/>
      <c r="G896" s="8"/>
      <c r="H896" s="8"/>
      <c r="V896" s="21"/>
      <c r="W896" s="21"/>
      <c r="X896" s="21"/>
      <c r="Y896" s="21"/>
      <c r="Z896" s="21"/>
      <c r="AA896" s="21"/>
    </row>
    <row r="897">
      <c r="A897" s="8"/>
      <c r="B897" s="8"/>
      <c r="C897" s="8"/>
      <c r="D897" s="8"/>
      <c r="E897" s="8"/>
      <c r="F897" s="8"/>
      <c r="G897" s="8"/>
      <c r="H897" s="8"/>
      <c r="V897" s="21"/>
      <c r="W897" s="21"/>
      <c r="X897" s="21"/>
      <c r="Y897" s="21"/>
      <c r="Z897" s="21"/>
      <c r="AA897" s="21"/>
    </row>
    <row r="898">
      <c r="A898" s="8"/>
      <c r="B898" s="8"/>
      <c r="C898" s="8"/>
      <c r="D898" s="8"/>
      <c r="E898" s="8"/>
      <c r="F898" s="8"/>
      <c r="G898" s="8"/>
      <c r="H898" s="8"/>
      <c r="V898" s="21"/>
      <c r="W898" s="21"/>
      <c r="X898" s="21"/>
      <c r="Y898" s="21"/>
      <c r="Z898" s="21"/>
      <c r="AA898" s="21"/>
    </row>
    <row r="899">
      <c r="A899" s="8"/>
      <c r="B899" s="8"/>
      <c r="C899" s="8"/>
      <c r="D899" s="8"/>
      <c r="E899" s="8"/>
      <c r="F899" s="8"/>
      <c r="G899" s="8"/>
      <c r="H899" s="8"/>
      <c r="V899" s="21"/>
      <c r="W899" s="21"/>
      <c r="X899" s="21"/>
      <c r="Y899" s="21"/>
      <c r="Z899" s="21"/>
      <c r="AA899" s="21"/>
    </row>
    <row r="900">
      <c r="A900" s="8"/>
      <c r="B900" s="8"/>
      <c r="C900" s="8"/>
      <c r="D900" s="8"/>
      <c r="E900" s="8"/>
      <c r="F900" s="8"/>
      <c r="G900" s="8"/>
      <c r="H900" s="8"/>
      <c r="V900" s="21"/>
      <c r="W900" s="21"/>
      <c r="X900" s="21"/>
      <c r="Y900" s="21"/>
      <c r="Z900" s="21"/>
      <c r="AA900" s="21"/>
    </row>
    <row r="901">
      <c r="A901" s="8"/>
      <c r="B901" s="8"/>
      <c r="C901" s="8"/>
      <c r="D901" s="8"/>
      <c r="E901" s="8"/>
      <c r="F901" s="8"/>
      <c r="G901" s="8"/>
      <c r="H901" s="8"/>
      <c r="V901" s="21"/>
      <c r="W901" s="21"/>
      <c r="X901" s="21"/>
      <c r="Y901" s="21"/>
      <c r="Z901" s="21"/>
      <c r="AA901" s="21"/>
    </row>
    <row r="902">
      <c r="A902" s="8"/>
      <c r="B902" s="8"/>
      <c r="C902" s="8"/>
      <c r="D902" s="8"/>
      <c r="E902" s="8"/>
      <c r="F902" s="8"/>
      <c r="G902" s="8"/>
      <c r="H902" s="8"/>
      <c r="V902" s="21"/>
      <c r="W902" s="21"/>
      <c r="X902" s="21"/>
      <c r="Y902" s="21"/>
      <c r="Z902" s="21"/>
      <c r="AA902" s="21"/>
    </row>
    <row r="903">
      <c r="A903" s="8"/>
      <c r="B903" s="8"/>
      <c r="C903" s="8"/>
      <c r="D903" s="8"/>
      <c r="E903" s="8"/>
      <c r="F903" s="8"/>
      <c r="G903" s="8"/>
      <c r="H903" s="8"/>
      <c r="V903" s="21"/>
      <c r="W903" s="21"/>
      <c r="X903" s="21"/>
      <c r="Y903" s="21"/>
      <c r="Z903" s="21"/>
      <c r="AA903" s="21"/>
    </row>
    <row r="904">
      <c r="A904" s="8"/>
      <c r="B904" s="8"/>
      <c r="C904" s="8"/>
      <c r="D904" s="8"/>
      <c r="E904" s="8"/>
      <c r="F904" s="8"/>
      <c r="G904" s="8"/>
      <c r="H904" s="8"/>
      <c r="V904" s="21"/>
      <c r="W904" s="21"/>
      <c r="X904" s="21"/>
      <c r="Y904" s="21"/>
      <c r="Z904" s="21"/>
      <c r="AA904" s="21"/>
    </row>
    <row r="905">
      <c r="A905" s="8"/>
      <c r="B905" s="8"/>
      <c r="C905" s="8"/>
      <c r="D905" s="8"/>
      <c r="E905" s="8"/>
      <c r="F905" s="8"/>
      <c r="G905" s="8"/>
      <c r="H905" s="8"/>
      <c r="V905" s="21"/>
      <c r="W905" s="21"/>
      <c r="X905" s="21"/>
      <c r="Y905" s="21"/>
      <c r="Z905" s="21"/>
      <c r="AA905" s="21"/>
    </row>
    <row r="906">
      <c r="A906" s="8"/>
      <c r="B906" s="8"/>
      <c r="C906" s="8"/>
      <c r="D906" s="8"/>
      <c r="E906" s="8"/>
      <c r="F906" s="8"/>
      <c r="G906" s="8"/>
      <c r="H906" s="8"/>
      <c r="V906" s="21"/>
      <c r="W906" s="21"/>
      <c r="X906" s="21"/>
      <c r="Y906" s="21"/>
      <c r="Z906" s="21"/>
      <c r="AA906" s="21"/>
    </row>
    <row r="907">
      <c r="A907" s="8"/>
      <c r="B907" s="8"/>
      <c r="C907" s="8"/>
      <c r="D907" s="8"/>
      <c r="E907" s="8"/>
      <c r="F907" s="8"/>
      <c r="G907" s="8"/>
      <c r="H907" s="8"/>
      <c r="V907" s="21"/>
      <c r="W907" s="21"/>
      <c r="X907" s="21"/>
      <c r="Y907" s="21"/>
      <c r="Z907" s="21"/>
      <c r="AA907" s="21"/>
    </row>
    <row r="908">
      <c r="A908" s="8"/>
      <c r="B908" s="8"/>
      <c r="C908" s="8"/>
      <c r="D908" s="8"/>
      <c r="E908" s="8"/>
      <c r="F908" s="8"/>
      <c r="G908" s="8"/>
      <c r="H908" s="8"/>
      <c r="V908" s="21"/>
      <c r="W908" s="21"/>
      <c r="X908" s="21"/>
      <c r="Y908" s="21"/>
      <c r="Z908" s="21"/>
      <c r="AA908" s="21"/>
    </row>
    <row r="909">
      <c r="A909" s="8"/>
      <c r="B909" s="8"/>
      <c r="C909" s="8"/>
      <c r="D909" s="8"/>
      <c r="E909" s="8"/>
      <c r="F909" s="8"/>
      <c r="G909" s="8"/>
      <c r="H909" s="8"/>
      <c r="V909" s="21"/>
      <c r="W909" s="21"/>
      <c r="X909" s="21"/>
      <c r="Y909" s="21"/>
      <c r="Z909" s="21"/>
      <c r="AA909" s="21"/>
    </row>
    <row r="910">
      <c r="A910" s="8"/>
      <c r="B910" s="8"/>
      <c r="C910" s="8"/>
      <c r="D910" s="8"/>
      <c r="E910" s="8"/>
      <c r="F910" s="8"/>
      <c r="G910" s="8"/>
      <c r="H910" s="8"/>
      <c r="V910" s="21"/>
      <c r="W910" s="21"/>
      <c r="X910" s="21"/>
      <c r="Y910" s="21"/>
      <c r="Z910" s="21"/>
      <c r="AA910" s="21"/>
    </row>
    <row r="911">
      <c r="A911" s="8"/>
      <c r="B911" s="8"/>
      <c r="C911" s="8"/>
      <c r="D911" s="8"/>
      <c r="E911" s="8"/>
      <c r="F911" s="8"/>
      <c r="G911" s="8"/>
      <c r="H911" s="8"/>
      <c r="V911" s="21"/>
      <c r="W911" s="21"/>
      <c r="X911" s="21"/>
      <c r="Y911" s="21"/>
      <c r="Z911" s="21"/>
      <c r="AA911" s="21"/>
    </row>
    <row r="912">
      <c r="A912" s="8"/>
      <c r="B912" s="8"/>
      <c r="C912" s="8"/>
      <c r="D912" s="8"/>
      <c r="E912" s="8"/>
      <c r="F912" s="8"/>
      <c r="G912" s="8"/>
      <c r="H912" s="8"/>
      <c r="V912" s="21"/>
      <c r="W912" s="21"/>
      <c r="X912" s="21"/>
      <c r="Y912" s="21"/>
      <c r="Z912" s="21"/>
      <c r="AA912" s="21"/>
    </row>
    <row r="913">
      <c r="A913" s="8"/>
      <c r="B913" s="8"/>
      <c r="C913" s="8"/>
      <c r="D913" s="8"/>
      <c r="E913" s="8"/>
      <c r="F913" s="8"/>
      <c r="G913" s="8"/>
      <c r="H913" s="8"/>
      <c r="V913" s="21"/>
      <c r="W913" s="21"/>
      <c r="X913" s="21"/>
      <c r="Y913" s="21"/>
      <c r="Z913" s="21"/>
      <c r="AA913" s="21"/>
    </row>
    <row r="914">
      <c r="A914" s="8"/>
      <c r="B914" s="8"/>
      <c r="C914" s="8"/>
      <c r="D914" s="8"/>
      <c r="E914" s="8"/>
      <c r="F914" s="8"/>
      <c r="G914" s="8"/>
      <c r="H914" s="8"/>
      <c r="V914" s="21"/>
      <c r="W914" s="21"/>
      <c r="X914" s="21"/>
      <c r="Y914" s="21"/>
      <c r="Z914" s="21"/>
      <c r="AA914" s="21"/>
    </row>
    <row r="915">
      <c r="A915" s="8"/>
      <c r="B915" s="8"/>
      <c r="C915" s="8"/>
      <c r="D915" s="8"/>
      <c r="E915" s="8"/>
      <c r="F915" s="8"/>
      <c r="G915" s="8"/>
      <c r="H915" s="8"/>
      <c r="V915" s="21"/>
      <c r="W915" s="21"/>
      <c r="X915" s="21"/>
      <c r="Y915" s="21"/>
      <c r="Z915" s="21"/>
      <c r="AA915" s="21"/>
    </row>
    <row r="916">
      <c r="A916" s="8"/>
      <c r="B916" s="8"/>
      <c r="C916" s="8"/>
      <c r="D916" s="8"/>
      <c r="E916" s="8"/>
      <c r="F916" s="8"/>
      <c r="G916" s="8"/>
      <c r="H916" s="8"/>
      <c r="V916" s="21"/>
      <c r="W916" s="21"/>
      <c r="X916" s="21"/>
      <c r="Y916" s="21"/>
      <c r="Z916" s="21"/>
      <c r="AA916" s="21"/>
    </row>
    <row r="917">
      <c r="A917" s="8"/>
      <c r="B917" s="8"/>
      <c r="C917" s="8"/>
      <c r="D917" s="8"/>
      <c r="E917" s="8"/>
      <c r="F917" s="8"/>
      <c r="G917" s="8"/>
      <c r="H917" s="8"/>
      <c r="V917" s="21"/>
      <c r="W917" s="21"/>
      <c r="X917" s="21"/>
      <c r="Y917" s="21"/>
      <c r="Z917" s="21"/>
      <c r="AA917" s="21"/>
    </row>
    <row r="918">
      <c r="A918" s="8"/>
      <c r="B918" s="8"/>
      <c r="C918" s="8"/>
      <c r="D918" s="8"/>
      <c r="E918" s="8"/>
      <c r="F918" s="8"/>
      <c r="G918" s="8"/>
      <c r="H918" s="8"/>
      <c r="V918" s="21"/>
      <c r="W918" s="21"/>
      <c r="X918" s="21"/>
      <c r="Y918" s="21"/>
      <c r="Z918" s="21"/>
      <c r="AA918" s="21"/>
    </row>
    <row r="919">
      <c r="A919" s="8"/>
      <c r="B919" s="8"/>
      <c r="C919" s="8"/>
      <c r="D919" s="8"/>
      <c r="E919" s="8"/>
      <c r="F919" s="8"/>
      <c r="G919" s="8"/>
      <c r="H919" s="8"/>
      <c r="V919" s="21"/>
      <c r="W919" s="21"/>
      <c r="X919" s="21"/>
      <c r="Y919" s="21"/>
      <c r="Z919" s="21"/>
      <c r="AA919" s="21"/>
    </row>
    <row r="920">
      <c r="A920" s="8"/>
      <c r="B920" s="8"/>
      <c r="C920" s="8"/>
      <c r="D920" s="8"/>
      <c r="E920" s="8"/>
      <c r="F920" s="8"/>
      <c r="G920" s="8"/>
      <c r="H920" s="8"/>
      <c r="V920" s="21"/>
      <c r="W920" s="21"/>
      <c r="X920" s="21"/>
      <c r="Y920" s="21"/>
      <c r="Z920" s="21"/>
      <c r="AA920" s="21"/>
    </row>
    <row r="921">
      <c r="A921" s="8"/>
      <c r="B921" s="8"/>
      <c r="C921" s="8"/>
      <c r="D921" s="8"/>
      <c r="E921" s="8"/>
      <c r="F921" s="8"/>
      <c r="G921" s="8"/>
      <c r="H921" s="8"/>
      <c r="V921" s="21"/>
      <c r="W921" s="21"/>
      <c r="X921" s="21"/>
      <c r="Y921" s="21"/>
      <c r="Z921" s="21"/>
      <c r="AA921" s="21"/>
    </row>
    <row r="922">
      <c r="A922" s="8"/>
      <c r="B922" s="8"/>
      <c r="C922" s="8"/>
      <c r="D922" s="8"/>
      <c r="E922" s="8"/>
      <c r="F922" s="8"/>
      <c r="G922" s="8"/>
      <c r="H922" s="8"/>
      <c r="V922" s="21"/>
      <c r="W922" s="21"/>
      <c r="X922" s="21"/>
      <c r="Y922" s="21"/>
      <c r="Z922" s="21"/>
      <c r="AA922" s="21"/>
    </row>
    <row r="923">
      <c r="A923" s="8"/>
      <c r="B923" s="8"/>
      <c r="C923" s="8"/>
      <c r="D923" s="8"/>
      <c r="E923" s="8"/>
      <c r="F923" s="8"/>
      <c r="G923" s="8"/>
      <c r="H923" s="8"/>
      <c r="V923" s="21"/>
      <c r="W923" s="21"/>
      <c r="X923" s="21"/>
      <c r="Y923" s="21"/>
      <c r="Z923" s="21"/>
      <c r="AA923" s="21"/>
    </row>
    <row r="924">
      <c r="A924" s="8"/>
      <c r="B924" s="8"/>
      <c r="C924" s="8"/>
      <c r="D924" s="8"/>
      <c r="E924" s="8"/>
      <c r="F924" s="8"/>
      <c r="G924" s="8"/>
      <c r="H924" s="8"/>
      <c r="V924" s="21"/>
      <c r="W924" s="21"/>
      <c r="X924" s="21"/>
      <c r="Y924" s="21"/>
      <c r="Z924" s="21"/>
      <c r="AA924" s="21"/>
    </row>
    <row r="925">
      <c r="A925" s="8"/>
      <c r="B925" s="8"/>
      <c r="C925" s="8"/>
      <c r="D925" s="8"/>
      <c r="E925" s="8"/>
      <c r="F925" s="8"/>
      <c r="G925" s="8"/>
      <c r="H925" s="8"/>
      <c r="V925" s="21"/>
      <c r="W925" s="21"/>
      <c r="X925" s="21"/>
      <c r="Y925" s="21"/>
      <c r="Z925" s="21"/>
      <c r="AA925" s="21"/>
    </row>
    <row r="926">
      <c r="A926" s="8"/>
      <c r="B926" s="8"/>
      <c r="C926" s="8"/>
      <c r="D926" s="8"/>
      <c r="E926" s="8"/>
      <c r="F926" s="8"/>
      <c r="G926" s="8"/>
      <c r="H926" s="8"/>
      <c r="V926" s="21"/>
      <c r="W926" s="21"/>
      <c r="X926" s="21"/>
      <c r="Y926" s="21"/>
      <c r="Z926" s="21"/>
      <c r="AA926" s="21"/>
    </row>
    <row r="927">
      <c r="A927" s="8"/>
      <c r="B927" s="8"/>
      <c r="C927" s="8"/>
      <c r="D927" s="8"/>
      <c r="E927" s="8"/>
      <c r="F927" s="8"/>
      <c r="G927" s="8"/>
      <c r="H927" s="8"/>
      <c r="V927" s="21"/>
      <c r="W927" s="21"/>
      <c r="X927" s="21"/>
      <c r="Y927" s="21"/>
      <c r="Z927" s="21"/>
      <c r="AA927" s="21"/>
    </row>
    <row r="928">
      <c r="A928" s="8"/>
      <c r="B928" s="8"/>
      <c r="C928" s="8"/>
      <c r="D928" s="8"/>
      <c r="E928" s="8"/>
      <c r="F928" s="8"/>
      <c r="G928" s="8"/>
      <c r="H928" s="8"/>
      <c r="V928" s="21"/>
      <c r="W928" s="21"/>
      <c r="X928" s="21"/>
      <c r="Y928" s="21"/>
      <c r="Z928" s="21"/>
      <c r="AA928" s="21"/>
    </row>
    <row r="929">
      <c r="A929" s="8"/>
      <c r="B929" s="8"/>
      <c r="C929" s="8"/>
      <c r="D929" s="8"/>
      <c r="E929" s="8"/>
      <c r="F929" s="8"/>
      <c r="G929" s="8"/>
      <c r="H929" s="8"/>
      <c r="V929" s="21"/>
      <c r="W929" s="21"/>
      <c r="X929" s="21"/>
      <c r="Y929" s="21"/>
      <c r="Z929" s="21"/>
      <c r="AA929" s="21"/>
    </row>
    <row r="930">
      <c r="A930" s="8"/>
      <c r="B930" s="8"/>
      <c r="C930" s="8"/>
      <c r="D930" s="8"/>
      <c r="E930" s="8"/>
      <c r="F930" s="8"/>
      <c r="G930" s="8"/>
      <c r="H930" s="8"/>
      <c r="V930" s="21"/>
      <c r="W930" s="21"/>
      <c r="X930" s="21"/>
      <c r="Y930" s="21"/>
      <c r="Z930" s="21"/>
      <c r="AA930" s="21"/>
    </row>
    <row r="931">
      <c r="A931" s="8"/>
      <c r="B931" s="8"/>
      <c r="C931" s="8"/>
      <c r="D931" s="8"/>
      <c r="E931" s="8"/>
      <c r="F931" s="8"/>
      <c r="G931" s="8"/>
      <c r="H931" s="8"/>
      <c r="V931" s="21"/>
      <c r="W931" s="21"/>
      <c r="X931" s="21"/>
      <c r="Y931" s="21"/>
      <c r="Z931" s="21"/>
      <c r="AA931" s="21"/>
    </row>
    <row r="932">
      <c r="A932" s="8"/>
      <c r="B932" s="8"/>
      <c r="C932" s="8"/>
      <c r="D932" s="8"/>
      <c r="E932" s="8"/>
      <c r="F932" s="8"/>
      <c r="G932" s="8"/>
      <c r="H932" s="8"/>
      <c r="V932" s="21"/>
      <c r="W932" s="21"/>
      <c r="X932" s="21"/>
      <c r="Y932" s="21"/>
      <c r="Z932" s="21"/>
      <c r="AA932" s="21"/>
    </row>
    <row r="933">
      <c r="A933" s="8"/>
      <c r="B933" s="8"/>
      <c r="C933" s="8"/>
      <c r="D933" s="8"/>
      <c r="E933" s="8"/>
      <c r="F933" s="8"/>
      <c r="G933" s="8"/>
      <c r="H933" s="8"/>
      <c r="V933" s="21"/>
      <c r="W933" s="21"/>
      <c r="X933" s="21"/>
      <c r="Y933" s="21"/>
      <c r="Z933" s="21"/>
      <c r="AA933" s="21"/>
    </row>
    <row r="934">
      <c r="A934" s="8"/>
      <c r="B934" s="8"/>
      <c r="C934" s="8"/>
      <c r="D934" s="8"/>
      <c r="E934" s="8"/>
      <c r="F934" s="8"/>
      <c r="G934" s="8"/>
      <c r="H934" s="8"/>
      <c r="V934" s="21"/>
      <c r="W934" s="21"/>
      <c r="X934" s="21"/>
      <c r="Y934" s="21"/>
      <c r="Z934" s="21"/>
      <c r="AA934" s="21"/>
    </row>
    <row r="935">
      <c r="A935" s="8"/>
      <c r="B935" s="8"/>
      <c r="C935" s="8"/>
      <c r="D935" s="8"/>
      <c r="E935" s="8"/>
      <c r="F935" s="8"/>
      <c r="G935" s="8"/>
      <c r="H935" s="8"/>
      <c r="V935" s="21"/>
      <c r="W935" s="21"/>
      <c r="X935" s="21"/>
      <c r="Y935" s="21"/>
      <c r="Z935" s="21"/>
      <c r="AA935" s="21"/>
    </row>
    <row r="936">
      <c r="A936" s="8"/>
      <c r="B936" s="8"/>
      <c r="C936" s="8"/>
      <c r="D936" s="8"/>
      <c r="E936" s="8"/>
      <c r="F936" s="8"/>
      <c r="G936" s="8"/>
      <c r="H936" s="8"/>
      <c r="V936" s="21"/>
      <c r="W936" s="21"/>
      <c r="X936" s="21"/>
      <c r="Y936" s="21"/>
      <c r="Z936" s="21"/>
      <c r="AA936" s="21"/>
    </row>
    <row r="937">
      <c r="A937" s="8"/>
      <c r="B937" s="8"/>
      <c r="C937" s="8"/>
      <c r="D937" s="8"/>
      <c r="E937" s="8"/>
      <c r="F937" s="8"/>
      <c r="G937" s="8"/>
      <c r="H937" s="8"/>
      <c r="V937" s="21"/>
      <c r="W937" s="21"/>
      <c r="X937" s="21"/>
      <c r="Y937" s="21"/>
      <c r="Z937" s="21"/>
      <c r="AA937" s="21"/>
    </row>
    <row r="938">
      <c r="A938" s="8"/>
      <c r="B938" s="8"/>
      <c r="C938" s="8"/>
      <c r="D938" s="8"/>
      <c r="E938" s="8"/>
      <c r="F938" s="8"/>
      <c r="G938" s="8"/>
      <c r="H938" s="8"/>
      <c r="V938" s="21"/>
      <c r="W938" s="21"/>
      <c r="X938" s="21"/>
      <c r="Y938" s="21"/>
      <c r="Z938" s="21"/>
      <c r="AA938" s="21"/>
    </row>
    <row r="939">
      <c r="A939" s="8"/>
      <c r="B939" s="8"/>
      <c r="C939" s="8"/>
      <c r="D939" s="8"/>
      <c r="E939" s="8"/>
      <c r="F939" s="8"/>
      <c r="G939" s="8"/>
      <c r="H939" s="8"/>
      <c r="V939" s="21"/>
      <c r="W939" s="21"/>
      <c r="X939" s="21"/>
      <c r="Y939" s="21"/>
      <c r="Z939" s="21"/>
      <c r="AA939" s="21"/>
    </row>
    <row r="940">
      <c r="A940" s="8"/>
      <c r="B940" s="8"/>
      <c r="C940" s="8"/>
      <c r="D940" s="8"/>
      <c r="E940" s="8"/>
      <c r="F940" s="8"/>
      <c r="G940" s="8"/>
      <c r="H940" s="8"/>
      <c r="V940" s="21"/>
      <c r="W940" s="21"/>
      <c r="X940" s="21"/>
      <c r="Y940" s="21"/>
      <c r="Z940" s="21"/>
      <c r="AA940" s="21"/>
    </row>
    <row r="941">
      <c r="A941" s="8"/>
      <c r="B941" s="8"/>
      <c r="C941" s="8"/>
      <c r="D941" s="8"/>
      <c r="E941" s="8"/>
      <c r="F941" s="8"/>
      <c r="G941" s="8"/>
      <c r="H941" s="8"/>
      <c r="V941" s="21"/>
      <c r="W941" s="21"/>
      <c r="X941" s="21"/>
      <c r="Y941" s="21"/>
      <c r="Z941" s="21"/>
      <c r="AA941" s="21"/>
    </row>
    <row r="942">
      <c r="A942" s="8"/>
      <c r="B942" s="8"/>
      <c r="C942" s="8"/>
      <c r="D942" s="8"/>
      <c r="E942" s="8"/>
      <c r="F942" s="8"/>
      <c r="G942" s="8"/>
      <c r="H942" s="8"/>
      <c r="V942" s="21"/>
      <c r="W942" s="21"/>
      <c r="X942" s="21"/>
      <c r="Y942" s="21"/>
      <c r="Z942" s="21"/>
      <c r="AA942" s="21"/>
    </row>
    <row r="943">
      <c r="A943" s="8"/>
      <c r="B943" s="8"/>
      <c r="C943" s="8"/>
      <c r="D943" s="8"/>
      <c r="E943" s="8"/>
      <c r="F943" s="8"/>
      <c r="G943" s="8"/>
      <c r="H943" s="8"/>
      <c r="V943" s="21"/>
      <c r="W943" s="21"/>
      <c r="X943" s="21"/>
      <c r="Y943" s="21"/>
      <c r="Z943" s="21"/>
      <c r="AA943" s="21"/>
    </row>
    <row r="944">
      <c r="A944" s="8"/>
      <c r="B944" s="8"/>
      <c r="C944" s="8"/>
      <c r="D944" s="8"/>
      <c r="E944" s="8"/>
      <c r="F944" s="8"/>
      <c r="G944" s="8"/>
      <c r="H944" s="8"/>
      <c r="V944" s="21"/>
      <c r="W944" s="21"/>
      <c r="X944" s="21"/>
      <c r="Y944" s="21"/>
      <c r="Z944" s="21"/>
      <c r="AA944" s="21"/>
    </row>
    <row r="945">
      <c r="A945" s="8"/>
      <c r="B945" s="8"/>
      <c r="C945" s="8"/>
      <c r="D945" s="8"/>
      <c r="E945" s="8"/>
      <c r="F945" s="8"/>
      <c r="G945" s="8"/>
      <c r="H945" s="8"/>
      <c r="V945" s="21"/>
      <c r="W945" s="21"/>
      <c r="X945" s="21"/>
      <c r="Y945" s="21"/>
      <c r="Z945" s="21"/>
      <c r="AA945" s="21"/>
    </row>
    <row r="946">
      <c r="A946" s="8"/>
      <c r="B946" s="8"/>
      <c r="C946" s="8"/>
      <c r="D946" s="8"/>
      <c r="E946" s="8"/>
      <c r="F946" s="8"/>
      <c r="G946" s="8"/>
      <c r="H946" s="8"/>
      <c r="V946" s="21"/>
      <c r="W946" s="21"/>
      <c r="X946" s="21"/>
      <c r="Y946" s="21"/>
      <c r="Z946" s="21"/>
      <c r="AA946" s="21"/>
    </row>
    <row r="947">
      <c r="A947" s="8"/>
      <c r="B947" s="8"/>
      <c r="C947" s="8"/>
      <c r="D947" s="8"/>
      <c r="E947" s="8"/>
      <c r="F947" s="8"/>
      <c r="G947" s="8"/>
      <c r="H947" s="8"/>
      <c r="V947" s="21"/>
      <c r="W947" s="21"/>
      <c r="X947" s="21"/>
      <c r="Y947" s="21"/>
      <c r="Z947" s="21"/>
      <c r="AA947" s="21"/>
    </row>
    <row r="948">
      <c r="A948" s="8"/>
      <c r="B948" s="8"/>
      <c r="C948" s="8"/>
      <c r="D948" s="8"/>
      <c r="E948" s="8"/>
      <c r="F948" s="8"/>
      <c r="G948" s="8"/>
      <c r="H948" s="8"/>
      <c r="V948" s="21"/>
      <c r="W948" s="21"/>
      <c r="X948" s="21"/>
      <c r="Y948" s="21"/>
      <c r="Z948" s="21"/>
      <c r="AA948" s="21"/>
    </row>
    <row r="949">
      <c r="A949" s="8"/>
      <c r="B949" s="8"/>
      <c r="C949" s="8"/>
      <c r="D949" s="8"/>
      <c r="E949" s="8"/>
      <c r="F949" s="8"/>
      <c r="G949" s="8"/>
      <c r="H949" s="8"/>
      <c r="V949" s="21"/>
      <c r="W949" s="21"/>
      <c r="X949" s="21"/>
      <c r="Y949" s="21"/>
      <c r="Z949" s="21"/>
      <c r="AA949" s="21"/>
    </row>
    <row r="950">
      <c r="A950" s="8"/>
      <c r="B950" s="8"/>
      <c r="C950" s="8"/>
      <c r="D950" s="8"/>
      <c r="E950" s="8"/>
      <c r="F950" s="8"/>
      <c r="G950" s="8"/>
      <c r="H950" s="8"/>
      <c r="V950" s="21"/>
      <c r="W950" s="21"/>
      <c r="X950" s="21"/>
      <c r="Y950" s="21"/>
      <c r="Z950" s="21"/>
      <c r="AA950" s="21"/>
    </row>
    <row r="951">
      <c r="A951" s="8"/>
      <c r="B951" s="8"/>
      <c r="C951" s="8"/>
      <c r="D951" s="8"/>
      <c r="E951" s="8"/>
      <c r="F951" s="8"/>
      <c r="G951" s="8"/>
      <c r="H951" s="8"/>
      <c r="V951" s="21"/>
      <c r="W951" s="21"/>
      <c r="X951" s="21"/>
      <c r="Y951" s="21"/>
      <c r="Z951" s="21"/>
      <c r="AA951" s="21"/>
    </row>
    <row r="952">
      <c r="A952" s="8"/>
      <c r="B952" s="8"/>
      <c r="C952" s="8"/>
      <c r="D952" s="8"/>
      <c r="E952" s="8"/>
      <c r="F952" s="8"/>
      <c r="G952" s="8"/>
      <c r="H952" s="8"/>
      <c r="V952" s="21"/>
      <c r="W952" s="21"/>
      <c r="X952" s="21"/>
      <c r="Y952" s="21"/>
      <c r="Z952" s="21"/>
      <c r="AA952" s="21"/>
    </row>
    <row r="953">
      <c r="A953" s="8"/>
      <c r="B953" s="8"/>
      <c r="C953" s="8"/>
      <c r="D953" s="8"/>
      <c r="E953" s="8"/>
      <c r="F953" s="8"/>
      <c r="G953" s="8"/>
      <c r="H953" s="8"/>
      <c r="V953" s="21"/>
      <c r="W953" s="21"/>
      <c r="X953" s="21"/>
      <c r="Y953" s="21"/>
      <c r="Z953" s="21"/>
      <c r="AA953" s="21"/>
    </row>
    <row r="954">
      <c r="A954" s="8"/>
      <c r="B954" s="8"/>
      <c r="C954" s="8"/>
      <c r="D954" s="8"/>
      <c r="E954" s="8"/>
      <c r="F954" s="8"/>
      <c r="G954" s="8"/>
      <c r="H954" s="8"/>
      <c r="V954" s="21"/>
      <c r="W954" s="21"/>
      <c r="X954" s="21"/>
      <c r="Y954" s="21"/>
      <c r="Z954" s="21"/>
      <c r="AA954" s="21"/>
    </row>
    <row r="955">
      <c r="A955" s="8"/>
      <c r="B955" s="8"/>
      <c r="C955" s="8"/>
      <c r="D955" s="8"/>
      <c r="E955" s="8"/>
      <c r="F955" s="8"/>
      <c r="G955" s="8"/>
      <c r="H955" s="8"/>
      <c r="V955" s="21"/>
      <c r="W955" s="21"/>
      <c r="X955" s="21"/>
      <c r="Y955" s="21"/>
      <c r="Z955" s="21"/>
      <c r="AA955" s="21"/>
    </row>
    <row r="956">
      <c r="A956" s="8"/>
      <c r="B956" s="8"/>
      <c r="C956" s="8"/>
      <c r="D956" s="8"/>
      <c r="E956" s="8"/>
      <c r="F956" s="8"/>
      <c r="G956" s="8"/>
      <c r="H956" s="8"/>
      <c r="V956" s="21"/>
      <c r="W956" s="21"/>
      <c r="X956" s="21"/>
      <c r="Y956" s="21"/>
      <c r="Z956" s="21"/>
      <c r="AA956" s="21"/>
    </row>
    <row r="957">
      <c r="A957" s="8"/>
      <c r="B957" s="8"/>
      <c r="C957" s="8"/>
      <c r="D957" s="8"/>
      <c r="E957" s="8"/>
      <c r="F957" s="8"/>
      <c r="G957" s="8"/>
      <c r="H957" s="8"/>
      <c r="V957" s="21"/>
      <c r="W957" s="21"/>
      <c r="X957" s="21"/>
      <c r="Y957" s="21"/>
      <c r="Z957" s="21"/>
      <c r="AA957" s="21"/>
    </row>
    <row r="958">
      <c r="A958" s="8"/>
      <c r="B958" s="8"/>
      <c r="C958" s="8"/>
      <c r="D958" s="8"/>
      <c r="E958" s="8"/>
      <c r="F958" s="8"/>
      <c r="G958" s="8"/>
      <c r="H958" s="8"/>
      <c r="V958" s="21"/>
      <c r="W958" s="21"/>
      <c r="X958" s="21"/>
      <c r="Y958" s="21"/>
      <c r="Z958" s="21"/>
      <c r="AA958" s="21"/>
    </row>
    <row r="959">
      <c r="A959" s="8"/>
      <c r="B959" s="8"/>
      <c r="C959" s="8"/>
      <c r="D959" s="8"/>
      <c r="E959" s="8"/>
      <c r="F959" s="8"/>
      <c r="G959" s="8"/>
      <c r="H959" s="8"/>
      <c r="V959" s="21"/>
      <c r="W959" s="21"/>
      <c r="X959" s="21"/>
      <c r="Y959" s="21"/>
      <c r="Z959" s="21"/>
      <c r="AA959" s="21"/>
    </row>
    <row r="960">
      <c r="A960" s="8"/>
      <c r="B960" s="8"/>
      <c r="C960" s="8"/>
      <c r="D960" s="8"/>
      <c r="E960" s="8"/>
      <c r="F960" s="8"/>
      <c r="G960" s="8"/>
      <c r="H960" s="8"/>
      <c r="V960" s="21"/>
      <c r="W960" s="21"/>
      <c r="X960" s="21"/>
      <c r="Y960" s="21"/>
      <c r="Z960" s="21"/>
      <c r="AA960" s="21"/>
    </row>
    <row r="961">
      <c r="A961" s="8"/>
      <c r="B961" s="8"/>
      <c r="C961" s="8"/>
      <c r="D961" s="8"/>
      <c r="E961" s="8"/>
      <c r="F961" s="8"/>
      <c r="G961" s="8"/>
      <c r="H961" s="8"/>
      <c r="V961" s="21"/>
      <c r="W961" s="21"/>
      <c r="X961" s="21"/>
      <c r="Y961" s="21"/>
      <c r="Z961" s="21"/>
      <c r="AA961" s="21"/>
    </row>
    <row r="962">
      <c r="A962" s="8"/>
      <c r="B962" s="8"/>
      <c r="C962" s="8"/>
      <c r="D962" s="8"/>
      <c r="E962" s="8"/>
      <c r="F962" s="8"/>
      <c r="G962" s="8"/>
      <c r="H962" s="8"/>
      <c r="V962" s="21"/>
      <c r="W962" s="21"/>
      <c r="X962" s="21"/>
      <c r="Y962" s="21"/>
      <c r="Z962" s="21"/>
      <c r="AA962" s="21"/>
    </row>
    <row r="963">
      <c r="A963" s="8"/>
      <c r="B963" s="8"/>
      <c r="C963" s="8"/>
      <c r="D963" s="8"/>
      <c r="E963" s="8"/>
      <c r="F963" s="8"/>
      <c r="G963" s="8"/>
      <c r="H963" s="8"/>
      <c r="V963" s="21"/>
      <c r="W963" s="21"/>
      <c r="X963" s="21"/>
      <c r="Y963" s="21"/>
      <c r="Z963" s="21"/>
      <c r="AA963" s="21"/>
    </row>
    <row r="964">
      <c r="A964" s="8"/>
      <c r="B964" s="8"/>
      <c r="C964" s="8"/>
      <c r="D964" s="8"/>
      <c r="E964" s="8"/>
      <c r="F964" s="8"/>
      <c r="G964" s="8"/>
      <c r="H964" s="8"/>
      <c r="V964" s="21"/>
      <c r="W964" s="21"/>
      <c r="X964" s="21"/>
      <c r="Y964" s="21"/>
      <c r="Z964" s="21"/>
      <c r="AA964" s="21"/>
    </row>
    <row r="965">
      <c r="A965" s="8"/>
      <c r="B965" s="8"/>
      <c r="C965" s="8"/>
      <c r="D965" s="8"/>
      <c r="E965" s="8"/>
      <c r="F965" s="8"/>
      <c r="G965" s="8"/>
      <c r="H965" s="8"/>
      <c r="V965" s="21"/>
      <c r="W965" s="21"/>
      <c r="X965" s="21"/>
      <c r="Y965" s="21"/>
      <c r="Z965" s="21"/>
      <c r="AA965" s="21"/>
    </row>
    <row r="966">
      <c r="A966" s="8"/>
      <c r="B966" s="8"/>
      <c r="C966" s="8"/>
      <c r="D966" s="8"/>
      <c r="E966" s="8"/>
      <c r="F966" s="8"/>
      <c r="G966" s="8"/>
      <c r="H966" s="8"/>
      <c r="V966" s="21"/>
      <c r="W966" s="21"/>
      <c r="X966" s="21"/>
      <c r="Y966" s="21"/>
      <c r="Z966" s="21"/>
      <c r="AA966" s="21"/>
    </row>
    <row r="967">
      <c r="A967" s="8"/>
      <c r="B967" s="8"/>
      <c r="C967" s="8"/>
      <c r="D967" s="8"/>
      <c r="E967" s="8"/>
      <c r="F967" s="8"/>
      <c r="G967" s="8"/>
      <c r="H967" s="8"/>
      <c r="V967" s="21"/>
      <c r="W967" s="21"/>
      <c r="X967" s="21"/>
      <c r="Y967" s="21"/>
      <c r="Z967" s="21"/>
      <c r="AA967" s="21"/>
    </row>
    <row r="968">
      <c r="A968" s="8"/>
      <c r="B968" s="8"/>
      <c r="C968" s="8"/>
      <c r="D968" s="8"/>
      <c r="E968" s="8"/>
      <c r="F968" s="8"/>
      <c r="G968" s="8"/>
      <c r="H968" s="8"/>
      <c r="V968" s="21"/>
      <c r="W968" s="21"/>
      <c r="X968" s="21"/>
      <c r="Y968" s="21"/>
      <c r="Z968" s="21"/>
      <c r="AA968" s="21"/>
    </row>
    <row r="969">
      <c r="A969" s="8"/>
      <c r="B969" s="8"/>
      <c r="C969" s="8"/>
      <c r="D969" s="8"/>
      <c r="E969" s="8"/>
      <c r="F969" s="8"/>
      <c r="G969" s="8"/>
      <c r="H969" s="8"/>
      <c r="V969" s="21"/>
      <c r="W969" s="21"/>
      <c r="X969" s="21"/>
      <c r="Y969" s="21"/>
      <c r="Z969" s="21"/>
      <c r="AA969" s="21"/>
    </row>
    <row r="970">
      <c r="A970" s="8"/>
      <c r="B970" s="8"/>
      <c r="C970" s="8"/>
      <c r="D970" s="8"/>
      <c r="E970" s="8"/>
      <c r="F970" s="8"/>
      <c r="G970" s="8"/>
      <c r="H970" s="8"/>
      <c r="V970" s="21"/>
      <c r="W970" s="21"/>
      <c r="X970" s="21"/>
      <c r="Y970" s="21"/>
      <c r="Z970" s="21"/>
      <c r="AA970" s="21"/>
    </row>
    <row r="971">
      <c r="A971" s="8"/>
      <c r="B971" s="8"/>
      <c r="C971" s="8"/>
      <c r="D971" s="8"/>
      <c r="E971" s="8"/>
      <c r="F971" s="8"/>
      <c r="G971" s="8"/>
      <c r="H971" s="8"/>
      <c r="V971" s="21"/>
      <c r="W971" s="21"/>
      <c r="X971" s="21"/>
      <c r="Y971" s="21"/>
      <c r="Z971" s="21"/>
      <c r="AA971" s="21"/>
    </row>
    <row r="972">
      <c r="A972" s="8"/>
      <c r="B972" s="8"/>
      <c r="C972" s="8"/>
      <c r="D972" s="8"/>
      <c r="E972" s="8"/>
      <c r="F972" s="8"/>
      <c r="G972" s="8"/>
      <c r="H972" s="8"/>
      <c r="V972" s="21"/>
      <c r="W972" s="21"/>
      <c r="X972" s="21"/>
      <c r="Y972" s="21"/>
      <c r="Z972" s="21"/>
      <c r="AA972" s="21"/>
    </row>
    <row r="973">
      <c r="A973" s="8"/>
      <c r="B973" s="8"/>
      <c r="C973" s="8"/>
      <c r="D973" s="8"/>
      <c r="E973" s="8"/>
      <c r="F973" s="8"/>
      <c r="G973" s="8"/>
      <c r="H973" s="8"/>
      <c r="V973" s="21"/>
      <c r="W973" s="21"/>
      <c r="X973" s="21"/>
      <c r="Y973" s="21"/>
      <c r="Z973" s="21"/>
      <c r="AA973" s="21"/>
    </row>
    <row r="974">
      <c r="A974" s="8"/>
      <c r="B974" s="8"/>
      <c r="C974" s="8"/>
      <c r="D974" s="8"/>
      <c r="E974" s="8"/>
      <c r="F974" s="8"/>
      <c r="G974" s="8"/>
      <c r="H974" s="8"/>
      <c r="V974" s="21"/>
      <c r="W974" s="21"/>
      <c r="X974" s="21"/>
      <c r="Y974" s="21"/>
      <c r="Z974" s="21"/>
      <c r="AA974" s="21"/>
    </row>
    <row r="975">
      <c r="A975" s="8"/>
      <c r="B975" s="8"/>
      <c r="C975" s="8"/>
      <c r="D975" s="8"/>
      <c r="E975" s="8"/>
      <c r="F975" s="8"/>
      <c r="G975" s="8"/>
      <c r="H975" s="8"/>
      <c r="V975" s="21"/>
      <c r="W975" s="21"/>
      <c r="X975" s="21"/>
      <c r="Y975" s="21"/>
      <c r="Z975" s="21"/>
      <c r="AA975" s="21"/>
    </row>
    <row r="976">
      <c r="A976" s="8"/>
      <c r="B976" s="8"/>
      <c r="C976" s="8"/>
      <c r="D976" s="8"/>
      <c r="E976" s="8"/>
      <c r="F976" s="8"/>
      <c r="G976" s="8"/>
      <c r="H976" s="8"/>
      <c r="V976" s="21"/>
      <c r="W976" s="21"/>
      <c r="X976" s="21"/>
      <c r="Y976" s="21"/>
      <c r="Z976" s="21"/>
      <c r="AA976" s="21"/>
    </row>
    <row r="977">
      <c r="A977" s="8"/>
      <c r="B977" s="8"/>
      <c r="C977" s="8"/>
      <c r="D977" s="8"/>
      <c r="E977" s="8"/>
      <c r="F977" s="8"/>
      <c r="G977" s="8"/>
      <c r="H977" s="8"/>
      <c r="V977" s="21"/>
      <c r="W977" s="21"/>
      <c r="X977" s="21"/>
      <c r="Y977" s="21"/>
      <c r="Z977" s="21"/>
      <c r="AA977" s="21"/>
    </row>
    <row r="978">
      <c r="A978" s="8"/>
      <c r="B978" s="8"/>
      <c r="C978" s="8"/>
      <c r="D978" s="8"/>
      <c r="E978" s="8"/>
      <c r="F978" s="8"/>
      <c r="G978" s="8"/>
      <c r="H978" s="8"/>
      <c r="V978" s="21"/>
      <c r="W978" s="21"/>
      <c r="X978" s="21"/>
      <c r="Y978" s="21"/>
      <c r="Z978" s="21"/>
      <c r="AA978" s="21"/>
    </row>
    <row r="979">
      <c r="A979" s="8"/>
      <c r="B979" s="8"/>
      <c r="C979" s="8"/>
      <c r="D979" s="8"/>
      <c r="E979" s="8"/>
      <c r="F979" s="8"/>
      <c r="G979" s="8"/>
      <c r="H979" s="8"/>
      <c r="V979" s="21"/>
      <c r="W979" s="21"/>
      <c r="X979" s="21"/>
      <c r="Y979" s="21"/>
      <c r="Z979" s="21"/>
      <c r="AA979" s="21"/>
    </row>
    <row r="980">
      <c r="A980" s="8"/>
      <c r="B980" s="8"/>
      <c r="C980" s="8"/>
      <c r="D980" s="8"/>
      <c r="E980" s="8"/>
      <c r="F980" s="8"/>
      <c r="G980" s="8"/>
      <c r="H980" s="8"/>
      <c r="V980" s="21"/>
      <c r="W980" s="21"/>
      <c r="X980" s="21"/>
      <c r="Y980" s="21"/>
      <c r="Z980" s="21"/>
      <c r="AA980" s="21"/>
    </row>
    <row r="981">
      <c r="A981" s="8"/>
      <c r="B981" s="8"/>
      <c r="C981" s="8"/>
      <c r="D981" s="8"/>
      <c r="E981" s="8"/>
      <c r="F981" s="8"/>
      <c r="G981" s="8"/>
      <c r="H981" s="8"/>
      <c r="V981" s="21"/>
      <c r="W981" s="21"/>
      <c r="X981" s="21"/>
      <c r="Y981" s="21"/>
      <c r="Z981" s="21"/>
      <c r="AA981" s="21"/>
    </row>
    <row r="982">
      <c r="A982" s="8"/>
      <c r="B982" s="8"/>
      <c r="C982" s="8"/>
      <c r="D982" s="8"/>
      <c r="E982" s="8"/>
      <c r="F982" s="8"/>
      <c r="G982" s="8"/>
      <c r="H982" s="8"/>
      <c r="V982" s="21"/>
      <c r="W982" s="21"/>
      <c r="X982" s="21"/>
      <c r="Y982" s="21"/>
      <c r="Z982" s="21"/>
      <c r="AA982" s="21"/>
    </row>
    <row r="983">
      <c r="A983" s="8"/>
      <c r="B983" s="8"/>
      <c r="C983" s="8"/>
      <c r="D983" s="8"/>
      <c r="E983" s="8"/>
      <c r="F983" s="8"/>
      <c r="G983" s="8"/>
      <c r="H983" s="8"/>
      <c r="V983" s="21"/>
      <c r="W983" s="21"/>
      <c r="X983" s="21"/>
      <c r="Y983" s="21"/>
      <c r="Z983" s="21"/>
      <c r="AA983" s="21"/>
    </row>
    <row r="984">
      <c r="A984" s="8"/>
      <c r="B984" s="8"/>
      <c r="C984" s="8"/>
      <c r="D984" s="8"/>
      <c r="E984" s="8"/>
      <c r="F984" s="8"/>
      <c r="G984" s="8"/>
      <c r="H984" s="8"/>
      <c r="V984" s="21"/>
      <c r="W984" s="21"/>
      <c r="X984" s="21"/>
      <c r="Y984" s="21"/>
      <c r="Z984" s="21"/>
      <c r="AA984" s="21"/>
    </row>
    <row r="985">
      <c r="A985" s="8"/>
      <c r="B985" s="8"/>
      <c r="C985" s="8"/>
      <c r="D985" s="8"/>
      <c r="E985" s="8"/>
      <c r="F985" s="8"/>
      <c r="G985" s="8"/>
      <c r="H985" s="8"/>
      <c r="V985" s="21"/>
      <c r="W985" s="21"/>
      <c r="X985" s="21"/>
      <c r="Y985" s="21"/>
      <c r="Z985" s="21"/>
      <c r="AA985" s="21"/>
    </row>
    <row r="986">
      <c r="A986" s="8"/>
      <c r="B986" s="8"/>
      <c r="C986" s="8"/>
      <c r="D986" s="8"/>
      <c r="E986" s="8"/>
      <c r="F986" s="8"/>
      <c r="G986" s="8"/>
      <c r="H986" s="8"/>
      <c r="V986" s="21"/>
      <c r="W986" s="21"/>
      <c r="X986" s="21"/>
      <c r="Y986" s="21"/>
      <c r="Z986" s="21"/>
      <c r="AA986" s="21"/>
    </row>
    <row r="987">
      <c r="A987" s="8"/>
      <c r="B987" s="8"/>
      <c r="C987" s="8"/>
      <c r="D987" s="8"/>
      <c r="E987" s="8"/>
      <c r="F987" s="8"/>
      <c r="G987" s="8"/>
      <c r="H987" s="8"/>
      <c r="V987" s="21"/>
      <c r="W987" s="21"/>
      <c r="X987" s="21"/>
      <c r="Y987" s="21"/>
      <c r="Z987" s="21"/>
      <c r="AA987" s="21"/>
    </row>
    <row r="988">
      <c r="A988" s="8"/>
      <c r="B988" s="8"/>
      <c r="C988" s="8"/>
      <c r="D988" s="8"/>
      <c r="E988" s="8"/>
      <c r="F988" s="8"/>
      <c r="G988" s="8"/>
      <c r="H988" s="8"/>
      <c r="V988" s="21"/>
      <c r="W988" s="21"/>
      <c r="X988" s="21"/>
      <c r="Y988" s="21"/>
      <c r="Z988" s="21"/>
      <c r="AA988" s="21"/>
    </row>
    <row r="989">
      <c r="A989" s="8"/>
      <c r="B989" s="8"/>
      <c r="C989" s="8"/>
      <c r="D989" s="8"/>
      <c r="E989" s="8"/>
      <c r="F989" s="8"/>
      <c r="G989" s="8"/>
      <c r="H989" s="8"/>
      <c r="V989" s="21"/>
      <c r="W989" s="21"/>
      <c r="X989" s="21"/>
      <c r="Y989" s="21"/>
      <c r="Z989" s="21"/>
      <c r="AA989" s="21"/>
    </row>
    <row r="990">
      <c r="A990" s="8"/>
      <c r="B990" s="8"/>
      <c r="C990" s="8"/>
      <c r="D990" s="8"/>
      <c r="E990" s="8"/>
      <c r="F990" s="8"/>
      <c r="G990" s="8"/>
      <c r="H990" s="8"/>
      <c r="V990" s="21"/>
      <c r="W990" s="21"/>
      <c r="X990" s="21"/>
      <c r="Y990" s="21"/>
      <c r="Z990" s="21"/>
      <c r="AA990" s="21"/>
    </row>
    <row r="991">
      <c r="A991" s="8"/>
      <c r="B991" s="8"/>
      <c r="C991" s="8"/>
      <c r="D991" s="8"/>
      <c r="E991" s="8"/>
      <c r="F991" s="8"/>
      <c r="G991" s="8"/>
      <c r="H991" s="8"/>
      <c r="V991" s="21"/>
      <c r="W991" s="21"/>
      <c r="X991" s="21"/>
      <c r="Y991" s="21"/>
      <c r="Z991" s="21"/>
      <c r="AA991" s="21"/>
    </row>
    <row r="992">
      <c r="A992" s="8"/>
      <c r="B992" s="8"/>
      <c r="C992" s="8"/>
      <c r="D992" s="8"/>
      <c r="E992" s="8"/>
      <c r="F992" s="8"/>
      <c r="G992" s="8"/>
      <c r="H992" s="8"/>
      <c r="V992" s="21"/>
      <c r="W992" s="21"/>
      <c r="X992" s="21"/>
      <c r="Y992" s="21"/>
      <c r="Z992" s="21"/>
      <c r="AA992" s="21"/>
    </row>
    <row r="993">
      <c r="A993" s="8"/>
      <c r="B993" s="8"/>
      <c r="C993" s="8"/>
      <c r="D993" s="8"/>
      <c r="E993" s="8"/>
      <c r="F993" s="8"/>
      <c r="G993" s="8"/>
      <c r="H993" s="8"/>
      <c r="V993" s="21"/>
      <c r="W993" s="21"/>
      <c r="X993" s="21"/>
      <c r="Y993" s="21"/>
      <c r="Z993" s="21"/>
      <c r="AA993" s="21"/>
    </row>
    <row r="994">
      <c r="A994" s="8"/>
      <c r="B994" s="8"/>
      <c r="C994" s="8"/>
      <c r="D994" s="8"/>
      <c r="E994" s="8"/>
      <c r="F994" s="8"/>
      <c r="G994" s="8"/>
      <c r="H994" s="8"/>
      <c r="V994" s="21"/>
      <c r="W994" s="21"/>
      <c r="X994" s="21"/>
      <c r="Y994" s="21"/>
      <c r="Z994" s="21"/>
      <c r="AA994" s="21"/>
    </row>
  </sheetData>
  <autoFilter ref="$A$1:$AC$994"/>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 r:id="rId164" ref="L165"/>
    <hyperlink r:id="rId165" ref="L166"/>
    <hyperlink r:id="rId166" ref="L167"/>
    <hyperlink r:id="rId167" ref="L168"/>
    <hyperlink r:id="rId168" ref="L169"/>
    <hyperlink r:id="rId169" ref="L170"/>
    <hyperlink r:id="rId170" ref="L171"/>
    <hyperlink r:id="rId171" ref="L172"/>
    <hyperlink r:id="rId172" ref="L173"/>
    <hyperlink r:id="rId173" ref="L174"/>
    <hyperlink r:id="rId174" ref="L175"/>
    <hyperlink r:id="rId175" ref="L176"/>
    <hyperlink r:id="rId176" ref="L177"/>
    <hyperlink r:id="rId177" ref="L178"/>
    <hyperlink r:id="rId178" ref="L179"/>
    <hyperlink r:id="rId179" ref="L180"/>
    <hyperlink r:id="rId180" ref="L181"/>
    <hyperlink r:id="rId181" ref="L182"/>
    <hyperlink r:id="rId182" ref="L183"/>
    <hyperlink r:id="rId183" ref="L184"/>
    <hyperlink r:id="rId184" ref="L185"/>
    <hyperlink r:id="rId185" ref="L186"/>
    <hyperlink r:id="rId186" ref="L187"/>
    <hyperlink r:id="rId187" ref="L188"/>
    <hyperlink r:id="rId188" ref="L189"/>
    <hyperlink r:id="rId189" ref="L190"/>
    <hyperlink r:id="rId190" ref="L191"/>
    <hyperlink r:id="rId191" ref="L192"/>
    <hyperlink r:id="rId192" ref="L193"/>
    <hyperlink r:id="rId193" ref="L194"/>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L297"/>
    <hyperlink r:id="rId297" ref="L298"/>
    <hyperlink r:id="rId298" ref="L299"/>
    <hyperlink r:id="rId299" ref="L300"/>
    <hyperlink r:id="rId300" ref="L301"/>
    <hyperlink r:id="rId301" ref="L302"/>
    <hyperlink r:id="rId302" ref="L303"/>
    <hyperlink r:id="rId303" ref="L304"/>
    <hyperlink r:id="rId304" ref="L305"/>
    <hyperlink r:id="rId305" ref="L306"/>
    <hyperlink r:id="rId306" ref="L307"/>
    <hyperlink r:id="rId307" ref="L308"/>
    <hyperlink r:id="rId308" ref="L309"/>
    <hyperlink r:id="rId309" ref="L310"/>
    <hyperlink r:id="rId310" ref="L311"/>
    <hyperlink r:id="rId311" ref="L312"/>
    <hyperlink r:id="rId312" ref="L313"/>
    <hyperlink r:id="rId313" ref="L314"/>
    <hyperlink r:id="rId314" ref="L315"/>
    <hyperlink r:id="rId315" ref="L316"/>
    <hyperlink r:id="rId316" ref="L317"/>
    <hyperlink r:id="rId317" ref="L318"/>
    <hyperlink r:id="rId318" ref="L319"/>
    <hyperlink r:id="rId319" ref="L320"/>
    <hyperlink r:id="rId320" ref="L321"/>
    <hyperlink r:id="rId321" ref="L322"/>
    <hyperlink r:id="rId322" ref="L323"/>
    <hyperlink r:id="rId323" ref="L324"/>
    <hyperlink r:id="rId324" ref="L325"/>
    <hyperlink r:id="rId325" ref="L326"/>
    <hyperlink r:id="rId326" ref="L327"/>
    <hyperlink r:id="rId327" ref="L328"/>
    <hyperlink r:id="rId328" ref="L329"/>
    <hyperlink r:id="rId329" ref="L330"/>
    <hyperlink r:id="rId330" ref="L331"/>
    <hyperlink r:id="rId331" ref="L332"/>
    <hyperlink r:id="rId332" ref="L333"/>
    <hyperlink r:id="rId333" ref="L334"/>
    <hyperlink r:id="rId334" ref="L335"/>
    <hyperlink r:id="rId335" ref="L336"/>
    <hyperlink r:id="rId336" ref="L337"/>
    <hyperlink r:id="rId337" ref="L338"/>
    <hyperlink r:id="rId338" ref="L339"/>
    <hyperlink r:id="rId339" ref="L340"/>
    <hyperlink r:id="rId340" ref="L341"/>
    <hyperlink r:id="rId341" ref="L342"/>
    <hyperlink r:id="rId342" ref="L343"/>
    <hyperlink r:id="rId343" ref="L344"/>
    <hyperlink r:id="rId344" ref="L345"/>
    <hyperlink r:id="rId345" ref="L346"/>
    <hyperlink r:id="rId346" ref="L347"/>
    <hyperlink r:id="rId347" ref="L348"/>
    <hyperlink r:id="rId348" ref="L349"/>
    <hyperlink r:id="rId349" ref="L350"/>
    <hyperlink r:id="rId350" ref="L351"/>
    <hyperlink r:id="rId351" ref="L352"/>
    <hyperlink r:id="rId352" ref="L353"/>
    <hyperlink r:id="rId353" ref="L354"/>
    <hyperlink r:id="rId354" ref="L355"/>
    <hyperlink r:id="rId355" ref="L356"/>
    <hyperlink r:id="rId356" ref="L357"/>
    <hyperlink r:id="rId357" ref="L358"/>
    <hyperlink r:id="rId358" ref="L359"/>
    <hyperlink r:id="rId359" ref="L360"/>
    <hyperlink r:id="rId360" ref="L361"/>
    <hyperlink r:id="rId361" ref="L362"/>
    <hyperlink r:id="rId362" ref="L363"/>
    <hyperlink r:id="rId363" ref="L364"/>
    <hyperlink r:id="rId364" ref="L365"/>
    <hyperlink r:id="rId365" ref="L366"/>
    <hyperlink r:id="rId366" ref="L367"/>
    <hyperlink r:id="rId367" ref="L368"/>
    <hyperlink r:id="rId368" ref="L369"/>
    <hyperlink r:id="rId369" ref="L370"/>
    <hyperlink r:id="rId370" ref="L371"/>
    <hyperlink r:id="rId371" ref="L372"/>
    <hyperlink r:id="rId372" ref="L373"/>
    <hyperlink r:id="rId373" ref="L374"/>
    <hyperlink r:id="rId374" ref="L375"/>
    <hyperlink r:id="rId375" ref="L376"/>
    <hyperlink r:id="rId376" ref="L377"/>
    <hyperlink r:id="rId377" ref="L378"/>
    <hyperlink r:id="rId378" ref="L379"/>
    <hyperlink r:id="rId379" ref="L380"/>
    <hyperlink r:id="rId380" ref="L381"/>
    <hyperlink r:id="rId381" ref="L382"/>
    <hyperlink r:id="rId382" ref="L383"/>
    <hyperlink r:id="rId383" ref="L384"/>
    <hyperlink r:id="rId384" ref="L385"/>
    <hyperlink r:id="rId385" ref="L386"/>
    <hyperlink r:id="rId386" ref="L387"/>
    <hyperlink r:id="rId387" ref="L388"/>
    <hyperlink r:id="rId388" ref="L389"/>
    <hyperlink r:id="rId389" ref="L390"/>
    <hyperlink r:id="rId390" ref="L391"/>
    <hyperlink r:id="rId391" ref="L392"/>
    <hyperlink r:id="rId392" ref="L393"/>
    <hyperlink r:id="rId393" ref="L394"/>
    <hyperlink r:id="rId394" ref="L395"/>
    <hyperlink r:id="rId395" ref="L396"/>
    <hyperlink r:id="rId396" ref="L397"/>
    <hyperlink r:id="rId397" ref="L398"/>
    <hyperlink r:id="rId398" ref="L399"/>
    <hyperlink r:id="rId399" ref="L400"/>
    <hyperlink r:id="rId400" ref="L401"/>
    <hyperlink r:id="rId401" ref="L402"/>
    <hyperlink r:id="rId402" ref="L403"/>
    <hyperlink r:id="rId403" ref="L404"/>
    <hyperlink r:id="rId404" ref="L405"/>
    <hyperlink r:id="rId405" ref="L406"/>
    <hyperlink r:id="rId406" ref="L407"/>
    <hyperlink r:id="rId407" ref="L408"/>
    <hyperlink r:id="rId408" ref="L409"/>
    <hyperlink r:id="rId409" ref="L410"/>
    <hyperlink r:id="rId410" ref="L411"/>
    <hyperlink r:id="rId411" ref="L412"/>
    <hyperlink r:id="rId412" ref="L413"/>
    <hyperlink r:id="rId413" ref="L414"/>
    <hyperlink r:id="rId414" ref="L415"/>
    <hyperlink r:id="rId415" ref="L416"/>
    <hyperlink r:id="rId416" ref="L417"/>
    <hyperlink r:id="rId417" ref="L418"/>
    <hyperlink r:id="rId418" ref="L419"/>
    <hyperlink r:id="rId419" ref="L420"/>
    <hyperlink r:id="rId420" ref="L421"/>
    <hyperlink r:id="rId421" ref="L422"/>
    <hyperlink r:id="rId422" ref="L423"/>
    <hyperlink r:id="rId423" ref="L424"/>
    <hyperlink r:id="rId424" ref="L425"/>
    <hyperlink r:id="rId425" ref="L426"/>
    <hyperlink r:id="rId426" ref="L427"/>
    <hyperlink r:id="rId427" ref="L428"/>
    <hyperlink r:id="rId428" ref="L429"/>
    <hyperlink r:id="rId429" ref="L430"/>
    <hyperlink r:id="rId430" ref="L431"/>
    <hyperlink r:id="rId431" ref="L432"/>
    <hyperlink r:id="rId432" ref="L433"/>
    <hyperlink r:id="rId433" ref="L434"/>
    <hyperlink r:id="rId434" ref="L435"/>
    <hyperlink r:id="rId435" ref="L436"/>
    <hyperlink r:id="rId436" ref="L437"/>
    <hyperlink r:id="rId437" ref="L438"/>
    <hyperlink r:id="rId438" ref="L439"/>
    <hyperlink r:id="rId439" ref="L440"/>
    <hyperlink r:id="rId440" ref="L441"/>
    <hyperlink r:id="rId441" ref="L442"/>
    <hyperlink r:id="rId442" ref="L443"/>
    <hyperlink r:id="rId443" ref="L444"/>
    <hyperlink r:id="rId444" ref="L445"/>
    <hyperlink r:id="rId445" ref="L446"/>
    <hyperlink r:id="rId446" ref="L447"/>
    <hyperlink r:id="rId447" ref="L448"/>
    <hyperlink r:id="rId448" ref="L449"/>
    <hyperlink r:id="rId449" ref="L450"/>
    <hyperlink r:id="rId450" ref="L451"/>
    <hyperlink r:id="rId451" ref="L452"/>
    <hyperlink r:id="rId452" ref="L453"/>
    <hyperlink r:id="rId453" ref="L454"/>
    <hyperlink r:id="rId454" ref="L455"/>
    <hyperlink r:id="rId455" ref="L456"/>
    <hyperlink r:id="rId456" ref="L457"/>
    <hyperlink r:id="rId457" ref="L458"/>
    <hyperlink r:id="rId458" ref="L459"/>
    <hyperlink r:id="rId459" ref="L460"/>
    <hyperlink r:id="rId460" ref="L461"/>
    <hyperlink r:id="rId461" ref="L462"/>
    <hyperlink r:id="rId462" ref="L463"/>
    <hyperlink r:id="rId463" ref="L464"/>
    <hyperlink r:id="rId464" ref="L465"/>
    <hyperlink r:id="rId465" ref="L466"/>
    <hyperlink r:id="rId466" ref="L467"/>
    <hyperlink r:id="rId467" ref="L468"/>
    <hyperlink r:id="rId468" ref="L469"/>
    <hyperlink r:id="rId469" ref="L470"/>
    <hyperlink r:id="rId470" ref="L471"/>
    <hyperlink r:id="rId471" ref="L472"/>
    <hyperlink r:id="rId472" ref="L473"/>
    <hyperlink r:id="rId473" ref="L474"/>
    <hyperlink r:id="rId474" ref="L475"/>
    <hyperlink r:id="rId475" ref="L476"/>
    <hyperlink r:id="rId476" ref="L477"/>
    <hyperlink r:id="rId477" ref="L478"/>
    <hyperlink r:id="rId478" ref="L479"/>
    <hyperlink r:id="rId479" ref="L480"/>
    <hyperlink r:id="rId480" ref="L481"/>
    <hyperlink r:id="rId481" ref="L482"/>
    <hyperlink r:id="rId482" ref="L483"/>
    <hyperlink r:id="rId483" ref="L484"/>
    <hyperlink r:id="rId484" ref="L485"/>
    <hyperlink r:id="rId485" ref="L486"/>
    <hyperlink r:id="rId486" ref="L487"/>
    <hyperlink r:id="rId487" ref="L488"/>
    <hyperlink r:id="rId488" ref="L489"/>
    <hyperlink r:id="rId489" ref="L490"/>
    <hyperlink r:id="rId490" ref="L491"/>
    <hyperlink r:id="rId491" ref="L492"/>
    <hyperlink r:id="rId492" ref="L493"/>
    <hyperlink r:id="rId493" ref="L494"/>
    <hyperlink r:id="rId494" ref="L495"/>
    <hyperlink r:id="rId495" ref="L496"/>
    <hyperlink r:id="rId496" ref="L497"/>
    <hyperlink r:id="rId497" ref="L498"/>
    <hyperlink r:id="rId498" ref="L499"/>
    <hyperlink r:id="rId499" ref="L500"/>
    <hyperlink r:id="rId500" ref="L501"/>
    <hyperlink r:id="rId501" ref="L502"/>
    <hyperlink r:id="rId502" ref="L503"/>
    <hyperlink r:id="rId503" ref="L504"/>
    <hyperlink r:id="rId504" ref="L505"/>
    <hyperlink r:id="rId505" ref="L506"/>
    <hyperlink r:id="rId506" ref="L507"/>
    <hyperlink r:id="rId507" ref="L508"/>
    <hyperlink r:id="rId508" ref="L509"/>
    <hyperlink r:id="rId509" ref="L510"/>
    <hyperlink r:id="rId510" ref="L511"/>
    <hyperlink r:id="rId511" ref="L512"/>
    <hyperlink r:id="rId512" ref="L513"/>
    <hyperlink r:id="rId513" ref="L514"/>
    <hyperlink r:id="rId514" ref="L515"/>
    <hyperlink r:id="rId515" ref="L516"/>
    <hyperlink r:id="rId516" ref="L517"/>
    <hyperlink r:id="rId517" ref="L518"/>
    <hyperlink r:id="rId518" ref="L519"/>
    <hyperlink r:id="rId519" ref="L520"/>
    <hyperlink r:id="rId520" ref="L521"/>
    <hyperlink r:id="rId521" ref="L522"/>
    <hyperlink r:id="rId522" ref="L523"/>
    <hyperlink r:id="rId523" ref="L524"/>
    <hyperlink r:id="rId524" ref="L525"/>
    <hyperlink r:id="rId525" ref="L526"/>
    <hyperlink r:id="rId526" ref="L527"/>
    <hyperlink r:id="rId527" ref="L528"/>
    <hyperlink r:id="rId528" ref="L529"/>
    <hyperlink r:id="rId529" ref="L530"/>
    <hyperlink r:id="rId530" ref="L531"/>
    <hyperlink r:id="rId531" ref="L532"/>
    <hyperlink r:id="rId532" ref="L533"/>
    <hyperlink r:id="rId533" ref="L534"/>
    <hyperlink r:id="rId534" ref="L535"/>
    <hyperlink r:id="rId535" ref="L536"/>
    <hyperlink r:id="rId536" ref="L537"/>
    <hyperlink r:id="rId537" ref="L538"/>
    <hyperlink r:id="rId538" ref="L539"/>
    <hyperlink r:id="rId539" ref="L540"/>
    <hyperlink r:id="rId540" ref="L541"/>
    <hyperlink r:id="rId541" ref="L542"/>
    <hyperlink r:id="rId542" ref="L543"/>
    <hyperlink r:id="rId543" ref="L544"/>
    <hyperlink r:id="rId544" ref="L545"/>
    <hyperlink r:id="rId545" ref="L546"/>
    <hyperlink r:id="rId546" ref="L547"/>
    <hyperlink r:id="rId547" ref="L548"/>
    <hyperlink r:id="rId548" ref="L549"/>
    <hyperlink r:id="rId549" ref="L550"/>
    <hyperlink r:id="rId550" ref="L551"/>
    <hyperlink r:id="rId551" ref="L552"/>
    <hyperlink r:id="rId552" ref="L553"/>
    <hyperlink r:id="rId553" ref="L554"/>
    <hyperlink r:id="rId554" ref="L555"/>
    <hyperlink r:id="rId555" ref="L556"/>
    <hyperlink r:id="rId556" ref="L557"/>
    <hyperlink r:id="rId557" ref="L558"/>
    <hyperlink r:id="rId558" ref="L559"/>
    <hyperlink r:id="rId559" ref="L560"/>
    <hyperlink r:id="rId560" ref="L561"/>
    <hyperlink r:id="rId561" ref="L562"/>
    <hyperlink r:id="rId562" ref="L563"/>
    <hyperlink r:id="rId563" ref="L564"/>
    <hyperlink r:id="rId564" ref="L565"/>
    <hyperlink r:id="rId565" ref="L566"/>
    <hyperlink r:id="rId566" ref="L567"/>
    <hyperlink r:id="rId567" ref="L568"/>
    <hyperlink r:id="rId568" ref="L569"/>
    <hyperlink r:id="rId569" ref="L570"/>
    <hyperlink r:id="rId570" ref="L571"/>
    <hyperlink r:id="rId571" ref="L572"/>
    <hyperlink r:id="rId572" ref="L573"/>
    <hyperlink r:id="rId573" ref="L574"/>
    <hyperlink r:id="rId574" ref="L575"/>
    <hyperlink r:id="rId575" ref="L576"/>
    <hyperlink r:id="rId576" ref="L577"/>
    <hyperlink r:id="rId577" ref="L578"/>
    <hyperlink r:id="rId578" ref="L579"/>
    <hyperlink r:id="rId579" ref="L580"/>
    <hyperlink r:id="rId580" ref="L581"/>
    <hyperlink r:id="rId581" ref="L582"/>
    <hyperlink r:id="rId582" ref="L583"/>
    <hyperlink r:id="rId583" ref="L584"/>
    <hyperlink r:id="rId584" ref="L585"/>
    <hyperlink r:id="rId585" ref="L586"/>
    <hyperlink r:id="rId586" ref="L587"/>
    <hyperlink r:id="rId587" ref="L588"/>
    <hyperlink r:id="rId588" ref="L589"/>
    <hyperlink r:id="rId589" ref="L590"/>
    <hyperlink r:id="rId590" ref="L591"/>
    <hyperlink r:id="rId591" ref="L592"/>
    <hyperlink r:id="rId592" ref="L593"/>
    <hyperlink r:id="rId593" ref="L594"/>
    <hyperlink r:id="rId594" ref="L595"/>
    <hyperlink r:id="rId595" ref="L596"/>
    <hyperlink r:id="rId596" ref="L597"/>
    <hyperlink r:id="rId597" ref="L598"/>
    <hyperlink r:id="rId598" ref="L599"/>
    <hyperlink r:id="rId599" ref="L600"/>
    <hyperlink r:id="rId600" ref="L601"/>
    <hyperlink r:id="rId601" ref="L602"/>
    <hyperlink r:id="rId602" ref="L603"/>
    <hyperlink r:id="rId603" ref="L604"/>
    <hyperlink r:id="rId604" ref="L605"/>
    <hyperlink r:id="rId605" ref="L606"/>
    <hyperlink r:id="rId606" ref="L607"/>
    <hyperlink r:id="rId607" ref="L608"/>
    <hyperlink r:id="rId608" ref="L609"/>
    <hyperlink r:id="rId609" ref="L610"/>
    <hyperlink r:id="rId610" ref="L611"/>
    <hyperlink r:id="rId611" ref="L612"/>
    <hyperlink r:id="rId612" ref="L613"/>
    <hyperlink r:id="rId613" ref="L614"/>
    <hyperlink r:id="rId614" ref="L615"/>
    <hyperlink r:id="rId615" ref="L616"/>
    <hyperlink r:id="rId616" ref="L617"/>
    <hyperlink r:id="rId617" ref="L618"/>
    <hyperlink r:id="rId618" ref="L619"/>
    <hyperlink r:id="rId619" ref="L620"/>
    <hyperlink r:id="rId620" ref="L621"/>
    <hyperlink r:id="rId621" ref="L622"/>
    <hyperlink r:id="rId622" ref="L623"/>
    <hyperlink r:id="rId623" ref="L624"/>
    <hyperlink r:id="rId624" ref="L625"/>
    <hyperlink r:id="rId625" ref="L626"/>
    <hyperlink r:id="rId626" ref="L627"/>
    <hyperlink r:id="rId627" ref="L628"/>
    <hyperlink r:id="rId628" ref="L629"/>
    <hyperlink r:id="rId629" ref="L630"/>
    <hyperlink r:id="rId630" ref="L631"/>
    <hyperlink r:id="rId631" ref="L632"/>
    <hyperlink r:id="rId632" ref="L633"/>
    <hyperlink r:id="rId633" ref="L634"/>
    <hyperlink r:id="rId634" ref="L635"/>
    <hyperlink r:id="rId635" ref="L636"/>
    <hyperlink r:id="rId636" ref="L637"/>
    <hyperlink r:id="rId637" ref="L638"/>
    <hyperlink r:id="rId638" ref="L639"/>
    <hyperlink r:id="rId639" ref="L640"/>
    <hyperlink r:id="rId640" ref="L641"/>
    <hyperlink r:id="rId641" ref="L642"/>
    <hyperlink r:id="rId642" ref="L643"/>
    <hyperlink r:id="rId643" ref="L644"/>
    <hyperlink r:id="rId644" ref="L645"/>
    <hyperlink r:id="rId645" ref="L646"/>
    <hyperlink r:id="rId646" ref="L647"/>
    <hyperlink r:id="rId647" ref="L648"/>
    <hyperlink r:id="rId648" ref="L649"/>
    <hyperlink r:id="rId649" ref="L650"/>
    <hyperlink r:id="rId650" ref="L651"/>
    <hyperlink r:id="rId651" ref="L652"/>
    <hyperlink r:id="rId652" ref="L653"/>
    <hyperlink r:id="rId653" ref="L654"/>
    <hyperlink r:id="rId654" ref="L655"/>
    <hyperlink r:id="rId655" ref="L656"/>
    <hyperlink r:id="rId656" ref="L657"/>
    <hyperlink r:id="rId657" ref="L658"/>
    <hyperlink r:id="rId658" ref="L659"/>
    <hyperlink r:id="rId659" ref="L660"/>
    <hyperlink r:id="rId660" ref="L661"/>
    <hyperlink r:id="rId661" ref="L662"/>
    <hyperlink r:id="rId662" ref="L663"/>
    <hyperlink r:id="rId663" ref="L664"/>
    <hyperlink r:id="rId664" ref="L665"/>
    <hyperlink r:id="rId665" ref="L666"/>
    <hyperlink r:id="rId666" ref="L667"/>
    <hyperlink r:id="rId667" ref="L668"/>
    <hyperlink r:id="rId668" ref="L669"/>
    <hyperlink r:id="rId669" ref="L670"/>
    <hyperlink r:id="rId670" ref="L671"/>
    <hyperlink r:id="rId671" ref="L672"/>
    <hyperlink r:id="rId672" ref="L673"/>
    <hyperlink r:id="rId673" ref="L674"/>
    <hyperlink r:id="rId674" ref="L675"/>
    <hyperlink r:id="rId675" ref="L676"/>
    <hyperlink r:id="rId676" ref="L677"/>
    <hyperlink r:id="rId677" ref="L678"/>
    <hyperlink r:id="rId678" ref="L679"/>
    <hyperlink r:id="rId679" ref="L680"/>
    <hyperlink r:id="rId680" ref="L681"/>
    <hyperlink r:id="rId681" ref="L682"/>
    <hyperlink r:id="rId682" ref="L683"/>
    <hyperlink r:id="rId683" ref="L684"/>
    <hyperlink r:id="rId684" ref="L685"/>
    <hyperlink r:id="rId685" ref="L686"/>
    <hyperlink r:id="rId686" ref="L687"/>
    <hyperlink r:id="rId687" ref="L688"/>
    <hyperlink r:id="rId688" ref="L689"/>
    <hyperlink r:id="rId689" ref="L690"/>
    <hyperlink r:id="rId690" ref="L691"/>
    <hyperlink r:id="rId691" ref="L692"/>
    <hyperlink r:id="rId692" ref="L693"/>
    <hyperlink r:id="rId693" ref="L694"/>
    <hyperlink r:id="rId694" ref="L695"/>
    <hyperlink r:id="rId695" ref="L696"/>
    <hyperlink r:id="rId696" ref="L697"/>
    <hyperlink r:id="rId697" ref="L698"/>
    <hyperlink r:id="rId698" ref="L699"/>
    <hyperlink r:id="rId699" ref="L700"/>
    <hyperlink r:id="rId700" ref="L701"/>
    <hyperlink r:id="rId701" ref="L702"/>
    <hyperlink r:id="rId702" ref="L703"/>
    <hyperlink r:id="rId703" ref="L704"/>
    <hyperlink r:id="rId704" ref="L705"/>
    <hyperlink r:id="rId705" ref="L706"/>
    <hyperlink r:id="rId706" ref="L707"/>
    <hyperlink r:id="rId707" ref="L708"/>
    <hyperlink r:id="rId708" ref="L709"/>
    <hyperlink r:id="rId709" ref="L710"/>
    <hyperlink r:id="rId710" ref="L711"/>
    <hyperlink r:id="rId711" ref="L712"/>
    <hyperlink r:id="rId712" ref="L713"/>
    <hyperlink r:id="rId713" ref="L714"/>
    <hyperlink r:id="rId714" ref="L715"/>
    <hyperlink r:id="rId715" ref="L716"/>
    <hyperlink r:id="rId716" ref="L717"/>
    <hyperlink r:id="rId717" ref="L718"/>
    <hyperlink r:id="rId718" ref="L719"/>
    <hyperlink r:id="rId719" ref="L720"/>
    <hyperlink r:id="rId720" ref="L721"/>
    <hyperlink r:id="rId721" ref="L722"/>
  </hyperlinks>
  <drawing r:id="rId7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13"/>
    <col customWidth="1" min="2" max="2" width="32.63"/>
    <col customWidth="1" min="3" max="3" width="20.75"/>
    <col customWidth="1" min="4" max="4" width="27.38"/>
    <col customWidth="1" min="5" max="5" width="27.0"/>
    <col customWidth="1" min="6" max="6" width="21.25"/>
    <col customWidth="1" min="7" max="7" width="18.75"/>
    <col customWidth="1" min="8" max="8" width="22.13"/>
    <col customWidth="1" min="9" max="9" width="19.13"/>
    <col customWidth="1" min="10" max="10" width="27.25"/>
    <col customWidth="1" min="11" max="11" width="20.88"/>
    <col customWidth="1" min="12" max="12" width="18.75"/>
    <col customWidth="1" min="13" max="13" width="19.75"/>
    <col customWidth="1" min="14" max="14" width="17.88"/>
    <col customWidth="1" min="15" max="15" width="16.5"/>
    <col customWidth="1" min="16" max="16" width="25.63"/>
    <col customWidth="1" min="17" max="17" width="21.88"/>
    <col customWidth="1" min="18" max="18" width="16.75"/>
    <col customWidth="1" min="19" max="19" width="19.5"/>
    <col customWidth="1" min="20" max="20" width="20.88"/>
    <col customWidth="1" min="21" max="21" width="18.13"/>
    <col customWidth="1" min="22" max="22" width="28.5"/>
    <col customWidth="1" min="23" max="23" width="19.63"/>
    <col customWidth="1" min="24" max="24" width="21.38"/>
    <col customWidth="1" min="25" max="25" width="20.75"/>
    <col customWidth="1" min="26" max="26" width="23.38"/>
    <col customWidth="1" min="27" max="27" width="22.0"/>
    <col customWidth="1" min="28" max="28" width="25.0"/>
    <col customWidth="1" min="29" max="29" width="22.0"/>
    <col customWidth="1" min="30" max="30" width="22.5"/>
    <col customWidth="1" min="31" max="31" width="20.25"/>
  </cols>
  <sheetData>
    <row r="1">
      <c r="Z1" s="22"/>
      <c r="AA1" s="22"/>
      <c r="AB1" s="22"/>
      <c r="AC1" s="22"/>
      <c r="AD1" s="22"/>
      <c r="AE1" s="22"/>
    </row>
    <row r="2">
      <c r="Z2" s="22"/>
      <c r="AA2" s="22"/>
      <c r="AB2" s="22"/>
      <c r="AC2" s="22"/>
      <c r="AD2" s="22"/>
      <c r="AE2" s="22"/>
    </row>
    <row r="3">
      <c r="Z3" s="22"/>
      <c r="AA3" s="22"/>
      <c r="AB3" s="22"/>
      <c r="AC3" s="22"/>
      <c r="AD3" s="22"/>
      <c r="AE3" s="22"/>
    </row>
    <row r="4">
      <c r="Z4" s="22"/>
      <c r="AA4" s="22"/>
      <c r="AB4" s="22"/>
      <c r="AC4" s="22"/>
      <c r="AD4" s="22"/>
      <c r="AE4" s="22"/>
    </row>
    <row r="5">
      <c r="Z5" s="22"/>
      <c r="AA5" s="22"/>
      <c r="AB5" s="22"/>
      <c r="AC5" s="22"/>
      <c r="AD5" s="22"/>
      <c r="AE5" s="22"/>
    </row>
    <row r="6">
      <c r="Z6" s="22"/>
      <c r="AA6" s="22"/>
      <c r="AB6" s="22"/>
      <c r="AC6" s="22"/>
      <c r="AD6" s="22"/>
      <c r="AE6" s="22"/>
    </row>
    <row r="7">
      <c r="Z7" s="22"/>
      <c r="AA7" s="22"/>
      <c r="AB7" s="22"/>
      <c r="AC7" s="22"/>
      <c r="AD7" s="22"/>
      <c r="AE7" s="22"/>
    </row>
    <row r="8"/>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6.88"/>
    <col customWidth="1" min="3" max="3" width="19.75"/>
    <col customWidth="1" min="4" max="4" width="18.63"/>
    <col customWidth="1" min="5" max="5" width="20.13"/>
    <col customWidth="1" min="6" max="6" width="21.63"/>
    <col customWidth="1" min="7" max="7" width="22.88"/>
    <col customWidth="1" min="8" max="8" width="22.63"/>
    <col customWidth="1" min="9" max="9" width="21.38"/>
    <col customWidth="1" min="10" max="10" width="21.5"/>
    <col customWidth="1" min="11" max="11" width="17.63"/>
    <col customWidth="1" min="12" max="12" width="22.75"/>
    <col customWidth="1" min="13" max="13" width="23.5"/>
    <col customWidth="1" min="14" max="14" width="23.13"/>
    <col customWidth="1" min="15" max="15" width="18.5"/>
    <col customWidth="1" min="16" max="16" width="19.0"/>
    <col customWidth="1" min="17" max="17" width="24.88"/>
    <col customWidth="1" min="18" max="18" width="23.38"/>
    <col customWidth="1" min="19" max="19" width="23.63"/>
    <col customWidth="1" min="20" max="20" width="22.0"/>
    <col customWidth="1" min="21" max="21" width="23.0"/>
    <col customWidth="1" min="22" max="22" width="17.88"/>
    <col customWidth="1" min="23" max="23" width="16.88"/>
    <col customWidth="1" min="24" max="24" width="16.0"/>
    <col customWidth="1" min="25" max="25" width="17.0"/>
  </cols>
  <sheetData>
    <row r="1"/>
    <row r="2"/>
    <row r="3"/>
    <row r="4"/>
    <row r="5"/>
    <row r="6"/>
    <row r="7"/>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75"/>
    <col customWidth="1" min="2" max="2" width="22.88"/>
    <col customWidth="1" min="3" max="3" width="17.63"/>
    <col customWidth="1" min="4" max="4" width="16.38"/>
    <col customWidth="1" min="5" max="5" width="20.25"/>
    <col customWidth="1" min="6" max="6" width="17.13"/>
  </cols>
  <sheetData>
    <row r="1"/>
    <row r="2"/>
    <row r="3"/>
    <row r="4"/>
    <row r="5"/>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25"/>
  </cols>
  <sheetData>
    <row r="1">
      <c r="A1" s="2" t="s">
        <v>1</v>
      </c>
      <c r="B1" s="2" t="s">
        <v>3</v>
      </c>
      <c r="C1" s="5" t="s">
        <v>1979</v>
      </c>
      <c r="D1" s="5" t="s">
        <v>1980</v>
      </c>
      <c r="E1" s="5" t="s">
        <v>1981</v>
      </c>
      <c r="F1" s="5" t="s">
        <v>1698</v>
      </c>
      <c r="G1" s="5" t="s">
        <v>1982</v>
      </c>
      <c r="H1" s="5" t="s">
        <v>1699</v>
      </c>
    </row>
    <row r="2">
      <c r="A2" s="5" t="s">
        <v>15</v>
      </c>
      <c r="B2" s="5" t="s">
        <v>17</v>
      </c>
      <c r="C2" s="23">
        <v>583.0609941087038</v>
      </c>
      <c r="D2" s="23">
        <v>807.2798187080647</v>
      </c>
      <c r="E2" s="23">
        <v>20.0</v>
      </c>
      <c r="F2" s="23">
        <v>557.8303547272727</v>
      </c>
      <c r="G2" s="23">
        <v>111.56607094545454</v>
      </c>
      <c r="H2" s="23">
        <v>0.5226149752945648</v>
      </c>
    </row>
    <row r="3">
      <c r="A3" s="5" t="s">
        <v>22</v>
      </c>
      <c r="B3" s="5" t="s">
        <v>24</v>
      </c>
      <c r="C3" s="23">
        <v>381.80702019209775</v>
      </c>
      <c r="D3" s="23">
        <v>2224.5570232114464</v>
      </c>
      <c r="E3" s="23">
        <v>13.333333333333334</v>
      </c>
      <c r="F3" s="23">
        <v>874.52897975</v>
      </c>
      <c r="G3" s="23">
        <v>116.60386396666667</v>
      </c>
      <c r="H3" s="23">
        <v>0.3274394237066143</v>
      </c>
    </row>
    <row r="4">
      <c r="A4" s="5" t="s">
        <v>15</v>
      </c>
      <c r="B4" s="5" t="s">
        <v>29</v>
      </c>
      <c r="C4" s="23">
        <v>827.5799652760112</v>
      </c>
      <c r="D4" s="23">
        <v>3023.4357281598514</v>
      </c>
      <c r="E4" s="23">
        <v>10.0</v>
      </c>
      <c r="F4" s="23">
        <v>3253.2168435</v>
      </c>
      <c r="G4" s="23">
        <v>325.32168435</v>
      </c>
      <c r="H4" s="23">
        <v>0.2543881963876876</v>
      </c>
      <c r="J4" s="25" t="s">
        <v>1991</v>
      </c>
      <c r="K4" s="23" t="str">
        <f>RIGHT(J4, 6)</f>
        <v>sights</v>
      </c>
      <c r="L4" s="23">
        <f>LEN(J4)</f>
        <v>8</v>
      </c>
    </row>
    <row r="5">
      <c r="A5" s="5" t="s">
        <v>15</v>
      </c>
      <c r="B5" s="5" t="s">
        <v>32</v>
      </c>
      <c r="C5" s="23">
        <v>594.6593582515951</v>
      </c>
      <c r="D5" s="23">
        <v>1513.4556279689773</v>
      </c>
      <c r="E5" s="23">
        <v>8.88888888888889</v>
      </c>
      <c r="F5" s="23">
        <v>780.564740125</v>
      </c>
      <c r="G5" s="23">
        <v>69.38353245555555</v>
      </c>
      <c r="H5" s="23">
        <v>0.8570612322635939</v>
      </c>
    </row>
    <row r="6">
      <c r="A6" s="5" t="s">
        <v>15</v>
      </c>
      <c r="B6" s="5" t="s">
        <v>35</v>
      </c>
      <c r="C6" s="23">
        <v>266.6010057868371</v>
      </c>
      <c r="D6" s="23">
        <v>1381.6949171888987</v>
      </c>
      <c r="E6" s="23">
        <v>20.54794520547945</v>
      </c>
      <c r="F6" s="23">
        <v>411.5608593333333</v>
      </c>
      <c r="G6" s="23">
        <v>84.56729986301369</v>
      </c>
      <c r="H6" s="23">
        <v>0.3152530661599586</v>
      </c>
    </row>
    <row r="7">
      <c r="A7" s="5" t="s">
        <v>22</v>
      </c>
      <c r="B7" s="5" t="s">
        <v>17</v>
      </c>
      <c r="C7" s="23">
        <v>242.1218935936907</v>
      </c>
      <c r="D7" s="23">
        <v>1323.7150608715701</v>
      </c>
      <c r="E7" s="23">
        <v>11.594202898550725</v>
      </c>
      <c r="F7" s="23">
        <v>717.619027375</v>
      </c>
      <c r="G7" s="23">
        <v>83.20220607246377</v>
      </c>
      <c r="H7" s="23">
        <v>0.29100417527729744</v>
      </c>
    </row>
    <row r="8">
      <c r="A8" s="5" t="s">
        <v>22</v>
      </c>
      <c r="B8" s="5" t="s">
        <v>39</v>
      </c>
      <c r="C8" s="23">
        <v>238.1332950970165</v>
      </c>
      <c r="D8" s="23">
        <v>419.37569201940033</v>
      </c>
      <c r="E8" s="23">
        <v>4.444444444444445</v>
      </c>
      <c r="F8" s="23">
        <v>475.57203475</v>
      </c>
      <c r="G8" s="23">
        <v>21.136534877777777</v>
      </c>
      <c r="H8" s="23">
        <v>1.1266430210723972</v>
      </c>
    </row>
    <row r="9">
      <c r="A9" s="5" t="s">
        <v>15</v>
      </c>
      <c r="B9" s="5" t="s">
        <v>39</v>
      </c>
      <c r="C9" s="23">
        <v>352.3785470468432</v>
      </c>
      <c r="D9" s="23">
        <v>4080.610061320755</v>
      </c>
      <c r="E9" s="23">
        <v>3.4090909090909087</v>
      </c>
      <c r="F9" s="23">
        <v>1730.178666</v>
      </c>
      <c r="G9" s="23">
        <v>58.983363613636364</v>
      </c>
      <c r="H9" s="23">
        <v>0.5974202308214528</v>
      </c>
    </row>
    <row r="10">
      <c r="A10" s="5" t="s">
        <v>15</v>
      </c>
      <c r="B10" s="5" t="s">
        <v>43</v>
      </c>
      <c r="C10" s="23">
        <v>128.9319015001492</v>
      </c>
      <c r="D10" s="23">
        <v>1331.321200280112</v>
      </c>
      <c r="E10" s="23">
        <v>12.931034482758621</v>
      </c>
      <c r="F10" s="23">
        <v>316.85444566666666</v>
      </c>
      <c r="G10" s="23">
        <v>40.972557629310344</v>
      </c>
      <c r="H10" s="23">
        <v>0.31467867509426795</v>
      </c>
    </row>
    <row r="11">
      <c r="A11" s="5" t="s">
        <v>22</v>
      </c>
      <c r="B11" s="5" t="s">
        <v>45</v>
      </c>
      <c r="C11" s="23">
        <v>10.271396333160192</v>
      </c>
      <c r="D11" s="23">
        <v>119.32520385974449</v>
      </c>
      <c r="E11" s="23">
        <v>1.4814814814814816</v>
      </c>
      <c r="F11" s="23">
        <v>548.74678125</v>
      </c>
      <c r="G11" s="23">
        <v>8.129581944444444</v>
      </c>
      <c r="H11" s="23">
        <v>0.12634593517049683</v>
      </c>
    </row>
    <row r="12">
      <c r="A12" s="5" t="s">
        <v>22</v>
      </c>
      <c r="B12" s="5" t="s">
        <v>32</v>
      </c>
      <c r="C12" s="23">
        <v>40.56760691685357</v>
      </c>
      <c r="D12" s="23">
        <v>79.5641969679117</v>
      </c>
      <c r="E12" s="23">
        <v>10.317460317460316</v>
      </c>
      <c r="F12" s="23">
        <v>155.8295399230769</v>
      </c>
      <c r="G12" s="23">
        <v>16.077650944444443</v>
      </c>
      <c r="H12" s="23">
        <v>0.2523229734059596</v>
      </c>
    </row>
    <row r="13">
      <c r="A13" s="5" t="s">
        <v>15</v>
      </c>
      <c r="B13" s="5" t="s">
        <v>17</v>
      </c>
      <c r="C13" s="23">
        <v>129.62877269736842</v>
      </c>
      <c r="D13" s="23">
        <v>366.5781106976744</v>
      </c>
      <c r="E13" s="23">
        <v>6.666666666666667</v>
      </c>
      <c r="F13" s="23">
        <v>492.58933625</v>
      </c>
      <c r="G13" s="23">
        <v>32.839289083333334</v>
      </c>
      <c r="H13" s="23">
        <v>0.39473684210526316</v>
      </c>
    </row>
    <row r="14">
      <c r="A14" s="5" t="s">
        <v>15</v>
      </c>
      <c r="B14" s="5" t="s">
        <v>35</v>
      </c>
      <c r="C14" s="23">
        <v>34.40550207106599</v>
      </c>
      <c r="D14" s="23">
        <v>184.0815835958718</v>
      </c>
      <c r="E14" s="23">
        <v>6.8181818181818175</v>
      </c>
      <c r="F14" s="23">
        <v>112.9647318</v>
      </c>
      <c r="G14" s="23">
        <v>7.702140804545454</v>
      </c>
      <c r="H14" s="23">
        <v>0.4467005076142132</v>
      </c>
    </row>
    <row r="15">
      <c r="A15" s="5" t="s">
        <v>15</v>
      </c>
      <c r="B15" s="5" t="s">
        <v>29</v>
      </c>
      <c r="C15" s="23">
        <v>155.38190870409767</v>
      </c>
      <c r="D15" s="23">
        <v>1700.2366548582995</v>
      </c>
      <c r="E15" s="23">
        <v>12.0</v>
      </c>
      <c r="F15" s="23">
        <v>559.944605</v>
      </c>
      <c r="G15" s="23">
        <v>67.1933526</v>
      </c>
      <c r="H15" s="23">
        <v>0.2312459531958191</v>
      </c>
    </row>
    <row r="16">
      <c r="A16" s="5" t="s">
        <v>15</v>
      </c>
      <c r="B16" s="5" t="s">
        <v>55</v>
      </c>
      <c r="C16" s="23">
        <v>64.40463301019767</v>
      </c>
      <c r="D16" s="23">
        <v>184.32596685082873</v>
      </c>
      <c r="E16" s="23">
        <v>6.666666666666667</v>
      </c>
      <c r="F16" s="23">
        <v>306.93960000000004</v>
      </c>
      <c r="G16" s="23">
        <v>20.46264</v>
      </c>
      <c r="H16" s="23">
        <v>0.31474254060178775</v>
      </c>
    </row>
    <row r="17">
      <c r="A17" s="5" t="s">
        <v>22</v>
      </c>
      <c r="B17" s="5" t="s">
        <v>17</v>
      </c>
      <c r="C17" s="23">
        <v>73.0290173509533</v>
      </c>
      <c r="D17" s="23">
        <v>222.37341391491321</v>
      </c>
      <c r="E17" s="23">
        <v>25.64102564102564</v>
      </c>
      <c r="F17" s="23">
        <v>144.7873298</v>
      </c>
      <c r="G17" s="23">
        <v>37.12495635897436</v>
      </c>
      <c r="H17" s="23">
        <v>0.19671138908503985</v>
      </c>
    </row>
    <row r="18">
      <c r="A18" s="5" t="s">
        <v>15</v>
      </c>
      <c r="B18" s="5" t="s">
        <v>35</v>
      </c>
      <c r="C18" s="23">
        <v>86.26664159697211</v>
      </c>
      <c r="D18" s="23">
        <v>113.97159899991935</v>
      </c>
      <c r="E18" s="23">
        <v>10.909090909090908</v>
      </c>
      <c r="F18" s="23">
        <v>294.4028866666667</v>
      </c>
      <c r="G18" s="23">
        <v>32.11667854545455</v>
      </c>
      <c r="H18" s="23">
        <v>0.2686038703375862</v>
      </c>
    </row>
    <row r="19">
      <c r="A19" s="5" t="s">
        <v>22</v>
      </c>
      <c r="B19" s="5" t="s">
        <v>32</v>
      </c>
      <c r="C19" s="23">
        <v>105.64202328029225</v>
      </c>
      <c r="D19" s="23">
        <v>391.3358527522936</v>
      </c>
      <c r="E19" s="23">
        <v>5.555555555555555</v>
      </c>
      <c r="F19" s="23">
        <v>568.7414393333333</v>
      </c>
      <c r="G19" s="23">
        <v>31.59674662962963</v>
      </c>
      <c r="H19" s="23">
        <v>0.3343446226239861</v>
      </c>
    </row>
    <row r="20">
      <c r="A20" s="5" t="s">
        <v>61</v>
      </c>
      <c r="B20" s="5" t="s">
        <v>29</v>
      </c>
      <c r="C20" s="23">
        <v>23.369323925826734</v>
      </c>
      <c r="D20" s="23">
        <v>51.323914937825656</v>
      </c>
      <c r="E20" s="23">
        <v>8.64864864864865</v>
      </c>
      <c r="F20" s="23">
        <v>100.3478769375</v>
      </c>
      <c r="G20" s="23">
        <v>8.678735302702703</v>
      </c>
      <c r="H20" s="23">
        <v>0.26927107591988825</v>
      </c>
    </row>
    <row r="21">
      <c r="A21" s="5" t="s">
        <v>15</v>
      </c>
      <c r="B21" s="5" t="s">
        <v>29</v>
      </c>
      <c r="C21" s="23">
        <v>19.94806609191643</v>
      </c>
      <c r="D21" s="23">
        <v>26.168463917348852</v>
      </c>
      <c r="E21" s="23">
        <v>8.0</v>
      </c>
      <c r="F21" s="23">
        <v>190.601278</v>
      </c>
      <c r="G21" s="23">
        <v>15.248102240000001</v>
      </c>
      <c r="H21" s="23">
        <v>0.13082327084341763</v>
      </c>
    </row>
    <row r="22">
      <c r="A22" s="5" t="s">
        <v>15</v>
      </c>
      <c r="B22" s="5" t="s">
        <v>35</v>
      </c>
      <c r="C22" s="23">
        <v>274.7241605450569</v>
      </c>
      <c r="D22" s="23">
        <v>565.0698910034603</v>
      </c>
      <c r="E22" s="23">
        <v>16.39344262295082</v>
      </c>
      <c r="F22" s="23">
        <v>489.9155955</v>
      </c>
      <c r="G22" s="23">
        <v>80.31403204918033</v>
      </c>
      <c r="H22" s="23">
        <v>0.34206246845735433</v>
      </c>
    </row>
    <row r="23">
      <c r="A23" s="5" t="s">
        <v>15</v>
      </c>
      <c r="B23" s="5" t="s">
        <v>66</v>
      </c>
      <c r="C23" s="23">
        <v>95.02048567498056</v>
      </c>
      <c r="D23" s="23">
        <v>159.75940265486724</v>
      </c>
      <c r="E23" s="23">
        <v>37.142857142857146</v>
      </c>
      <c r="F23" s="23">
        <v>122.20365384615386</v>
      </c>
      <c r="G23" s="23">
        <v>45.38992857142857</v>
      </c>
      <c r="H23" s="23">
        <v>0.20934266403493032</v>
      </c>
    </row>
    <row r="24">
      <c r="A24" s="5" t="s">
        <v>22</v>
      </c>
      <c r="B24" s="5" t="s">
        <v>45</v>
      </c>
      <c r="C24" s="23">
        <v>120.80568527636595</v>
      </c>
      <c r="D24" s="23">
        <v>203.58474156852247</v>
      </c>
      <c r="E24" s="23">
        <v>6.349206349206349</v>
      </c>
      <c r="F24" s="23">
        <v>380.29629725</v>
      </c>
      <c r="G24" s="23">
        <v>24.145796650793653</v>
      </c>
      <c r="H24" s="23">
        <v>0.500317662007624</v>
      </c>
    </row>
    <row r="25">
      <c r="A25" s="5" t="s">
        <v>15</v>
      </c>
      <c r="B25" s="5" t="s">
        <v>32</v>
      </c>
      <c r="C25" s="23">
        <v>104.45223832767402</v>
      </c>
      <c r="D25" s="23">
        <v>315.29721140294686</v>
      </c>
      <c r="E25" s="23">
        <v>3.4090909090909087</v>
      </c>
      <c r="F25" s="23">
        <v>492.17894700000005</v>
      </c>
      <c r="G25" s="23">
        <v>16.778827738636366</v>
      </c>
      <c r="H25" s="23">
        <v>0.622524052065648</v>
      </c>
    </row>
    <row r="26">
      <c r="A26" s="5" t="s">
        <v>22</v>
      </c>
      <c r="B26" s="5" t="s">
        <v>17</v>
      </c>
      <c r="C26" s="23">
        <v>427.6237652011871</v>
      </c>
      <c r="D26" s="23">
        <v>497.53800160603873</v>
      </c>
      <c r="E26" s="23">
        <v>27.027027027027028</v>
      </c>
      <c r="F26" s="23">
        <v>619.5840734000001</v>
      </c>
      <c r="G26" s="23">
        <v>167.455154972973</v>
      </c>
      <c r="H26" s="23">
        <v>0.25536613983021605</v>
      </c>
    </row>
    <row r="27">
      <c r="A27" s="5" t="s">
        <v>15</v>
      </c>
      <c r="B27" s="5" t="s">
        <v>45</v>
      </c>
      <c r="C27" s="23">
        <v>78.46237335364654</v>
      </c>
      <c r="D27" s="23">
        <v>106.8285294747407</v>
      </c>
      <c r="E27" s="23">
        <v>5.9405940594059405</v>
      </c>
      <c r="F27" s="23">
        <v>266.09206216666666</v>
      </c>
      <c r="G27" s="23">
        <v>15.807449237623763</v>
      </c>
      <c r="H27" s="23">
        <v>0.49636327894633375</v>
      </c>
    </row>
    <row r="28">
      <c r="A28" s="5" t="s">
        <v>22</v>
      </c>
      <c r="B28" s="5" t="s">
        <v>17</v>
      </c>
      <c r="C28" s="23">
        <v>125.69254266076594</v>
      </c>
      <c r="D28" s="23">
        <v>305.10029844565804</v>
      </c>
      <c r="E28" s="23">
        <v>6.779661016949152</v>
      </c>
      <c r="F28" s="23">
        <v>423.65718941666665</v>
      </c>
      <c r="G28" s="23">
        <v>28.72252131638418</v>
      </c>
      <c r="H28" s="23">
        <v>0.43760971147427496</v>
      </c>
    </row>
    <row r="29">
      <c r="A29" s="5" t="s">
        <v>15</v>
      </c>
      <c r="B29" s="5" t="s">
        <v>35</v>
      </c>
      <c r="C29" s="23">
        <v>442.71002131340384</v>
      </c>
      <c r="D29" s="23">
        <v>1141.206300035676</v>
      </c>
      <c r="E29" s="23">
        <v>16.0</v>
      </c>
      <c r="F29" s="23">
        <v>799.70031475</v>
      </c>
      <c r="G29" s="23">
        <v>127.95205035999999</v>
      </c>
      <c r="H29" s="23">
        <v>0.3459968168292852</v>
      </c>
    </row>
    <row r="30">
      <c r="A30" s="5" t="s">
        <v>15</v>
      </c>
      <c r="B30" s="5" t="s">
        <v>78</v>
      </c>
      <c r="C30" s="23">
        <v>227.45814012684264</v>
      </c>
      <c r="D30" s="23">
        <v>337.65668944020354</v>
      </c>
      <c r="E30" s="23">
        <v>4.545454545454546</v>
      </c>
      <c r="F30" s="23">
        <v>530.7963158</v>
      </c>
      <c r="G30" s="23">
        <v>24.127105263636363</v>
      </c>
      <c r="H30" s="23">
        <v>0.9427494000685636</v>
      </c>
    </row>
    <row r="31">
      <c r="A31" s="5" t="s">
        <v>15</v>
      </c>
      <c r="B31" s="5" t="s">
        <v>78</v>
      </c>
      <c r="C31" s="23">
        <v>376.3919707415243</v>
      </c>
      <c r="D31" s="23">
        <v>599.4493754930967</v>
      </c>
      <c r="E31" s="23">
        <v>197.9591836734694</v>
      </c>
      <c r="F31" s="23">
        <v>75.19690722680411</v>
      </c>
      <c r="G31" s="23">
        <v>148.85918369387755</v>
      </c>
      <c r="H31" s="23">
        <v>0.2528510243046597</v>
      </c>
    </row>
    <row r="32">
      <c r="A32" s="5" t="s">
        <v>15</v>
      </c>
      <c r="B32" s="5" t="s">
        <v>84</v>
      </c>
      <c r="C32" s="23">
        <v>241.0303048416705</v>
      </c>
      <c r="D32" s="23">
        <v>323.70109969183363</v>
      </c>
      <c r="E32" s="23">
        <v>5.0</v>
      </c>
      <c r="F32" s="23">
        <v>1050.4100685</v>
      </c>
      <c r="G32" s="23">
        <v>52.520503425</v>
      </c>
      <c r="H32" s="23">
        <v>0.4589261128958238</v>
      </c>
    </row>
    <row r="33">
      <c r="A33" s="5" t="s">
        <v>15</v>
      </c>
      <c r="B33" s="5" t="s">
        <v>43</v>
      </c>
      <c r="C33" s="23">
        <v>135.60832760802748</v>
      </c>
      <c r="D33" s="23">
        <v>229.40806239486162</v>
      </c>
      <c r="E33" s="23">
        <v>2.564102564102564</v>
      </c>
      <c r="F33" s="23">
        <v>750.04966</v>
      </c>
      <c r="G33" s="23">
        <v>19.232042564102564</v>
      </c>
      <c r="H33" s="23">
        <v>0.7051166154402458</v>
      </c>
    </row>
    <row r="34">
      <c r="A34" s="5" t="s">
        <v>61</v>
      </c>
      <c r="B34" s="5" t="s">
        <v>17</v>
      </c>
      <c r="C34" s="23">
        <v>69.49137383928571</v>
      </c>
      <c r="D34" s="23">
        <v>483.98607634906375</v>
      </c>
      <c r="E34" s="23">
        <v>5.405405405405405</v>
      </c>
      <c r="F34" s="23">
        <v>700.4730483000001</v>
      </c>
      <c r="G34" s="23">
        <v>37.86340801621622</v>
      </c>
      <c r="H34" s="23">
        <v>0.18353174603174602</v>
      </c>
    </row>
    <row r="35">
      <c r="A35" s="5" t="s">
        <v>15</v>
      </c>
      <c r="B35" s="5" t="s">
        <v>17</v>
      </c>
      <c r="C35" s="23">
        <v>148.15684802549754</v>
      </c>
      <c r="D35" s="23">
        <v>343.46543395206345</v>
      </c>
      <c r="E35" s="23">
        <v>5.952380952380952</v>
      </c>
      <c r="F35" s="23">
        <v>381.1779386</v>
      </c>
      <c r="G35" s="23">
        <v>22.689163011904764</v>
      </c>
      <c r="H35" s="23">
        <v>0.6529850746268656</v>
      </c>
    </row>
    <row r="36">
      <c r="A36" s="5" t="s">
        <v>22</v>
      </c>
      <c r="B36" s="5" t="s">
        <v>66</v>
      </c>
      <c r="C36" s="23">
        <v>152.47338309679768</v>
      </c>
      <c r="D36" s="23">
        <v>251.0090500224652</v>
      </c>
      <c r="E36" s="23">
        <v>3.0927835051546393</v>
      </c>
      <c r="F36" s="23">
        <v>558.6624756666666</v>
      </c>
      <c r="G36" s="23">
        <v>17.278220896907218</v>
      </c>
      <c r="H36" s="23">
        <v>0.8824599708879185</v>
      </c>
    </row>
    <row r="37">
      <c r="A37" s="5" t="s">
        <v>15</v>
      </c>
      <c r="B37" s="5" t="s">
        <v>39</v>
      </c>
      <c r="C37" s="23">
        <v>100.44111285371062</v>
      </c>
      <c r="D37" s="23">
        <v>156.54354431038067</v>
      </c>
      <c r="E37" s="23">
        <v>4.761904761904762</v>
      </c>
      <c r="F37" s="23">
        <v>501.6698783333333</v>
      </c>
      <c r="G37" s="23">
        <v>23.889041825396824</v>
      </c>
      <c r="H37" s="23">
        <v>0.4204484783769354</v>
      </c>
    </row>
    <row r="38">
      <c r="A38" s="5" t="s">
        <v>22</v>
      </c>
      <c r="B38" s="5" t="s">
        <v>78</v>
      </c>
      <c r="C38" s="23">
        <v>346.31255905305613</v>
      </c>
      <c r="D38" s="23">
        <v>686.9048088510285</v>
      </c>
      <c r="E38" s="23">
        <v>20.0</v>
      </c>
      <c r="F38" s="23">
        <v>661.214569</v>
      </c>
      <c r="G38" s="23">
        <v>132.2429138</v>
      </c>
      <c r="H38" s="23">
        <v>0.26187608023883097</v>
      </c>
    </row>
    <row r="39">
      <c r="A39" s="5" t="s">
        <v>15</v>
      </c>
      <c r="B39" s="5" t="s">
        <v>95</v>
      </c>
      <c r="C39" s="23">
        <v>136.67769222193837</v>
      </c>
      <c r="D39" s="23">
        <v>247.60934884503726</v>
      </c>
      <c r="E39" s="23">
        <v>5.737704918032787</v>
      </c>
      <c r="F39" s="23">
        <v>840.7044848571429</v>
      </c>
      <c r="G39" s="23">
        <v>48.23714257377049</v>
      </c>
      <c r="H39" s="23">
        <v>0.2833453329307662</v>
      </c>
    </row>
    <row r="40">
      <c r="A40" s="5" t="s">
        <v>61</v>
      </c>
      <c r="B40" s="5" t="s">
        <v>55</v>
      </c>
      <c r="C40" s="23">
        <v>38.075373125968525</v>
      </c>
      <c r="D40" s="23">
        <v>55.02401478563527</v>
      </c>
      <c r="E40" s="23">
        <v>9.523809523809524</v>
      </c>
      <c r="F40" s="23">
        <v>145.66821857142858</v>
      </c>
      <c r="G40" s="23">
        <v>13.873163673469389</v>
      </c>
      <c r="H40" s="23">
        <v>0.27445342693377645</v>
      </c>
    </row>
    <row r="41">
      <c r="A41" s="5" t="s">
        <v>15</v>
      </c>
      <c r="B41" s="5" t="s">
        <v>17</v>
      </c>
      <c r="C41" s="23">
        <v>22.981103583658047</v>
      </c>
      <c r="D41" s="23">
        <v>33.03942048975088</v>
      </c>
      <c r="E41" s="23">
        <v>1.7241379310344827</v>
      </c>
      <c r="F41" s="23">
        <v>519.0052433333334</v>
      </c>
      <c r="G41" s="23">
        <v>8.948366264367817</v>
      </c>
      <c r="H41" s="23">
        <v>0.25681898689337584</v>
      </c>
    </row>
    <row r="42">
      <c r="A42" s="5" t="s">
        <v>15</v>
      </c>
      <c r="B42" s="5" t="s">
        <v>78</v>
      </c>
      <c r="C42" s="23">
        <v>20.043122204334693</v>
      </c>
      <c r="D42" s="23">
        <v>37.30249122198836</v>
      </c>
      <c r="E42" s="23">
        <v>1.0714285714285714</v>
      </c>
      <c r="F42" s="23">
        <v>502.1537026666667</v>
      </c>
      <c r="G42" s="23">
        <v>5.380218242857143</v>
      </c>
      <c r="H42" s="23">
        <v>0.37253362781229626</v>
      </c>
    </row>
    <row r="43">
      <c r="A43" s="5" t="s">
        <v>15</v>
      </c>
      <c r="B43" s="5" t="s">
        <v>78</v>
      </c>
      <c r="C43" s="23">
        <v>163.46983766640562</v>
      </c>
      <c r="D43" s="23">
        <v>335.3968231041131</v>
      </c>
      <c r="E43" s="23">
        <v>25.0</v>
      </c>
      <c r="F43" s="23">
        <v>99.40522985714286</v>
      </c>
      <c r="G43" s="23">
        <v>24.851307464285714</v>
      </c>
      <c r="H43" s="23">
        <v>0.6577916992952232</v>
      </c>
    </row>
    <row r="44">
      <c r="A44" s="5" t="s">
        <v>15</v>
      </c>
      <c r="B44" s="5" t="s">
        <v>35</v>
      </c>
      <c r="C44" s="23">
        <v>21.28400043325716</v>
      </c>
      <c r="D44" s="23">
        <v>153.17011328483218</v>
      </c>
      <c r="E44" s="23">
        <v>1.3368983957219251</v>
      </c>
      <c r="F44" s="23">
        <v>501.0807086</v>
      </c>
      <c r="G44" s="23">
        <v>6.698939954545454</v>
      </c>
      <c r="H44" s="23">
        <v>0.3177219168655968</v>
      </c>
    </row>
    <row r="45">
      <c r="A45" s="5" t="s">
        <v>15</v>
      </c>
      <c r="B45" s="5" t="s">
        <v>35</v>
      </c>
      <c r="C45" s="23">
        <v>254.21940586640562</v>
      </c>
      <c r="D45" s="23">
        <v>428.37123158429034</v>
      </c>
      <c r="E45" s="23">
        <v>12.612612612612612</v>
      </c>
      <c r="F45" s="23">
        <v>482.25421292857146</v>
      </c>
      <c r="G45" s="23">
        <v>60.824855684684685</v>
      </c>
      <c r="H45" s="23">
        <v>0.41795315912342795</v>
      </c>
    </row>
    <row r="46">
      <c r="A46" s="5" t="s">
        <v>15</v>
      </c>
      <c r="B46" s="5" t="s">
        <v>95</v>
      </c>
      <c r="C46" s="23">
        <v>107.38250121577136</v>
      </c>
      <c r="D46" s="23">
        <v>259.1800841948445</v>
      </c>
      <c r="E46" s="23">
        <v>4.245283018867925</v>
      </c>
      <c r="F46" s="23">
        <v>637.8997827777778</v>
      </c>
      <c r="G46" s="23">
        <v>27.080651155660377</v>
      </c>
      <c r="H46" s="23">
        <v>0.3965285051623522</v>
      </c>
    </row>
    <row r="47">
      <c r="A47" s="5" t="s">
        <v>61</v>
      </c>
      <c r="B47" s="5" t="s">
        <v>29</v>
      </c>
      <c r="C47" s="23">
        <v>340.5348800964489</v>
      </c>
      <c r="D47" s="23">
        <v>587.8607932643794</v>
      </c>
      <c r="E47" s="23">
        <v>16.666666666666664</v>
      </c>
      <c r="F47" s="23">
        <v>423.68730627272726</v>
      </c>
      <c r="G47" s="23">
        <v>70.61455104545455</v>
      </c>
      <c r="H47" s="23">
        <v>0.48224462954844366</v>
      </c>
    </row>
    <row r="48">
      <c r="A48" s="5" t="s">
        <v>22</v>
      </c>
      <c r="B48" s="5" t="s">
        <v>24</v>
      </c>
      <c r="C48" s="23">
        <v>123.94643386660658</v>
      </c>
      <c r="D48" s="23">
        <v>375.79796652433816</v>
      </c>
      <c r="E48" s="23">
        <v>5.1020408163265305</v>
      </c>
      <c r="F48" s="23">
        <v>440.0594188</v>
      </c>
      <c r="G48" s="23">
        <v>22.452011163265308</v>
      </c>
      <c r="H48" s="23">
        <v>0.5520504731861199</v>
      </c>
    </row>
    <row r="49">
      <c r="A49" s="5" t="s">
        <v>15</v>
      </c>
      <c r="B49" s="5" t="s">
        <v>78</v>
      </c>
      <c r="C49" s="23">
        <v>58.1652210686558</v>
      </c>
      <c r="D49" s="23">
        <v>118.1981492297222</v>
      </c>
      <c r="E49" s="23">
        <v>3.048780487804878</v>
      </c>
      <c r="F49" s="23">
        <v>382.0873372</v>
      </c>
      <c r="G49" s="23">
        <v>11.649004182926829</v>
      </c>
      <c r="H49" s="23">
        <v>0.49931496422590954</v>
      </c>
    </row>
    <row r="50">
      <c r="A50" s="5" t="s">
        <v>22</v>
      </c>
      <c r="B50" s="5" t="s">
        <v>35</v>
      </c>
      <c r="C50" s="23">
        <v>120.77171420180133</v>
      </c>
      <c r="D50" s="23">
        <v>288.4139970386534</v>
      </c>
      <c r="E50" s="23">
        <v>9.090909090909092</v>
      </c>
      <c r="F50" s="23">
        <v>370.092841</v>
      </c>
      <c r="G50" s="23">
        <v>33.64480372727273</v>
      </c>
      <c r="H50" s="23">
        <v>0.358960971152591</v>
      </c>
    </row>
    <row r="51">
      <c r="A51" s="5" t="s">
        <v>15</v>
      </c>
      <c r="B51" s="5" t="s">
        <v>78</v>
      </c>
      <c r="C51" s="23">
        <v>155.29833519341207</v>
      </c>
      <c r="D51" s="23">
        <v>791.1942232956114</v>
      </c>
      <c r="E51" s="23">
        <v>5.405405405405405</v>
      </c>
      <c r="F51" s="23">
        <v>477.74944516666665</v>
      </c>
      <c r="G51" s="23">
        <v>25.82429433333333</v>
      </c>
      <c r="H51" s="23">
        <v>0.6013652616751545</v>
      </c>
    </row>
    <row r="52">
      <c r="A52" s="5" t="s">
        <v>22</v>
      </c>
      <c r="B52" s="5" t="s">
        <v>35</v>
      </c>
      <c r="C52" s="23">
        <v>63.10463879549369</v>
      </c>
      <c r="D52" s="23">
        <v>86.43824265021324</v>
      </c>
      <c r="E52" s="23">
        <v>3.30188679245283</v>
      </c>
      <c r="F52" s="23">
        <v>978.6537832857142</v>
      </c>
      <c r="G52" s="23">
        <v>32.31404001415094</v>
      </c>
      <c r="H52" s="23">
        <v>0.1952855129468768</v>
      </c>
    </row>
    <row r="53">
      <c r="A53" s="5" t="s">
        <v>22</v>
      </c>
      <c r="B53" s="5" t="s">
        <v>35</v>
      </c>
      <c r="C53" s="23">
        <v>62.334605043758415</v>
      </c>
      <c r="D53" s="23">
        <v>87.86891347073197</v>
      </c>
      <c r="E53" s="23">
        <v>3.0100334448160537</v>
      </c>
      <c r="F53" s="23">
        <v>735.2089622222222</v>
      </c>
      <c r="G53" s="23">
        <v>22.130035652173913</v>
      </c>
      <c r="H53" s="23">
        <v>0.2816742188015186</v>
      </c>
    </row>
    <row r="54">
      <c r="A54" s="5" t="s">
        <v>22</v>
      </c>
      <c r="B54" s="5" t="s">
        <v>84</v>
      </c>
      <c r="C54" s="23">
        <v>44.14967556042723</v>
      </c>
      <c r="D54" s="23">
        <v>52.41239185597194</v>
      </c>
      <c r="E54" s="23">
        <v>10.0</v>
      </c>
      <c r="F54" s="23">
        <v>254.0610060769231</v>
      </c>
      <c r="G54" s="23">
        <v>25.40610060769231</v>
      </c>
      <c r="H54" s="23">
        <v>0.17377588258097287</v>
      </c>
    </row>
    <row r="55">
      <c r="A55" s="5" t="s">
        <v>22</v>
      </c>
      <c r="B55" s="5" t="s">
        <v>35</v>
      </c>
      <c r="C55" s="23">
        <v>50.73551767729752</v>
      </c>
      <c r="D55" s="23">
        <v>94.32630280866003</v>
      </c>
      <c r="E55" s="23">
        <v>12.0</v>
      </c>
      <c r="F55" s="23">
        <v>483.6109545</v>
      </c>
      <c r="G55" s="23">
        <v>58.03331454</v>
      </c>
      <c r="H55" s="23">
        <v>0.08742481465939293</v>
      </c>
    </row>
    <row r="56">
      <c r="A56" s="5" t="s">
        <v>22</v>
      </c>
      <c r="B56" s="5" t="s">
        <v>121</v>
      </c>
      <c r="C56" s="23">
        <v>120.23655528397167</v>
      </c>
      <c r="D56" s="23">
        <v>364.48334216412695</v>
      </c>
      <c r="E56" s="23">
        <v>10.81081081081081</v>
      </c>
      <c r="F56" s="23">
        <v>434.52489108333333</v>
      </c>
      <c r="G56" s="23">
        <v>46.9756639009009</v>
      </c>
      <c r="H56" s="23">
        <v>0.2559549888163811</v>
      </c>
    </row>
    <row r="57">
      <c r="A57" s="5" t="s">
        <v>15</v>
      </c>
      <c r="B57" s="5" t="s">
        <v>35</v>
      </c>
      <c r="C57" s="23">
        <v>45.181060959266446</v>
      </c>
      <c r="D57" s="23">
        <v>152.70840462496648</v>
      </c>
      <c r="E57" s="23">
        <v>3.303303303303303</v>
      </c>
      <c r="F57" s="23">
        <v>465.8578121818182</v>
      </c>
      <c r="G57" s="23">
        <v>15.388696498498499</v>
      </c>
      <c r="H57" s="23">
        <v>0.2935990125198378</v>
      </c>
    </row>
    <row r="58">
      <c r="A58" s="5" t="s">
        <v>15</v>
      </c>
      <c r="B58" s="5" t="s">
        <v>55</v>
      </c>
      <c r="C58" s="23">
        <v>57.246685252511526</v>
      </c>
      <c r="D58" s="23">
        <v>209.7208240736899</v>
      </c>
      <c r="E58" s="23">
        <v>7.450980392156863</v>
      </c>
      <c r="F58" s="23">
        <v>266.025346368421</v>
      </c>
      <c r="G58" s="23">
        <v>19.82149639607843</v>
      </c>
      <c r="H58" s="23">
        <v>0.28881111752913596</v>
      </c>
    </row>
    <row r="59">
      <c r="A59" s="5" t="s">
        <v>22</v>
      </c>
      <c r="B59" s="5" t="s">
        <v>35</v>
      </c>
      <c r="C59" s="23">
        <v>173.052205577391</v>
      </c>
      <c r="D59" s="23">
        <v>376.2586206559779</v>
      </c>
      <c r="E59" s="23">
        <v>6.0</v>
      </c>
      <c r="F59" s="23">
        <v>770.5149453333333</v>
      </c>
      <c r="G59" s="23">
        <v>46.230896720000004</v>
      </c>
      <c r="H59" s="23">
        <v>0.3743215422047539</v>
      </c>
    </row>
    <row r="60">
      <c r="A60" s="5" t="s">
        <v>22</v>
      </c>
      <c r="B60" s="5" t="s">
        <v>126</v>
      </c>
      <c r="C60" s="23">
        <v>44.44607161211379</v>
      </c>
      <c r="D60" s="23">
        <v>96.73704723858984</v>
      </c>
      <c r="E60" s="23">
        <v>2.403846153846154</v>
      </c>
      <c r="F60" s="23">
        <v>581.1768324</v>
      </c>
      <c r="G60" s="23">
        <v>13.970596932692306</v>
      </c>
      <c r="H60" s="23">
        <v>0.31814010400734166</v>
      </c>
    </row>
    <row r="61">
      <c r="A61" s="5" t="s">
        <v>15</v>
      </c>
      <c r="B61" s="5" t="s">
        <v>17</v>
      </c>
      <c r="C61" s="23">
        <v>16.794559711306157</v>
      </c>
      <c r="D61" s="23">
        <v>20.131062079583568</v>
      </c>
      <c r="E61" s="23">
        <v>2.0</v>
      </c>
      <c r="F61" s="23">
        <v>366.11020533333334</v>
      </c>
      <c r="G61" s="23">
        <v>7.322204106666667</v>
      </c>
      <c r="H61" s="23">
        <v>0.22936481237958348</v>
      </c>
    </row>
    <row r="62">
      <c r="A62" s="5" t="s">
        <v>15</v>
      </c>
      <c r="B62" s="5" t="s">
        <v>39</v>
      </c>
      <c r="C62" s="23">
        <v>32.304221614374654</v>
      </c>
      <c r="D62" s="23">
        <v>60.35776536811495</v>
      </c>
      <c r="E62" s="23">
        <v>11.214953271028037</v>
      </c>
      <c r="F62" s="23">
        <v>87.34523120833335</v>
      </c>
      <c r="G62" s="23">
        <v>9.795726864485982</v>
      </c>
      <c r="H62" s="23">
        <v>0.32977870923996794</v>
      </c>
    </row>
    <row r="63">
      <c r="A63" s="5" t="s">
        <v>15</v>
      </c>
      <c r="B63" s="5" t="s">
        <v>35</v>
      </c>
      <c r="C63" s="23">
        <v>9.650023741527681</v>
      </c>
      <c r="D63" s="23">
        <v>22.297107469646313</v>
      </c>
      <c r="E63" s="23">
        <v>0.6779661016949152</v>
      </c>
      <c r="F63" s="23">
        <v>506.857847</v>
      </c>
      <c r="G63" s="23">
        <v>3.436324386440678</v>
      </c>
      <c r="H63" s="23">
        <v>0.2808240042647171</v>
      </c>
    </row>
    <row r="64">
      <c r="A64" s="5" t="s">
        <v>22</v>
      </c>
      <c r="B64" s="5" t="s">
        <v>131</v>
      </c>
      <c r="C64" s="23">
        <v>23.15768626233622</v>
      </c>
      <c r="D64" s="23">
        <v>44.353916612991135</v>
      </c>
      <c r="E64" s="23">
        <v>1.5706806282722512</v>
      </c>
      <c r="F64" s="23">
        <v>596.7967326666667</v>
      </c>
      <c r="G64" s="23">
        <v>9.373770670157068</v>
      </c>
      <c r="H64" s="23">
        <v>0.24704771513199592</v>
      </c>
    </row>
    <row r="65">
      <c r="A65" s="5" t="s">
        <v>15</v>
      </c>
      <c r="B65" s="5" t="s">
        <v>84</v>
      </c>
      <c r="C65" s="23">
        <v>8.50143523941117</v>
      </c>
      <c r="D65" s="23">
        <v>10.303060998544435</v>
      </c>
      <c r="E65" s="23">
        <v>1.2244897959183674</v>
      </c>
      <c r="F65" s="23">
        <v>266.6191781666667</v>
      </c>
      <c r="G65" s="23">
        <v>3.2647246306122453</v>
      </c>
      <c r="H65" s="23">
        <v>0.26040282723069563</v>
      </c>
    </row>
    <row r="66">
      <c r="A66" s="5" t="s">
        <v>15</v>
      </c>
      <c r="B66" s="5" t="s">
        <v>17</v>
      </c>
      <c r="C66" s="23">
        <v>93.69296049500238</v>
      </c>
      <c r="D66" s="23">
        <v>170.96854630333297</v>
      </c>
      <c r="E66" s="23">
        <v>6.976744186046512</v>
      </c>
      <c r="F66" s="23">
        <v>524.9304266666667</v>
      </c>
      <c r="G66" s="23">
        <v>36.623053023255814</v>
      </c>
      <c r="H66" s="23">
        <v>0.2558305568776773</v>
      </c>
    </row>
    <row r="67">
      <c r="A67" s="5" t="s">
        <v>15</v>
      </c>
      <c r="B67" s="5" t="s">
        <v>39</v>
      </c>
      <c r="C67" s="23">
        <v>68.31879267103247</v>
      </c>
      <c r="D67" s="23">
        <v>94.33540210350799</v>
      </c>
      <c r="E67" s="23">
        <v>10.909090909090908</v>
      </c>
      <c r="F67" s="23">
        <v>245.1619875</v>
      </c>
      <c r="G67" s="23">
        <v>26.74494409090909</v>
      </c>
      <c r="H67" s="23">
        <v>0.25544563652408153</v>
      </c>
    </row>
    <row r="68">
      <c r="A68" s="5" t="s">
        <v>15</v>
      </c>
      <c r="B68" s="5" t="s">
        <v>78</v>
      </c>
      <c r="C68" s="23">
        <v>79.55737383279637</v>
      </c>
      <c r="D68" s="23">
        <v>153.66883103048204</v>
      </c>
      <c r="E68" s="23">
        <v>6.666666666666667</v>
      </c>
      <c r="F68" s="23">
        <v>364.23354675</v>
      </c>
      <c r="G68" s="23">
        <v>24.282236450000003</v>
      </c>
      <c r="H68" s="23">
        <v>0.327636105498826</v>
      </c>
    </row>
    <row r="69">
      <c r="A69" s="5" t="s">
        <v>22</v>
      </c>
      <c r="B69" s="5" t="s">
        <v>39</v>
      </c>
      <c r="C69" s="23">
        <v>163.25306920864642</v>
      </c>
      <c r="D69" s="23">
        <v>274.09732601246105</v>
      </c>
      <c r="E69" s="23">
        <v>3.488372093023256</v>
      </c>
      <c r="F69" s="23">
        <v>586.5682776666666</v>
      </c>
      <c r="G69" s="23">
        <v>20.461684104651162</v>
      </c>
      <c r="H69" s="23">
        <v>0.7978476667594396</v>
      </c>
    </row>
    <row r="70">
      <c r="A70" s="5" t="s">
        <v>22</v>
      </c>
      <c r="B70" s="5" t="s">
        <v>55</v>
      </c>
      <c r="C70" s="23">
        <v>138.9186834437086</v>
      </c>
      <c r="D70" s="23">
        <v>254.3249418040737</v>
      </c>
      <c r="E70" s="23">
        <v>2.272727272727273</v>
      </c>
      <c r="F70" s="23">
        <v>786.627045</v>
      </c>
      <c r="G70" s="23">
        <v>17.877887386363636</v>
      </c>
      <c r="H70" s="23">
        <v>0.7770419426048565</v>
      </c>
    </row>
    <row r="71">
      <c r="A71" s="5" t="s">
        <v>22</v>
      </c>
      <c r="B71" s="5" t="s">
        <v>142</v>
      </c>
      <c r="C71" s="23">
        <v>187.35357303370787</v>
      </c>
      <c r="D71" s="23">
        <v>419.84589879042215</v>
      </c>
      <c r="E71" s="23">
        <v>4.761904761904762</v>
      </c>
      <c r="F71" s="23">
        <v>1700.795736</v>
      </c>
      <c r="G71" s="23">
        <v>80.99027314285715</v>
      </c>
      <c r="H71" s="23">
        <v>0.2313284864507601</v>
      </c>
    </row>
    <row r="72">
      <c r="A72" s="5" t="s">
        <v>22</v>
      </c>
      <c r="B72" s="5" t="s">
        <v>29</v>
      </c>
      <c r="C72" s="23">
        <v>592.1042763443662</v>
      </c>
      <c r="D72" s="23">
        <v>824.3483702225448</v>
      </c>
      <c r="E72" s="23">
        <v>9.090909090909092</v>
      </c>
      <c r="F72" s="23">
        <v>2271.9041083333336</v>
      </c>
      <c r="G72" s="23">
        <v>206.53673712121213</v>
      </c>
      <c r="H72" s="23">
        <v>0.2866823038832421</v>
      </c>
    </row>
    <row r="73">
      <c r="A73" s="5" t="s">
        <v>22</v>
      </c>
      <c r="B73" s="5" t="s">
        <v>147</v>
      </c>
      <c r="C73" s="23">
        <v>407.89141845233854</v>
      </c>
      <c r="D73" s="23">
        <v>576.7717691765653</v>
      </c>
      <c r="E73" s="23">
        <v>15.909090909090908</v>
      </c>
      <c r="F73" s="23">
        <v>818.5215364285714</v>
      </c>
      <c r="G73" s="23">
        <v>130.21933534090908</v>
      </c>
      <c r="H73" s="23">
        <v>0.31323414252153486</v>
      </c>
    </row>
    <row r="74">
      <c r="A74" s="5" t="s">
        <v>15</v>
      </c>
      <c r="B74" s="5" t="s">
        <v>17</v>
      </c>
      <c r="C74" s="23">
        <v>144.05317126935597</v>
      </c>
      <c r="D74" s="23">
        <v>205.32158620932034</v>
      </c>
      <c r="E74" s="23">
        <v>4.054054054054054</v>
      </c>
      <c r="F74" s="23">
        <v>973.7034023333334</v>
      </c>
      <c r="G74" s="23">
        <v>39.47446225675676</v>
      </c>
      <c r="H74" s="23">
        <v>0.36492750764375187</v>
      </c>
    </row>
    <row r="75">
      <c r="A75" s="5" t="s">
        <v>22</v>
      </c>
      <c r="B75" s="5" t="s">
        <v>150</v>
      </c>
      <c r="C75" s="23">
        <v>146.37428508984942</v>
      </c>
      <c r="D75" s="23">
        <v>211.22624903632754</v>
      </c>
      <c r="E75" s="23">
        <v>50.0</v>
      </c>
      <c r="F75" s="23">
        <v>361.6615836</v>
      </c>
      <c r="G75" s="23">
        <v>180.8307918</v>
      </c>
      <c r="H75" s="23">
        <v>0.08094544277157197</v>
      </c>
    </row>
    <row r="76">
      <c r="A76" s="5" t="s">
        <v>15</v>
      </c>
      <c r="B76" s="5" t="s">
        <v>35</v>
      </c>
      <c r="C76" s="23">
        <v>137.65558498324702</v>
      </c>
      <c r="D76" s="23">
        <v>294.748596445459</v>
      </c>
      <c r="E76" s="23">
        <v>5.970149253731343</v>
      </c>
      <c r="F76" s="23">
        <v>451.9232855</v>
      </c>
      <c r="G76" s="23">
        <v>26.98049465671642</v>
      </c>
      <c r="H76" s="23">
        <v>0.5102040816326531</v>
      </c>
    </row>
    <row r="77">
      <c r="A77" s="5" t="s">
        <v>15</v>
      </c>
      <c r="B77" s="5" t="s">
        <v>95</v>
      </c>
      <c r="C77" s="23">
        <v>61.12545943940172</v>
      </c>
      <c r="D77" s="23">
        <v>154.01822108745685</v>
      </c>
      <c r="E77" s="23">
        <v>2.0689655172413794</v>
      </c>
      <c r="F77" s="23">
        <v>713.8231153333332</v>
      </c>
      <c r="G77" s="23">
        <v>14.768754110344826</v>
      </c>
      <c r="H77" s="23">
        <v>0.4138836558771479</v>
      </c>
    </row>
    <row r="78">
      <c r="A78" s="5" t="s">
        <v>61</v>
      </c>
      <c r="B78" s="5" t="s">
        <v>155</v>
      </c>
      <c r="C78" s="23">
        <v>153.42472642268248</v>
      </c>
      <c r="D78" s="23">
        <v>316.72111436280613</v>
      </c>
      <c r="E78" s="23">
        <v>15.0</v>
      </c>
      <c r="F78" s="23">
        <v>508.65410966666667</v>
      </c>
      <c r="G78" s="23">
        <v>76.29811645</v>
      </c>
      <c r="H78" s="23">
        <v>0.20108586366378445</v>
      </c>
    </row>
    <row r="79">
      <c r="A79" s="5" t="s">
        <v>22</v>
      </c>
      <c r="B79" s="5" t="s">
        <v>55</v>
      </c>
      <c r="C79" s="23">
        <v>743.0640805651958</v>
      </c>
      <c r="D79" s="23">
        <v>1081.1615873760145</v>
      </c>
      <c r="E79" s="23">
        <v>10.0</v>
      </c>
      <c r="F79" s="23">
        <v>5995.041002</v>
      </c>
      <c r="G79" s="23">
        <v>599.5041002</v>
      </c>
      <c r="H79" s="23">
        <v>0.12394645513138325</v>
      </c>
    </row>
    <row r="80">
      <c r="A80" s="5" t="s">
        <v>22</v>
      </c>
      <c r="B80" s="5" t="s">
        <v>39</v>
      </c>
      <c r="C80" s="23">
        <v>532.8397436865508</v>
      </c>
      <c r="D80" s="23">
        <v>784.0638154320987</v>
      </c>
      <c r="E80" s="23">
        <v>2.898550724637681</v>
      </c>
      <c r="F80" s="23">
        <v>3175.4584525</v>
      </c>
      <c r="G80" s="23">
        <v>92.04227398550725</v>
      </c>
      <c r="H80" s="23">
        <v>0.5789076264787314</v>
      </c>
    </row>
    <row r="81">
      <c r="A81" s="5" t="s">
        <v>22</v>
      </c>
      <c r="B81" s="5" t="s">
        <v>55</v>
      </c>
      <c r="C81" s="23">
        <v>180.2098256690271</v>
      </c>
      <c r="D81" s="23">
        <v>298.59193761191216</v>
      </c>
      <c r="E81" s="23">
        <v>6.0</v>
      </c>
      <c r="F81" s="23">
        <v>422.44787333333335</v>
      </c>
      <c r="G81" s="23">
        <v>25.3468724</v>
      </c>
      <c r="H81" s="23">
        <v>0.7109746039871456</v>
      </c>
    </row>
    <row r="82">
      <c r="A82" s="5" t="s">
        <v>15</v>
      </c>
      <c r="B82" s="5" t="s">
        <v>35</v>
      </c>
      <c r="C82" s="23">
        <v>156.38479214763623</v>
      </c>
      <c r="D82" s="23">
        <v>817.7583844675125</v>
      </c>
      <c r="E82" s="23">
        <v>15.714285714285714</v>
      </c>
      <c r="F82" s="23">
        <v>386.7253741818182</v>
      </c>
      <c r="G82" s="23">
        <v>60.77113022857144</v>
      </c>
      <c r="H82" s="23">
        <v>0.2573340195573855</v>
      </c>
    </row>
    <row r="83">
      <c r="A83" s="5" t="s">
        <v>22</v>
      </c>
      <c r="B83" s="5" t="s">
        <v>17</v>
      </c>
      <c r="C83" s="23">
        <v>24.350198287109833</v>
      </c>
      <c r="D83" s="23">
        <v>51.55670458650611</v>
      </c>
      <c r="E83" s="23">
        <v>6.132075471698113</v>
      </c>
      <c r="F83" s="23">
        <v>111.97719646153845</v>
      </c>
      <c r="G83" s="23">
        <v>6.866526198113207</v>
      </c>
      <c r="H83" s="23">
        <v>0.3546217925127965</v>
      </c>
    </row>
    <row r="84">
      <c r="A84" s="5" t="s">
        <v>15</v>
      </c>
      <c r="B84" s="5" t="s">
        <v>39</v>
      </c>
      <c r="C84" s="23">
        <v>683.4479532088218</v>
      </c>
      <c r="D84" s="23">
        <v>985.8966891659502</v>
      </c>
      <c r="E84" s="23">
        <v>30.158730158730158</v>
      </c>
      <c r="F84" s="23">
        <v>362.0835314210526</v>
      </c>
      <c r="G84" s="23">
        <v>109.19979519047618</v>
      </c>
      <c r="H84" s="23">
        <v>0.6258692628650904</v>
      </c>
    </row>
    <row r="85">
      <c r="A85" s="5" t="s">
        <v>15</v>
      </c>
      <c r="B85" s="5" t="s">
        <v>35</v>
      </c>
      <c r="C85" s="23">
        <v>148.93223256019832</v>
      </c>
      <c r="D85" s="23">
        <v>246.6048811199062</v>
      </c>
      <c r="E85" s="23">
        <v>7.4074074074074066</v>
      </c>
      <c r="F85" s="23">
        <v>420.58462475</v>
      </c>
      <c r="G85" s="23">
        <v>31.154416648148146</v>
      </c>
      <c r="H85" s="23">
        <v>0.47804532577903686</v>
      </c>
    </row>
    <row r="86">
      <c r="A86" s="5" t="s">
        <v>22</v>
      </c>
      <c r="B86" s="5" t="s">
        <v>39</v>
      </c>
      <c r="C86" s="23">
        <v>364.142290184082</v>
      </c>
      <c r="D86" s="23">
        <v>719.9770047750425</v>
      </c>
      <c r="E86" s="23">
        <v>25.0</v>
      </c>
      <c r="F86" s="23">
        <v>452.33755286666667</v>
      </c>
      <c r="G86" s="23">
        <v>113.08438821666667</v>
      </c>
      <c r="H86" s="23">
        <v>0.32200933827080985</v>
      </c>
    </row>
    <row r="87">
      <c r="A87" s="5" t="s">
        <v>22</v>
      </c>
      <c r="B87" s="5" t="s">
        <v>78</v>
      </c>
      <c r="C87" s="23">
        <v>181.6654627178825</v>
      </c>
      <c r="D87" s="23">
        <v>212.18370800213643</v>
      </c>
      <c r="E87" s="23">
        <v>21.0</v>
      </c>
      <c r="F87" s="23">
        <v>321.59977342857144</v>
      </c>
      <c r="G87" s="23">
        <v>67.53595242</v>
      </c>
      <c r="H87" s="23">
        <v>0.2689907467183129</v>
      </c>
    </row>
    <row r="88">
      <c r="A88" s="5" t="s">
        <v>22</v>
      </c>
      <c r="B88" s="5" t="s">
        <v>173</v>
      </c>
      <c r="C88" s="23">
        <v>204.94160315886634</v>
      </c>
      <c r="D88" s="23">
        <v>239.21575554668794</v>
      </c>
      <c r="E88" s="23">
        <v>8.421052631578947</v>
      </c>
      <c r="F88" s="23">
        <v>749.34335425</v>
      </c>
      <c r="G88" s="23">
        <v>63.10259825263157</v>
      </c>
      <c r="H88" s="23">
        <v>0.3247752213599535</v>
      </c>
    </row>
    <row r="89">
      <c r="A89" s="5" t="s">
        <v>22</v>
      </c>
      <c r="B89" s="5" t="s">
        <v>175</v>
      </c>
      <c r="C89" s="23">
        <v>90.19336614421785</v>
      </c>
      <c r="D89" s="23">
        <v>105.1063438679547</v>
      </c>
      <c r="E89" s="23">
        <v>10.185185185185185</v>
      </c>
      <c r="F89" s="23">
        <v>298.71222927272726</v>
      </c>
      <c r="G89" s="23">
        <v>30.424393722222224</v>
      </c>
      <c r="H89" s="23">
        <v>0.296450824846971</v>
      </c>
    </row>
    <row r="90">
      <c r="A90" s="5" t="s">
        <v>15</v>
      </c>
      <c r="B90" s="5" t="s">
        <v>35</v>
      </c>
      <c r="C90" s="23">
        <v>74.18981921468824</v>
      </c>
      <c r="D90" s="23">
        <v>87.13492297838272</v>
      </c>
      <c r="E90" s="23">
        <v>5.0</v>
      </c>
      <c r="F90" s="23">
        <v>408.1181955</v>
      </c>
      <c r="G90" s="23">
        <v>20.405909775</v>
      </c>
      <c r="H90" s="23">
        <v>0.36357025995273584</v>
      </c>
    </row>
    <row r="91">
      <c r="A91" s="5" t="s">
        <v>22</v>
      </c>
      <c r="B91" s="5" t="s">
        <v>173</v>
      </c>
      <c r="C91" s="23">
        <v>383.70969911079067</v>
      </c>
      <c r="D91" s="23">
        <v>1263.3954959446094</v>
      </c>
      <c r="E91" s="23">
        <v>50.0</v>
      </c>
      <c r="F91" s="23">
        <v>1277.2928464000001</v>
      </c>
      <c r="G91" s="23">
        <v>638.6464232000001</v>
      </c>
      <c r="H91" s="23">
        <v>0.0600817111271329</v>
      </c>
    </row>
    <row r="92">
      <c r="A92" s="5" t="s">
        <v>22</v>
      </c>
      <c r="B92" s="5" t="s">
        <v>142</v>
      </c>
      <c r="C92" s="23">
        <v>104.40570621618637</v>
      </c>
      <c r="D92" s="23">
        <v>156.42720946236557</v>
      </c>
      <c r="E92" s="23">
        <v>5.7894736842105265</v>
      </c>
      <c r="F92" s="23">
        <v>429.81930963636364</v>
      </c>
      <c r="G92" s="23">
        <v>24.88427582105263</v>
      </c>
      <c r="H92" s="23">
        <v>0.4195649773655736</v>
      </c>
    </row>
    <row r="93">
      <c r="A93" s="5" t="s">
        <v>22</v>
      </c>
      <c r="B93" s="5" t="s">
        <v>181</v>
      </c>
      <c r="C93" s="23">
        <v>122.75490478831576</v>
      </c>
      <c r="D93" s="23">
        <v>211.055715193897</v>
      </c>
      <c r="E93" s="23">
        <v>7.5</v>
      </c>
      <c r="F93" s="23">
        <v>663.98128</v>
      </c>
      <c r="G93" s="23">
        <v>49.798595999999996</v>
      </c>
      <c r="H93" s="23">
        <v>0.24650274234300856</v>
      </c>
    </row>
    <row r="94">
      <c r="A94" s="5" t="s">
        <v>15</v>
      </c>
      <c r="B94" s="5" t="s">
        <v>183</v>
      </c>
      <c r="C94" s="23">
        <v>198.69214671345662</v>
      </c>
      <c r="D94" s="23">
        <v>293.89301557197047</v>
      </c>
      <c r="E94" s="23">
        <v>120.0</v>
      </c>
      <c r="F94" s="23">
        <v>122.67584291666667</v>
      </c>
      <c r="G94" s="23">
        <v>147.21101149999998</v>
      </c>
      <c r="H94" s="23">
        <v>0.13497098123903362</v>
      </c>
    </row>
    <row r="95">
      <c r="A95" s="5" t="s">
        <v>22</v>
      </c>
      <c r="B95" s="5" t="s">
        <v>32</v>
      </c>
      <c r="C95" s="23">
        <v>389.40097343874413</v>
      </c>
      <c r="D95" s="23">
        <v>695.212014114541</v>
      </c>
      <c r="E95" s="23">
        <v>21.428571428571427</v>
      </c>
      <c r="F95" s="23">
        <v>570.53732625</v>
      </c>
      <c r="G95" s="23">
        <v>122.25799848214285</v>
      </c>
      <c r="H95" s="23">
        <v>0.3185075645546582</v>
      </c>
    </row>
    <row r="96">
      <c r="A96" s="5" t="s">
        <v>15</v>
      </c>
      <c r="B96" s="5" t="s">
        <v>78</v>
      </c>
      <c r="C96" s="23">
        <v>140.40113252827547</v>
      </c>
      <c r="D96" s="23">
        <v>278.40864866389035</v>
      </c>
      <c r="E96" s="23">
        <v>8.461538461538462</v>
      </c>
      <c r="F96" s="23">
        <v>583.443288090909</v>
      </c>
      <c r="G96" s="23">
        <v>49.36827822307692</v>
      </c>
      <c r="H96" s="23">
        <v>0.2843954409223163</v>
      </c>
    </row>
    <row r="97">
      <c r="A97" s="5" t="s">
        <v>15</v>
      </c>
      <c r="B97" s="5" t="s">
        <v>32</v>
      </c>
      <c r="C97" s="23">
        <v>130.69134351962438</v>
      </c>
      <c r="D97" s="23">
        <v>218.03741321973342</v>
      </c>
      <c r="E97" s="23">
        <v>7.333333333333333</v>
      </c>
      <c r="F97" s="23">
        <v>576.9666385454545</v>
      </c>
      <c r="G97" s="23">
        <v>42.31088682666667</v>
      </c>
      <c r="H97" s="23">
        <v>0.3088834891478934</v>
      </c>
    </row>
    <row r="98">
      <c r="A98" s="5" t="s">
        <v>15</v>
      </c>
      <c r="B98" s="5" t="s">
        <v>39</v>
      </c>
      <c r="C98" s="23">
        <v>99.20024131746635</v>
      </c>
      <c r="D98" s="23">
        <v>207.00494174885526</v>
      </c>
      <c r="E98" s="23">
        <v>13.043478260869565</v>
      </c>
      <c r="F98" s="23">
        <v>195.8956765416667</v>
      </c>
      <c r="G98" s="23">
        <v>25.551609983695652</v>
      </c>
      <c r="H98" s="23">
        <v>0.38823479765371144</v>
      </c>
    </row>
    <row r="99">
      <c r="A99" s="5" t="s">
        <v>22</v>
      </c>
      <c r="B99" s="5" t="s">
        <v>39</v>
      </c>
      <c r="C99" s="23">
        <v>28.41130412897797</v>
      </c>
      <c r="D99" s="23">
        <v>48.22950402999541</v>
      </c>
      <c r="E99" s="23">
        <v>3.5502958579881656</v>
      </c>
      <c r="F99" s="23">
        <v>315.1476558333333</v>
      </c>
      <c r="G99" s="23">
        <v>11.188674171597633</v>
      </c>
      <c r="H99" s="23">
        <v>0.25392914024701746</v>
      </c>
    </row>
    <row r="100">
      <c r="A100" s="5" t="s">
        <v>61</v>
      </c>
      <c r="B100" s="5" t="s">
        <v>17</v>
      </c>
      <c r="C100" s="23">
        <v>182.83020914696812</v>
      </c>
      <c r="D100" s="23">
        <v>598.767396499495</v>
      </c>
      <c r="E100" s="23">
        <v>6.666666666666667</v>
      </c>
      <c r="F100" s="23">
        <v>592.9793116666666</v>
      </c>
      <c r="G100" s="23">
        <v>39.53195411111111</v>
      </c>
      <c r="H100" s="23">
        <v>0.4624871531346352</v>
      </c>
    </row>
    <row r="101">
      <c r="A101" s="5" t="s">
        <v>15</v>
      </c>
      <c r="B101" s="5" t="s">
        <v>35</v>
      </c>
      <c r="C101" s="23">
        <v>21.655394010636925</v>
      </c>
      <c r="D101" s="23">
        <v>36.61387658151147</v>
      </c>
      <c r="E101" s="23">
        <v>10.050251256281408</v>
      </c>
      <c r="F101" s="23">
        <v>75.530766</v>
      </c>
      <c r="G101" s="23">
        <v>7.59103175879397</v>
      </c>
      <c r="H101" s="23">
        <v>0.2852760296457703</v>
      </c>
    </row>
    <row r="102">
      <c r="A102" s="5" t="s">
        <v>61</v>
      </c>
      <c r="B102" s="5" t="s">
        <v>24</v>
      </c>
      <c r="C102" s="23">
        <v>167.22468483412322</v>
      </c>
      <c r="D102" s="23">
        <v>1090.4673708609273</v>
      </c>
      <c r="E102" s="23">
        <v>3.3333333333333335</v>
      </c>
      <c r="F102" s="23">
        <v>1481.945157</v>
      </c>
      <c r="G102" s="23">
        <v>49.3981719</v>
      </c>
      <c r="H102" s="23">
        <v>0.3385240352064997</v>
      </c>
    </row>
    <row r="103">
      <c r="A103" s="5" t="s">
        <v>15</v>
      </c>
      <c r="B103" s="5" t="s">
        <v>39</v>
      </c>
      <c r="C103" s="23">
        <v>942.3971091437267</v>
      </c>
      <c r="D103" s="23">
        <v>1201.9387265349328</v>
      </c>
      <c r="E103" s="23">
        <v>15.0</v>
      </c>
      <c r="F103" s="23">
        <v>2270.8629006666665</v>
      </c>
      <c r="G103" s="23">
        <v>340.6294351</v>
      </c>
      <c r="H103" s="23">
        <v>0.2766634389265458</v>
      </c>
    </row>
    <row r="104">
      <c r="A104" s="5" t="s">
        <v>22</v>
      </c>
      <c r="B104" s="5" t="s">
        <v>95</v>
      </c>
      <c r="C104" s="23">
        <v>58.16913429516028</v>
      </c>
      <c r="D104" s="23">
        <v>84.88159497107928</v>
      </c>
      <c r="E104" s="23">
        <v>13.592233009708737</v>
      </c>
      <c r="F104" s="23">
        <v>120.01954380357142</v>
      </c>
      <c r="G104" s="23">
        <v>16.31333605097087</v>
      </c>
      <c r="H104" s="23">
        <v>0.35657411895035657</v>
      </c>
    </row>
    <row r="105">
      <c r="A105" s="5" t="s">
        <v>15</v>
      </c>
      <c r="B105" s="5" t="s">
        <v>17</v>
      </c>
      <c r="C105" s="23">
        <v>139.1479818091307</v>
      </c>
      <c r="D105" s="23">
        <v>222.45128331730612</v>
      </c>
      <c r="E105" s="23">
        <v>8.75</v>
      </c>
      <c r="F105" s="23">
        <v>479.17595364285717</v>
      </c>
      <c r="G105" s="23">
        <v>41.92789594375</v>
      </c>
      <c r="H105" s="23">
        <v>0.33187446848229657</v>
      </c>
    </row>
    <row r="106">
      <c r="A106" s="5" t="s">
        <v>22</v>
      </c>
      <c r="B106" s="5" t="s">
        <v>78</v>
      </c>
      <c r="C106" s="23">
        <v>44.79592114025525</v>
      </c>
      <c r="D106" s="23">
        <v>57.933359976215144</v>
      </c>
      <c r="E106" s="23">
        <v>27.77777777777778</v>
      </c>
      <c r="F106" s="23">
        <v>48.324764624000004</v>
      </c>
      <c r="G106" s="23">
        <v>13.42354572888889</v>
      </c>
      <c r="H106" s="23">
        <v>0.3337115397450444</v>
      </c>
    </row>
    <row r="107">
      <c r="A107" s="5" t="s">
        <v>22</v>
      </c>
      <c r="B107" s="5" t="s">
        <v>95</v>
      </c>
      <c r="C107" s="23">
        <v>163.1363093126386</v>
      </c>
      <c r="D107" s="23">
        <v>245.521052836485</v>
      </c>
      <c r="E107" s="23">
        <v>5.161290322580645</v>
      </c>
      <c r="F107" s="23">
        <v>717.351136125</v>
      </c>
      <c r="G107" s="23">
        <v>37.02457476774194</v>
      </c>
      <c r="H107" s="23">
        <v>0.4406162942748309</v>
      </c>
    </row>
    <row r="108">
      <c r="A108" s="5" t="s">
        <v>22</v>
      </c>
      <c r="B108" s="5" t="s">
        <v>17</v>
      </c>
      <c r="C108" s="23">
        <v>98.5789929494167</v>
      </c>
      <c r="D108" s="23">
        <v>656.1331335288668</v>
      </c>
      <c r="E108" s="23">
        <v>8.0</v>
      </c>
      <c r="F108" s="23">
        <v>531.303804875</v>
      </c>
      <c r="G108" s="23">
        <v>42.504304389999994</v>
      </c>
      <c r="H108" s="23">
        <v>0.23192708212537977</v>
      </c>
    </row>
    <row r="109">
      <c r="A109" s="5" t="s">
        <v>15</v>
      </c>
      <c r="B109" s="5" t="s">
        <v>204</v>
      </c>
      <c r="C109" s="23">
        <v>7.577174167642303</v>
      </c>
      <c r="D109" s="23">
        <v>54.682366686918066</v>
      </c>
      <c r="E109" s="23">
        <v>0.46511627906976744</v>
      </c>
      <c r="F109" s="23">
        <v>645.0423111666667</v>
      </c>
      <c r="G109" s="23">
        <v>3.000196796124031</v>
      </c>
      <c r="H109" s="23">
        <v>0.25255590491368074</v>
      </c>
    </row>
    <row r="110">
      <c r="A110" s="5" t="s">
        <v>15</v>
      </c>
      <c r="B110" s="5" t="s">
        <v>29</v>
      </c>
      <c r="C110" s="23">
        <v>148.37227350364964</v>
      </c>
      <c r="D110" s="23">
        <v>563.2308525907454</v>
      </c>
      <c r="E110" s="23">
        <v>6.349206349206349</v>
      </c>
      <c r="F110" s="23">
        <v>508.17503675</v>
      </c>
      <c r="G110" s="23">
        <v>32.2650816984127</v>
      </c>
      <c r="H110" s="23">
        <v>0.45985401459854014</v>
      </c>
    </row>
    <row r="111">
      <c r="A111" s="5" t="s">
        <v>15</v>
      </c>
      <c r="B111" s="5" t="s">
        <v>55</v>
      </c>
      <c r="C111" s="23">
        <v>148.07883732313576</v>
      </c>
      <c r="D111" s="23">
        <v>323.76769197324415</v>
      </c>
      <c r="E111" s="23">
        <v>20.27027027027027</v>
      </c>
      <c r="F111" s="23">
        <v>129.07538653333333</v>
      </c>
      <c r="G111" s="23">
        <v>26.163929702702703</v>
      </c>
      <c r="H111" s="23">
        <v>0.5659655831739963</v>
      </c>
    </row>
    <row r="112">
      <c r="A112" s="5" t="s">
        <v>22</v>
      </c>
      <c r="B112" s="5" t="s">
        <v>55</v>
      </c>
      <c r="C112" s="23">
        <v>26.445034943917168</v>
      </c>
      <c r="D112" s="23">
        <v>64.04721659178769</v>
      </c>
      <c r="E112" s="23">
        <v>7.352941176470589</v>
      </c>
      <c r="F112" s="23">
        <v>122.599182</v>
      </c>
      <c r="G112" s="23">
        <v>9.014645735294119</v>
      </c>
      <c r="H112" s="23">
        <v>0.29335634167385677</v>
      </c>
    </row>
    <row r="113">
      <c r="A113" s="5" t="s">
        <v>15</v>
      </c>
      <c r="B113" s="5" t="s">
        <v>78</v>
      </c>
      <c r="C113" s="23">
        <v>24.23467027870815</v>
      </c>
      <c r="D113" s="23">
        <v>187.3332063027179</v>
      </c>
      <c r="E113" s="23">
        <v>1.4150943396226416</v>
      </c>
      <c r="F113" s="23">
        <v>533.0254163333333</v>
      </c>
      <c r="G113" s="23">
        <v>7.542812495283019</v>
      </c>
      <c r="H113" s="23">
        <v>0.3212948789839807</v>
      </c>
    </row>
    <row r="114">
      <c r="A114" s="5" t="s">
        <v>22</v>
      </c>
      <c r="B114" s="5" t="s">
        <v>35</v>
      </c>
      <c r="C114" s="23">
        <v>71.75780086600241</v>
      </c>
      <c r="D114" s="23">
        <v>99.1261928865449</v>
      </c>
      <c r="E114" s="23">
        <v>48.0</v>
      </c>
      <c r="F114" s="23">
        <v>64.21725195833334</v>
      </c>
      <c r="G114" s="23">
        <v>30.824280939999998</v>
      </c>
      <c r="H114" s="23">
        <v>0.23279634975323588</v>
      </c>
    </row>
    <row r="115">
      <c r="A115" s="5" t="s">
        <v>22</v>
      </c>
      <c r="B115" s="5" t="s">
        <v>78</v>
      </c>
      <c r="C115" s="23">
        <v>607.0949223331583</v>
      </c>
      <c r="D115" s="23">
        <v>936.3767524720375</v>
      </c>
      <c r="E115" s="23">
        <v>10.0</v>
      </c>
      <c r="F115" s="23">
        <v>1925.5027286666666</v>
      </c>
      <c r="G115" s="23">
        <v>192.55027286666666</v>
      </c>
      <c r="H115" s="23">
        <v>0.3152916447714136</v>
      </c>
    </row>
    <row r="116">
      <c r="A116" s="5" t="s">
        <v>22</v>
      </c>
      <c r="B116" s="5" t="s">
        <v>35</v>
      </c>
      <c r="C116" s="23">
        <v>148.9402749172669</v>
      </c>
      <c r="D116" s="23">
        <v>214.63109397573464</v>
      </c>
      <c r="E116" s="23">
        <v>32.5</v>
      </c>
      <c r="F116" s="23">
        <v>235.41728992307694</v>
      </c>
      <c r="G116" s="23">
        <v>76.510619225</v>
      </c>
      <c r="H116" s="23">
        <v>0.19466614755693984</v>
      </c>
    </row>
    <row r="117">
      <c r="A117" s="5" t="s">
        <v>15</v>
      </c>
      <c r="B117" s="5" t="s">
        <v>214</v>
      </c>
      <c r="C117" s="23">
        <v>16.08272606529574</v>
      </c>
      <c r="D117" s="23">
        <v>89.48654538484223</v>
      </c>
      <c r="E117" s="23">
        <v>5.2</v>
      </c>
      <c r="F117" s="23">
        <v>116.71110592307693</v>
      </c>
      <c r="G117" s="23">
        <v>6.068977508</v>
      </c>
      <c r="H117" s="23">
        <v>0.26499894000424</v>
      </c>
    </row>
    <row r="118">
      <c r="A118" s="5" t="s">
        <v>61</v>
      </c>
      <c r="B118" s="5" t="s">
        <v>32</v>
      </c>
      <c r="C118" s="23">
        <v>41.33441975018087</v>
      </c>
      <c r="D118" s="23">
        <v>324.28425336798193</v>
      </c>
      <c r="E118" s="23">
        <v>1.7142857142857144</v>
      </c>
      <c r="F118" s="23">
        <v>790.3347728333333</v>
      </c>
      <c r="G118" s="23">
        <v>13.548596105714285</v>
      </c>
      <c r="H118" s="23">
        <v>0.30508267740557693</v>
      </c>
    </row>
    <row r="119">
      <c r="A119" s="5" t="s">
        <v>15</v>
      </c>
      <c r="B119" s="5" t="s">
        <v>35</v>
      </c>
      <c r="C119" s="23">
        <v>180.79707317742267</v>
      </c>
      <c r="D119" s="23">
        <v>378.22125164992826</v>
      </c>
      <c r="E119" s="23">
        <v>4.705882352941177</v>
      </c>
      <c r="F119" s="23">
        <v>659.050531</v>
      </c>
      <c r="G119" s="23">
        <v>31.014142635294117</v>
      </c>
      <c r="H119" s="23">
        <v>0.5829504149235306</v>
      </c>
    </row>
    <row r="120">
      <c r="A120" s="5" t="s">
        <v>61</v>
      </c>
      <c r="B120" s="5" t="s">
        <v>35</v>
      </c>
      <c r="C120" s="23">
        <v>375.7257463645239</v>
      </c>
      <c r="D120" s="23">
        <v>499.2147709428552</v>
      </c>
      <c r="E120" s="23">
        <v>12.162162162162163</v>
      </c>
      <c r="F120" s="23">
        <v>812.4443055555555</v>
      </c>
      <c r="G120" s="23">
        <v>98.81079391891892</v>
      </c>
      <c r="H120" s="23">
        <v>0.3802476748368532</v>
      </c>
    </row>
    <row r="121">
      <c r="A121" s="5" t="s">
        <v>22</v>
      </c>
      <c r="B121" s="5" t="s">
        <v>35</v>
      </c>
      <c r="C121" s="23">
        <v>195.8011583678603</v>
      </c>
      <c r="D121" s="23">
        <v>241.76206609418534</v>
      </c>
      <c r="E121" s="23">
        <v>4.545454545454546</v>
      </c>
      <c r="F121" s="23">
        <v>1058.5793826</v>
      </c>
      <c r="G121" s="23">
        <v>48.11724466363636</v>
      </c>
      <c r="H121" s="23">
        <v>0.4069251257768571</v>
      </c>
    </row>
    <row r="122">
      <c r="A122" s="5" t="s">
        <v>15</v>
      </c>
      <c r="B122" s="5" t="s">
        <v>84</v>
      </c>
      <c r="C122" s="23">
        <v>876.2536449921342</v>
      </c>
      <c r="D122" s="23">
        <v>1324.1011893819336</v>
      </c>
      <c r="E122" s="23">
        <v>26.31578947368421</v>
      </c>
      <c r="F122" s="23">
        <v>1336.8125608</v>
      </c>
      <c r="G122" s="23">
        <v>351.79277915789476</v>
      </c>
      <c r="H122" s="23">
        <v>0.24908232826428944</v>
      </c>
    </row>
    <row r="123">
      <c r="A123" s="5" t="s">
        <v>22</v>
      </c>
      <c r="B123" s="5" t="s">
        <v>78</v>
      </c>
      <c r="C123" s="23">
        <v>789.4338756085062</v>
      </c>
      <c r="D123" s="23">
        <v>1956.2923279365077</v>
      </c>
      <c r="E123" s="23">
        <v>5.0</v>
      </c>
      <c r="F123" s="23">
        <v>6162.320833</v>
      </c>
      <c r="G123" s="23">
        <v>308.11604165</v>
      </c>
      <c r="H123" s="23">
        <v>0.25621316935690497</v>
      </c>
    </row>
    <row r="124">
      <c r="A124" s="5" t="s">
        <v>15</v>
      </c>
      <c r="B124" s="5" t="s">
        <v>55</v>
      </c>
      <c r="C124" s="23">
        <v>67.51155703972267</v>
      </c>
      <c r="D124" s="23">
        <v>110.942086756559</v>
      </c>
      <c r="E124" s="23">
        <v>12.857142857142856</v>
      </c>
      <c r="F124" s="23">
        <v>235.86287644444442</v>
      </c>
      <c r="G124" s="23">
        <v>30.32522697142857</v>
      </c>
      <c r="H124" s="23">
        <v>0.2226250675826098</v>
      </c>
    </row>
    <row r="125">
      <c r="A125" s="5" t="s">
        <v>22</v>
      </c>
      <c r="B125" s="5" t="s">
        <v>29</v>
      </c>
      <c r="C125" s="23">
        <v>114.73028213144605</v>
      </c>
      <c r="D125" s="23">
        <v>825.1678581665432</v>
      </c>
      <c r="E125" s="23">
        <v>14.0625</v>
      </c>
      <c r="F125" s="23">
        <v>371.05048022222223</v>
      </c>
      <c r="G125" s="23">
        <v>52.17897378125</v>
      </c>
      <c r="H125" s="23">
        <v>0.21987837977118907</v>
      </c>
    </row>
    <row r="126">
      <c r="A126" s="5" t="s">
        <v>22</v>
      </c>
      <c r="B126" s="5" t="s">
        <v>84</v>
      </c>
      <c r="C126" s="23">
        <v>170.85566042888124</v>
      </c>
      <c r="D126" s="23">
        <v>712.1941171744226</v>
      </c>
      <c r="E126" s="23">
        <v>13.333333333333334</v>
      </c>
      <c r="F126" s="23">
        <v>531.830957</v>
      </c>
      <c r="G126" s="23">
        <v>70.91079426666667</v>
      </c>
      <c r="H126" s="23">
        <v>0.24094450244960242</v>
      </c>
    </row>
    <row r="127">
      <c r="A127" s="5" t="s">
        <v>15</v>
      </c>
      <c r="B127" s="5" t="s">
        <v>78</v>
      </c>
      <c r="C127" s="23">
        <v>149.14839076872536</v>
      </c>
      <c r="D127" s="23">
        <v>332.60637472527475</v>
      </c>
      <c r="E127" s="23">
        <v>100.0</v>
      </c>
      <c r="F127" s="23">
        <v>181.6030806</v>
      </c>
      <c r="G127" s="23">
        <v>181.6030806</v>
      </c>
      <c r="H127" s="23">
        <v>0.0821287779237845</v>
      </c>
    </row>
    <row r="128">
      <c r="A128" s="5" t="s">
        <v>15</v>
      </c>
      <c r="B128" s="5" t="s">
        <v>29</v>
      </c>
      <c r="C128" s="23">
        <v>292.2848015256959</v>
      </c>
      <c r="D128" s="23">
        <v>1833.7128774139378</v>
      </c>
      <c r="E128" s="23">
        <v>10.0</v>
      </c>
      <c r="F128" s="23">
        <v>2183.952037</v>
      </c>
      <c r="G128" s="23">
        <v>218.3952037</v>
      </c>
      <c r="H128" s="23">
        <v>0.13383297644539613</v>
      </c>
    </row>
    <row r="129">
      <c r="A129" s="5" t="s">
        <v>15</v>
      </c>
      <c r="B129" s="5" t="s">
        <v>35</v>
      </c>
      <c r="C129" s="23">
        <v>36.05459673505924</v>
      </c>
      <c r="D129" s="23">
        <v>52.5205437512868</v>
      </c>
      <c r="E129" s="23">
        <v>5.737704918032787</v>
      </c>
      <c r="F129" s="23">
        <v>218.65052657142857</v>
      </c>
      <c r="G129" s="23">
        <v>12.545522016393443</v>
      </c>
      <c r="H129" s="23">
        <v>0.28739016748722057</v>
      </c>
    </row>
    <row r="130">
      <c r="A130" s="5" t="s">
        <v>22</v>
      </c>
      <c r="B130" s="5" t="s">
        <v>78</v>
      </c>
      <c r="C130" s="23">
        <v>138.93909394024539</v>
      </c>
      <c r="D130" s="23">
        <v>204.69886932523804</v>
      </c>
      <c r="E130" s="23">
        <v>3.4090909090909087</v>
      </c>
      <c r="F130" s="23">
        <v>494.48423533333334</v>
      </c>
      <c r="G130" s="23">
        <v>16.857417113636362</v>
      </c>
      <c r="H130" s="23">
        <v>0.8242015547438419</v>
      </c>
    </row>
    <row r="131">
      <c r="A131" s="5" t="s">
        <v>15</v>
      </c>
      <c r="B131" s="5" t="s">
        <v>35</v>
      </c>
      <c r="C131" s="23">
        <v>736.4408692953632</v>
      </c>
      <c r="D131" s="23">
        <v>1054.2394813588849</v>
      </c>
      <c r="E131" s="23">
        <v>44.0</v>
      </c>
      <c r="F131" s="23">
        <v>550.1213293636364</v>
      </c>
      <c r="G131" s="23">
        <v>242.05338491999998</v>
      </c>
      <c r="H131" s="23">
        <v>0.30424729219909946</v>
      </c>
    </row>
    <row r="132">
      <c r="A132" s="5" t="s">
        <v>22</v>
      </c>
      <c r="B132" s="5" t="s">
        <v>240</v>
      </c>
      <c r="C132" s="23">
        <v>669.1519345285525</v>
      </c>
      <c r="D132" s="23">
        <v>921.4912339063643</v>
      </c>
      <c r="E132" s="23">
        <v>15.0</v>
      </c>
      <c r="F132" s="23">
        <v>1679.5713556666667</v>
      </c>
      <c r="G132" s="23">
        <v>251.93570334999998</v>
      </c>
      <c r="H132" s="23">
        <v>0.2656042496679947</v>
      </c>
    </row>
    <row r="133">
      <c r="A133" s="5" t="s">
        <v>22</v>
      </c>
      <c r="B133" s="5" t="s">
        <v>78</v>
      </c>
      <c r="C133" s="23">
        <v>29.974595617025493</v>
      </c>
      <c r="D133" s="23">
        <v>91.23994232960258</v>
      </c>
      <c r="E133" s="23">
        <v>9.375</v>
      </c>
      <c r="F133" s="23">
        <v>118.38184169565218</v>
      </c>
      <c r="G133" s="23">
        <v>11.098297658967391</v>
      </c>
      <c r="H133" s="23">
        <v>0.2700828229526364</v>
      </c>
    </row>
    <row r="134">
      <c r="A134" s="5" t="s">
        <v>15</v>
      </c>
      <c r="B134" s="5" t="s">
        <v>78</v>
      </c>
      <c r="C134" s="23">
        <v>61.495342018196865</v>
      </c>
      <c r="D134" s="23">
        <v>165.2216578196419</v>
      </c>
      <c r="E134" s="23">
        <v>1.0033444816053512</v>
      </c>
      <c r="F134" s="23">
        <v>2180.8708093333335</v>
      </c>
      <c r="G134" s="23">
        <v>21.88164691638796</v>
      </c>
      <c r="H134" s="23">
        <v>0.28103616813294235</v>
      </c>
    </row>
    <row r="135">
      <c r="A135" s="5" t="s">
        <v>22</v>
      </c>
      <c r="B135" s="5" t="s">
        <v>17</v>
      </c>
      <c r="C135" s="23">
        <v>544.6856029801324</v>
      </c>
      <c r="D135" s="23">
        <v>950.8384514450868</v>
      </c>
      <c r="E135" s="23">
        <v>46.666666666666664</v>
      </c>
      <c r="F135" s="23">
        <v>352.4893973571429</v>
      </c>
      <c r="G135" s="23">
        <v>164.4950521</v>
      </c>
      <c r="H135" s="23">
        <v>0.33112582781456956</v>
      </c>
    </row>
    <row r="136">
      <c r="A136" s="5" t="s">
        <v>22</v>
      </c>
      <c r="B136" s="5" t="s">
        <v>35</v>
      </c>
      <c r="C136" s="23">
        <v>42.06114108068351</v>
      </c>
      <c r="D136" s="23">
        <v>71.13986261065789</v>
      </c>
      <c r="E136" s="23">
        <v>6.853582554517133</v>
      </c>
      <c r="F136" s="23">
        <v>223.54731736363638</v>
      </c>
      <c r="G136" s="23">
        <v>15.320999943925235</v>
      </c>
      <c r="H136" s="23">
        <v>0.27453261036895127</v>
      </c>
    </row>
    <row r="137">
      <c r="A137" s="5" t="s">
        <v>15</v>
      </c>
      <c r="B137" s="5" t="s">
        <v>78</v>
      </c>
      <c r="C137" s="23">
        <v>47.646917448570555</v>
      </c>
      <c r="D137" s="23">
        <v>125.15999456144411</v>
      </c>
      <c r="E137" s="23">
        <v>4.098360655737705</v>
      </c>
      <c r="F137" s="23">
        <v>432.6530692</v>
      </c>
      <c r="G137" s="23">
        <v>17.731683163934427</v>
      </c>
      <c r="H137" s="23">
        <v>0.26871062948768776</v>
      </c>
    </row>
    <row r="138">
      <c r="A138" s="5" t="s">
        <v>61</v>
      </c>
      <c r="B138" s="5" t="s">
        <v>35</v>
      </c>
      <c r="C138" s="23">
        <v>21.464557220126682</v>
      </c>
      <c r="D138" s="23">
        <v>39.87991363275741</v>
      </c>
      <c r="E138" s="23">
        <v>1.6216216216216217</v>
      </c>
      <c r="F138" s="23">
        <v>603.196987</v>
      </c>
      <c r="G138" s="23">
        <v>9.781572762162163</v>
      </c>
      <c r="H138" s="23">
        <v>0.21943871136099447</v>
      </c>
    </row>
    <row r="139">
      <c r="A139" s="5" t="s">
        <v>15</v>
      </c>
      <c r="B139" s="5" t="s">
        <v>17</v>
      </c>
      <c r="C139" s="23">
        <v>20.374691375043785</v>
      </c>
      <c r="D139" s="23">
        <v>95.15249667546173</v>
      </c>
      <c r="E139" s="23">
        <v>2.6881720430107525</v>
      </c>
      <c r="F139" s="23">
        <v>360.6279624</v>
      </c>
      <c r="G139" s="23">
        <v>9.694300064516128</v>
      </c>
      <c r="H139" s="23">
        <v>0.2101718663487723</v>
      </c>
    </row>
    <row r="140">
      <c r="A140" s="5" t="s">
        <v>15</v>
      </c>
      <c r="B140" s="5" t="s">
        <v>150</v>
      </c>
      <c r="C140" s="23">
        <v>19.271246848793538</v>
      </c>
      <c r="D140" s="23">
        <v>242.83645056726093</v>
      </c>
      <c r="E140" s="23">
        <v>1.3215859030837005</v>
      </c>
      <c r="F140" s="23">
        <v>499.4336333333333</v>
      </c>
      <c r="G140" s="23">
        <v>6.600444493392071</v>
      </c>
      <c r="H140" s="23">
        <v>0.2919689252456655</v>
      </c>
    </row>
    <row r="141">
      <c r="A141" s="5" t="s">
        <v>22</v>
      </c>
      <c r="B141" s="5" t="s">
        <v>35</v>
      </c>
      <c r="C141" s="23">
        <v>232.1572340300265</v>
      </c>
      <c r="D141" s="23">
        <v>1903.390484312148</v>
      </c>
      <c r="E141" s="23">
        <v>4.0</v>
      </c>
      <c r="F141" s="23">
        <v>788.6381240000001</v>
      </c>
      <c r="G141" s="23">
        <v>31.54552496</v>
      </c>
      <c r="H141" s="23">
        <v>0.7359434795407712</v>
      </c>
    </row>
    <row r="142">
      <c r="A142" s="5" t="s">
        <v>22</v>
      </c>
      <c r="B142" s="5" t="s">
        <v>29</v>
      </c>
      <c r="C142" s="23">
        <v>307.6669973248786</v>
      </c>
      <c r="D142" s="23">
        <v>796.0223029992309</v>
      </c>
      <c r="E142" s="23">
        <v>3.076923076923077</v>
      </c>
      <c r="F142" s="23">
        <v>1552.641502</v>
      </c>
      <c r="G142" s="23">
        <v>47.77358467692307</v>
      </c>
      <c r="H142" s="23">
        <v>0.6440107004854849</v>
      </c>
    </row>
    <row r="143">
      <c r="A143" s="5" t="s">
        <v>15</v>
      </c>
      <c r="B143" s="5" t="s">
        <v>35</v>
      </c>
      <c r="C143" s="23">
        <v>365.35978226843906</v>
      </c>
      <c r="D143" s="23">
        <v>479.87553491974086</v>
      </c>
      <c r="E143" s="23">
        <v>8.928571428571429</v>
      </c>
      <c r="F143" s="23">
        <v>681.6152098</v>
      </c>
      <c r="G143" s="23">
        <v>60.858500875</v>
      </c>
      <c r="H143" s="23">
        <v>0.6003430531732418</v>
      </c>
    </row>
    <row r="144">
      <c r="A144" s="5" t="s">
        <v>15</v>
      </c>
      <c r="B144" s="5" t="s">
        <v>55</v>
      </c>
      <c r="C144" s="23">
        <v>120.9579370912361</v>
      </c>
      <c r="D144" s="23">
        <v>903.5465566412214</v>
      </c>
      <c r="E144" s="23" t="e">
        <v>#DIV/0!</v>
      </c>
      <c r="F144" s="23">
        <v>493.18582883333335</v>
      </c>
      <c r="G144" s="23" t="e">
        <v>#DIV/0!</v>
      </c>
      <c r="H144" s="23">
        <v>0.0</v>
      </c>
    </row>
    <row r="145">
      <c r="A145" s="5" t="s">
        <v>15</v>
      </c>
      <c r="B145" s="5" t="s">
        <v>78</v>
      </c>
      <c r="C145" s="23">
        <v>616.5406492417704</v>
      </c>
      <c r="D145" s="23">
        <v>1150.6583538886332</v>
      </c>
      <c r="E145" s="23" t="e">
        <v>#DIV/0!</v>
      </c>
      <c r="F145" s="23">
        <v>5000.761206</v>
      </c>
      <c r="G145" s="23" t="e">
        <v>#DIV/0!</v>
      </c>
      <c r="H145" s="23">
        <v>0.0</v>
      </c>
    </row>
    <row r="146">
      <c r="A146" s="5" t="s">
        <v>22</v>
      </c>
      <c r="B146" s="5" t="s">
        <v>78</v>
      </c>
      <c r="C146" s="23">
        <v>236.84686311295627</v>
      </c>
      <c r="D146" s="23">
        <v>397.3437222550758</v>
      </c>
      <c r="E146" s="23">
        <v>6.428571428571428</v>
      </c>
      <c r="F146" s="23">
        <v>671.9082343333333</v>
      </c>
      <c r="G146" s="23">
        <v>43.194100778571425</v>
      </c>
      <c r="H146" s="23">
        <v>0.5483315055616481</v>
      </c>
    </row>
    <row r="147">
      <c r="A147" s="5" t="s">
        <v>22</v>
      </c>
      <c r="B147" s="5" t="s">
        <v>35</v>
      </c>
      <c r="C147" s="23">
        <v>195.1848280741078</v>
      </c>
      <c r="D147" s="23">
        <v>489.2987178226515</v>
      </c>
      <c r="E147" s="23">
        <v>14.444444444444443</v>
      </c>
      <c r="F147" s="23">
        <v>428.7009535384616</v>
      </c>
      <c r="G147" s="23">
        <v>61.92347106666667</v>
      </c>
      <c r="H147" s="23">
        <v>0.3152033061324554</v>
      </c>
    </row>
    <row r="148">
      <c r="A148" s="5" t="s">
        <v>22</v>
      </c>
      <c r="B148" s="5" t="s">
        <v>142</v>
      </c>
      <c r="C148" s="23">
        <v>72.15179457694009</v>
      </c>
      <c r="D148" s="23">
        <v>647.164387549588</v>
      </c>
      <c r="E148" s="23">
        <v>27.142857142857142</v>
      </c>
      <c r="F148" s="23">
        <v>111.61882621052631</v>
      </c>
      <c r="G148" s="23">
        <v>30.296538542857142</v>
      </c>
      <c r="H148" s="23">
        <v>0.23815194093831865</v>
      </c>
    </row>
    <row r="149">
      <c r="A149" s="5" t="s">
        <v>22</v>
      </c>
      <c r="B149" s="5" t="s">
        <v>17</v>
      </c>
      <c r="C149" s="23">
        <v>92.3548327807814</v>
      </c>
      <c r="D149" s="23">
        <v>115.63743982501518</v>
      </c>
      <c r="E149" s="23">
        <v>0.38461538461538464</v>
      </c>
      <c r="F149" s="23">
        <v>3621.417703</v>
      </c>
      <c r="G149" s="23">
        <v>13.928529626923078</v>
      </c>
      <c r="H149" s="23">
        <v>0.6630623278588188</v>
      </c>
    </row>
    <row r="150">
      <c r="A150" s="5" t="s">
        <v>61</v>
      </c>
      <c r="B150" s="5" t="s">
        <v>39</v>
      </c>
      <c r="C150" s="23">
        <v>448.85480215038547</v>
      </c>
      <c r="D150" s="23">
        <v>682.3075632258063</v>
      </c>
      <c r="E150" s="23">
        <v>18.181818181818183</v>
      </c>
      <c r="F150" s="23">
        <v>793.18254225</v>
      </c>
      <c r="G150" s="23">
        <v>144.21500768181818</v>
      </c>
      <c r="H150" s="23">
        <v>0.31124000848836386</v>
      </c>
    </row>
    <row r="151">
      <c r="A151" s="5" t="s">
        <v>15</v>
      </c>
      <c r="B151" s="5" t="s">
        <v>17</v>
      </c>
      <c r="C151" s="23">
        <v>679.0811059209695</v>
      </c>
      <c r="D151" s="23">
        <v>1137.9313391157184</v>
      </c>
      <c r="E151" s="23">
        <v>22.0</v>
      </c>
      <c r="F151" s="23">
        <v>489.0001309090909</v>
      </c>
      <c r="G151" s="23">
        <v>107.5800288</v>
      </c>
      <c r="H151" s="23">
        <v>0.6312334301224594</v>
      </c>
    </row>
    <row r="152">
      <c r="A152" s="5" t="s">
        <v>22</v>
      </c>
      <c r="B152" s="5" t="s">
        <v>29</v>
      </c>
      <c r="C152" s="23">
        <v>150.3092758276644</v>
      </c>
      <c r="D152" s="23">
        <v>207.82038700777528</v>
      </c>
      <c r="E152" s="23">
        <v>8.0</v>
      </c>
      <c r="F152" s="23">
        <v>414.2899415</v>
      </c>
      <c r="G152" s="23">
        <v>33.14319532</v>
      </c>
      <c r="H152" s="23">
        <v>0.45351473922902497</v>
      </c>
    </row>
    <row r="153">
      <c r="A153" s="5" t="s">
        <v>15</v>
      </c>
      <c r="B153" s="5" t="s">
        <v>273</v>
      </c>
      <c r="C153" s="23">
        <v>105.80863369521512</v>
      </c>
      <c r="D153" s="23">
        <v>147.37948585830298</v>
      </c>
      <c r="E153" s="23">
        <v>5.05050505050505</v>
      </c>
      <c r="F153" s="23">
        <v>315.7752864</v>
      </c>
      <c r="G153" s="23">
        <v>15.948246787878787</v>
      </c>
      <c r="H153" s="23">
        <v>0.6634499396863691</v>
      </c>
    </row>
    <row r="154">
      <c r="A154" s="5" t="s">
        <v>15</v>
      </c>
      <c r="B154" s="5" t="s">
        <v>66</v>
      </c>
      <c r="C154" s="23">
        <v>202.6099583950451</v>
      </c>
      <c r="D154" s="23">
        <v>316.66333354377105</v>
      </c>
      <c r="E154" s="23" t="e">
        <v>#DIV/0!</v>
      </c>
      <c r="F154" s="23">
        <v>1504.784161</v>
      </c>
      <c r="G154" s="23" t="e">
        <v>#DIV/0!</v>
      </c>
      <c r="H154" s="23">
        <v>0.0</v>
      </c>
    </row>
    <row r="155">
      <c r="A155" s="5" t="s">
        <v>22</v>
      </c>
      <c r="B155" s="5" t="s">
        <v>55</v>
      </c>
      <c r="C155" s="23">
        <v>478.8016539545111</v>
      </c>
      <c r="D155" s="23">
        <v>1138.7482382742278</v>
      </c>
      <c r="E155" s="23">
        <v>23.404255319148938</v>
      </c>
      <c r="F155" s="23">
        <v>633.4545881818182</v>
      </c>
      <c r="G155" s="23">
        <v>148.25532914893617</v>
      </c>
      <c r="H155" s="23">
        <v>0.3229574658146087</v>
      </c>
    </row>
    <row r="156">
      <c r="A156" s="5" t="s">
        <v>61</v>
      </c>
      <c r="B156" s="5" t="s">
        <v>17</v>
      </c>
      <c r="C156" s="23">
        <v>654.5123319806763</v>
      </c>
      <c r="D156" s="23">
        <v>9369.574876901797</v>
      </c>
      <c r="E156" s="23">
        <v>21.21212121212121</v>
      </c>
      <c r="F156" s="23">
        <v>483.87161685714284</v>
      </c>
      <c r="G156" s="23">
        <v>102.63943387878788</v>
      </c>
      <c r="H156" s="23">
        <v>0.6376811594202898</v>
      </c>
    </row>
    <row r="157">
      <c r="A157" s="5" t="s">
        <v>15</v>
      </c>
      <c r="B157" s="5" t="s">
        <v>78</v>
      </c>
      <c r="C157" s="23">
        <v>87.21109995562458</v>
      </c>
      <c r="D157" s="23">
        <v>849.401247974068</v>
      </c>
      <c r="E157" s="23">
        <v>26.96629213483146</v>
      </c>
      <c r="F157" s="23">
        <v>65.51007125</v>
      </c>
      <c r="G157" s="23">
        <v>17.665637191011236</v>
      </c>
      <c r="H157" s="23">
        <v>0.4936765032172176</v>
      </c>
    </row>
    <row r="158">
      <c r="A158" s="5" t="s">
        <v>15</v>
      </c>
      <c r="B158" s="5" t="s">
        <v>17</v>
      </c>
      <c r="C158" s="23">
        <v>247.6897331127431</v>
      </c>
      <c r="D158" s="23">
        <v>533.2042187282835</v>
      </c>
      <c r="E158" s="23">
        <v>10.0</v>
      </c>
      <c r="F158" s="23">
        <v>767.28087075</v>
      </c>
      <c r="G158" s="23">
        <v>76.72808707499999</v>
      </c>
      <c r="H158" s="23">
        <v>0.3228149463320152</v>
      </c>
    </row>
    <row r="159">
      <c r="A159" s="5" t="s">
        <v>22</v>
      </c>
      <c r="B159" s="5" t="s">
        <v>32</v>
      </c>
      <c r="C159" s="23">
        <v>106.1565397868204</v>
      </c>
      <c r="D159" s="23">
        <v>516.6515836867864</v>
      </c>
      <c r="E159" s="23">
        <v>30.0</v>
      </c>
      <c r="F159" s="23">
        <v>527.8457013333333</v>
      </c>
      <c r="G159" s="23">
        <v>158.3537104</v>
      </c>
      <c r="H159" s="23">
        <v>0.06703760809814306</v>
      </c>
    </row>
    <row r="160">
      <c r="A160" s="5" t="s">
        <v>61</v>
      </c>
      <c r="B160" s="5" t="s">
        <v>29</v>
      </c>
      <c r="C160" s="23">
        <v>671.5709333682008</v>
      </c>
      <c r="D160" s="23">
        <v>2087.197049089727</v>
      </c>
      <c r="E160" s="23">
        <v>17.346938775510203</v>
      </c>
      <c r="F160" s="23">
        <v>377.6598895882353</v>
      </c>
      <c r="G160" s="23">
        <v>65.5124298265306</v>
      </c>
      <c r="H160" s="23">
        <v>1.0251046025104602</v>
      </c>
    </row>
    <row r="161">
      <c r="A161" s="5" t="s">
        <v>22</v>
      </c>
      <c r="B161" s="5" t="s">
        <v>55</v>
      </c>
      <c r="C161" s="23">
        <v>158.85594074250355</v>
      </c>
      <c r="D161" s="23">
        <v>240.34301356216992</v>
      </c>
      <c r="E161" s="23">
        <v>6.756756756756757</v>
      </c>
      <c r="F161" s="23">
        <v>400.5075978</v>
      </c>
      <c r="G161" s="23">
        <v>27.061324175675676</v>
      </c>
      <c r="H161" s="23">
        <v>0.5870220529906394</v>
      </c>
    </row>
    <row r="162">
      <c r="A162" s="5" t="s">
        <v>22</v>
      </c>
      <c r="B162" s="5" t="s">
        <v>78</v>
      </c>
      <c r="C162" s="23">
        <v>224.78963206081457</v>
      </c>
      <c r="D162" s="23">
        <v>381.5368948012809</v>
      </c>
      <c r="E162" s="23">
        <v>50.0</v>
      </c>
      <c r="F162" s="23">
        <v>270.07724993333335</v>
      </c>
      <c r="G162" s="23">
        <v>135.03862496666667</v>
      </c>
      <c r="H162" s="23">
        <v>0.1664632116302297</v>
      </c>
    </row>
    <row r="163">
      <c r="A163" s="5" t="s">
        <v>22</v>
      </c>
      <c r="B163" s="5" t="s">
        <v>17</v>
      </c>
      <c r="C163" s="23">
        <v>357.12687093092774</v>
      </c>
      <c r="D163" s="23">
        <v>594.6513032304769</v>
      </c>
      <c r="E163" s="23">
        <v>39.39393939393939</v>
      </c>
      <c r="F163" s="23">
        <v>252.7496750769231</v>
      </c>
      <c r="G163" s="23">
        <v>99.56805381818182</v>
      </c>
      <c r="H163" s="23">
        <v>0.3586761589044074</v>
      </c>
    </row>
    <row r="164">
      <c r="A164" s="5" t="s">
        <v>22</v>
      </c>
      <c r="B164" s="5" t="s">
        <v>273</v>
      </c>
      <c r="C164" s="23">
        <v>284.8328122963284</v>
      </c>
      <c r="D164" s="23">
        <v>925.2543648553282</v>
      </c>
      <c r="E164" s="23">
        <v>8.571428571428571</v>
      </c>
      <c r="F164" s="23">
        <v>437.02847833333334</v>
      </c>
      <c r="G164" s="23">
        <v>37.45958385714285</v>
      </c>
      <c r="H164" s="23">
        <v>0.7603736693460786</v>
      </c>
    </row>
    <row r="165">
      <c r="A165" s="5" t="s">
        <v>15</v>
      </c>
      <c r="B165" s="5" t="s">
        <v>29</v>
      </c>
      <c r="C165" s="23">
        <v>446.1032940925023</v>
      </c>
      <c r="D165" s="23">
        <v>771.7897102499629</v>
      </c>
      <c r="E165" s="23">
        <v>4.6875</v>
      </c>
      <c r="F165" s="23">
        <v>1739.3567436666665</v>
      </c>
      <c r="G165" s="23">
        <v>81.532347359375</v>
      </c>
      <c r="H165" s="23">
        <v>0.547148841583312</v>
      </c>
    </row>
    <row r="166">
      <c r="A166" s="5" t="s">
        <v>22</v>
      </c>
      <c r="B166" s="5" t="s">
        <v>29</v>
      </c>
      <c r="C166" s="23">
        <v>120.98136227495908</v>
      </c>
      <c r="D166" s="23">
        <v>207.26093466984437</v>
      </c>
      <c r="E166" s="23">
        <v>5.555555555555555</v>
      </c>
      <c r="F166" s="23">
        <v>492.79741566666667</v>
      </c>
      <c r="G166" s="23">
        <v>27.377634203703703</v>
      </c>
      <c r="H166" s="23">
        <v>0.44189852700490995</v>
      </c>
    </row>
    <row r="167">
      <c r="A167" s="5" t="s">
        <v>15</v>
      </c>
      <c r="B167" s="5" t="s">
        <v>17</v>
      </c>
      <c r="C167" s="23">
        <v>29.77184514823434</v>
      </c>
      <c r="D167" s="23">
        <v>59.58106787623522</v>
      </c>
      <c r="E167" s="23">
        <v>2.083333333333333</v>
      </c>
      <c r="F167" s="23">
        <v>490.39190933333333</v>
      </c>
      <c r="G167" s="23">
        <v>10.216498111111111</v>
      </c>
      <c r="H167" s="23">
        <v>0.2914094910452292</v>
      </c>
    </row>
    <row r="168">
      <c r="A168" s="5" t="s">
        <v>15</v>
      </c>
      <c r="B168" s="5" t="s">
        <v>35</v>
      </c>
      <c r="C168" s="23">
        <v>7.247746556131022</v>
      </c>
      <c r="D168" s="23">
        <v>12.66617551704597</v>
      </c>
      <c r="E168" s="23">
        <v>4.92627345844504</v>
      </c>
      <c r="F168" s="23">
        <v>54.281282918367346</v>
      </c>
      <c r="G168" s="23">
        <v>2.674044433310992</v>
      </c>
      <c r="H168" s="23">
        <v>0.2710406179435429</v>
      </c>
    </row>
    <row r="169">
      <c r="A169" s="5" t="s">
        <v>22</v>
      </c>
      <c r="B169" s="5" t="s">
        <v>78</v>
      </c>
      <c r="C169" s="23">
        <v>35.586424152083715</v>
      </c>
      <c r="D169" s="23">
        <v>224.29421692535107</v>
      </c>
      <c r="E169" s="23">
        <v>13.827655310621243</v>
      </c>
      <c r="F169" s="23">
        <v>114.35104294202898</v>
      </c>
      <c r="G169" s="23">
        <v>15.812068062124249</v>
      </c>
      <c r="H169" s="23">
        <v>0.2250586325094714</v>
      </c>
    </row>
    <row r="170">
      <c r="A170" s="5" t="s">
        <v>15</v>
      </c>
      <c r="B170" s="5" t="s">
        <v>78</v>
      </c>
      <c r="C170" s="23">
        <v>24.258232033018402</v>
      </c>
      <c r="D170" s="23">
        <v>57.02479530650164</v>
      </c>
      <c r="E170" s="23">
        <v>6.440281030444965</v>
      </c>
      <c r="F170" s="23">
        <v>143.4111393090909</v>
      </c>
      <c r="G170" s="23">
        <v>9.236080400468383</v>
      </c>
      <c r="H170" s="23">
        <v>0.2626463930715481</v>
      </c>
    </row>
    <row r="171">
      <c r="A171" s="5" t="s">
        <v>22</v>
      </c>
      <c r="B171" s="5" t="s">
        <v>55</v>
      </c>
      <c r="C171" s="23">
        <v>11.476170920765092</v>
      </c>
      <c r="D171" s="23">
        <v>20.092468775953613</v>
      </c>
      <c r="E171" s="23">
        <v>1.95</v>
      </c>
      <c r="F171" s="23">
        <v>200.36570497435898</v>
      </c>
      <c r="G171" s="23">
        <v>3.9071312469999997</v>
      </c>
      <c r="H171" s="23">
        <v>0.2937237117278004</v>
      </c>
    </row>
    <row r="172">
      <c r="A172" s="5" t="s">
        <v>15</v>
      </c>
      <c r="B172" s="5" t="s">
        <v>39</v>
      </c>
      <c r="C172" s="23">
        <v>12.52634671654037</v>
      </c>
      <c r="D172" s="23">
        <v>20.78307327503279</v>
      </c>
      <c r="E172" s="23">
        <v>5.760709010339734</v>
      </c>
      <c r="F172" s="23">
        <v>91.40555496153846</v>
      </c>
      <c r="G172" s="23">
        <v>5.265608040620384</v>
      </c>
      <c r="H172" s="23">
        <v>0.2378898432984112</v>
      </c>
    </row>
    <row r="173">
      <c r="A173" s="5" t="s">
        <v>15</v>
      </c>
      <c r="B173" s="5" t="s">
        <v>35</v>
      </c>
      <c r="C173" s="23">
        <v>246.7873304581038</v>
      </c>
      <c r="D173" s="23">
        <v>624.6542539216586</v>
      </c>
      <c r="E173" s="23">
        <v>21.25</v>
      </c>
      <c r="F173" s="23">
        <v>400.5503542352941</v>
      </c>
      <c r="G173" s="23">
        <v>85.116950275</v>
      </c>
      <c r="H173" s="23">
        <v>0.2899391127863149</v>
      </c>
    </row>
    <row r="174">
      <c r="A174" s="5" t="s">
        <v>22</v>
      </c>
      <c r="B174" s="5" t="s">
        <v>304</v>
      </c>
      <c r="C174" s="23">
        <v>79.22525233155068</v>
      </c>
      <c r="D174" s="23">
        <v>4684.165147887324</v>
      </c>
      <c r="E174" s="23">
        <v>10.27027027027027</v>
      </c>
      <c r="F174" s="23">
        <v>350.0797110526316</v>
      </c>
      <c r="G174" s="23">
        <v>35.954132486486486</v>
      </c>
      <c r="H174" s="23">
        <v>0.22035089390997775</v>
      </c>
    </row>
    <row r="175">
      <c r="A175" s="5" t="s">
        <v>15</v>
      </c>
      <c r="B175" s="5" t="s">
        <v>78</v>
      </c>
      <c r="C175" s="23">
        <v>36.558849098512205</v>
      </c>
      <c r="D175" s="23">
        <v>83.96121713854177</v>
      </c>
      <c r="E175" s="23">
        <v>2.2357723577235773</v>
      </c>
      <c r="F175" s="23">
        <v>535.6801981818181</v>
      </c>
      <c r="G175" s="23">
        <v>11.976589796747968</v>
      </c>
      <c r="H175" s="23">
        <v>0.30525257789524624</v>
      </c>
    </row>
    <row r="176">
      <c r="A176" s="5" t="s">
        <v>22</v>
      </c>
      <c r="B176" s="5" t="s">
        <v>17</v>
      </c>
      <c r="C176" s="23">
        <v>14.445191222223043</v>
      </c>
      <c r="D176" s="23">
        <v>28.719110691565167</v>
      </c>
      <c r="E176" s="23">
        <v>1.8306636155606408</v>
      </c>
      <c r="F176" s="23">
        <v>366.5079058125</v>
      </c>
      <c r="G176" s="23">
        <v>6.7095268798627</v>
      </c>
      <c r="H176" s="23">
        <v>0.2152937380067347</v>
      </c>
    </row>
    <row r="177">
      <c r="A177" s="5" t="s">
        <v>15</v>
      </c>
      <c r="B177" s="5" t="s">
        <v>17</v>
      </c>
      <c r="C177" s="23">
        <v>35.775498263264325</v>
      </c>
      <c r="D177" s="23">
        <v>86.42189662870842</v>
      </c>
      <c r="E177" s="23">
        <v>3.8</v>
      </c>
      <c r="F177" s="23">
        <v>303.5682832105263</v>
      </c>
      <c r="G177" s="23">
        <v>11.535594762</v>
      </c>
      <c r="H177" s="23">
        <v>0.3101313716490305</v>
      </c>
    </row>
    <row r="178">
      <c r="A178" s="5" t="s">
        <v>15</v>
      </c>
      <c r="B178" s="5" t="s">
        <v>29</v>
      </c>
      <c r="C178" s="23">
        <v>145.36082049383347</v>
      </c>
      <c r="D178" s="23">
        <v>350.23783763996556</v>
      </c>
      <c r="E178" s="23">
        <v>13.274336283185843</v>
      </c>
      <c r="F178" s="23">
        <v>379.51772086666665</v>
      </c>
      <c r="G178" s="23">
        <v>50.37845852212389</v>
      </c>
      <c r="H178" s="23">
        <v>0.2885376503332227</v>
      </c>
    </row>
    <row r="179">
      <c r="A179" s="5" t="s">
        <v>22</v>
      </c>
      <c r="B179" s="5" t="s">
        <v>29</v>
      </c>
      <c r="C179" s="23">
        <v>133.9027118158516</v>
      </c>
      <c r="D179" s="23">
        <v>303.81005268259304</v>
      </c>
      <c r="E179" s="23">
        <v>11.881188118811881</v>
      </c>
      <c r="F179" s="23">
        <v>444.0437095</v>
      </c>
      <c r="G179" s="23">
        <v>52.75766845544554</v>
      </c>
      <c r="H179" s="23">
        <v>0.25380710659898476</v>
      </c>
    </row>
    <row r="180">
      <c r="A180" s="5" t="s">
        <v>15</v>
      </c>
      <c r="B180" s="5" t="s">
        <v>84</v>
      </c>
      <c r="C180" s="23">
        <v>50.3780848399625</v>
      </c>
      <c r="D180" s="23">
        <v>107.37067489653204</v>
      </c>
      <c r="E180" s="23">
        <v>0.5763688760806917</v>
      </c>
      <c r="F180" s="23">
        <v>2633.2121165</v>
      </c>
      <c r="G180" s="23">
        <v>15.177015080691643</v>
      </c>
      <c r="H180" s="23">
        <v>0.3319367120090302</v>
      </c>
    </row>
    <row r="181">
      <c r="A181" s="5" t="s">
        <v>15</v>
      </c>
      <c r="B181" s="5" t="s">
        <v>35</v>
      </c>
      <c r="C181" s="23">
        <v>19.597913765615072</v>
      </c>
      <c r="D181" s="23">
        <v>46.87741918249584</v>
      </c>
      <c r="E181" s="23">
        <v>1.7543859649122806</v>
      </c>
      <c r="F181" s="23">
        <v>429.20574358333334</v>
      </c>
      <c r="G181" s="23">
        <v>7.529925326023393</v>
      </c>
      <c r="H181" s="23">
        <v>0.26026704007123097</v>
      </c>
    </row>
    <row r="182">
      <c r="A182" s="5" t="s">
        <v>15</v>
      </c>
      <c r="B182" s="5" t="s">
        <v>35</v>
      </c>
      <c r="C182" s="23">
        <v>90.34110757748705</v>
      </c>
      <c r="D182" s="23">
        <v>247.9264757108434</v>
      </c>
      <c r="E182" s="23">
        <v>5.921052631578947</v>
      </c>
      <c r="F182" s="23">
        <v>571.6082634444444</v>
      </c>
      <c r="G182" s="23">
        <v>33.845226125</v>
      </c>
      <c r="H182" s="23">
        <v>0.2669242251295109</v>
      </c>
    </row>
    <row r="183">
      <c r="A183" s="5" t="s">
        <v>15</v>
      </c>
      <c r="B183" s="5" t="s">
        <v>39</v>
      </c>
      <c r="C183" s="23">
        <v>190.73294708752033</v>
      </c>
      <c r="D183" s="23">
        <v>9858.509202586209</v>
      </c>
      <c r="E183" s="23" t="e">
        <v>#DIV/0!</v>
      </c>
      <c r="F183" s="23">
        <v>508.2609188888889</v>
      </c>
      <c r="G183" s="23" t="e">
        <v>#DIV/0!</v>
      </c>
      <c r="H183" s="23">
        <v>0.0</v>
      </c>
    </row>
    <row r="184">
      <c r="A184" s="5" t="s">
        <v>22</v>
      </c>
      <c r="B184" s="5" t="s">
        <v>35</v>
      </c>
      <c r="C184" s="23">
        <v>19.589521509661367</v>
      </c>
      <c r="D184" s="23">
        <v>47.044847949394274</v>
      </c>
      <c r="E184" s="23">
        <v>2.0066889632107023</v>
      </c>
      <c r="F184" s="23">
        <v>335.90805516666666</v>
      </c>
      <c r="G184" s="23">
        <v>6.740629869565217</v>
      </c>
      <c r="H184" s="23">
        <v>0.29061856070914815</v>
      </c>
    </row>
    <row r="185">
      <c r="A185" s="5" t="s">
        <v>15</v>
      </c>
      <c r="B185" s="5" t="s">
        <v>17</v>
      </c>
      <c r="C185" s="23">
        <v>35.57154147812972</v>
      </c>
      <c r="D185" s="23">
        <v>550.9038620689655</v>
      </c>
      <c r="E185" s="23">
        <v>4.891304347826087</v>
      </c>
      <c r="F185" s="23">
        <v>220.11669866666665</v>
      </c>
      <c r="G185" s="23">
        <v>10.766577652173913</v>
      </c>
      <c r="H185" s="23">
        <v>0.3303885656826833</v>
      </c>
    </row>
    <row r="186">
      <c r="A186" s="5" t="s">
        <v>15</v>
      </c>
      <c r="B186" s="5" t="s">
        <v>17</v>
      </c>
      <c r="C186" s="23">
        <v>30.65605401827923</v>
      </c>
      <c r="D186" s="23">
        <v>72.1118388316406</v>
      </c>
      <c r="E186" s="23">
        <v>1.8867924528301887</v>
      </c>
      <c r="F186" s="23">
        <v>486.358297</v>
      </c>
      <c r="G186" s="23">
        <v>9.176571641509433</v>
      </c>
      <c r="H186" s="23">
        <v>0.3340687046958714</v>
      </c>
    </row>
    <row r="187">
      <c r="A187" s="5" t="s">
        <v>15</v>
      </c>
      <c r="B187" s="5" t="s">
        <v>142</v>
      </c>
      <c r="C187" s="23">
        <v>8.577840833518067</v>
      </c>
      <c r="D187" s="23">
        <v>30.416329097340498</v>
      </c>
      <c r="E187" s="23">
        <v>1.0460251046025104</v>
      </c>
      <c r="F187" s="23">
        <v>325.03497600000003</v>
      </c>
      <c r="G187" s="23">
        <v>3.399947447698745</v>
      </c>
      <c r="H187" s="23">
        <v>0.2522933358668229</v>
      </c>
    </row>
    <row r="188">
      <c r="A188" s="5" t="s">
        <v>15</v>
      </c>
      <c r="B188" s="5" t="s">
        <v>95</v>
      </c>
      <c r="C188" s="23">
        <v>26.189738826861106</v>
      </c>
      <c r="D188" s="23">
        <v>94.38936725715627</v>
      </c>
      <c r="E188" s="23">
        <v>0.5263157894736842</v>
      </c>
      <c r="F188" s="23">
        <v>1609.149933</v>
      </c>
      <c r="G188" s="23">
        <v>8.46921017368421</v>
      </c>
      <c r="H188" s="23">
        <v>0.30923472543211483</v>
      </c>
    </row>
    <row r="189">
      <c r="A189" s="5" t="s">
        <v>22</v>
      </c>
      <c r="B189" s="5" t="s">
        <v>35</v>
      </c>
      <c r="C189" s="23">
        <v>18.09395839013828</v>
      </c>
      <c r="D189" s="23">
        <v>39.44572406903269</v>
      </c>
      <c r="E189" s="23">
        <v>8.866995073891626</v>
      </c>
      <c r="F189" s="23">
        <v>87.74263033333334</v>
      </c>
      <c r="G189" s="23">
        <v>7.780134709359606</v>
      </c>
      <c r="H189" s="23">
        <v>0.23256613241376148</v>
      </c>
    </row>
    <row r="190">
      <c r="A190" s="5" t="s">
        <v>15</v>
      </c>
      <c r="B190" s="5" t="s">
        <v>17</v>
      </c>
      <c r="C190" s="23">
        <v>20.165404244366368</v>
      </c>
      <c r="D190" s="23">
        <v>46.804241770715095</v>
      </c>
      <c r="E190" s="23">
        <v>1.4705882352941175</v>
      </c>
      <c r="F190" s="23">
        <v>522.3041353333333</v>
      </c>
      <c r="G190" s="23">
        <v>7.680943166666666</v>
      </c>
      <c r="H190" s="23">
        <v>0.26253812594108333</v>
      </c>
    </row>
    <row r="191">
      <c r="A191" s="5" t="s">
        <v>15</v>
      </c>
      <c r="B191" s="5" t="s">
        <v>84</v>
      </c>
      <c r="C191" s="23">
        <v>20.938109758718902</v>
      </c>
      <c r="D191" s="23">
        <v>51.67945944691293</v>
      </c>
      <c r="E191" s="23">
        <v>12.0</v>
      </c>
      <c r="F191" s="23">
        <v>74.21662561904762</v>
      </c>
      <c r="G191" s="23">
        <v>8.905995074285714</v>
      </c>
      <c r="H191" s="23">
        <v>0.23510129507227687</v>
      </c>
    </row>
    <row r="192">
      <c r="A192" s="5" t="s">
        <v>15</v>
      </c>
      <c r="B192" s="5" t="s">
        <v>39</v>
      </c>
      <c r="C192" s="23">
        <v>3.5664726211890385</v>
      </c>
      <c r="D192" s="23">
        <v>5.6543183236817605</v>
      </c>
      <c r="E192" s="23">
        <v>1.4177693761814745</v>
      </c>
      <c r="F192" s="23">
        <v>103.6293306</v>
      </c>
      <c r="G192" s="23">
        <v>1.469224913988658</v>
      </c>
      <c r="H192" s="23">
        <v>0.24274517721774563</v>
      </c>
    </row>
    <row r="193">
      <c r="A193" s="5" t="s">
        <v>15</v>
      </c>
      <c r="B193" s="5" t="s">
        <v>35</v>
      </c>
      <c r="C193" s="23">
        <v>166.84354701411507</v>
      </c>
      <c r="D193" s="23">
        <v>404.5890121116377</v>
      </c>
      <c r="E193" s="23">
        <v>2.5</v>
      </c>
      <c r="F193" s="23">
        <v>768.314534</v>
      </c>
      <c r="G193" s="23">
        <v>19.20786335</v>
      </c>
      <c r="H193" s="23">
        <v>0.8686210640608035</v>
      </c>
    </row>
    <row r="194">
      <c r="A194" s="5" t="s">
        <v>22</v>
      </c>
      <c r="B194" s="5" t="s">
        <v>35</v>
      </c>
      <c r="C194" s="23">
        <v>124.09217008603574</v>
      </c>
      <c r="D194" s="23">
        <v>1334.5428398576512</v>
      </c>
      <c r="E194" s="23">
        <v>2.272727272727273</v>
      </c>
      <c r="F194" s="23">
        <v>750.013076</v>
      </c>
      <c r="G194" s="23">
        <v>17.045751727272727</v>
      </c>
      <c r="H194" s="23">
        <v>0.727994705493051</v>
      </c>
    </row>
    <row r="195">
      <c r="A195" s="5" t="s">
        <v>22</v>
      </c>
      <c r="B195" s="5" t="s">
        <v>35</v>
      </c>
      <c r="C195" s="23">
        <v>11.770805765531872</v>
      </c>
      <c r="D195" s="23">
        <v>28.935056387905203</v>
      </c>
      <c r="E195" s="23">
        <v>1.5384615384615385</v>
      </c>
      <c r="F195" s="23">
        <v>297.4176576</v>
      </c>
      <c r="G195" s="23">
        <v>4.5756562707692305</v>
      </c>
      <c r="H195" s="23">
        <v>0.25724847036101856</v>
      </c>
    </row>
    <row r="196">
      <c r="A196" s="5" t="s">
        <v>15</v>
      </c>
      <c r="B196" s="5" t="s">
        <v>35</v>
      </c>
      <c r="C196" s="23">
        <v>6.3692822520312475</v>
      </c>
      <c r="D196" s="23">
        <v>14.902949795947446</v>
      </c>
      <c r="E196" s="23">
        <v>0.81799591002045</v>
      </c>
      <c r="F196" s="23">
        <v>366.087236</v>
      </c>
      <c r="G196" s="23">
        <v>2.994578617586912</v>
      </c>
      <c r="H196" s="23">
        <v>0.21269377316143848</v>
      </c>
    </row>
    <row r="197">
      <c r="A197" s="5" t="s">
        <v>15</v>
      </c>
      <c r="B197" s="5" t="s">
        <v>17</v>
      </c>
      <c r="C197" s="23">
        <v>10.160903302148688</v>
      </c>
      <c r="D197" s="23">
        <v>55.423388665960026</v>
      </c>
      <c r="E197" s="23">
        <v>1.4285714285714286</v>
      </c>
      <c r="F197" s="23">
        <v>209.15203357142857</v>
      </c>
      <c r="G197" s="23">
        <v>2.987886193877551</v>
      </c>
      <c r="H197" s="23">
        <v>0.3400699572483482</v>
      </c>
    </row>
    <row r="198">
      <c r="A198" s="5" t="s">
        <v>22</v>
      </c>
      <c r="B198" s="5" t="s">
        <v>32</v>
      </c>
      <c r="C198" s="23">
        <v>38.988850304542645</v>
      </c>
      <c r="D198" s="23">
        <v>124.54576686380389</v>
      </c>
      <c r="E198" s="23">
        <v>5.660377358490567</v>
      </c>
      <c r="F198" s="23">
        <v>242.17924366666668</v>
      </c>
      <c r="G198" s="23">
        <v>13.708259075471698</v>
      </c>
      <c r="H198" s="23">
        <v>0.28441868577101614</v>
      </c>
    </row>
    <row r="199">
      <c r="A199" s="5" t="s">
        <v>15</v>
      </c>
      <c r="B199" s="5" t="s">
        <v>17</v>
      </c>
      <c r="C199" s="23">
        <v>108.21193028665766</v>
      </c>
      <c r="D199" s="23">
        <v>404.1570019618834</v>
      </c>
      <c r="E199" s="23">
        <v>2.0408163265306123</v>
      </c>
      <c r="F199" s="23">
        <v>721.0160915</v>
      </c>
      <c r="G199" s="23">
        <v>14.714614112244899</v>
      </c>
      <c r="H199" s="23">
        <v>0.735404472459853</v>
      </c>
    </row>
    <row r="200">
      <c r="A200" s="5" t="s">
        <v>15</v>
      </c>
      <c r="B200" s="5" t="s">
        <v>78</v>
      </c>
      <c r="C200" s="23">
        <v>145.83738110034727</v>
      </c>
      <c r="D200" s="23">
        <v>348.56981738750545</v>
      </c>
      <c r="E200" s="23">
        <v>4.545454545454546</v>
      </c>
      <c r="F200" s="23">
        <v>531.9175413333334</v>
      </c>
      <c r="G200" s="23">
        <v>24.17807006060606</v>
      </c>
      <c r="H200" s="23">
        <v>0.6031804057759094</v>
      </c>
    </row>
    <row r="201">
      <c r="A201" s="5" t="s">
        <v>22</v>
      </c>
      <c r="B201" s="5" t="s">
        <v>150</v>
      </c>
      <c r="C201" s="23">
        <v>401.9761596602669</v>
      </c>
      <c r="D201" s="23">
        <v>1113.0608642292489</v>
      </c>
      <c r="E201" s="23">
        <v>12.5</v>
      </c>
      <c r="F201" s="23">
        <v>1126.4175946</v>
      </c>
      <c r="G201" s="23">
        <v>140.802199325</v>
      </c>
      <c r="H201" s="23">
        <v>0.2854899721647277</v>
      </c>
    </row>
    <row r="202">
      <c r="A202" s="5" t="s">
        <v>15</v>
      </c>
      <c r="B202" s="5" t="s">
        <v>29</v>
      </c>
      <c r="C202" s="23">
        <v>108.90412240047534</v>
      </c>
      <c r="D202" s="23">
        <v>863.5365747938752</v>
      </c>
      <c r="E202" s="23">
        <v>1.1904761904761905</v>
      </c>
      <c r="F202" s="23">
        <v>1466.285104</v>
      </c>
      <c r="G202" s="23">
        <v>17.45577504761905</v>
      </c>
      <c r="H202" s="23">
        <v>0.6238859180035651</v>
      </c>
    </row>
    <row r="203">
      <c r="A203" s="5" t="s">
        <v>15</v>
      </c>
      <c r="B203" s="5" t="s">
        <v>84</v>
      </c>
      <c r="C203" s="23">
        <v>32.73368186997401</v>
      </c>
      <c r="D203" s="23">
        <v>92.69515506395227</v>
      </c>
      <c r="E203" s="23">
        <v>1.084010840108401</v>
      </c>
      <c r="F203" s="23">
        <v>998.30364625</v>
      </c>
      <c r="G203" s="23">
        <v>10.821719742547426</v>
      </c>
      <c r="H203" s="23">
        <v>0.3024813305899615</v>
      </c>
    </row>
    <row r="204">
      <c r="A204" s="5" t="s">
        <v>22</v>
      </c>
      <c r="B204" s="5" t="s">
        <v>35</v>
      </c>
      <c r="C204" s="23">
        <v>33.8290458290044</v>
      </c>
      <c r="D204" s="23">
        <v>165.08096215496494</v>
      </c>
      <c r="E204" s="23">
        <v>2.512562814070352</v>
      </c>
      <c r="F204" s="23">
        <v>644.7071896</v>
      </c>
      <c r="G204" s="23">
        <v>16.19867310552764</v>
      </c>
      <c r="H204" s="23">
        <v>0.20883837588808785</v>
      </c>
    </row>
    <row r="205">
      <c r="A205" s="5" t="s">
        <v>22</v>
      </c>
      <c r="B205" s="5" t="s">
        <v>35</v>
      </c>
      <c r="C205" s="23">
        <v>22.237981519251814</v>
      </c>
      <c r="D205" s="23">
        <v>136.21631888474138</v>
      </c>
      <c r="E205" s="23">
        <v>4.522613065326634</v>
      </c>
      <c r="F205" s="23">
        <v>198.67906866666667</v>
      </c>
      <c r="G205" s="23">
        <v>8.98548551758794</v>
      </c>
      <c r="H205" s="23">
        <v>0.2474878121579942</v>
      </c>
    </row>
    <row r="206">
      <c r="A206" s="5" t="s">
        <v>22</v>
      </c>
      <c r="B206" s="5" t="s">
        <v>55</v>
      </c>
      <c r="C206" s="23">
        <v>19.113575751362827</v>
      </c>
      <c r="D206" s="23">
        <v>63.51734387399303</v>
      </c>
      <c r="E206" s="23">
        <v>6.030150753768844</v>
      </c>
      <c r="F206" s="23">
        <v>132.06843725000002</v>
      </c>
      <c r="G206" s="23">
        <v>7.963925864321609</v>
      </c>
      <c r="H206" s="23">
        <v>0.2400019296637561</v>
      </c>
    </row>
    <row r="207">
      <c r="A207" s="5" t="s">
        <v>15</v>
      </c>
      <c r="B207" s="5" t="s">
        <v>29</v>
      </c>
      <c r="C207" s="23">
        <v>98.46642882475236</v>
      </c>
      <c r="D207" s="23">
        <v>199.7667754621015</v>
      </c>
      <c r="E207" s="23">
        <v>10.0</v>
      </c>
      <c r="F207" s="23">
        <v>402.57999425</v>
      </c>
      <c r="G207" s="23">
        <v>40.257999425</v>
      </c>
      <c r="H207" s="23">
        <v>0.24458847988259752</v>
      </c>
    </row>
    <row r="208">
      <c r="A208" s="5" t="s">
        <v>22</v>
      </c>
      <c r="B208" s="5" t="s">
        <v>35</v>
      </c>
      <c r="C208" s="23">
        <v>146.48330544354837</v>
      </c>
      <c r="D208" s="23">
        <v>216.81802297821545</v>
      </c>
      <c r="E208" s="23">
        <v>50.0</v>
      </c>
      <c r="F208" s="23">
        <v>145.311439</v>
      </c>
      <c r="G208" s="23">
        <v>72.6557195</v>
      </c>
      <c r="H208" s="23">
        <v>0.20161290322580644</v>
      </c>
    </row>
    <row r="209">
      <c r="A209" s="5" t="s">
        <v>22</v>
      </c>
      <c r="B209" s="5" t="s">
        <v>24</v>
      </c>
      <c r="C209" s="23">
        <v>46.49331242198253</v>
      </c>
      <c r="D209" s="23">
        <v>88.97406345706236</v>
      </c>
      <c r="E209" s="23">
        <v>21.0</v>
      </c>
      <c r="F209" s="23">
        <v>69.17097904761906</v>
      </c>
      <c r="G209" s="23">
        <v>14.525905600000002</v>
      </c>
      <c r="H209" s="23">
        <v>0.3200716960599174</v>
      </c>
    </row>
    <row r="210">
      <c r="A210" s="5" t="s">
        <v>15</v>
      </c>
      <c r="B210" s="5" t="s">
        <v>35</v>
      </c>
      <c r="C210" s="23">
        <v>140.68272009971002</v>
      </c>
      <c r="D210" s="23">
        <v>199.87714423042172</v>
      </c>
      <c r="E210" s="23">
        <v>8.0</v>
      </c>
      <c r="F210" s="23">
        <v>691.35005725</v>
      </c>
      <c r="G210" s="23">
        <v>55.308004579999995</v>
      </c>
      <c r="H210" s="23">
        <v>0.25436231367960527</v>
      </c>
    </row>
    <row r="211">
      <c r="A211" s="5" t="s">
        <v>22</v>
      </c>
      <c r="B211" s="5" t="s">
        <v>17</v>
      </c>
      <c r="C211" s="23">
        <v>407.238404602675</v>
      </c>
      <c r="D211" s="23">
        <v>2886.245421468401</v>
      </c>
      <c r="E211" s="23">
        <v>12.727272727272727</v>
      </c>
      <c r="F211" s="23">
        <v>887.3143067142856</v>
      </c>
      <c r="G211" s="23">
        <v>112.93091176363636</v>
      </c>
      <c r="H211" s="23">
        <v>0.3606084447941254</v>
      </c>
    </row>
    <row r="212">
      <c r="A212" s="5" t="s">
        <v>61</v>
      </c>
      <c r="B212" s="5" t="s">
        <v>304</v>
      </c>
      <c r="C212" s="23">
        <v>219.75125426021097</v>
      </c>
      <c r="D212" s="23">
        <v>472.20016681197325</v>
      </c>
      <c r="E212" s="23">
        <v>5.0</v>
      </c>
      <c r="F212" s="23">
        <v>1624.840774</v>
      </c>
      <c r="G212" s="23">
        <v>81.2420387</v>
      </c>
      <c r="H212" s="23">
        <v>0.2704895861509332</v>
      </c>
    </row>
    <row r="213">
      <c r="A213" s="5" t="s">
        <v>22</v>
      </c>
      <c r="B213" s="5" t="s">
        <v>55</v>
      </c>
      <c r="C213" s="23">
        <v>72.39050321218383</v>
      </c>
      <c r="D213" s="23">
        <v>129.89441442966546</v>
      </c>
      <c r="E213" s="23">
        <v>11.666666666666666</v>
      </c>
      <c r="F213" s="23">
        <v>115.09572935714286</v>
      </c>
      <c r="G213" s="23">
        <v>13.427835091666667</v>
      </c>
      <c r="H213" s="23">
        <v>0.5391077766296779</v>
      </c>
    </row>
    <row r="214">
      <c r="A214" s="5" t="s">
        <v>15</v>
      </c>
      <c r="B214" s="5" t="s">
        <v>356</v>
      </c>
      <c r="C214" s="23">
        <v>70.9652471267086</v>
      </c>
      <c r="D214" s="23">
        <v>395.05482359136386</v>
      </c>
      <c r="E214" s="23">
        <v>5.357142857142857</v>
      </c>
      <c r="F214" s="23">
        <v>500.1394066666667</v>
      </c>
      <c r="G214" s="23">
        <v>26.7931825</v>
      </c>
      <c r="H214" s="23">
        <v>0.26486307524949154</v>
      </c>
    </row>
    <row r="215">
      <c r="A215" s="5" t="s">
        <v>22</v>
      </c>
      <c r="B215" s="5" t="s">
        <v>35</v>
      </c>
      <c r="C215" s="23">
        <v>58.32479266107647</v>
      </c>
      <c r="D215" s="23">
        <v>161.37735557593635</v>
      </c>
      <c r="E215" s="23">
        <v>3.5593220338983054</v>
      </c>
      <c r="F215" s="23">
        <v>310.02126933333335</v>
      </c>
      <c r="G215" s="23">
        <v>11.034655349152542</v>
      </c>
      <c r="H215" s="23">
        <v>0.5285601662724861</v>
      </c>
    </row>
    <row r="216">
      <c r="A216" s="5" t="s">
        <v>15</v>
      </c>
      <c r="B216" s="5" t="s">
        <v>78</v>
      </c>
      <c r="C216" s="23">
        <v>58.42252179959015</v>
      </c>
      <c r="D216" s="23">
        <v>420.3222261922672</v>
      </c>
      <c r="E216" s="23">
        <v>3.75</v>
      </c>
      <c r="F216" s="23">
        <v>620.8626305555556</v>
      </c>
      <c r="G216" s="23">
        <v>23.282348645833334</v>
      </c>
      <c r="H216" s="23">
        <v>0.25093053406382</v>
      </c>
    </row>
    <row r="217">
      <c r="A217" s="5" t="s">
        <v>15</v>
      </c>
      <c r="B217" s="5" t="s">
        <v>35</v>
      </c>
      <c r="C217" s="23">
        <v>48.016787899690364</v>
      </c>
      <c r="D217" s="23">
        <v>131.94554605955943</v>
      </c>
      <c r="E217" s="23">
        <v>6.25</v>
      </c>
      <c r="F217" s="23">
        <v>208.83461393333334</v>
      </c>
      <c r="G217" s="23">
        <v>13.052163370833334</v>
      </c>
      <c r="H217" s="23">
        <v>0.3678837487353996</v>
      </c>
    </row>
    <row r="218">
      <c r="A218" s="5" t="s">
        <v>61</v>
      </c>
      <c r="B218" s="5" t="s">
        <v>55</v>
      </c>
      <c r="C218" s="23">
        <v>59.45253855751568</v>
      </c>
      <c r="D218" s="23">
        <v>95.87972136828573</v>
      </c>
      <c r="E218" s="23">
        <v>4.285714285714286</v>
      </c>
      <c r="F218" s="23">
        <v>326.7398276190476</v>
      </c>
      <c r="G218" s="23">
        <v>14.003135469387754</v>
      </c>
      <c r="H218" s="23">
        <v>0.4245659030256819</v>
      </c>
    </row>
    <row r="219">
      <c r="A219" s="5" t="s">
        <v>15</v>
      </c>
      <c r="B219" s="5" t="s">
        <v>35</v>
      </c>
      <c r="C219" s="23">
        <v>155.05793942857144</v>
      </c>
      <c r="D219" s="23">
        <v>245.96068344721795</v>
      </c>
      <c r="E219" s="23">
        <v>4.597701149425287</v>
      </c>
      <c r="F219" s="23">
        <v>440.94601525</v>
      </c>
      <c r="G219" s="23">
        <v>20.273380011494254</v>
      </c>
      <c r="H219" s="23">
        <v>0.7648351648351649</v>
      </c>
    </row>
    <row r="220">
      <c r="A220" s="5" t="s">
        <v>15</v>
      </c>
      <c r="B220" s="5" t="s">
        <v>35</v>
      </c>
      <c r="C220" s="23">
        <v>265.18900525662553</v>
      </c>
      <c r="D220" s="23">
        <v>449.9868440287413</v>
      </c>
      <c r="E220" s="23">
        <v>105.40540540540539</v>
      </c>
      <c r="F220" s="23">
        <v>93.13573858974358</v>
      </c>
      <c r="G220" s="23">
        <v>98.17010283783783</v>
      </c>
      <c r="H220" s="23">
        <v>0.27013214572534133</v>
      </c>
    </row>
    <row r="221">
      <c r="A221" s="5" t="s">
        <v>22</v>
      </c>
      <c r="B221" s="5" t="s">
        <v>39</v>
      </c>
      <c r="C221" s="23">
        <v>317.7913841339797</v>
      </c>
      <c r="D221" s="23">
        <v>706.0993444966706</v>
      </c>
      <c r="E221" s="23">
        <v>27.941176470588236</v>
      </c>
      <c r="F221" s="23">
        <v>379.50981610526316</v>
      </c>
      <c r="G221" s="23">
        <v>106.03950744117647</v>
      </c>
      <c r="H221" s="23">
        <v>0.2996914940502424</v>
      </c>
    </row>
    <row r="222">
      <c r="A222" s="5" t="s">
        <v>22</v>
      </c>
      <c r="B222" s="5" t="s">
        <v>78</v>
      </c>
      <c r="C222" s="23">
        <v>91.29377714368367</v>
      </c>
      <c r="D222" s="23">
        <v>198.81448005498123</v>
      </c>
      <c r="E222" s="23">
        <v>4.0201005025125625</v>
      </c>
      <c r="F222" s="23">
        <v>867.85005725</v>
      </c>
      <c r="G222" s="23">
        <v>34.88844451256281</v>
      </c>
      <c r="H222" s="23">
        <v>0.2616733947849413</v>
      </c>
    </row>
    <row r="223">
      <c r="A223" s="5" t="s">
        <v>22</v>
      </c>
      <c r="B223" s="5" t="s">
        <v>173</v>
      </c>
      <c r="C223" s="23">
        <v>152.03854326480172</v>
      </c>
      <c r="D223" s="23">
        <v>356.26153677670726</v>
      </c>
      <c r="E223" s="23">
        <v>12.8</v>
      </c>
      <c r="F223" s="23">
        <v>422.9047105</v>
      </c>
      <c r="G223" s="23">
        <v>54.131802944</v>
      </c>
      <c r="H223" s="23">
        <v>0.2808673182788451</v>
      </c>
    </row>
    <row r="224">
      <c r="A224" s="5" t="s">
        <v>15</v>
      </c>
      <c r="B224" s="5" t="s">
        <v>78</v>
      </c>
      <c r="C224" s="23">
        <v>22.284303806995172</v>
      </c>
      <c r="D224" s="23">
        <v>103.84747546520315</v>
      </c>
      <c r="E224" s="23">
        <v>1.5950920245398774</v>
      </c>
      <c r="F224" s="23">
        <v>491.96543261538466</v>
      </c>
      <c r="G224" s="23">
        <v>7.847301379141105</v>
      </c>
      <c r="H224" s="23">
        <v>0.2839741043491592</v>
      </c>
    </row>
    <row r="225">
      <c r="A225" s="5" t="s">
        <v>15</v>
      </c>
      <c r="B225" s="5" t="s">
        <v>29</v>
      </c>
      <c r="C225" s="23">
        <v>45.70706785742387</v>
      </c>
      <c r="D225" s="23">
        <v>192.48827801709854</v>
      </c>
      <c r="E225" s="23">
        <v>8.02675585284281</v>
      </c>
      <c r="F225" s="23">
        <v>242.03796891666664</v>
      </c>
      <c r="G225" s="23">
        <v>19.4277968361204</v>
      </c>
      <c r="H225" s="23">
        <v>0.23526634668345267</v>
      </c>
    </row>
    <row r="226">
      <c r="A226" s="5" t="s">
        <v>22</v>
      </c>
      <c r="B226" s="5" t="s">
        <v>35</v>
      </c>
      <c r="C226" s="23">
        <v>23.234675807631092</v>
      </c>
      <c r="D226" s="23">
        <v>132.1596546366528</v>
      </c>
      <c r="E226" s="23">
        <v>7.142857142857142</v>
      </c>
      <c r="F226" s="23">
        <v>150.03791902777778</v>
      </c>
      <c r="G226" s="23">
        <v>10.716994216269843</v>
      </c>
      <c r="H226" s="23">
        <v>0.21680216802168023</v>
      </c>
    </row>
    <row r="227">
      <c r="A227" s="5" t="s">
        <v>22</v>
      </c>
      <c r="B227" s="5" t="s">
        <v>29</v>
      </c>
      <c r="C227" s="23">
        <v>43.396111034942024</v>
      </c>
      <c r="D227" s="23">
        <v>89.80349566309987</v>
      </c>
      <c r="E227" s="23">
        <v>3.3333333333333335</v>
      </c>
      <c r="F227" s="23">
        <v>553.90796125</v>
      </c>
      <c r="G227" s="23">
        <v>18.463598708333333</v>
      </c>
      <c r="H227" s="23">
        <v>0.23503603885929175</v>
      </c>
    </row>
    <row r="228">
      <c r="A228" s="5" t="s">
        <v>22</v>
      </c>
      <c r="B228" s="5" t="s">
        <v>84</v>
      </c>
      <c r="C228" s="23">
        <v>31.032324978129395</v>
      </c>
      <c r="D228" s="23">
        <v>73.9515845003399</v>
      </c>
      <c r="E228" s="23">
        <v>7.142857142857142</v>
      </c>
      <c r="F228" s="23">
        <v>163.1741712</v>
      </c>
      <c r="G228" s="23">
        <v>11.655297942857143</v>
      </c>
      <c r="H228" s="23">
        <v>0.2662508082613822</v>
      </c>
    </row>
    <row r="229">
      <c r="A229" s="5" t="s">
        <v>15</v>
      </c>
      <c r="B229" s="5" t="s">
        <v>35</v>
      </c>
      <c r="C229" s="23">
        <v>14.755489536082944</v>
      </c>
      <c r="D229" s="23">
        <v>28.058221485595276</v>
      </c>
      <c r="E229" s="23">
        <v>1.4492753623188406</v>
      </c>
      <c r="F229" s="23">
        <v>323.34294439999996</v>
      </c>
      <c r="G229" s="23">
        <v>4.6861296289855074</v>
      </c>
      <c r="H229" s="23">
        <v>0.3148758294011883</v>
      </c>
    </row>
    <row r="230">
      <c r="A230" s="5" t="s">
        <v>15</v>
      </c>
      <c r="B230" s="5" t="s">
        <v>24</v>
      </c>
      <c r="C230" s="23">
        <v>20.417549673501195</v>
      </c>
      <c r="D230" s="23">
        <v>38.70893221591054</v>
      </c>
      <c r="E230" s="23">
        <v>10.0</v>
      </c>
      <c r="F230" s="23">
        <v>101.3064368</v>
      </c>
      <c r="G230" s="23">
        <v>10.13064368</v>
      </c>
      <c r="H230" s="23">
        <v>0.20154247171687314</v>
      </c>
    </row>
    <row r="231">
      <c r="A231" s="5" t="s">
        <v>22</v>
      </c>
      <c r="B231" s="5" t="s">
        <v>78</v>
      </c>
      <c r="C231" s="23">
        <v>67.39968993367324</v>
      </c>
      <c r="D231" s="23">
        <v>630.8189729729729</v>
      </c>
      <c r="E231" s="23">
        <v>5.454545454545454</v>
      </c>
      <c r="F231" s="23">
        <v>497.9264426666667</v>
      </c>
      <c r="G231" s="23">
        <v>27.159624145454547</v>
      </c>
      <c r="H231" s="23">
        <v>0.24816134999774397</v>
      </c>
    </row>
    <row r="232">
      <c r="A232" s="5" t="s">
        <v>15</v>
      </c>
      <c r="B232" s="5" t="s">
        <v>17</v>
      </c>
      <c r="C232" s="23">
        <v>198.2925895847488</v>
      </c>
      <c r="D232" s="23">
        <v>447.6253053049441</v>
      </c>
      <c r="E232" s="23">
        <v>18.0</v>
      </c>
      <c r="F232" s="23">
        <v>551.2754315555555</v>
      </c>
      <c r="G232" s="23">
        <v>99.22957768</v>
      </c>
      <c r="H232" s="23">
        <v>0.1998321410015587</v>
      </c>
    </row>
    <row r="233">
      <c r="A233" s="5" t="s">
        <v>22</v>
      </c>
      <c r="B233" s="5" t="s">
        <v>78</v>
      </c>
      <c r="C233" s="23">
        <v>179.73745118613138</v>
      </c>
      <c r="D233" s="23">
        <v>382.6949907722195</v>
      </c>
      <c r="E233" s="23">
        <v>14.666666666666666</v>
      </c>
      <c r="F233" s="23">
        <v>429.8012650909091</v>
      </c>
      <c r="G233" s="23">
        <v>63.03751888</v>
      </c>
      <c r="H233" s="23">
        <v>0.2851277372262774</v>
      </c>
    </row>
    <row r="234">
      <c r="A234" s="5" t="s">
        <v>15</v>
      </c>
      <c r="B234" s="5" t="s">
        <v>78</v>
      </c>
      <c r="C234" s="23">
        <v>260.42671977099235</v>
      </c>
      <c r="D234" s="23">
        <v>524.2953786691256</v>
      </c>
      <c r="E234" s="23">
        <v>6.25</v>
      </c>
      <c r="F234" s="23">
        <v>682.3180058</v>
      </c>
      <c r="G234" s="23">
        <v>42.6448753625</v>
      </c>
      <c r="H234" s="23">
        <v>0.6106870229007634</v>
      </c>
    </row>
    <row r="235">
      <c r="A235" s="5" t="s">
        <v>22</v>
      </c>
      <c r="B235" s="5" t="s">
        <v>39</v>
      </c>
      <c r="C235" s="23">
        <v>584.7627719500681</v>
      </c>
      <c r="D235" s="23">
        <v>851.3352939828956</v>
      </c>
      <c r="E235" s="23">
        <v>24.242424242424242</v>
      </c>
      <c r="F235" s="23">
        <v>348.4089690625</v>
      </c>
      <c r="G235" s="23">
        <v>84.46278037878787</v>
      </c>
      <c r="H235" s="23">
        <v>0.6923318997167733</v>
      </c>
    </row>
    <row r="236">
      <c r="A236" s="5" t="s">
        <v>15</v>
      </c>
      <c r="B236" s="5" t="s">
        <v>95</v>
      </c>
      <c r="C236" s="23">
        <v>516.468309047304</v>
      </c>
      <c r="D236" s="23">
        <v>3058.342210088149</v>
      </c>
      <c r="E236" s="23">
        <v>26.666666666666668</v>
      </c>
      <c r="F236" s="23">
        <v>780.641849125</v>
      </c>
      <c r="G236" s="23">
        <v>208.17115976666668</v>
      </c>
      <c r="H236" s="23">
        <v>0.24809791597750577</v>
      </c>
    </row>
    <row r="237">
      <c r="A237" s="5" t="s">
        <v>15</v>
      </c>
      <c r="B237" s="5" t="s">
        <v>35</v>
      </c>
      <c r="C237" s="23">
        <v>617.7338692368214</v>
      </c>
      <c r="D237" s="23">
        <v>962.2989922784656</v>
      </c>
      <c r="E237" s="23">
        <v>110.00000000000001</v>
      </c>
      <c r="F237" s="23">
        <v>713.763407090909</v>
      </c>
      <c r="G237" s="23">
        <v>785.1397478</v>
      </c>
      <c r="H237" s="23">
        <v>0.07867820613690008</v>
      </c>
    </row>
    <row r="238">
      <c r="A238" s="5" t="s">
        <v>22</v>
      </c>
      <c r="B238" s="5" t="s">
        <v>35</v>
      </c>
      <c r="C238" s="23">
        <v>727.0000747120363</v>
      </c>
      <c r="D238" s="23">
        <v>4532.016934782609</v>
      </c>
      <c r="E238" s="23">
        <v>7.142857142857142</v>
      </c>
      <c r="F238" s="23">
        <v>1719.90042675</v>
      </c>
      <c r="G238" s="23">
        <v>122.85003048214286</v>
      </c>
      <c r="H238" s="23">
        <v>0.5917785057592729</v>
      </c>
    </row>
    <row r="239">
      <c r="A239" s="5" t="s">
        <v>15</v>
      </c>
      <c r="B239" s="5" t="s">
        <v>35</v>
      </c>
      <c r="C239" s="23">
        <v>430.5316795484509</v>
      </c>
      <c r="D239" s="23">
        <v>2501.1644150311154</v>
      </c>
      <c r="E239" s="23">
        <v>3.0927835051546393</v>
      </c>
      <c r="F239" s="23">
        <v>1741.6441543333333</v>
      </c>
      <c r="G239" s="23">
        <v>53.86528312371134</v>
      </c>
      <c r="H239" s="23">
        <v>0.7992748846407383</v>
      </c>
    </row>
    <row r="240">
      <c r="A240" s="5" t="s">
        <v>22</v>
      </c>
      <c r="B240" s="5" t="s">
        <v>39</v>
      </c>
      <c r="C240" s="23">
        <v>453.05466684066295</v>
      </c>
      <c r="D240" s="23">
        <v>874.3880901649667</v>
      </c>
      <c r="E240" s="23">
        <v>11.76470588235294</v>
      </c>
      <c r="F240" s="23">
        <v>867.939478</v>
      </c>
      <c r="G240" s="23">
        <v>102.11052682352941</v>
      </c>
      <c r="H240" s="23">
        <v>0.4436904606550959</v>
      </c>
    </row>
    <row r="241">
      <c r="A241" s="5" t="s">
        <v>22</v>
      </c>
      <c r="B241" s="5" t="s">
        <v>35</v>
      </c>
      <c r="C241" s="23">
        <v>374.0679064935065</v>
      </c>
      <c r="D241" s="23">
        <v>675.4574162259255</v>
      </c>
      <c r="E241" s="23">
        <v>48.0</v>
      </c>
      <c r="F241" s="23">
        <v>282.0316153333333</v>
      </c>
      <c r="G241" s="23">
        <v>135.37517536</v>
      </c>
      <c r="H241" s="23">
        <v>0.27631942525559544</v>
      </c>
    </row>
    <row r="242">
      <c r="A242" s="5" t="s">
        <v>61</v>
      </c>
      <c r="B242" s="5" t="s">
        <v>55</v>
      </c>
      <c r="C242" s="23">
        <v>54.43222956908116</v>
      </c>
      <c r="D242" s="23">
        <v>116.63839653283033</v>
      </c>
      <c r="E242" s="23">
        <v>5.75</v>
      </c>
      <c r="F242" s="23">
        <v>282.2902757826087</v>
      </c>
      <c r="G242" s="23">
        <v>16.2316908575</v>
      </c>
      <c r="H242" s="23">
        <v>0.335345405767941</v>
      </c>
    </row>
    <row r="243">
      <c r="A243" s="5" t="s">
        <v>22</v>
      </c>
      <c r="B243" s="5" t="s">
        <v>150</v>
      </c>
      <c r="C243" s="23">
        <v>728.1057888834714</v>
      </c>
      <c r="D243" s="23">
        <v>4431.29072106825</v>
      </c>
      <c r="E243" s="23">
        <v>5.0</v>
      </c>
      <c r="F243" s="23">
        <v>5973.379892</v>
      </c>
      <c r="G243" s="23">
        <v>298.6689946</v>
      </c>
      <c r="H243" s="23">
        <v>0.24378352023403219</v>
      </c>
    </row>
    <row r="244">
      <c r="A244" s="5" t="s">
        <v>61</v>
      </c>
      <c r="B244" s="5" t="s">
        <v>95</v>
      </c>
      <c r="C244" s="23">
        <v>64.40599804594306</v>
      </c>
      <c r="D244" s="23">
        <v>123.31734012007308</v>
      </c>
      <c r="E244" s="23">
        <v>2.9729729729729732</v>
      </c>
      <c r="F244" s="23">
        <v>515.3767963636363</v>
      </c>
      <c r="G244" s="23">
        <v>15.322012864864865</v>
      </c>
      <c r="H244" s="23">
        <v>0.42034945809002294</v>
      </c>
    </row>
    <row r="245">
      <c r="A245" s="5" t="s">
        <v>22</v>
      </c>
      <c r="B245" s="5" t="s">
        <v>78</v>
      </c>
      <c r="C245" s="23">
        <v>395.93776613091075</v>
      </c>
      <c r="D245" s="23">
        <v>705.7830435986158</v>
      </c>
      <c r="E245" s="23">
        <v>12.676056338028168</v>
      </c>
      <c r="F245" s="23">
        <v>566.5869433333332</v>
      </c>
      <c r="G245" s="23">
        <v>71.82088014084506</v>
      </c>
      <c r="H245" s="23">
        <v>0.5512850376582032</v>
      </c>
    </row>
    <row r="246">
      <c r="A246" s="5" t="s">
        <v>15</v>
      </c>
      <c r="B246" s="5" t="s">
        <v>39</v>
      </c>
      <c r="C246" s="23">
        <v>65.20823125695057</v>
      </c>
      <c r="D246" s="23">
        <v>195.35101782623744</v>
      </c>
      <c r="E246" s="23">
        <v>0.625</v>
      </c>
      <c r="F246" s="23">
        <v>4514.952724</v>
      </c>
      <c r="G246" s="23">
        <v>28.218454525</v>
      </c>
      <c r="H246" s="23">
        <v>0.23108363783416863</v>
      </c>
    </row>
    <row r="247">
      <c r="A247" s="5" t="s">
        <v>22</v>
      </c>
      <c r="B247" s="5" t="s">
        <v>398</v>
      </c>
      <c r="C247" s="23">
        <v>15.963901201244145</v>
      </c>
      <c r="D247" s="23">
        <v>33.689290642624066</v>
      </c>
      <c r="E247" s="23">
        <v>3.1818181818181817</v>
      </c>
      <c r="F247" s="23">
        <v>255.15787457142855</v>
      </c>
      <c r="G247" s="23">
        <v>8.118659645454546</v>
      </c>
      <c r="H247" s="23">
        <v>0.19663222623431412</v>
      </c>
    </row>
    <row r="248">
      <c r="A248" s="5" t="s">
        <v>22</v>
      </c>
      <c r="B248" s="5" t="s">
        <v>78</v>
      </c>
      <c r="C248" s="23">
        <v>78.92530034929901</v>
      </c>
      <c r="D248" s="23">
        <v>144.7656531507811</v>
      </c>
      <c r="E248" s="23">
        <v>95.0</v>
      </c>
      <c r="F248" s="23">
        <v>86.81367642105263</v>
      </c>
      <c r="G248" s="23">
        <v>82.4729926</v>
      </c>
      <c r="H248" s="23">
        <v>0.09569835877314704</v>
      </c>
    </row>
    <row r="249">
      <c r="A249" s="5" t="s">
        <v>15</v>
      </c>
      <c r="B249" s="5" t="s">
        <v>121</v>
      </c>
      <c r="C249" s="23">
        <v>71.05989035087718</v>
      </c>
      <c r="D249" s="23">
        <v>195.24771029163654</v>
      </c>
      <c r="E249" s="23">
        <v>30.37974683544304</v>
      </c>
      <c r="F249" s="23">
        <v>67.50689583333333</v>
      </c>
      <c r="G249" s="23">
        <v>20.50842405063291</v>
      </c>
      <c r="H249" s="23">
        <v>0.34649122807017546</v>
      </c>
    </row>
    <row r="250">
      <c r="A250" s="5" t="s">
        <v>22</v>
      </c>
      <c r="B250" s="5" t="s">
        <v>78</v>
      </c>
      <c r="C250" s="23">
        <v>104.54692137814908</v>
      </c>
      <c r="D250" s="23">
        <v>211.68489548911617</v>
      </c>
      <c r="E250" s="23">
        <v>39.58333333333333</v>
      </c>
      <c r="F250" s="23">
        <v>84.96363226315789</v>
      </c>
      <c r="G250" s="23">
        <v>33.63143777083334</v>
      </c>
      <c r="H250" s="23">
        <v>0.3108606955508063</v>
      </c>
    </row>
    <row r="251">
      <c r="A251" s="5" t="s">
        <v>22</v>
      </c>
      <c r="B251" s="5" t="s">
        <v>78</v>
      </c>
      <c r="C251" s="23">
        <v>46.66940672533189</v>
      </c>
      <c r="D251" s="23">
        <v>86.97647717538322</v>
      </c>
      <c r="E251" s="23">
        <v>10.0</v>
      </c>
      <c r="F251" s="23">
        <v>110.23647221428573</v>
      </c>
      <c r="G251" s="23">
        <v>11.023647221428572</v>
      </c>
      <c r="H251" s="23">
        <v>0.4233572227766186</v>
      </c>
    </row>
    <row r="252">
      <c r="A252" s="5" t="s">
        <v>22</v>
      </c>
      <c r="B252" s="5" t="s">
        <v>84</v>
      </c>
      <c r="C252" s="23">
        <v>27.746291609709242</v>
      </c>
      <c r="D252" s="23">
        <v>40.14158292800256</v>
      </c>
      <c r="E252" s="23">
        <v>2.5806451612903225</v>
      </c>
      <c r="F252" s="23">
        <v>375.5044375</v>
      </c>
      <c r="G252" s="23">
        <v>9.690437096774193</v>
      </c>
      <c r="H252" s="23">
        <v>0.28632652307237594</v>
      </c>
    </row>
    <row r="253">
      <c r="A253" s="5" t="s">
        <v>15</v>
      </c>
      <c r="B253" s="5" t="s">
        <v>173</v>
      </c>
      <c r="C253" s="23">
        <v>663.785121719636</v>
      </c>
      <c r="D253" s="23">
        <v>1092.33562890625</v>
      </c>
      <c r="E253" s="23">
        <v>2.2222222222222223</v>
      </c>
      <c r="F253" s="23">
        <v>5033.482578</v>
      </c>
      <c r="G253" s="23">
        <v>111.8551684</v>
      </c>
      <c r="H253" s="23">
        <v>0.5934326783594883</v>
      </c>
    </row>
    <row r="254">
      <c r="A254" s="5" t="s">
        <v>15</v>
      </c>
      <c r="B254" s="5" t="s">
        <v>39</v>
      </c>
      <c r="C254" s="23">
        <v>138.37810598263107</v>
      </c>
      <c r="D254" s="23">
        <v>243.92205896527284</v>
      </c>
      <c r="E254" s="23">
        <v>10.714285714285714</v>
      </c>
      <c r="F254" s="23">
        <v>191.20779177777777</v>
      </c>
      <c r="G254" s="23">
        <v>20.48654911904762</v>
      </c>
      <c r="H254" s="23">
        <v>0.6754583467352846</v>
      </c>
    </row>
    <row r="255">
      <c r="A255" s="5" t="s">
        <v>22</v>
      </c>
      <c r="B255" s="5" t="s">
        <v>35</v>
      </c>
      <c r="C255" s="23">
        <v>62.77292477433941</v>
      </c>
      <c r="D255" s="23">
        <v>92.44728816135492</v>
      </c>
      <c r="E255" s="23">
        <v>5.351170568561873</v>
      </c>
      <c r="F255" s="23">
        <v>478.980955875</v>
      </c>
      <c r="G255" s="23">
        <v>25.631087939799333</v>
      </c>
      <c r="H255" s="23">
        <v>0.24490932621266973</v>
      </c>
    </row>
    <row r="256">
      <c r="A256" s="5" t="s">
        <v>22</v>
      </c>
      <c r="B256" s="5" t="s">
        <v>66</v>
      </c>
      <c r="C256" s="23">
        <v>107.10944707966267</v>
      </c>
      <c r="D256" s="23">
        <v>146.7650421418906</v>
      </c>
      <c r="E256" s="23">
        <v>4.5</v>
      </c>
      <c r="F256" s="23">
        <v>759.2155630000001</v>
      </c>
      <c r="G256" s="23">
        <v>34.164700335</v>
      </c>
      <c r="H256" s="23">
        <v>0.31350910743957117</v>
      </c>
    </row>
    <row r="257">
      <c r="A257" s="5" t="s">
        <v>15</v>
      </c>
      <c r="B257" s="5" t="s">
        <v>39</v>
      </c>
      <c r="C257" s="23">
        <v>207.89296869351702</v>
      </c>
      <c r="D257" s="23">
        <v>441.03932289104324</v>
      </c>
      <c r="E257" s="23">
        <v>10.227272727272728</v>
      </c>
      <c r="F257" s="23">
        <v>677.3383912222222</v>
      </c>
      <c r="G257" s="23">
        <v>69.27324455681818</v>
      </c>
      <c r="H257" s="23">
        <v>0.30010571906012345</v>
      </c>
    </row>
    <row r="258">
      <c r="A258" s="5" t="s">
        <v>22</v>
      </c>
      <c r="B258" s="5" t="s">
        <v>45</v>
      </c>
      <c r="C258" s="23">
        <v>139.1236052645282</v>
      </c>
      <c r="D258" s="23">
        <v>226.83106639215518</v>
      </c>
      <c r="E258" s="23">
        <v>6.9306930693069315</v>
      </c>
      <c r="F258" s="23">
        <v>763.3513472857143</v>
      </c>
      <c r="G258" s="23">
        <v>52.90553892079208</v>
      </c>
      <c r="H258" s="23">
        <v>0.26296604873984586</v>
      </c>
    </row>
    <row r="259">
      <c r="A259" s="5" t="s">
        <v>22</v>
      </c>
      <c r="B259" s="5" t="s">
        <v>173</v>
      </c>
      <c r="C259" s="23">
        <v>35.858044828471215</v>
      </c>
      <c r="D259" s="23">
        <v>51.46879202652368</v>
      </c>
      <c r="E259" s="23">
        <v>8.284023668639055</v>
      </c>
      <c r="F259" s="23">
        <v>179.63343685714287</v>
      </c>
      <c r="G259" s="23">
        <v>14.880876426035504</v>
      </c>
      <c r="H259" s="23">
        <v>0.240967291185445</v>
      </c>
    </row>
    <row r="260">
      <c r="A260" s="5" t="s">
        <v>15</v>
      </c>
      <c r="B260" s="5" t="s">
        <v>17</v>
      </c>
      <c r="C260" s="23">
        <v>41.87480481412245</v>
      </c>
      <c r="D260" s="23">
        <v>64.13535662209628</v>
      </c>
      <c r="E260" s="23">
        <v>2.8735632183908044</v>
      </c>
      <c r="F260" s="23">
        <v>434.5683494</v>
      </c>
      <c r="G260" s="23">
        <v>12.487596247126437</v>
      </c>
      <c r="H260" s="23">
        <v>0.3353311877276494</v>
      </c>
    </row>
    <row r="261">
      <c r="A261" s="5" t="s">
        <v>15</v>
      </c>
      <c r="B261" s="5" t="s">
        <v>66</v>
      </c>
      <c r="C261" s="23">
        <v>90.27862513157235</v>
      </c>
      <c r="D261" s="23">
        <v>171.35846731995053</v>
      </c>
      <c r="E261" s="23">
        <v>18.51851851851852</v>
      </c>
      <c r="F261" s="23">
        <v>120.07659</v>
      </c>
      <c r="G261" s="23">
        <v>22.236405555555557</v>
      </c>
      <c r="H261" s="23">
        <v>0.40599468698310864</v>
      </c>
    </row>
    <row r="262">
      <c r="A262" s="5" t="s">
        <v>22</v>
      </c>
      <c r="B262" s="5" t="s">
        <v>240</v>
      </c>
      <c r="C262" s="23">
        <v>18.90520959025253</v>
      </c>
      <c r="D262" s="23">
        <v>33.949981609285544</v>
      </c>
      <c r="E262" s="23">
        <v>45.0</v>
      </c>
      <c r="F262" s="23">
        <v>96.199159</v>
      </c>
      <c r="G262" s="23">
        <v>43.28962155</v>
      </c>
      <c r="H262" s="23">
        <v>0.043671459609358795</v>
      </c>
    </row>
    <row r="263">
      <c r="A263" s="5" t="s">
        <v>61</v>
      </c>
      <c r="B263" s="5" t="s">
        <v>95</v>
      </c>
      <c r="C263" s="23">
        <v>23.918646840308654</v>
      </c>
      <c r="D263" s="23">
        <v>41.03483993602362</v>
      </c>
      <c r="E263" s="23">
        <v>5.154639175257731</v>
      </c>
      <c r="F263" s="23">
        <v>166.7655895</v>
      </c>
      <c r="G263" s="23">
        <v>8.596164407216495</v>
      </c>
      <c r="H263" s="23">
        <v>0.2782478987980838</v>
      </c>
    </row>
    <row r="264">
      <c r="A264" s="5" t="s">
        <v>15</v>
      </c>
      <c r="B264" s="5" t="s">
        <v>95</v>
      </c>
      <c r="C264" s="23">
        <v>19.46202658881184</v>
      </c>
      <c r="D264" s="23">
        <v>34.55772010460783</v>
      </c>
      <c r="E264" s="23">
        <v>4.81283422459893</v>
      </c>
      <c r="F264" s="23">
        <v>165.91161422222223</v>
      </c>
      <c r="G264" s="23">
        <v>7.985050951871657</v>
      </c>
      <c r="H264" s="23">
        <v>0.24373077524633752</v>
      </c>
    </row>
    <row r="265">
      <c r="A265" s="5" t="s">
        <v>22</v>
      </c>
      <c r="B265" s="5" t="s">
        <v>78</v>
      </c>
      <c r="C265" s="23">
        <v>42.26360470837267</v>
      </c>
      <c r="D265" s="23">
        <v>84.37515601621838</v>
      </c>
      <c r="E265" s="23">
        <v>4.098360655737705</v>
      </c>
      <c r="F265" s="23">
        <v>295.49867140000003</v>
      </c>
      <c r="G265" s="23">
        <v>12.110601286885247</v>
      </c>
      <c r="H265" s="23">
        <v>0.3489802339883864</v>
      </c>
    </row>
    <row r="266">
      <c r="A266" s="5" t="s">
        <v>15</v>
      </c>
      <c r="B266" s="5" t="s">
        <v>39</v>
      </c>
      <c r="C266" s="23">
        <v>537.7460767820554</v>
      </c>
      <c r="D266" s="23">
        <v>1072.831189759036</v>
      </c>
      <c r="E266" s="23">
        <v>7.142857142857142</v>
      </c>
      <c r="F266" s="23">
        <v>997.303874</v>
      </c>
      <c r="G266" s="23">
        <v>71.235991</v>
      </c>
      <c r="H266" s="23">
        <v>0.7548797584384772</v>
      </c>
    </row>
    <row r="267">
      <c r="A267" s="5" t="s">
        <v>15</v>
      </c>
      <c r="B267" s="5" t="s">
        <v>35</v>
      </c>
      <c r="C267" s="23">
        <v>446.5926615015838</v>
      </c>
      <c r="D267" s="23">
        <v>1106.863755357522</v>
      </c>
      <c r="E267" s="23">
        <v>4.545454545454546</v>
      </c>
      <c r="F267" s="23">
        <v>1304.16221975</v>
      </c>
      <c r="G267" s="23">
        <v>59.28010089772727</v>
      </c>
      <c r="H267" s="23">
        <v>0.7533601575207602</v>
      </c>
    </row>
    <row r="268">
      <c r="A268" s="5" t="s">
        <v>15</v>
      </c>
      <c r="B268" s="5" t="s">
        <v>78</v>
      </c>
      <c r="C268" s="23">
        <v>292.3598580191334</v>
      </c>
      <c r="D268" s="23">
        <v>406.79936394957326</v>
      </c>
      <c r="E268" s="23">
        <v>12.857142857142856</v>
      </c>
      <c r="F268" s="23">
        <v>577.2482974444445</v>
      </c>
      <c r="G268" s="23">
        <v>74.21763824285715</v>
      </c>
      <c r="H268" s="23">
        <v>0.39392234102419804</v>
      </c>
    </row>
    <row r="269">
      <c r="A269" s="5" t="s">
        <v>15</v>
      </c>
      <c r="B269" s="5" t="s">
        <v>35</v>
      </c>
      <c r="C269" s="23">
        <v>96.92277249722255</v>
      </c>
      <c r="D269" s="23">
        <v>133.23797386730018</v>
      </c>
      <c r="E269" s="23">
        <v>2.5</v>
      </c>
      <c r="F269" s="23">
        <v>785.17138</v>
      </c>
      <c r="G269" s="23">
        <v>19.6292845</v>
      </c>
      <c r="H269" s="23">
        <v>0.4937662017034934</v>
      </c>
    </row>
    <row r="270">
      <c r="A270" s="5" t="s">
        <v>22</v>
      </c>
      <c r="B270" s="5" t="s">
        <v>17</v>
      </c>
      <c r="C270" s="23">
        <v>111.04157718266927</v>
      </c>
      <c r="D270" s="23">
        <v>439.41467317633544</v>
      </c>
      <c r="E270" s="23">
        <v>4.166666666666666</v>
      </c>
      <c r="F270" s="23">
        <v>382.510473</v>
      </c>
      <c r="G270" s="23">
        <v>15.937936375</v>
      </c>
      <c r="H270" s="23">
        <v>0.6967123884171565</v>
      </c>
    </row>
    <row r="271">
      <c r="A271" s="5" t="s">
        <v>15</v>
      </c>
      <c r="B271" s="5" t="s">
        <v>43</v>
      </c>
      <c r="C271" s="23">
        <v>184.3467847986043</v>
      </c>
      <c r="D271" s="23">
        <v>560.3513175005764</v>
      </c>
      <c r="E271" s="23">
        <v>1.0</v>
      </c>
      <c r="F271" s="23">
        <v>2430.243664</v>
      </c>
      <c r="G271" s="23">
        <v>24.30243664</v>
      </c>
      <c r="H271" s="23">
        <v>0.758552681483729</v>
      </c>
    </row>
    <row r="272">
      <c r="A272" s="5" t="s">
        <v>22</v>
      </c>
      <c r="B272" s="5" t="s">
        <v>433</v>
      </c>
      <c r="C272" s="23">
        <v>49.303921783992195</v>
      </c>
      <c r="D272" s="23">
        <v>1765.3668260443865</v>
      </c>
      <c r="E272" s="23">
        <v>7.194244604316546</v>
      </c>
      <c r="F272" s="23">
        <v>270.45419775</v>
      </c>
      <c r="G272" s="23">
        <v>19.457136528776978</v>
      </c>
      <c r="H272" s="23">
        <v>0.2533976246251447</v>
      </c>
    </row>
    <row r="273">
      <c r="A273" s="5" t="s">
        <v>15</v>
      </c>
      <c r="B273" s="5" t="s">
        <v>17</v>
      </c>
      <c r="C273" s="23">
        <v>38.61816735041604</v>
      </c>
      <c r="D273" s="23">
        <v>468.58828472501</v>
      </c>
      <c r="E273" s="23">
        <v>4.504504504504505</v>
      </c>
      <c r="F273" s="23">
        <v>311.2675779333333</v>
      </c>
      <c r="G273" s="23">
        <v>14.02106206906907</v>
      </c>
      <c r="H273" s="23">
        <v>0.27542968685381547</v>
      </c>
    </row>
    <row r="274">
      <c r="A274" s="5" t="s">
        <v>22</v>
      </c>
      <c r="B274" s="5" t="s">
        <v>78</v>
      </c>
      <c r="C274" s="23">
        <v>100.94176467607991</v>
      </c>
      <c r="D274" s="23">
        <v>6400.07442877095</v>
      </c>
      <c r="E274" s="23">
        <v>13.157894736842104</v>
      </c>
      <c r="F274" s="23">
        <v>305.49688606666666</v>
      </c>
      <c r="G274" s="23">
        <v>40.196958692982456</v>
      </c>
      <c r="H274" s="23">
        <v>0.25111791528074545</v>
      </c>
    </row>
    <row r="275">
      <c r="A275" s="5" t="s">
        <v>22</v>
      </c>
      <c r="B275" s="5" t="s">
        <v>84</v>
      </c>
      <c r="C275" s="23">
        <v>218.25092221469944</v>
      </c>
      <c r="D275" s="23">
        <v>320.4340080627347</v>
      </c>
      <c r="E275" s="23">
        <v>6.756756756756757</v>
      </c>
      <c r="F275" s="23">
        <v>580.2419017999999</v>
      </c>
      <c r="G275" s="23">
        <v>39.2055339054054</v>
      </c>
      <c r="H275" s="23">
        <v>0.556683969006244</v>
      </c>
    </row>
    <row r="276">
      <c r="A276" s="5" t="s">
        <v>15</v>
      </c>
      <c r="B276" s="5" t="s">
        <v>17</v>
      </c>
      <c r="C276" s="23">
        <v>138.31619973335555</v>
      </c>
      <c r="D276" s="23">
        <v>231.4140126864631</v>
      </c>
      <c r="E276" s="23">
        <v>5.0</v>
      </c>
      <c r="F276" s="23">
        <v>829.9663565</v>
      </c>
      <c r="G276" s="23">
        <v>41.498317825</v>
      </c>
      <c r="H276" s="23">
        <v>0.3333055578701775</v>
      </c>
    </row>
    <row r="277">
      <c r="A277" s="5" t="s">
        <v>61</v>
      </c>
      <c r="B277" s="5" t="s">
        <v>17</v>
      </c>
      <c r="C277" s="23">
        <v>78.38928149194136</v>
      </c>
      <c r="D277" s="23">
        <v>103.28354872650286</v>
      </c>
      <c r="E277" s="23">
        <v>11.904761904761903</v>
      </c>
      <c r="F277" s="23">
        <v>160.9880674</v>
      </c>
      <c r="G277" s="23">
        <v>19.16524611904762</v>
      </c>
      <c r="H277" s="23">
        <v>0.40901787018551883</v>
      </c>
    </row>
    <row r="278">
      <c r="A278" s="5" t="s">
        <v>15</v>
      </c>
      <c r="B278" s="5" t="s">
        <v>304</v>
      </c>
      <c r="C278" s="23">
        <v>374.3421688430699</v>
      </c>
      <c r="D278" s="23">
        <v>877.317351409396</v>
      </c>
      <c r="E278" s="23">
        <v>13.636363636363635</v>
      </c>
      <c r="F278" s="23">
        <v>1089.3357113333334</v>
      </c>
      <c r="G278" s="23">
        <v>148.54577881818182</v>
      </c>
      <c r="H278" s="23">
        <v>0.2520045819014891</v>
      </c>
    </row>
    <row r="279">
      <c r="A279" s="5" t="s">
        <v>22</v>
      </c>
      <c r="B279" s="5" t="s">
        <v>95</v>
      </c>
      <c r="C279" s="23">
        <v>251.49528113348245</v>
      </c>
      <c r="D279" s="23">
        <v>497.6834235962517</v>
      </c>
      <c r="E279" s="23">
        <v>15.0</v>
      </c>
      <c r="F279" s="23">
        <v>562.0919533333333</v>
      </c>
      <c r="G279" s="23">
        <v>84.313793</v>
      </c>
      <c r="H279" s="23">
        <v>0.2982848620432513</v>
      </c>
    </row>
    <row r="280">
      <c r="A280" s="5" t="s">
        <v>15</v>
      </c>
      <c r="B280" s="5" t="s">
        <v>17</v>
      </c>
      <c r="C280" s="23">
        <v>192.1628992239589</v>
      </c>
      <c r="D280" s="23">
        <v>384.87267184763573</v>
      </c>
      <c r="E280" s="23">
        <v>10.0</v>
      </c>
      <c r="F280" s="23">
        <v>439.52459125</v>
      </c>
      <c r="G280" s="23">
        <v>43.952459125000004</v>
      </c>
      <c r="H280" s="23">
        <v>0.43720625204940433</v>
      </c>
    </row>
    <row r="281">
      <c r="A281" s="5" t="s">
        <v>22</v>
      </c>
      <c r="B281" s="5" t="s">
        <v>78</v>
      </c>
      <c r="C281" s="23">
        <v>108.03699150494324</v>
      </c>
      <c r="D281" s="23">
        <v>154.97900189095492</v>
      </c>
      <c r="E281" s="23">
        <v>4.545454545454546</v>
      </c>
      <c r="F281" s="23">
        <v>491.74837299999996</v>
      </c>
      <c r="G281" s="23">
        <v>22.35219877272727</v>
      </c>
      <c r="H281" s="23">
        <v>0.4833394361039912</v>
      </c>
    </row>
    <row r="282">
      <c r="A282" s="5" t="s">
        <v>61</v>
      </c>
      <c r="B282" s="5" t="s">
        <v>78</v>
      </c>
      <c r="C282" s="23">
        <v>386.17424363511816</v>
      </c>
      <c r="D282" s="23">
        <v>587.5966646399721</v>
      </c>
      <c r="E282" s="23">
        <v>20.0</v>
      </c>
      <c r="F282" s="23">
        <v>563.7500333333334</v>
      </c>
      <c r="G282" s="23">
        <v>112.75000666666666</v>
      </c>
      <c r="H282" s="23">
        <v>0.34250485215207216</v>
      </c>
    </row>
    <row r="283">
      <c r="A283" s="5" t="s">
        <v>22</v>
      </c>
      <c r="B283" s="5" t="s">
        <v>55</v>
      </c>
      <c r="C283" s="23">
        <v>118.56085325693607</v>
      </c>
      <c r="D283" s="23">
        <v>164.80038120389003</v>
      </c>
      <c r="E283" s="23">
        <v>7.142857142857142</v>
      </c>
      <c r="F283" s="23">
        <v>327.6231578333333</v>
      </c>
      <c r="G283" s="23">
        <v>23.40165413095238</v>
      </c>
      <c r="H283" s="23">
        <v>0.5066344993968637</v>
      </c>
    </row>
    <row r="284">
      <c r="A284" s="5" t="s">
        <v>22</v>
      </c>
      <c r="B284" s="5" t="s">
        <v>55</v>
      </c>
      <c r="C284" s="23">
        <v>137.25309360873499</v>
      </c>
      <c r="D284" s="23">
        <v>314.6623458227041</v>
      </c>
      <c r="E284" s="23">
        <v>60.0</v>
      </c>
      <c r="F284" s="23">
        <v>109.64234627777779</v>
      </c>
      <c r="G284" s="23">
        <v>65.78540776666667</v>
      </c>
      <c r="H284" s="23">
        <v>0.2086375964948884</v>
      </c>
    </row>
    <row r="285">
      <c r="A285" s="5" t="s">
        <v>22</v>
      </c>
      <c r="B285" s="5" t="s">
        <v>43</v>
      </c>
      <c r="C285" s="23">
        <v>36.2742953694638</v>
      </c>
      <c r="D285" s="23">
        <v>50.920089780903865</v>
      </c>
      <c r="E285" s="23">
        <v>6.265664160401002</v>
      </c>
      <c r="F285" s="23">
        <v>201.54578895999998</v>
      </c>
      <c r="G285" s="23">
        <v>12.62818226566416</v>
      </c>
      <c r="H285" s="23">
        <v>0.28724874733628986</v>
      </c>
    </row>
    <row r="286">
      <c r="A286" s="5" t="s">
        <v>15</v>
      </c>
      <c r="B286" s="5" t="s">
        <v>78</v>
      </c>
      <c r="C286" s="23">
        <v>62.34567296003226</v>
      </c>
      <c r="D286" s="23">
        <v>125.60931125101544</v>
      </c>
      <c r="E286" s="23">
        <v>9.130434782608695</v>
      </c>
      <c r="F286" s="23">
        <v>294.52392790476193</v>
      </c>
      <c r="G286" s="23">
        <v>26.891315156521742</v>
      </c>
      <c r="H286" s="23">
        <v>0.23184315306688172</v>
      </c>
    </row>
    <row r="287">
      <c r="A287" s="5" t="s">
        <v>15</v>
      </c>
      <c r="B287" s="5" t="s">
        <v>29</v>
      </c>
      <c r="C287" s="23">
        <v>106.36938455938558</v>
      </c>
      <c r="D287" s="23">
        <v>258.47214770918094</v>
      </c>
      <c r="E287" s="23">
        <v>2.898550724637681</v>
      </c>
      <c r="F287" s="23">
        <v>1461.143051</v>
      </c>
      <c r="G287" s="23">
        <v>42.351972492753625</v>
      </c>
      <c r="H287" s="23">
        <v>0.2511556801223019</v>
      </c>
    </row>
    <row r="288">
      <c r="A288" s="5" t="s">
        <v>15</v>
      </c>
      <c r="B288" s="5" t="s">
        <v>78</v>
      </c>
      <c r="C288" s="23">
        <v>235.2329486133768</v>
      </c>
      <c r="D288" s="23">
        <v>1089.6559005037784</v>
      </c>
      <c r="E288" s="23">
        <v>10.0</v>
      </c>
      <c r="F288" s="23">
        <v>1730.37357</v>
      </c>
      <c r="G288" s="23">
        <v>173.037357</v>
      </c>
      <c r="H288" s="23">
        <v>0.13594344752582926</v>
      </c>
    </row>
    <row r="289">
      <c r="A289" s="5" t="s">
        <v>22</v>
      </c>
      <c r="B289" s="5" t="s">
        <v>24</v>
      </c>
      <c r="C289" s="23">
        <v>703.0590191124069</v>
      </c>
      <c r="D289" s="23">
        <v>1690.2984361370718</v>
      </c>
      <c r="E289" s="23">
        <v>13.636363636363635</v>
      </c>
      <c r="F289" s="23">
        <v>723.4477306666666</v>
      </c>
      <c r="G289" s="23">
        <v>98.65196327272727</v>
      </c>
      <c r="H289" s="23">
        <v>0.7126660187884677</v>
      </c>
    </row>
    <row r="290">
      <c r="A290" s="5" t="s">
        <v>22</v>
      </c>
      <c r="B290" s="5" t="s">
        <v>131</v>
      </c>
      <c r="C290" s="23">
        <v>77.58076359594706</v>
      </c>
      <c r="D290" s="23">
        <v>637.7910288992775</v>
      </c>
      <c r="E290" s="23">
        <v>14.705882352941178</v>
      </c>
      <c r="F290" s="23">
        <v>150.07222910000002</v>
      </c>
      <c r="G290" s="23">
        <v>22.069445455882352</v>
      </c>
      <c r="H290" s="23">
        <v>0.3515301902398677</v>
      </c>
    </row>
    <row r="291">
      <c r="A291" s="5" t="s">
        <v>15</v>
      </c>
      <c r="B291" s="5" t="s">
        <v>55</v>
      </c>
      <c r="C291" s="23">
        <v>452.73106922549687</v>
      </c>
      <c r="D291" s="23">
        <v>693.5656962856018</v>
      </c>
      <c r="E291" s="23">
        <v>8.333333333333332</v>
      </c>
      <c r="F291" s="23">
        <v>754.89672</v>
      </c>
      <c r="G291" s="23">
        <v>62.90806</v>
      </c>
      <c r="H291" s="23">
        <v>0.7196710075394105</v>
      </c>
    </row>
    <row r="292">
      <c r="A292" s="5" t="s">
        <v>15</v>
      </c>
      <c r="B292" s="5" t="s">
        <v>17</v>
      </c>
      <c r="C292" s="23">
        <v>566.8464914783029</v>
      </c>
      <c r="D292" s="23">
        <v>2431.0632576464486</v>
      </c>
      <c r="E292" s="23">
        <v>12.5</v>
      </c>
      <c r="F292" s="23">
        <v>1563.1736746666666</v>
      </c>
      <c r="G292" s="23">
        <v>195.39670933333332</v>
      </c>
      <c r="H292" s="23">
        <v>0.29010032636286714</v>
      </c>
    </row>
    <row r="293">
      <c r="A293" s="5" t="s">
        <v>15</v>
      </c>
      <c r="B293" s="5" t="s">
        <v>471</v>
      </c>
      <c r="C293" s="23">
        <v>110.37280893515506</v>
      </c>
      <c r="D293" s="23">
        <v>198.4644567788899</v>
      </c>
      <c r="E293" s="23">
        <v>7.142857142857142</v>
      </c>
      <c r="F293" s="23">
        <v>254.46451100000002</v>
      </c>
      <c r="G293" s="23">
        <v>18.176036500000002</v>
      </c>
      <c r="H293" s="23">
        <v>0.6072435480373021</v>
      </c>
    </row>
    <row r="294">
      <c r="A294" s="5" t="s">
        <v>22</v>
      </c>
      <c r="B294" s="5" t="s">
        <v>356</v>
      </c>
      <c r="C294" s="23">
        <v>64.99689337240758</v>
      </c>
      <c r="D294" s="23">
        <v>298.16568665977246</v>
      </c>
      <c r="E294" s="23">
        <v>15.0</v>
      </c>
      <c r="F294" s="23">
        <v>160.18123277777778</v>
      </c>
      <c r="G294" s="23">
        <v>24.027184916666666</v>
      </c>
      <c r="H294" s="23">
        <v>0.2705139765554554</v>
      </c>
    </row>
    <row r="295">
      <c r="A295" s="5" t="s">
        <v>22</v>
      </c>
      <c r="B295" s="5" t="s">
        <v>95</v>
      </c>
      <c r="C295" s="23">
        <v>62.266963004713084</v>
      </c>
      <c r="D295" s="23">
        <v>141.37282296355133</v>
      </c>
      <c r="E295" s="23">
        <v>0.23752969121140144</v>
      </c>
      <c r="F295" s="23">
        <v>6407.581828</v>
      </c>
      <c r="G295" s="23">
        <v>15.21990933016627</v>
      </c>
      <c r="H295" s="23">
        <v>0.40911520334288903</v>
      </c>
    </row>
    <row r="296">
      <c r="A296" s="5" t="s">
        <v>61</v>
      </c>
      <c r="B296" s="5" t="s">
        <v>78</v>
      </c>
      <c r="C296" s="23">
        <v>70.97757204938492</v>
      </c>
      <c r="D296" s="23">
        <v>130.56637613249703</v>
      </c>
      <c r="E296" s="23">
        <v>0.964630225080386</v>
      </c>
      <c r="F296" s="23">
        <v>2123.2704086666668</v>
      </c>
      <c r="G296" s="23">
        <v>20.481708122186493</v>
      </c>
      <c r="H296" s="23">
        <v>0.3465412729541808</v>
      </c>
    </row>
    <row r="297">
      <c r="A297" s="5" t="s">
        <v>15</v>
      </c>
      <c r="B297" s="5" t="s">
        <v>43</v>
      </c>
      <c r="C297" s="23">
        <v>37.184725072409016</v>
      </c>
      <c r="D297" s="23">
        <v>114.0092284942085</v>
      </c>
      <c r="E297" s="23">
        <v>1.5789473684210527</v>
      </c>
      <c r="F297" s="23">
        <v>492.13983633333334</v>
      </c>
      <c r="G297" s="23">
        <v>7.7706289947368425</v>
      </c>
      <c r="H297" s="23">
        <v>0.4785291524996852</v>
      </c>
    </row>
    <row r="298">
      <c r="A298" s="5" t="s">
        <v>22</v>
      </c>
      <c r="B298" s="5" t="s">
        <v>55</v>
      </c>
      <c r="C298" s="23">
        <v>119.30017229856732</v>
      </c>
      <c r="D298" s="23">
        <v>218.79618699249275</v>
      </c>
      <c r="E298" s="23">
        <v>4.0</v>
      </c>
      <c r="F298" s="23">
        <v>476.02757083333336</v>
      </c>
      <c r="G298" s="23">
        <v>19.041102833333333</v>
      </c>
      <c r="H298" s="23">
        <v>0.626540244768389</v>
      </c>
    </row>
    <row r="299">
      <c r="A299" s="5" t="s">
        <v>22</v>
      </c>
      <c r="B299" s="5" t="s">
        <v>35</v>
      </c>
      <c r="C299" s="23">
        <v>147.72300694590612</v>
      </c>
      <c r="D299" s="23">
        <v>355.9788127817854</v>
      </c>
      <c r="E299" s="23">
        <v>6.779661016949152</v>
      </c>
      <c r="F299" s="23">
        <v>526.3740045000001</v>
      </c>
      <c r="G299" s="23">
        <v>35.68637318644068</v>
      </c>
      <c r="H299" s="23">
        <v>0.41394794078439623</v>
      </c>
    </row>
    <row r="300">
      <c r="A300" s="5" t="s">
        <v>22</v>
      </c>
      <c r="B300" s="5" t="s">
        <v>35</v>
      </c>
      <c r="C300" s="23">
        <v>43.6224350539884</v>
      </c>
      <c r="D300" s="23">
        <v>96.15889337779895</v>
      </c>
      <c r="E300" s="23">
        <v>5.365853658536586</v>
      </c>
      <c r="F300" s="23">
        <v>229.360815</v>
      </c>
      <c r="G300" s="23">
        <v>12.30716568292683</v>
      </c>
      <c r="H300" s="23">
        <v>0.35444745100412367</v>
      </c>
    </row>
    <row r="301">
      <c r="A301" s="5" t="s">
        <v>15</v>
      </c>
      <c r="B301" s="5" t="s">
        <v>29</v>
      </c>
      <c r="C301" s="23">
        <v>17.964348157965784</v>
      </c>
      <c r="D301" s="23">
        <v>25.390575928399212</v>
      </c>
      <c r="E301" s="23">
        <v>3.1088082901554404</v>
      </c>
      <c r="F301" s="23">
        <v>243.9738123333333</v>
      </c>
      <c r="G301" s="23">
        <v>7.584678103626943</v>
      </c>
      <c r="H301" s="23">
        <v>0.23685050192671134</v>
      </c>
    </row>
    <row r="302">
      <c r="A302" s="5" t="s">
        <v>15</v>
      </c>
      <c r="B302" s="5" t="s">
        <v>55</v>
      </c>
      <c r="C302" s="23">
        <v>64.784644076321</v>
      </c>
      <c r="D302" s="23">
        <v>145.66357212523855</v>
      </c>
      <c r="E302" s="23">
        <v>15.476190476190476</v>
      </c>
      <c r="F302" s="23">
        <v>158.53799092307693</v>
      </c>
      <c r="G302" s="23">
        <v>24.535641452380954</v>
      </c>
      <c r="H302" s="23">
        <v>0.26404300128878133</v>
      </c>
    </row>
    <row r="303">
      <c r="A303" s="5" t="s">
        <v>22</v>
      </c>
      <c r="B303" s="5" t="s">
        <v>84</v>
      </c>
      <c r="C303" s="23">
        <v>843.8732807337062</v>
      </c>
      <c r="D303" s="23">
        <v>1221.3997192619092</v>
      </c>
      <c r="E303" s="23">
        <v>60.0</v>
      </c>
      <c r="F303" s="23">
        <v>1081.1423181666667</v>
      </c>
      <c r="G303" s="23">
        <v>648.6853909</v>
      </c>
      <c r="H303" s="23">
        <v>0.13008976193573565</v>
      </c>
    </row>
    <row r="304">
      <c r="A304" s="5" t="s">
        <v>15</v>
      </c>
      <c r="B304" s="5" t="s">
        <v>24</v>
      </c>
      <c r="C304" s="23">
        <v>89.82548519851404</v>
      </c>
      <c r="D304" s="23">
        <v>139.21495672903922</v>
      </c>
      <c r="E304" s="23">
        <v>10.0</v>
      </c>
      <c r="F304" s="23">
        <v>515.8378196666666</v>
      </c>
      <c r="G304" s="23">
        <v>51.58378196666667</v>
      </c>
      <c r="H304" s="23">
        <v>0.17413512885999535</v>
      </c>
    </row>
    <row r="305">
      <c r="A305" s="5" t="s">
        <v>22</v>
      </c>
      <c r="B305" s="5" t="s">
        <v>78</v>
      </c>
      <c r="C305" s="23">
        <v>165.86439069919</v>
      </c>
      <c r="D305" s="23">
        <v>340.21759199847224</v>
      </c>
      <c r="E305" s="23">
        <v>4.477611940298507</v>
      </c>
      <c r="F305" s="23">
        <v>1187.6996136666667</v>
      </c>
      <c r="G305" s="23">
        <v>53.18057971641791</v>
      </c>
      <c r="H305" s="23">
        <v>0.31188902336840146</v>
      </c>
    </row>
    <row r="306">
      <c r="A306" s="5" t="s">
        <v>61</v>
      </c>
      <c r="B306" s="5" t="s">
        <v>17</v>
      </c>
      <c r="C306" s="23">
        <v>163.78352397036392</v>
      </c>
      <c r="D306" s="23">
        <v>323.6875932385874</v>
      </c>
      <c r="E306" s="23">
        <v>8.0</v>
      </c>
      <c r="F306" s="23">
        <v>751.6025915</v>
      </c>
      <c r="G306" s="23">
        <v>60.12820732</v>
      </c>
      <c r="H306" s="23">
        <v>0.2723904990193942</v>
      </c>
    </row>
    <row r="307">
      <c r="A307" s="5" t="s">
        <v>22</v>
      </c>
      <c r="B307" s="5" t="s">
        <v>24</v>
      </c>
      <c r="C307" s="23">
        <v>162.9637681415929</v>
      </c>
      <c r="D307" s="23">
        <v>410.9323470013947</v>
      </c>
      <c r="E307" s="23">
        <v>14.285714285714285</v>
      </c>
      <c r="F307" s="23">
        <v>491.06415466666664</v>
      </c>
      <c r="G307" s="23">
        <v>70.1520220952381</v>
      </c>
      <c r="H307" s="23">
        <v>0.2323008849557522</v>
      </c>
    </row>
    <row r="308">
      <c r="A308" s="5" t="s">
        <v>22</v>
      </c>
      <c r="B308" s="5" t="s">
        <v>78</v>
      </c>
      <c r="C308" s="23">
        <v>68.10068781531717</v>
      </c>
      <c r="D308" s="23">
        <v>94.50851263988521</v>
      </c>
      <c r="E308" s="23">
        <v>4.398826979472141</v>
      </c>
      <c r="F308" s="23">
        <v>439.1495554</v>
      </c>
      <c r="G308" s="23">
        <v>19.317429123167155</v>
      </c>
      <c r="H308" s="23">
        <v>0.35253494334629065</v>
      </c>
    </row>
    <row r="309">
      <c r="A309" s="5" t="s">
        <v>22</v>
      </c>
      <c r="B309" s="5" t="s">
        <v>29</v>
      </c>
      <c r="C309" s="23">
        <v>116.49928013974298</v>
      </c>
      <c r="D309" s="23">
        <v>177.7023361588083</v>
      </c>
      <c r="E309" s="23">
        <v>9.130434782608695</v>
      </c>
      <c r="F309" s="23">
        <v>271.53763166666664</v>
      </c>
      <c r="G309" s="23">
        <v>24.792566369565215</v>
      </c>
      <c r="H309" s="23">
        <v>0.4698960099699675</v>
      </c>
    </row>
    <row r="310">
      <c r="A310" s="5" t="s">
        <v>61</v>
      </c>
      <c r="B310" s="5" t="s">
        <v>78</v>
      </c>
      <c r="C310" s="23">
        <v>82.81920440123521</v>
      </c>
      <c r="D310" s="23">
        <v>116.60491314110988</v>
      </c>
      <c r="E310" s="23">
        <v>5.142857142857142</v>
      </c>
      <c r="F310" s="23">
        <v>542.3553632222223</v>
      </c>
      <c r="G310" s="23">
        <v>27.89256153714286</v>
      </c>
      <c r="H310" s="23">
        <v>0.29692218941938986</v>
      </c>
    </row>
    <row r="311">
      <c r="A311" s="5" t="s">
        <v>15</v>
      </c>
      <c r="B311" s="5" t="s">
        <v>35</v>
      </c>
      <c r="C311" s="23">
        <v>74.02673052597217</v>
      </c>
      <c r="D311" s="23">
        <v>119.55406010082704</v>
      </c>
      <c r="E311" s="23">
        <v>6.0</v>
      </c>
      <c r="F311" s="23">
        <v>604.7243616666666</v>
      </c>
      <c r="G311" s="23">
        <v>36.2834617</v>
      </c>
      <c r="H311" s="23">
        <v>0.2040233402701269</v>
      </c>
    </row>
    <row r="312">
      <c r="A312" s="5" t="s">
        <v>22</v>
      </c>
      <c r="B312" s="5" t="s">
        <v>433</v>
      </c>
      <c r="C312" s="23">
        <v>38.11685058182185</v>
      </c>
      <c r="D312" s="23">
        <v>54.896066186066754</v>
      </c>
      <c r="E312" s="23">
        <v>5.172413793103448</v>
      </c>
      <c r="F312" s="23">
        <v>294.44420033333336</v>
      </c>
      <c r="G312" s="23">
        <v>15.229872431034483</v>
      </c>
      <c r="H312" s="23">
        <v>0.25027688678566806</v>
      </c>
    </row>
    <row r="313">
      <c r="A313" s="5" t="s">
        <v>61</v>
      </c>
      <c r="B313" s="5" t="s">
        <v>95</v>
      </c>
      <c r="C313" s="23">
        <v>45.74253951798924</v>
      </c>
      <c r="D313" s="23">
        <v>65.00400749783354</v>
      </c>
      <c r="E313" s="23">
        <v>7.246376811594203</v>
      </c>
      <c r="F313" s="23">
        <v>345.0542726</v>
      </c>
      <c r="G313" s="23">
        <v>25.00393279710145</v>
      </c>
      <c r="H313" s="23">
        <v>0.18294137921891987</v>
      </c>
    </row>
    <row r="314">
      <c r="A314" s="5" t="s">
        <v>15</v>
      </c>
      <c r="B314" s="5" t="s">
        <v>131</v>
      </c>
      <c r="C314" s="23">
        <v>100.99862626262626</v>
      </c>
      <c r="D314" s="23">
        <v>189.15834536855462</v>
      </c>
      <c r="E314" s="23">
        <v>22.0</v>
      </c>
      <c r="F314" s="23">
        <v>149.07397236363636</v>
      </c>
      <c r="G314" s="23">
        <v>32.79627392</v>
      </c>
      <c r="H314" s="23">
        <v>0.30795762503079577</v>
      </c>
    </row>
    <row r="315">
      <c r="A315" s="5" t="s">
        <v>22</v>
      </c>
      <c r="B315" s="5" t="s">
        <v>35</v>
      </c>
      <c r="C315" s="23">
        <v>171.67255497722837</v>
      </c>
      <c r="D315" s="23">
        <v>295.80797869955154</v>
      </c>
      <c r="E315" s="23">
        <v>6.0606060606060606</v>
      </c>
      <c r="F315" s="23">
        <v>791.582151</v>
      </c>
      <c r="G315" s="23">
        <v>47.974675818181815</v>
      </c>
      <c r="H315" s="23">
        <v>0.357839947950553</v>
      </c>
    </row>
    <row r="316">
      <c r="A316" s="5" t="s">
        <v>22</v>
      </c>
      <c r="B316" s="5" t="s">
        <v>240</v>
      </c>
      <c r="C316" s="23">
        <v>775.0524202599295</v>
      </c>
      <c r="D316" s="23">
        <v>1190.2642372691662</v>
      </c>
      <c r="E316" s="23">
        <v>6.153846153846154</v>
      </c>
      <c r="F316" s="23">
        <v>1595.251644</v>
      </c>
      <c r="G316" s="23">
        <v>98.16933193846154</v>
      </c>
      <c r="H316" s="23">
        <v>0.7895056480019433</v>
      </c>
    </row>
    <row r="317">
      <c r="A317" s="5" t="s">
        <v>22</v>
      </c>
      <c r="B317" s="5" t="s">
        <v>173</v>
      </c>
      <c r="C317" s="23">
        <v>170.80105280674508</v>
      </c>
      <c r="D317" s="23">
        <v>304.63013256826275</v>
      </c>
      <c r="E317" s="23">
        <v>15.384615384615385</v>
      </c>
      <c r="F317" s="23">
        <v>384.9001725</v>
      </c>
      <c r="G317" s="23">
        <v>59.215411153846155</v>
      </c>
      <c r="H317" s="23">
        <v>0.2884402041269137</v>
      </c>
    </row>
    <row r="318">
      <c r="A318" s="5" t="s">
        <v>15</v>
      </c>
      <c r="B318" s="5" t="s">
        <v>84</v>
      </c>
      <c r="C318" s="23">
        <v>588.6819222840651</v>
      </c>
      <c r="D318" s="23">
        <v>1026.4902965492452</v>
      </c>
      <c r="E318" s="23">
        <v>2.5</v>
      </c>
      <c r="F318" s="23">
        <v>5711.39201</v>
      </c>
      <c r="G318" s="23">
        <v>142.78480025</v>
      </c>
      <c r="H318" s="23">
        <v>0.4122861265718408</v>
      </c>
    </row>
    <row r="319">
      <c r="A319" s="5" t="s">
        <v>15</v>
      </c>
      <c r="B319" s="5" t="s">
        <v>173</v>
      </c>
      <c r="C319" s="23">
        <v>39.259256837501745</v>
      </c>
      <c r="D319" s="23">
        <v>101.19286654560406</v>
      </c>
      <c r="E319" s="23">
        <v>3.3333333333333335</v>
      </c>
      <c r="F319" s="23">
        <v>421.916429</v>
      </c>
      <c r="G319" s="23">
        <v>14.063880966666668</v>
      </c>
      <c r="H319" s="23">
        <v>0.27914952444884583</v>
      </c>
    </row>
    <row r="320">
      <c r="A320" s="5" t="s">
        <v>22</v>
      </c>
      <c r="B320" s="5" t="s">
        <v>471</v>
      </c>
      <c r="C320" s="23">
        <v>24.88062335250168</v>
      </c>
      <c r="D320" s="23">
        <v>164.05063882930878</v>
      </c>
      <c r="E320" s="23">
        <v>4.159733777038269</v>
      </c>
      <c r="F320" s="23">
        <v>189.68191063999998</v>
      </c>
      <c r="G320" s="23">
        <v>7.890262505823626</v>
      </c>
      <c r="H320" s="23">
        <v>0.31533327736736066</v>
      </c>
    </row>
    <row r="321">
      <c r="A321" s="5" t="s">
        <v>22</v>
      </c>
      <c r="B321" s="5" t="s">
        <v>35</v>
      </c>
      <c r="C321" s="23">
        <v>243.7941438451974</v>
      </c>
      <c r="D321" s="23">
        <v>484.725439276885</v>
      </c>
      <c r="E321" s="23">
        <v>7.5</v>
      </c>
      <c r="F321" s="23">
        <v>522.8571738333334</v>
      </c>
      <c r="G321" s="23">
        <v>39.2142880375</v>
      </c>
      <c r="H321" s="23">
        <v>0.6216972334473112</v>
      </c>
    </row>
    <row r="322">
      <c r="A322" s="5" t="s">
        <v>22</v>
      </c>
      <c r="B322" s="5" t="s">
        <v>29</v>
      </c>
      <c r="C322" s="23">
        <v>210.677350369798</v>
      </c>
      <c r="D322" s="23">
        <v>3240.2820322580646</v>
      </c>
      <c r="E322" s="23">
        <v>18.181818181818183</v>
      </c>
      <c r="F322" s="23">
        <v>477.13152925</v>
      </c>
      <c r="G322" s="23">
        <v>86.75118713636364</v>
      </c>
      <c r="H322" s="23">
        <v>0.2428524119660007</v>
      </c>
    </row>
    <row r="323">
      <c r="A323" s="5" t="s">
        <v>15</v>
      </c>
      <c r="B323" s="5" t="s">
        <v>45</v>
      </c>
      <c r="C323" s="23">
        <v>114.79663656941649</v>
      </c>
      <c r="D323" s="23">
        <v>242.68585776950684</v>
      </c>
      <c r="E323" s="23">
        <v>1.0526315789473684</v>
      </c>
      <c r="F323" s="23">
        <v>912.862854</v>
      </c>
      <c r="G323" s="23">
        <v>9.60908267368421</v>
      </c>
      <c r="H323" s="23">
        <v>1.1946680080482897</v>
      </c>
    </row>
    <row r="324">
      <c r="A324" s="5" t="s">
        <v>61</v>
      </c>
      <c r="B324" s="5" t="s">
        <v>35</v>
      </c>
      <c r="C324" s="23">
        <v>867.0188758629506</v>
      </c>
      <c r="D324" s="23">
        <v>1791.2893943475963</v>
      </c>
      <c r="E324" s="23">
        <v>52.0</v>
      </c>
      <c r="F324" s="23">
        <v>521.6785882307693</v>
      </c>
      <c r="G324" s="23">
        <v>271.27286588</v>
      </c>
      <c r="H324" s="23">
        <v>0.3196113525952442</v>
      </c>
    </row>
    <row r="325">
      <c r="A325" s="5" t="s">
        <v>22</v>
      </c>
      <c r="B325" s="5" t="s">
        <v>173</v>
      </c>
      <c r="C325" s="23">
        <v>459.8255609955788</v>
      </c>
      <c r="D325" s="23">
        <v>1044.7004095982143</v>
      </c>
      <c r="E325" s="23">
        <v>14.000000000000002</v>
      </c>
      <c r="F325" s="23">
        <v>802.3299145714285</v>
      </c>
      <c r="G325" s="23">
        <v>112.32618803999999</v>
      </c>
      <c r="H325" s="23">
        <v>0.40936630096610443</v>
      </c>
    </row>
    <row r="326">
      <c r="A326" s="5" t="s">
        <v>15</v>
      </c>
      <c r="B326" s="5" t="s">
        <v>55</v>
      </c>
      <c r="C326" s="23">
        <v>51.161487677540464</v>
      </c>
      <c r="D326" s="23">
        <v>70.27138055577177</v>
      </c>
      <c r="E326" s="23">
        <v>11.200000000000001</v>
      </c>
      <c r="F326" s="23">
        <v>257.9361217142857</v>
      </c>
      <c r="G326" s="23">
        <v>28.888845632</v>
      </c>
      <c r="H326" s="23">
        <v>0.17709772252328834</v>
      </c>
    </row>
    <row r="327">
      <c r="A327" s="5" t="s">
        <v>22</v>
      </c>
      <c r="B327" s="5" t="s">
        <v>35</v>
      </c>
      <c r="C327" s="23">
        <v>899.1609234761778</v>
      </c>
      <c r="D327" s="23">
        <v>2553.399538548753</v>
      </c>
      <c r="E327" s="23">
        <v>15.0</v>
      </c>
      <c r="F327" s="23">
        <v>2252.0983929999998</v>
      </c>
      <c r="G327" s="23">
        <v>337.81475895</v>
      </c>
      <c r="H327" s="23">
        <v>0.2661698163428267</v>
      </c>
    </row>
    <row r="328">
      <c r="A328" s="5" t="s">
        <v>15</v>
      </c>
      <c r="B328" s="5" t="s">
        <v>32</v>
      </c>
      <c r="C328" s="23">
        <v>218.12102895600788</v>
      </c>
      <c r="D328" s="23">
        <v>304.3502767750802</v>
      </c>
      <c r="E328" s="23">
        <v>26.31578947368421</v>
      </c>
      <c r="F328" s="23">
        <v>265.75866168</v>
      </c>
      <c r="G328" s="23">
        <v>69.93648991578948</v>
      </c>
      <c r="H328" s="23">
        <v>0.3118844386080105</v>
      </c>
    </row>
    <row r="329">
      <c r="A329" s="5" t="s">
        <v>15</v>
      </c>
      <c r="B329" s="5" t="s">
        <v>35</v>
      </c>
      <c r="C329" s="23">
        <v>424.6020024142583</v>
      </c>
      <c r="D329" s="23">
        <v>601.274007038713</v>
      </c>
      <c r="E329" s="23">
        <v>11.34020618556701</v>
      </c>
      <c r="F329" s="23">
        <v>543.6063636363637</v>
      </c>
      <c r="G329" s="23">
        <v>61.6460824742268</v>
      </c>
      <c r="H329" s="23">
        <v>0.68877369878577</v>
      </c>
    </row>
    <row r="330">
      <c r="A330" s="5" t="s">
        <v>61</v>
      </c>
      <c r="B330" s="5" t="s">
        <v>35</v>
      </c>
      <c r="C330" s="23">
        <v>58.27845642527333</v>
      </c>
      <c r="D330" s="23">
        <v>79.42068852659965</v>
      </c>
      <c r="E330" s="23">
        <v>1.839080459770115</v>
      </c>
      <c r="F330" s="23">
        <v>728.903224125</v>
      </c>
      <c r="G330" s="23">
        <v>13.40511676551724</v>
      </c>
      <c r="H330" s="23">
        <v>0.4347478462491755</v>
      </c>
    </row>
    <row r="331">
      <c r="A331" s="5" t="s">
        <v>15</v>
      </c>
      <c r="B331" s="5" t="s">
        <v>78</v>
      </c>
      <c r="C331" s="23">
        <v>68.97516824480644</v>
      </c>
      <c r="D331" s="23">
        <v>95.40203473757134</v>
      </c>
      <c r="E331" s="23">
        <v>7.614213197969544</v>
      </c>
      <c r="F331" s="23">
        <v>385.58958386666666</v>
      </c>
      <c r="G331" s="23">
        <v>29.359612984771573</v>
      </c>
      <c r="H331" s="23">
        <v>0.23493214396450973</v>
      </c>
    </row>
    <row r="332">
      <c r="A332" s="5" t="s">
        <v>15</v>
      </c>
      <c r="B332" s="5" t="s">
        <v>17</v>
      </c>
      <c r="C332" s="23">
        <v>50.978493850383444</v>
      </c>
      <c r="D332" s="23">
        <v>68.38095784325142</v>
      </c>
      <c r="E332" s="23">
        <v>1.4814814814814816</v>
      </c>
      <c r="F332" s="23">
        <v>1321.17139125</v>
      </c>
      <c r="G332" s="23">
        <v>19.572909499999998</v>
      </c>
      <c r="H332" s="23">
        <v>0.26045434814064533</v>
      </c>
    </row>
    <row r="333">
      <c r="A333" s="5" t="s">
        <v>15</v>
      </c>
      <c r="B333" s="5" t="s">
        <v>35</v>
      </c>
      <c r="C333" s="23">
        <v>192.27412391363129</v>
      </c>
      <c r="D333" s="23">
        <v>270.79669209008813</v>
      </c>
      <c r="E333" s="23">
        <v>13.636363636363635</v>
      </c>
      <c r="F333" s="23">
        <v>331.8523196</v>
      </c>
      <c r="G333" s="23">
        <v>45.25258903636364</v>
      </c>
      <c r="H333" s="23">
        <v>0.4248908802966511</v>
      </c>
    </row>
    <row r="334">
      <c r="A334" s="5" t="s">
        <v>61</v>
      </c>
      <c r="B334" s="5" t="s">
        <v>24</v>
      </c>
      <c r="C334" s="23">
        <v>111.41873511695613</v>
      </c>
      <c r="D334" s="23">
        <v>158.5431978143638</v>
      </c>
      <c r="E334" s="23">
        <v>2.9702970297029703</v>
      </c>
      <c r="F334" s="23">
        <v>1479.7893606666667</v>
      </c>
      <c r="G334" s="23">
        <v>43.954139425742575</v>
      </c>
      <c r="H334" s="23">
        <v>0.2534886055616906</v>
      </c>
    </row>
    <row r="335">
      <c r="A335" s="5" t="s">
        <v>15</v>
      </c>
      <c r="B335" s="5" t="s">
        <v>17</v>
      </c>
      <c r="C335" s="23">
        <v>18.706344639617754</v>
      </c>
      <c r="D335" s="23">
        <v>25.724563294902204</v>
      </c>
      <c r="E335" s="23">
        <v>1.0416666666666665</v>
      </c>
      <c r="F335" s="23">
        <v>839.3873553999999</v>
      </c>
      <c r="G335" s="23">
        <v>8.743618285416666</v>
      </c>
      <c r="H335" s="23">
        <v>0.2139428326922477</v>
      </c>
    </row>
    <row r="336">
      <c r="A336" s="5" t="s">
        <v>22</v>
      </c>
      <c r="B336" s="5" t="s">
        <v>240</v>
      </c>
      <c r="C336" s="23">
        <v>223.04897415416585</v>
      </c>
      <c r="D336" s="23">
        <v>1010.8096389052384</v>
      </c>
      <c r="E336" s="23">
        <v>8.571428571428571</v>
      </c>
      <c r="F336" s="23">
        <v>1144.9103843333335</v>
      </c>
      <c r="G336" s="23">
        <v>98.1351758</v>
      </c>
      <c r="H336" s="23">
        <v>0.22728748620040262</v>
      </c>
    </row>
    <row r="337">
      <c r="A337" s="5" t="s">
        <v>15</v>
      </c>
      <c r="B337" s="5" t="s">
        <v>17</v>
      </c>
      <c r="C337" s="23">
        <v>14.232485552134452</v>
      </c>
      <c r="D337" s="23">
        <v>18.94371979401916</v>
      </c>
      <c r="E337" s="23">
        <v>3.6363636363636362</v>
      </c>
      <c r="F337" s="23">
        <v>486.51261175</v>
      </c>
      <c r="G337" s="23">
        <v>17.6913677</v>
      </c>
      <c r="H337" s="23">
        <v>0.08044875779804436</v>
      </c>
    </row>
    <row r="338">
      <c r="A338" s="5" t="s">
        <v>22</v>
      </c>
      <c r="B338" s="5" t="s">
        <v>531</v>
      </c>
      <c r="C338" s="23">
        <v>9.071925581371946</v>
      </c>
      <c r="D338" s="23">
        <v>13.099125289686086</v>
      </c>
      <c r="E338" s="23">
        <v>0.8333333333333334</v>
      </c>
      <c r="F338" s="23">
        <v>450.77037425</v>
      </c>
      <c r="G338" s="23">
        <v>3.7564197854166665</v>
      </c>
      <c r="H338" s="23">
        <v>0.24150457349286053</v>
      </c>
    </row>
    <row r="339">
      <c r="A339" s="5" t="s">
        <v>15</v>
      </c>
      <c r="B339" s="5" t="s">
        <v>84</v>
      </c>
      <c r="C339" s="23">
        <v>109.80662608927027</v>
      </c>
      <c r="D339" s="23">
        <v>300.4045514103731</v>
      </c>
      <c r="E339" s="23">
        <v>3.9473684210526314</v>
      </c>
      <c r="F339" s="23">
        <v>550.2410033333333</v>
      </c>
      <c r="G339" s="23">
        <v>21.720039605263157</v>
      </c>
      <c r="H339" s="23">
        <v>0.5055544468835229</v>
      </c>
    </row>
    <row r="340">
      <c r="A340" s="5" t="s">
        <v>15</v>
      </c>
      <c r="B340" s="5" t="s">
        <v>78</v>
      </c>
      <c r="C340" s="23">
        <v>17.01807643902334</v>
      </c>
      <c r="D340" s="23">
        <v>23.38643649124885</v>
      </c>
      <c r="E340" s="23">
        <v>5.188679245283019</v>
      </c>
      <c r="F340" s="23">
        <v>143.57996381818182</v>
      </c>
      <c r="G340" s="23">
        <v>7.4499037830188675</v>
      </c>
      <c r="H340" s="23">
        <v>0.2284335064543241</v>
      </c>
    </row>
    <row r="341">
      <c r="A341" s="5" t="s">
        <v>22</v>
      </c>
      <c r="B341" s="5" t="s">
        <v>29</v>
      </c>
      <c r="C341" s="23">
        <v>8.402352518987477</v>
      </c>
      <c r="D341" s="23">
        <v>11.880943516260471</v>
      </c>
      <c r="E341" s="23">
        <v>1.0810810810810811</v>
      </c>
      <c r="F341" s="23">
        <v>392.184005</v>
      </c>
      <c r="G341" s="23">
        <v>4.239827081081081</v>
      </c>
      <c r="H341" s="23">
        <v>0.19817677368212444</v>
      </c>
    </row>
    <row r="342">
      <c r="A342" s="5" t="s">
        <v>22</v>
      </c>
      <c r="B342" s="5" t="s">
        <v>29</v>
      </c>
      <c r="C342" s="23">
        <v>21.81131177678778</v>
      </c>
      <c r="D342" s="23">
        <v>37.16809669468339</v>
      </c>
      <c r="E342" s="23">
        <v>1.5789473684210527</v>
      </c>
      <c r="F342" s="23">
        <v>502.6489503333333</v>
      </c>
      <c r="G342" s="23">
        <v>7.93656237368421</v>
      </c>
      <c r="H342" s="23">
        <v>0.2748206433695904</v>
      </c>
    </row>
    <row r="343">
      <c r="A343" s="5" t="s">
        <v>15</v>
      </c>
      <c r="B343" s="5" t="s">
        <v>95</v>
      </c>
      <c r="C343" s="23">
        <v>46.569842414446896</v>
      </c>
      <c r="D343" s="23">
        <v>61.3375175011258</v>
      </c>
      <c r="E343" s="23">
        <v>10.576923076923077</v>
      </c>
      <c r="F343" s="23">
        <v>136.20832181818182</v>
      </c>
      <c r="G343" s="23">
        <v>14.406649423076923</v>
      </c>
      <c r="H343" s="23">
        <v>0.3232524166226339</v>
      </c>
    </row>
    <row r="344">
      <c r="A344" s="5" t="s">
        <v>22</v>
      </c>
      <c r="B344" s="5" t="s">
        <v>24</v>
      </c>
      <c r="C344" s="23">
        <v>16.237831882817865</v>
      </c>
      <c r="D344" s="23">
        <v>22.02278264720254</v>
      </c>
      <c r="E344" s="23">
        <v>3.0</v>
      </c>
      <c r="F344" s="23">
        <v>240.3713316666667</v>
      </c>
      <c r="G344" s="23">
        <v>7.211139950000001</v>
      </c>
      <c r="H344" s="23">
        <v>0.22517704545198663</v>
      </c>
    </row>
    <row r="345">
      <c r="A345" s="5" t="s">
        <v>22</v>
      </c>
      <c r="B345" s="5" t="s">
        <v>35</v>
      </c>
      <c r="C345" s="23">
        <v>6.1861863725970965</v>
      </c>
      <c r="D345" s="23">
        <v>11.093801462079432</v>
      </c>
      <c r="E345" s="23">
        <v>3.6028119507908607</v>
      </c>
      <c r="F345" s="23">
        <v>66.56190683739837</v>
      </c>
      <c r="G345" s="23">
        <v>2.398100334212068</v>
      </c>
      <c r="H345" s="23">
        <v>0.2579619494790514</v>
      </c>
    </row>
    <row r="346">
      <c r="A346" s="5" t="s">
        <v>15</v>
      </c>
      <c r="B346" s="5" t="s">
        <v>35</v>
      </c>
      <c r="C346" s="23">
        <v>11.050615110840361</v>
      </c>
      <c r="D346" s="23">
        <v>18.980396304849883</v>
      </c>
      <c r="E346" s="23">
        <v>1.701931922723091</v>
      </c>
      <c r="F346" s="23">
        <v>217.67949643243242</v>
      </c>
      <c r="G346" s="23">
        <v>3.7047568390064396</v>
      </c>
      <c r="H346" s="23">
        <v>0.2982817925994833</v>
      </c>
    </row>
    <row r="347">
      <c r="A347" s="5" t="s">
        <v>22</v>
      </c>
      <c r="B347" s="5" t="s">
        <v>78</v>
      </c>
      <c r="C347" s="23">
        <v>7.710455914380863</v>
      </c>
      <c r="D347" s="23">
        <v>11.129355848672686</v>
      </c>
      <c r="E347" s="23">
        <v>1.0786360473208072</v>
      </c>
      <c r="F347" s="23">
        <v>251.24843938709677</v>
      </c>
      <c r="G347" s="23">
        <v>2.7100562355601947</v>
      </c>
      <c r="H347" s="23">
        <v>0.28451276446619705</v>
      </c>
    </row>
    <row r="348">
      <c r="A348" s="5" t="s">
        <v>15</v>
      </c>
      <c r="B348" s="5" t="s">
        <v>78</v>
      </c>
      <c r="C348" s="23">
        <v>3.9507690297969686</v>
      </c>
      <c r="D348" s="23">
        <v>7.8762585736977835</v>
      </c>
      <c r="E348" s="23">
        <v>2.3230330922638616</v>
      </c>
      <c r="F348" s="23">
        <v>72.92679826415095</v>
      </c>
      <c r="G348" s="23">
        <v>1.6941136568047337</v>
      </c>
      <c r="H348" s="23">
        <v>0.23320566562508627</v>
      </c>
    </row>
    <row r="349">
      <c r="A349" s="5" t="s">
        <v>15</v>
      </c>
      <c r="B349" s="5" t="s">
        <v>55</v>
      </c>
      <c r="C349" s="23">
        <v>322.07907941448644</v>
      </c>
      <c r="D349" s="23">
        <v>713.2844</v>
      </c>
      <c r="E349" s="23">
        <v>40.0</v>
      </c>
      <c r="F349" s="23">
        <v>319.0461680833333</v>
      </c>
      <c r="G349" s="23">
        <v>127.61846723333333</v>
      </c>
      <c r="H349" s="23">
        <v>0.25237654580634306</v>
      </c>
    </row>
    <row r="350">
      <c r="A350" s="5" t="s">
        <v>61</v>
      </c>
      <c r="B350" s="5" t="s">
        <v>35</v>
      </c>
      <c r="C350" s="23">
        <v>6.920963803148516</v>
      </c>
      <c r="D350" s="23">
        <v>12.701302447149567</v>
      </c>
      <c r="E350" s="23">
        <v>0.4769076305220884</v>
      </c>
      <c r="F350" s="23">
        <v>394.5131498421053</v>
      </c>
      <c r="G350" s="23">
        <v>1.8814633150100402</v>
      </c>
      <c r="H350" s="23">
        <v>0.36785005309080837</v>
      </c>
    </row>
    <row r="351">
      <c r="A351" s="5" t="s">
        <v>61</v>
      </c>
      <c r="B351" s="5" t="s">
        <v>78</v>
      </c>
      <c r="C351" s="23">
        <v>38.7267826965367</v>
      </c>
      <c r="D351" s="23">
        <v>72.26562165194365</v>
      </c>
      <c r="E351" s="23">
        <v>7.222222222222221</v>
      </c>
      <c r="F351" s="23">
        <v>549.9858519230769</v>
      </c>
      <c r="G351" s="23">
        <v>39.72120041666666</v>
      </c>
      <c r="H351" s="23">
        <v>0.09749650637518822</v>
      </c>
    </row>
    <row r="352">
      <c r="A352" s="5" t="s">
        <v>22</v>
      </c>
      <c r="B352" s="5" t="s">
        <v>35</v>
      </c>
      <c r="C352" s="23">
        <v>8.116094157064508</v>
      </c>
      <c r="D352" s="23">
        <v>13.923731055554656</v>
      </c>
      <c r="E352" s="23">
        <v>0.5502751375687844</v>
      </c>
      <c r="F352" s="23">
        <v>547.6747715454545</v>
      </c>
      <c r="G352" s="23">
        <v>3.0137181025512754</v>
      </c>
      <c r="H352" s="23">
        <v>0.2693050206054042</v>
      </c>
    </row>
    <row r="353">
      <c r="A353" s="5" t="s">
        <v>15</v>
      </c>
      <c r="B353" s="5" t="s">
        <v>17</v>
      </c>
      <c r="C353" s="23">
        <v>3.433069121549909</v>
      </c>
      <c r="D353" s="23">
        <v>6.281495366352723</v>
      </c>
      <c r="E353" s="23">
        <v>0.41109969167523125</v>
      </c>
      <c r="F353" s="23">
        <v>295.32324835</v>
      </c>
      <c r="G353" s="23">
        <v>1.2140729634121274</v>
      </c>
      <c r="H353" s="23">
        <v>0.28277288309767956</v>
      </c>
    </row>
    <row r="354">
      <c r="A354" s="5" t="s">
        <v>15</v>
      </c>
      <c r="B354" s="5" t="s">
        <v>45</v>
      </c>
      <c r="C354" s="23">
        <v>7.586320416500364</v>
      </c>
      <c r="D354" s="23">
        <v>16.897785360879254</v>
      </c>
      <c r="E354" s="23">
        <v>0.8568548387096774</v>
      </c>
      <c r="F354" s="23">
        <v>342.1314481764706</v>
      </c>
      <c r="G354" s="23">
        <v>2.9315698684475806</v>
      </c>
      <c r="H354" s="23">
        <v>0.25878013340741957</v>
      </c>
    </row>
    <row r="355">
      <c r="A355" s="5" t="s">
        <v>15</v>
      </c>
      <c r="B355" s="5" t="s">
        <v>131</v>
      </c>
      <c r="C355" s="23">
        <v>358.96588784792937</v>
      </c>
      <c r="D355" s="23">
        <v>824.8935301092043</v>
      </c>
      <c r="E355" s="23">
        <v>6.976744186046512</v>
      </c>
      <c r="F355" s="23">
        <v>881.2612546666666</v>
      </c>
      <c r="G355" s="23">
        <v>61.4833433488372</v>
      </c>
      <c r="H355" s="23">
        <v>0.5838424983027835</v>
      </c>
    </row>
    <row r="356">
      <c r="A356" s="5" t="s">
        <v>22</v>
      </c>
      <c r="B356" s="5" t="s">
        <v>121</v>
      </c>
      <c r="C356" s="23">
        <v>25.226688432000383</v>
      </c>
      <c r="D356" s="23">
        <v>260.2167868779179</v>
      </c>
      <c r="E356" s="23">
        <v>6.640625</v>
      </c>
      <c r="F356" s="23">
        <v>154.09425844117646</v>
      </c>
      <c r="G356" s="23">
        <v>10.232821849609374</v>
      </c>
      <c r="H356" s="23">
        <v>0.2465271926234442</v>
      </c>
    </row>
    <row r="357">
      <c r="A357" s="5" t="s">
        <v>15</v>
      </c>
      <c r="B357" s="5" t="s">
        <v>17</v>
      </c>
      <c r="C357" s="23">
        <v>5.700399475629305</v>
      </c>
      <c r="D357" s="23">
        <v>8.036468888485599</v>
      </c>
      <c r="E357" s="23">
        <v>1.6129032258064515</v>
      </c>
      <c r="F357" s="23">
        <v>161.90898071875</v>
      </c>
      <c r="G357" s="23">
        <v>2.6114351728830645</v>
      </c>
      <c r="H357" s="23">
        <v>0.21828608019152843</v>
      </c>
    </row>
    <row r="358">
      <c r="A358" s="5" t="s">
        <v>15</v>
      </c>
      <c r="B358" s="5" t="s">
        <v>35</v>
      </c>
      <c r="C358" s="23">
        <v>10.557317544747677</v>
      </c>
      <c r="D358" s="23">
        <v>14.752633889087019</v>
      </c>
      <c r="E358" s="23">
        <v>0.3191489361702127</v>
      </c>
      <c r="F358" s="23">
        <v>1654.655417</v>
      </c>
      <c r="G358" s="23">
        <v>5.280815160638298</v>
      </c>
      <c r="H358" s="23">
        <v>0.19991833123489977</v>
      </c>
    </row>
    <row r="359">
      <c r="A359" s="5" t="s">
        <v>22</v>
      </c>
      <c r="B359" s="5" t="s">
        <v>78</v>
      </c>
      <c r="C359" s="23">
        <v>37.821779073509354</v>
      </c>
      <c r="D359" s="23">
        <v>193.59446521295786</v>
      </c>
      <c r="E359" s="23">
        <v>1.4925373134328357</v>
      </c>
      <c r="F359" s="23">
        <v>822.7119456666666</v>
      </c>
      <c r="G359" s="23">
        <v>12.279282771144278</v>
      </c>
      <c r="H359" s="23">
        <v>0.3080129334784008</v>
      </c>
    </row>
    <row r="360">
      <c r="A360" s="5" t="s">
        <v>22</v>
      </c>
      <c r="B360" s="5" t="s">
        <v>66</v>
      </c>
      <c r="C360" s="23">
        <v>73.99296126181338</v>
      </c>
      <c r="D360" s="23">
        <v>182.19393042649511</v>
      </c>
      <c r="E360" s="23">
        <v>9.195402298850574</v>
      </c>
      <c r="F360" s="23">
        <v>286.75047225</v>
      </c>
      <c r="G360" s="23">
        <v>26.367859517241378</v>
      </c>
      <c r="H360" s="23">
        <v>0.2806180047092217</v>
      </c>
    </row>
    <row r="361">
      <c r="A361" s="5" t="s">
        <v>15</v>
      </c>
      <c r="B361" s="5" t="s">
        <v>55</v>
      </c>
      <c r="C361" s="23">
        <v>172.1962657068063</v>
      </c>
      <c r="D361" s="23">
        <v>343.3351395455941</v>
      </c>
      <c r="E361" s="23">
        <v>5.797101449275362</v>
      </c>
      <c r="F361" s="23">
        <v>559.12127475</v>
      </c>
      <c r="G361" s="23">
        <v>32.41282752173913</v>
      </c>
      <c r="H361" s="23">
        <v>0.5312596242685556</v>
      </c>
    </row>
    <row r="362">
      <c r="A362" s="5" t="s">
        <v>61</v>
      </c>
      <c r="B362" s="5" t="s">
        <v>35</v>
      </c>
      <c r="C362" s="23">
        <v>3.0845417512448785</v>
      </c>
      <c r="D362" s="23">
        <v>5.09027811964206</v>
      </c>
      <c r="E362" s="23">
        <v>0.5517241379310345</v>
      </c>
      <c r="F362" s="23">
        <v>216.7287715</v>
      </c>
      <c r="G362" s="23">
        <v>1.1957449462068965</v>
      </c>
      <c r="H362" s="23">
        <v>0.25795984010047984</v>
      </c>
    </row>
    <row r="363">
      <c r="A363" s="5" t="s">
        <v>22</v>
      </c>
      <c r="B363" s="5" t="s">
        <v>29</v>
      </c>
      <c r="C363" s="23">
        <v>2.2117934040167846</v>
      </c>
      <c r="D363" s="23">
        <v>3.802529345292902</v>
      </c>
      <c r="E363" s="23">
        <v>0.5032021957913998</v>
      </c>
      <c r="F363" s="23">
        <v>156.9317688181818</v>
      </c>
      <c r="G363" s="23">
        <v>0.7896841065873742</v>
      </c>
      <c r="H363" s="23">
        <v>0.28008584515839713</v>
      </c>
    </row>
    <row r="364">
      <c r="A364" s="5" t="s">
        <v>15</v>
      </c>
      <c r="B364" s="5" t="s">
        <v>78</v>
      </c>
      <c r="C364" s="23">
        <v>227.31815159151193</v>
      </c>
      <c r="D364" s="23">
        <v>1162.0195681355933</v>
      </c>
      <c r="E364" s="23">
        <v>10.0</v>
      </c>
      <c r="F364" s="23">
        <v>1713.978863</v>
      </c>
      <c r="G364" s="23">
        <v>171.3978863</v>
      </c>
      <c r="H364" s="23">
        <v>0.1326259946949602</v>
      </c>
    </row>
    <row r="365">
      <c r="A365" s="5" t="s">
        <v>15</v>
      </c>
      <c r="B365" s="5" t="s">
        <v>39</v>
      </c>
      <c r="C365" s="23">
        <v>3.3023014058661984</v>
      </c>
      <c r="D365" s="23">
        <v>5.45938799009789</v>
      </c>
      <c r="E365" s="23">
        <v>0.5516154452324665</v>
      </c>
      <c r="F365" s="23">
        <v>227.7804852857143</v>
      </c>
      <c r="G365" s="23">
        <v>1.2564723380614657</v>
      </c>
      <c r="H365" s="23">
        <v>0.2628232477414598</v>
      </c>
    </row>
    <row r="366">
      <c r="A366" s="5" t="s">
        <v>15</v>
      </c>
      <c r="B366" s="5" t="s">
        <v>39</v>
      </c>
      <c r="C366" s="23">
        <v>79.14454120427457</v>
      </c>
      <c r="D366" s="23">
        <v>130.3935457931268</v>
      </c>
      <c r="E366" s="23">
        <v>13.23529411764706</v>
      </c>
      <c r="F366" s="23">
        <v>171.16326111111113</v>
      </c>
      <c r="G366" s="23">
        <v>22.653961029411764</v>
      </c>
      <c r="H366" s="23">
        <v>0.3493629264282779</v>
      </c>
    </row>
    <row r="367">
      <c r="A367" s="5" t="s">
        <v>22</v>
      </c>
      <c r="B367" s="5" t="s">
        <v>17</v>
      </c>
      <c r="C367" s="23">
        <v>29.92588758409064</v>
      </c>
      <c r="D367" s="23">
        <v>65.36789004898169</v>
      </c>
      <c r="E367" s="23">
        <v>8.461538461538462</v>
      </c>
      <c r="F367" s="23">
        <v>138.30657027272727</v>
      </c>
      <c r="G367" s="23">
        <v>11.702863638461539</v>
      </c>
      <c r="H367" s="23">
        <v>0.25571422951335615</v>
      </c>
    </row>
    <row r="368">
      <c r="A368" s="5" t="s">
        <v>15</v>
      </c>
      <c r="B368" s="5" t="s">
        <v>55</v>
      </c>
      <c r="C368" s="23">
        <v>2.1755694406403787</v>
      </c>
      <c r="D368" s="23">
        <v>3.1587400657649995</v>
      </c>
      <c r="E368" s="23">
        <v>0.45362903225806456</v>
      </c>
      <c r="F368" s="23">
        <v>164.15831733333334</v>
      </c>
      <c r="G368" s="23">
        <v>0.7446697862903227</v>
      </c>
      <c r="H368" s="23">
        <v>0.2921522372323288</v>
      </c>
    </row>
    <row r="369">
      <c r="A369" s="5" t="s">
        <v>15</v>
      </c>
      <c r="B369" s="5" t="s">
        <v>29</v>
      </c>
      <c r="C369" s="23">
        <v>45.340676008139106</v>
      </c>
      <c r="D369" s="23">
        <v>83.88969066225543</v>
      </c>
      <c r="E369" s="23">
        <v>10.714285714285714</v>
      </c>
      <c r="F369" s="23">
        <v>245.1116945</v>
      </c>
      <c r="G369" s="23">
        <v>26.26196726785714</v>
      </c>
      <c r="H369" s="23">
        <v>0.17264767542237022</v>
      </c>
    </row>
    <row r="370">
      <c r="A370" s="5" t="s">
        <v>61</v>
      </c>
      <c r="B370" s="5" t="s">
        <v>78</v>
      </c>
      <c r="C370" s="23">
        <v>548.7713906596216</v>
      </c>
      <c r="D370" s="23">
        <v>736.6758377759982</v>
      </c>
      <c r="E370" s="23">
        <v>6.41025641025641</v>
      </c>
      <c r="F370" s="23">
        <v>1287.8566996</v>
      </c>
      <c r="G370" s="23">
        <v>82.55491664102564</v>
      </c>
      <c r="H370" s="23">
        <v>0.664734958241009</v>
      </c>
    </row>
    <row r="371">
      <c r="A371" s="5" t="s">
        <v>22</v>
      </c>
      <c r="B371" s="5" t="s">
        <v>147</v>
      </c>
      <c r="C371" s="23">
        <v>182.1082745606664</v>
      </c>
      <c r="D371" s="23">
        <v>223.96142986161033</v>
      </c>
      <c r="E371" s="23">
        <v>8.333333333333332</v>
      </c>
      <c r="F371" s="23">
        <v>996.8971165999999</v>
      </c>
      <c r="G371" s="23">
        <v>83.07475971666666</v>
      </c>
      <c r="H371" s="23">
        <v>0.21921011289320813</v>
      </c>
    </row>
    <row r="372">
      <c r="A372" s="5" t="s">
        <v>22</v>
      </c>
      <c r="B372" s="5" t="s">
        <v>84</v>
      </c>
      <c r="C372" s="23">
        <v>75.84202661735836</v>
      </c>
      <c r="D372" s="23">
        <v>88.21453502203813</v>
      </c>
      <c r="E372" s="23">
        <v>3.225806451612903</v>
      </c>
      <c r="F372" s="23">
        <v>415.29197725</v>
      </c>
      <c r="G372" s="23">
        <v>13.396515395161291</v>
      </c>
      <c r="H372" s="23">
        <v>0.5661324932657628</v>
      </c>
    </row>
    <row r="373">
      <c r="A373" s="5" t="s">
        <v>15</v>
      </c>
      <c r="B373" s="5" t="s">
        <v>35</v>
      </c>
      <c r="C373" s="23">
        <v>508.20400894601534</v>
      </c>
      <c r="D373" s="23">
        <v>747.0199496674727</v>
      </c>
      <c r="E373" s="23">
        <v>1.25</v>
      </c>
      <c r="F373" s="23">
        <v>4942.283987</v>
      </c>
      <c r="G373" s="23">
        <v>61.778549837499995</v>
      </c>
      <c r="H373" s="23">
        <v>0.8226221079691516</v>
      </c>
    </row>
    <row r="374">
      <c r="A374" s="5" t="s">
        <v>22</v>
      </c>
      <c r="B374" s="5" t="s">
        <v>35</v>
      </c>
      <c r="C374" s="23">
        <v>102.6615057978897</v>
      </c>
      <c r="D374" s="23">
        <v>470.566026525728</v>
      </c>
      <c r="E374" s="23">
        <v>0.5263157894736842</v>
      </c>
      <c r="F374" s="23">
        <v>4718.836114</v>
      </c>
      <c r="G374" s="23">
        <v>24.83597954736842</v>
      </c>
      <c r="H374" s="23">
        <v>0.4133579897748286</v>
      </c>
    </row>
    <row r="375">
      <c r="A375" s="5" t="s">
        <v>15</v>
      </c>
      <c r="B375" s="5" t="s">
        <v>17</v>
      </c>
      <c r="C375" s="23">
        <v>196.27510532200355</v>
      </c>
      <c r="D375" s="23">
        <v>584.7716662225183</v>
      </c>
      <c r="E375" s="23">
        <v>13.333333333333334</v>
      </c>
      <c r="F375" s="23">
        <v>292.580757</v>
      </c>
      <c r="G375" s="23">
        <v>39.0107676</v>
      </c>
      <c r="H375" s="23">
        <v>0.5031305903398927</v>
      </c>
    </row>
    <row r="376">
      <c r="A376" s="5" t="s">
        <v>15</v>
      </c>
      <c r="B376" s="5" t="s">
        <v>29</v>
      </c>
      <c r="C376" s="23">
        <v>358.0111512015557</v>
      </c>
      <c r="D376" s="23">
        <v>1836.3535999287494</v>
      </c>
      <c r="E376" s="23">
        <v>23.333333333333332</v>
      </c>
      <c r="F376" s="23">
        <v>736.3777935714286</v>
      </c>
      <c r="G376" s="23">
        <v>171.82148516666666</v>
      </c>
      <c r="H376" s="23">
        <v>0.2083622725378525</v>
      </c>
    </row>
    <row r="377">
      <c r="A377" s="5" t="s">
        <v>22</v>
      </c>
      <c r="B377" s="5" t="s">
        <v>214</v>
      </c>
      <c r="C377" s="23">
        <v>43.287665563840896</v>
      </c>
      <c r="D377" s="23">
        <v>97.94438805712312</v>
      </c>
      <c r="E377" s="23">
        <v>0.2564102564102564</v>
      </c>
      <c r="F377" s="23">
        <v>5102.706729</v>
      </c>
      <c r="G377" s="23">
        <v>13.08386340769231</v>
      </c>
      <c r="H377" s="23">
        <v>0.3308477336930242</v>
      </c>
    </row>
    <row r="378">
      <c r="A378" s="5" t="s">
        <v>15</v>
      </c>
      <c r="B378" s="5" t="s">
        <v>32</v>
      </c>
      <c r="C378" s="23">
        <v>113.13493864729995</v>
      </c>
      <c r="D378" s="23">
        <v>200.3788323074495</v>
      </c>
      <c r="E378" s="23">
        <v>3.125</v>
      </c>
      <c r="F378" s="23">
        <v>507.8401126</v>
      </c>
      <c r="G378" s="23">
        <v>15.87000351875</v>
      </c>
      <c r="H378" s="23">
        <v>0.7128854036713598</v>
      </c>
    </row>
    <row r="379">
      <c r="A379" s="5" t="s">
        <v>15</v>
      </c>
      <c r="B379" s="5" t="s">
        <v>173</v>
      </c>
      <c r="C379" s="23">
        <v>90.2109518843865</v>
      </c>
      <c r="D379" s="23">
        <v>164.55828036803473</v>
      </c>
      <c r="E379" s="23">
        <v>37.5</v>
      </c>
      <c r="F379" s="23">
        <v>106.11814973333334</v>
      </c>
      <c r="G379" s="23">
        <v>39.79430615</v>
      </c>
      <c r="H379" s="23">
        <v>0.22669311419665628</v>
      </c>
    </row>
    <row r="380">
      <c r="A380" s="5" t="s">
        <v>22</v>
      </c>
      <c r="B380" s="5" t="s">
        <v>35</v>
      </c>
      <c r="C380" s="23">
        <v>152.31368788584152</v>
      </c>
      <c r="D380" s="23">
        <v>642.069773890785</v>
      </c>
      <c r="E380" s="23">
        <v>6.666666666666667</v>
      </c>
      <c r="F380" s="23">
        <v>1505.01155</v>
      </c>
      <c r="G380" s="23">
        <v>100.33410333333333</v>
      </c>
      <c r="H380" s="23">
        <v>0.1518064973180852</v>
      </c>
    </row>
    <row r="381">
      <c r="A381" s="5" t="s">
        <v>22</v>
      </c>
      <c r="B381" s="5" t="s">
        <v>273</v>
      </c>
      <c r="C381" s="23">
        <v>159.36845974646033</v>
      </c>
      <c r="D381" s="23">
        <v>243.52302503144656</v>
      </c>
      <c r="E381" s="23">
        <v>22.5</v>
      </c>
      <c r="F381" s="23">
        <v>215.11200544444443</v>
      </c>
      <c r="G381" s="23">
        <v>48.400201225</v>
      </c>
      <c r="H381" s="23">
        <v>0.3292723081988805</v>
      </c>
    </row>
    <row r="382">
      <c r="A382" s="5" t="s">
        <v>22</v>
      </c>
      <c r="B382" s="5" t="s">
        <v>29</v>
      </c>
      <c r="C382" s="23">
        <v>203.89784140429384</v>
      </c>
      <c r="D382" s="23">
        <v>352.07123364915833</v>
      </c>
      <c r="E382" s="23">
        <v>8.695652173913043</v>
      </c>
      <c r="F382" s="23">
        <v>637.8943968333333</v>
      </c>
      <c r="G382" s="23">
        <v>55.46907798550724</v>
      </c>
      <c r="H382" s="23">
        <v>0.36758830110276486</v>
      </c>
    </row>
    <row r="383">
      <c r="A383" s="5" t="s">
        <v>15</v>
      </c>
      <c r="B383" s="5" t="s">
        <v>39</v>
      </c>
      <c r="C383" s="23">
        <v>210.81463604431235</v>
      </c>
      <c r="D383" s="23">
        <v>404.2616414507772</v>
      </c>
      <c r="E383" s="23">
        <v>11.11111111111111</v>
      </c>
      <c r="F383" s="23">
        <v>1560.449936</v>
      </c>
      <c r="G383" s="23">
        <v>173.38332622222222</v>
      </c>
      <c r="H383" s="23">
        <v>0.1215887597946501</v>
      </c>
    </row>
    <row r="384">
      <c r="A384" s="5" t="s">
        <v>22</v>
      </c>
      <c r="B384" s="5" t="s">
        <v>35</v>
      </c>
      <c r="C384" s="23">
        <v>54.93285313024397</v>
      </c>
      <c r="D384" s="23">
        <v>74.09116146105366</v>
      </c>
      <c r="E384" s="23">
        <v>3.508771929824561</v>
      </c>
      <c r="F384" s="23">
        <v>531.9560165</v>
      </c>
      <c r="G384" s="23">
        <v>18.665123385964915</v>
      </c>
      <c r="H384" s="23">
        <v>0.2943074738608494</v>
      </c>
    </row>
    <row r="385">
      <c r="A385" s="5" t="s">
        <v>22</v>
      </c>
      <c r="B385" s="5" t="s">
        <v>55</v>
      </c>
      <c r="C385" s="23">
        <v>236.3898319672131</v>
      </c>
      <c r="D385" s="23">
        <v>430.4411865671642</v>
      </c>
      <c r="E385" s="23">
        <v>45.45454545454545</v>
      </c>
      <c r="F385" s="23">
        <v>115.358238</v>
      </c>
      <c r="G385" s="23">
        <v>52.435562727272725</v>
      </c>
      <c r="H385" s="23">
        <v>0.4508196721311476</v>
      </c>
    </row>
    <row r="386">
      <c r="A386" s="5" t="s">
        <v>22</v>
      </c>
      <c r="B386" s="5" t="s">
        <v>356</v>
      </c>
      <c r="C386" s="23">
        <v>67.65862854426672</v>
      </c>
      <c r="D386" s="23">
        <v>7622.170004981321</v>
      </c>
      <c r="E386" s="23">
        <v>4.411764705882353</v>
      </c>
      <c r="F386" s="23">
        <v>680.066946</v>
      </c>
      <c r="G386" s="23">
        <v>30.0029535</v>
      </c>
      <c r="H386" s="23">
        <v>0.22550656069332212</v>
      </c>
    </row>
    <row r="387">
      <c r="A387" s="5" t="s">
        <v>22</v>
      </c>
      <c r="B387" s="5" t="s">
        <v>304</v>
      </c>
      <c r="C387" s="23">
        <v>23.293828686996868</v>
      </c>
      <c r="D387" s="23">
        <v>635.1648767301039</v>
      </c>
      <c r="E387" s="23">
        <v>0.15384615384615385</v>
      </c>
      <c r="F387" s="23">
        <v>5874.00478</v>
      </c>
      <c r="G387" s="23">
        <v>9.036930430769232</v>
      </c>
      <c r="H387" s="23">
        <v>0.2577626204544553</v>
      </c>
    </row>
    <row r="388">
      <c r="A388" s="5" t="s">
        <v>22</v>
      </c>
      <c r="B388" s="5" t="s">
        <v>593</v>
      </c>
      <c r="C388" s="23">
        <v>40.42798816689667</v>
      </c>
      <c r="D388" s="23">
        <v>4839.564123022847</v>
      </c>
      <c r="E388" s="23">
        <v>8.620689655172415</v>
      </c>
      <c r="F388" s="23">
        <v>183.58079906666666</v>
      </c>
      <c r="G388" s="23">
        <v>15.825930954022988</v>
      </c>
      <c r="H388" s="23">
        <v>0.2554540916698476</v>
      </c>
    </row>
    <row r="389">
      <c r="A389" s="5" t="s">
        <v>15</v>
      </c>
      <c r="B389" s="5" t="s">
        <v>29</v>
      </c>
      <c r="C389" s="23">
        <v>6.242160169254011</v>
      </c>
      <c r="D389" s="23">
        <v>282.100515600865</v>
      </c>
      <c r="E389" s="23">
        <v>0.49261083743842365</v>
      </c>
      <c r="F389" s="23">
        <v>456.5796845</v>
      </c>
      <c r="G389" s="23">
        <v>2.2491610073891626</v>
      </c>
      <c r="H389" s="23">
        <v>0.27753282885247693</v>
      </c>
    </row>
    <row r="390">
      <c r="A390" s="5" t="s">
        <v>15</v>
      </c>
      <c r="B390" s="5" t="s">
        <v>17</v>
      </c>
      <c r="C390" s="23">
        <v>161.90195473882946</v>
      </c>
      <c r="D390" s="23">
        <v>1190.5877734172527</v>
      </c>
      <c r="E390" s="23">
        <v>8.333333333333332</v>
      </c>
      <c r="F390" s="23">
        <v>535.9629293333334</v>
      </c>
      <c r="G390" s="23">
        <v>44.66357744444444</v>
      </c>
      <c r="H390" s="23">
        <v>0.36249213341724357</v>
      </c>
    </row>
    <row r="391">
      <c r="A391" s="5" t="s">
        <v>15</v>
      </c>
      <c r="B391" s="5" t="s">
        <v>78</v>
      </c>
      <c r="C391" s="23">
        <v>271.6161403634055</v>
      </c>
      <c r="D391" s="23">
        <v>1908.1260964325531</v>
      </c>
      <c r="E391" s="23">
        <v>25.333333333333336</v>
      </c>
      <c r="F391" s="23">
        <v>360.33454915789474</v>
      </c>
      <c r="G391" s="23">
        <v>91.28475245333334</v>
      </c>
      <c r="H391" s="23">
        <v>0.297548202808855</v>
      </c>
    </row>
    <row r="392">
      <c r="A392" s="5" t="s">
        <v>15</v>
      </c>
      <c r="B392" s="5" t="s">
        <v>45</v>
      </c>
      <c r="C392" s="23">
        <v>821.2695805623316</v>
      </c>
      <c r="D392" s="23">
        <v>1374.1930747583244</v>
      </c>
      <c r="E392" s="23">
        <v>3.3333333333333335</v>
      </c>
      <c r="F392" s="23">
        <v>6396.868763</v>
      </c>
      <c r="G392" s="23">
        <v>213.2289587666667</v>
      </c>
      <c r="H392" s="23">
        <v>0.3851585569392733</v>
      </c>
    </row>
    <row r="393">
      <c r="A393" s="5" t="s">
        <v>22</v>
      </c>
      <c r="B393" s="5" t="s">
        <v>35</v>
      </c>
      <c r="C393" s="23">
        <v>149.4990245338056</v>
      </c>
      <c r="D393" s="23">
        <v>910.4146781919112</v>
      </c>
      <c r="E393" s="23">
        <v>10.344827586206897</v>
      </c>
      <c r="F393" s="23">
        <v>637.7960606666667</v>
      </c>
      <c r="G393" s="23">
        <v>65.97890282758621</v>
      </c>
      <c r="H393" s="23">
        <v>0.22658610271903326</v>
      </c>
    </row>
    <row r="394">
      <c r="A394" s="5" t="s">
        <v>22</v>
      </c>
      <c r="B394" s="5" t="s">
        <v>78</v>
      </c>
      <c r="C394" s="23">
        <v>180.37615721134637</v>
      </c>
      <c r="D394" s="23">
        <v>314.9504858737356</v>
      </c>
      <c r="E394" s="23">
        <v>16.0</v>
      </c>
      <c r="F394" s="23">
        <v>451.4815215</v>
      </c>
      <c r="G394" s="23">
        <v>72.23704344</v>
      </c>
      <c r="H394" s="23">
        <v>0.24970035956851777</v>
      </c>
    </row>
    <row r="395">
      <c r="A395" s="5" t="s">
        <v>61</v>
      </c>
      <c r="B395" s="5" t="s">
        <v>45</v>
      </c>
      <c r="C395" s="23">
        <v>127.86021342001766</v>
      </c>
      <c r="D395" s="23">
        <v>218.51994499314128</v>
      </c>
      <c r="E395" s="23">
        <v>16.666666666666664</v>
      </c>
      <c r="F395" s="23">
        <v>113.78645707142857</v>
      </c>
      <c r="G395" s="23">
        <v>18.964409511904762</v>
      </c>
      <c r="H395" s="23">
        <v>0.6742114134360703</v>
      </c>
    </row>
    <row r="396">
      <c r="A396" s="5" t="s">
        <v>22</v>
      </c>
      <c r="B396" s="5" t="s">
        <v>183</v>
      </c>
      <c r="C396" s="23">
        <v>46.05442024821178</v>
      </c>
      <c r="D396" s="23">
        <v>401.12468157614484</v>
      </c>
      <c r="E396" s="23">
        <v>21.73913043478261</v>
      </c>
      <c r="F396" s="23">
        <v>100.44162026666666</v>
      </c>
      <c r="G396" s="23">
        <v>21.83513484057971</v>
      </c>
      <c r="H396" s="23">
        <v>0.21091887265390963</v>
      </c>
    </row>
    <row r="397">
      <c r="A397" s="5" t="s">
        <v>22</v>
      </c>
      <c r="B397" s="5" t="s">
        <v>84</v>
      </c>
      <c r="C397" s="23">
        <v>20.904387355470057</v>
      </c>
      <c r="D397" s="23">
        <v>67.1034376303441</v>
      </c>
      <c r="E397" s="23">
        <v>5.016722408026756</v>
      </c>
      <c r="F397" s="23">
        <v>137.28468626666665</v>
      </c>
      <c r="G397" s="23">
        <v>6.887191618729097</v>
      </c>
      <c r="H397" s="23">
        <v>0.30352556619192156</v>
      </c>
    </row>
    <row r="398">
      <c r="A398" s="5" t="s">
        <v>15</v>
      </c>
      <c r="B398" s="5" t="s">
        <v>29</v>
      </c>
      <c r="C398" s="23">
        <v>40.13367348149746</v>
      </c>
      <c r="D398" s="23">
        <v>160.9340339606316</v>
      </c>
      <c r="E398" s="23">
        <v>10.619469026548673</v>
      </c>
      <c r="F398" s="23">
        <v>123.99967316666665</v>
      </c>
      <c r="G398" s="23">
        <v>13.168106884955751</v>
      </c>
      <c r="H398" s="23">
        <v>0.3047793721005502</v>
      </c>
    </row>
    <row r="399">
      <c r="A399" s="5" t="s">
        <v>15</v>
      </c>
      <c r="B399" s="5" t="s">
        <v>131</v>
      </c>
      <c r="C399" s="23">
        <v>27.131972910106942</v>
      </c>
      <c r="D399" s="23">
        <v>71.43533671907092</v>
      </c>
      <c r="E399" s="23">
        <v>1.1111111111111112</v>
      </c>
      <c r="F399" s="23">
        <v>637.6556273333333</v>
      </c>
      <c r="G399" s="23">
        <v>7.085062525925926</v>
      </c>
      <c r="H399" s="23">
        <v>0.3829461322440643</v>
      </c>
    </row>
    <row r="400">
      <c r="A400" s="5" t="s">
        <v>22</v>
      </c>
      <c r="B400" s="5" t="s">
        <v>17</v>
      </c>
      <c r="C400" s="23">
        <v>8.725294507106275</v>
      </c>
      <c r="D400" s="23">
        <v>12.032178893228952</v>
      </c>
      <c r="E400" s="23">
        <v>3.2093023255813953</v>
      </c>
      <c r="F400" s="23">
        <v>116.56373839130435</v>
      </c>
      <c r="G400" s="23">
        <v>3.7408827669767444</v>
      </c>
      <c r="H400" s="23">
        <v>0.23324159164062136</v>
      </c>
    </row>
    <row r="401">
      <c r="A401" s="5" t="s">
        <v>22</v>
      </c>
      <c r="B401" s="5" t="s">
        <v>35</v>
      </c>
      <c r="C401" s="23">
        <v>1.9347154177309693</v>
      </c>
      <c r="D401" s="23">
        <v>3.437149006812238</v>
      </c>
      <c r="E401" s="23">
        <v>12.280701754385964</v>
      </c>
      <c r="F401" s="23">
        <v>52.1985089025974</v>
      </c>
      <c r="G401" s="23">
        <v>6.410343198564593</v>
      </c>
      <c r="H401" s="23">
        <v>0.030181151894709657</v>
      </c>
    </row>
    <row r="402">
      <c r="A402" s="5" t="s">
        <v>22</v>
      </c>
      <c r="B402" s="5" t="s">
        <v>55</v>
      </c>
      <c r="C402" s="23">
        <v>6.4474822147063495</v>
      </c>
      <c r="D402" s="23">
        <v>14.231048472930244</v>
      </c>
      <c r="E402" s="23">
        <v>1.336728198599618</v>
      </c>
      <c r="F402" s="23">
        <v>187.6373906190476</v>
      </c>
      <c r="G402" s="23">
        <v>2.508201911521324</v>
      </c>
      <c r="H402" s="23">
        <v>0.25705594852990504</v>
      </c>
    </row>
    <row r="403">
      <c r="A403" s="5" t="s">
        <v>22</v>
      </c>
      <c r="B403" s="5" t="s">
        <v>29</v>
      </c>
      <c r="C403" s="23">
        <v>7.879986585859799</v>
      </c>
      <c r="D403" s="23">
        <v>12.732891177668321</v>
      </c>
      <c r="E403" s="23">
        <v>0.8369723435225619</v>
      </c>
      <c r="F403" s="23">
        <v>342.5789907391304</v>
      </c>
      <c r="G403" s="23">
        <v>2.86729140720524</v>
      </c>
      <c r="H403" s="23">
        <v>0.2748233599855988</v>
      </c>
    </row>
    <row r="404">
      <c r="A404" s="5" t="s">
        <v>22</v>
      </c>
      <c r="B404" s="5" t="s">
        <v>17</v>
      </c>
      <c r="C404" s="23">
        <v>5.179375929159868</v>
      </c>
      <c r="D404" s="23">
        <v>6.81612070749868</v>
      </c>
      <c r="E404" s="23">
        <v>1.2648425400103251</v>
      </c>
      <c r="F404" s="23">
        <v>160.21722946938775</v>
      </c>
      <c r="G404" s="23">
        <v>2.0264956747547753</v>
      </c>
      <c r="H404" s="23">
        <v>0.2555828760792505</v>
      </c>
    </row>
    <row r="405">
      <c r="A405" s="5" t="s">
        <v>15</v>
      </c>
      <c r="B405" s="5" t="s">
        <v>17</v>
      </c>
      <c r="C405" s="23">
        <v>4.962355925264916</v>
      </c>
      <c r="D405" s="23">
        <v>6.76430313210234</v>
      </c>
      <c r="E405" s="23">
        <v>2.2715539494062984</v>
      </c>
      <c r="F405" s="23">
        <v>88.84827610227272</v>
      </c>
      <c r="G405" s="23">
        <v>2.0182365247805887</v>
      </c>
      <c r="H405" s="23">
        <v>0.24587583587629283</v>
      </c>
    </row>
    <row r="406">
      <c r="A406" s="5" t="s">
        <v>22</v>
      </c>
      <c r="B406" s="5" t="s">
        <v>39</v>
      </c>
      <c r="C406" s="23">
        <v>16.261002056954094</v>
      </c>
      <c r="D406" s="23">
        <v>28.232962962262366</v>
      </c>
      <c r="E406" s="23">
        <v>3.0800821355236137</v>
      </c>
      <c r="F406" s="23">
        <v>248.75593116666667</v>
      </c>
      <c r="G406" s="23">
        <v>7.661886996919917</v>
      </c>
      <c r="H406" s="23">
        <v>0.21223233993781201</v>
      </c>
    </row>
    <row r="407">
      <c r="A407" s="5" t="s">
        <v>22</v>
      </c>
      <c r="B407" s="5" t="s">
        <v>29</v>
      </c>
      <c r="C407" s="23">
        <v>4.235951060375184</v>
      </c>
      <c r="D407" s="23">
        <v>5.978151230965082</v>
      </c>
      <c r="E407" s="23">
        <v>0.6799531066822978</v>
      </c>
      <c r="F407" s="23">
        <v>233.98999275862067</v>
      </c>
      <c r="G407" s="23">
        <v>1.591022225087925</v>
      </c>
      <c r="H407" s="23">
        <v>0.2662408477757809</v>
      </c>
    </row>
    <row r="408">
      <c r="A408" s="5" t="s">
        <v>22</v>
      </c>
      <c r="B408" s="5" t="s">
        <v>45</v>
      </c>
      <c r="C408" s="23">
        <v>244.28110255043774</v>
      </c>
      <c r="D408" s="23">
        <v>500.840128307188</v>
      </c>
      <c r="E408" s="23">
        <v>19.047619047619047</v>
      </c>
      <c r="F408" s="23">
        <v>534.772047</v>
      </c>
      <c r="G408" s="23">
        <v>101.86134228571429</v>
      </c>
      <c r="H408" s="23">
        <v>0.2398172820708032</v>
      </c>
    </row>
    <row r="409">
      <c r="A409" s="5" t="s">
        <v>15</v>
      </c>
      <c r="B409" s="5" t="s">
        <v>66</v>
      </c>
      <c r="C409" s="23">
        <v>485.73060328349004</v>
      </c>
      <c r="D409" s="23">
        <v>837.9030510570403</v>
      </c>
      <c r="E409" s="23">
        <v>8.333333333333332</v>
      </c>
      <c r="F409" s="23">
        <v>900.266978142857</v>
      </c>
      <c r="G409" s="23">
        <v>75.02224817857143</v>
      </c>
      <c r="H409" s="23">
        <v>0.6474487436411284</v>
      </c>
    </row>
    <row r="410">
      <c r="A410" s="5" t="s">
        <v>22</v>
      </c>
      <c r="B410" s="5" t="s">
        <v>35</v>
      </c>
      <c r="C410" s="23">
        <v>32.1330490163943</v>
      </c>
      <c r="D410" s="23">
        <v>54.315074305012004</v>
      </c>
      <c r="E410" s="23">
        <v>0.6134969325153374</v>
      </c>
      <c r="F410" s="23">
        <v>2058.6680513333336</v>
      </c>
      <c r="G410" s="23">
        <v>12.629865345603273</v>
      </c>
      <c r="H410" s="23">
        <v>0.2544211528556043</v>
      </c>
    </row>
    <row r="411">
      <c r="A411" s="5" t="s">
        <v>15</v>
      </c>
      <c r="B411" s="5" t="s">
        <v>35</v>
      </c>
      <c r="C411" s="23">
        <v>202.2134850841322</v>
      </c>
      <c r="D411" s="23">
        <v>413.236325364751</v>
      </c>
      <c r="E411" s="23">
        <v>14.14141414141414</v>
      </c>
      <c r="F411" s="23">
        <v>430.9169367142857</v>
      </c>
      <c r="G411" s="23">
        <v>60.937748626262625</v>
      </c>
      <c r="H411" s="23">
        <v>0.33183616008580813</v>
      </c>
    </row>
    <row r="412">
      <c r="A412" s="5" t="s">
        <v>15</v>
      </c>
      <c r="B412" s="5" t="s">
        <v>183</v>
      </c>
      <c r="C412" s="23">
        <v>51.05595552170732</v>
      </c>
      <c r="D412" s="23">
        <v>90.28249091155317</v>
      </c>
      <c r="E412" s="23">
        <v>0.33444816053511706</v>
      </c>
      <c r="F412" s="23">
        <v>5999.993781</v>
      </c>
      <c r="G412" s="23">
        <v>20.06686883277592</v>
      </c>
      <c r="H412" s="23">
        <v>0.2544291087322793</v>
      </c>
    </row>
    <row r="413">
      <c r="A413" s="5" t="s">
        <v>22</v>
      </c>
      <c r="B413" s="5" t="s">
        <v>35</v>
      </c>
      <c r="C413" s="23">
        <v>1.8009559296558977</v>
      </c>
      <c r="D413" s="23">
        <v>2.8590883394823683</v>
      </c>
      <c r="E413" s="23">
        <v>0.8004574042309892</v>
      </c>
      <c r="F413" s="23">
        <v>82.23244531428571</v>
      </c>
      <c r="G413" s="23">
        <v>0.658235697198399</v>
      </c>
      <c r="H413" s="23">
        <v>0.27360350362661523</v>
      </c>
    </row>
    <row r="414">
      <c r="A414" s="5" t="s">
        <v>15</v>
      </c>
      <c r="B414" s="5" t="s">
        <v>29</v>
      </c>
      <c r="C414" s="23">
        <v>47.22085261344476</v>
      </c>
      <c r="D414" s="23">
        <v>133.8924105282303</v>
      </c>
      <c r="E414" s="23">
        <v>0.6382978723404255</v>
      </c>
      <c r="F414" s="23">
        <v>1717.7057346666668</v>
      </c>
      <c r="G414" s="23">
        <v>10.96407915744681</v>
      </c>
      <c r="H414" s="23">
        <v>0.4306868997874056</v>
      </c>
    </row>
    <row r="415">
      <c r="A415" s="5" t="s">
        <v>61</v>
      </c>
      <c r="B415" s="5" t="s">
        <v>78</v>
      </c>
      <c r="C415" s="23">
        <v>352.8061544528897</v>
      </c>
      <c r="D415" s="23">
        <v>1565.956279439847</v>
      </c>
      <c r="E415" s="23">
        <v>20.0</v>
      </c>
      <c r="F415" s="23">
        <v>615.02932875</v>
      </c>
      <c r="G415" s="23">
        <v>123.00586575</v>
      </c>
      <c r="H415" s="23">
        <v>0.286820593718629</v>
      </c>
    </row>
    <row r="416">
      <c r="A416" s="5" t="s">
        <v>15</v>
      </c>
      <c r="B416" s="5" t="s">
        <v>29</v>
      </c>
      <c r="C416" s="23">
        <v>13.253029797800638</v>
      </c>
      <c r="D416" s="23">
        <v>25.928910027760928</v>
      </c>
      <c r="E416" s="23">
        <v>0.5192107995846313</v>
      </c>
      <c r="F416" s="23">
        <v>889.1749258</v>
      </c>
      <c r="G416" s="23">
        <v>4.616692241952233</v>
      </c>
      <c r="H416" s="23">
        <v>0.28706764720787215</v>
      </c>
    </row>
    <row r="417">
      <c r="A417" s="5" t="s">
        <v>22</v>
      </c>
      <c r="B417" s="5" t="s">
        <v>155</v>
      </c>
      <c r="C417" s="23">
        <v>90.56586454290198</v>
      </c>
      <c r="D417" s="23">
        <v>265.1664277942332</v>
      </c>
      <c r="E417" s="23">
        <v>3.508771929824561</v>
      </c>
      <c r="F417" s="23">
        <v>731.1080358333334</v>
      </c>
      <c r="G417" s="23">
        <v>25.652913538011695</v>
      </c>
      <c r="H417" s="23">
        <v>0.3530431910149475</v>
      </c>
    </row>
    <row r="418">
      <c r="A418" s="5" t="s">
        <v>22</v>
      </c>
      <c r="B418" s="5" t="s">
        <v>39</v>
      </c>
      <c r="C418" s="23">
        <v>47.69628496033233</v>
      </c>
      <c r="D418" s="23">
        <v>83.53462895819668</v>
      </c>
      <c r="E418" s="23">
        <v>8.484848484848486</v>
      </c>
      <c r="F418" s="23">
        <v>200.11317042857144</v>
      </c>
      <c r="G418" s="23">
        <v>16.97929930909091</v>
      </c>
      <c r="H418" s="23">
        <v>0.2809084408730294</v>
      </c>
    </row>
    <row r="419">
      <c r="A419" s="5" t="s">
        <v>22</v>
      </c>
      <c r="B419" s="5" t="s">
        <v>35</v>
      </c>
      <c r="C419" s="23">
        <v>7.58548903805991</v>
      </c>
      <c r="D419" s="23">
        <v>13.553844728745522</v>
      </c>
      <c r="E419" s="23">
        <v>0.5326231691078562</v>
      </c>
      <c r="F419" s="23">
        <v>563.88060225</v>
      </c>
      <c r="G419" s="23">
        <v>3.0033587336884158</v>
      </c>
      <c r="H419" s="23">
        <v>0.2525668663211668</v>
      </c>
    </row>
    <row r="420">
      <c r="A420" s="5" t="s">
        <v>22</v>
      </c>
      <c r="B420" s="5" t="s">
        <v>35</v>
      </c>
      <c r="C420" s="23">
        <v>25.35359441185244</v>
      </c>
      <c r="D420" s="23">
        <v>44.30697434783553</v>
      </c>
      <c r="E420" s="23">
        <v>1.4705882352941175</v>
      </c>
      <c r="F420" s="23">
        <v>679.9495973333334</v>
      </c>
      <c r="G420" s="23">
        <v>9.999258784313726</v>
      </c>
      <c r="H420" s="23">
        <v>0.25355473799343736</v>
      </c>
    </row>
    <row r="421">
      <c r="A421" s="5" t="s">
        <v>15</v>
      </c>
      <c r="B421" s="5" t="s">
        <v>39</v>
      </c>
      <c r="C421" s="23">
        <v>27.80197159504734</v>
      </c>
      <c r="D421" s="23">
        <v>50.2009357682996</v>
      </c>
      <c r="E421" s="23">
        <v>14.201183431952662</v>
      </c>
      <c r="F421" s="23">
        <v>69.98219616666667</v>
      </c>
      <c r="G421" s="23">
        <v>9.938300047337277</v>
      </c>
      <c r="H421" s="23">
        <v>0.27974574587830237</v>
      </c>
    </row>
    <row r="422">
      <c r="A422" s="5" t="s">
        <v>22</v>
      </c>
      <c r="B422" s="5" t="s">
        <v>433</v>
      </c>
      <c r="C422" s="23">
        <v>9.665349998542911</v>
      </c>
      <c r="D422" s="23">
        <v>16.34034335432124</v>
      </c>
      <c r="E422" s="23">
        <v>1.6032064128256511</v>
      </c>
      <c r="F422" s="23">
        <v>207.29155325</v>
      </c>
      <c r="G422" s="23">
        <v>3.3233114749498998</v>
      </c>
      <c r="H422" s="23">
        <v>0.2908349118461314</v>
      </c>
    </row>
    <row r="423">
      <c r="A423" s="5" t="s">
        <v>15</v>
      </c>
      <c r="B423" s="5" t="s">
        <v>35</v>
      </c>
      <c r="C423" s="23">
        <v>2.88437346931421</v>
      </c>
      <c r="D423" s="23">
        <v>4.948313708276404</v>
      </c>
      <c r="E423" s="23">
        <v>0.5188067444876783</v>
      </c>
      <c r="F423" s="23">
        <v>200.0961985</v>
      </c>
      <c r="G423" s="23">
        <v>1.0381125732814527</v>
      </c>
      <c r="H423" s="23">
        <v>0.2778478503729864</v>
      </c>
    </row>
    <row r="424">
      <c r="A424" s="5" t="s">
        <v>15</v>
      </c>
      <c r="B424" s="5" t="s">
        <v>17</v>
      </c>
      <c r="C424" s="23">
        <v>4.905798159140642</v>
      </c>
      <c r="D424" s="23">
        <v>9.11607832861927</v>
      </c>
      <c r="E424" s="23">
        <v>0.7042253521126761</v>
      </c>
      <c r="F424" s="23">
        <v>262.675239</v>
      </c>
      <c r="G424" s="23">
        <v>1.8498256267605633</v>
      </c>
      <c r="H424" s="23">
        <v>0.265203275820745</v>
      </c>
    </row>
    <row r="425">
      <c r="A425" s="5" t="s">
        <v>15</v>
      </c>
      <c r="B425" s="5" t="s">
        <v>147</v>
      </c>
      <c r="C425" s="23">
        <v>4.951396313748384</v>
      </c>
      <c r="D425" s="23">
        <v>9.073562825501698</v>
      </c>
      <c r="E425" s="23">
        <v>0.7863695937090431</v>
      </c>
      <c r="F425" s="23">
        <v>257.26877583333334</v>
      </c>
      <c r="G425" s="23">
        <v>2.0230834272608123</v>
      </c>
      <c r="H425" s="23">
        <v>0.24474503854012633</v>
      </c>
    </row>
    <row r="426">
      <c r="A426" s="5" t="s">
        <v>15</v>
      </c>
      <c r="B426" s="5" t="s">
        <v>35</v>
      </c>
      <c r="C426" s="23">
        <v>15.712714331830346</v>
      </c>
      <c r="D426" s="23">
        <v>26.385501425149076</v>
      </c>
      <c r="E426" s="23">
        <v>6.752411575562702</v>
      </c>
      <c r="F426" s="23">
        <v>71.8527461904762</v>
      </c>
      <c r="G426" s="23">
        <v>4.851793151125402</v>
      </c>
      <c r="H426" s="23">
        <v>0.32385375555810103</v>
      </c>
    </row>
    <row r="427">
      <c r="A427" s="5" t="s">
        <v>22</v>
      </c>
      <c r="B427" s="5" t="s">
        <v>142</v>
      </c>
      <c r="C427" s="23">
        <v>31.02853320398072</v>
      </c>
      <c r="D427" s="23">
        <v>93.01573738195009</v>
      </c>
      <c r="E427" s="23">
        <v>2.3529411764705883</v>
      </c>
      <c r="F427" s="23">
        <v>371.80715625</v>
      </c>
      <c r="G427" s="23">
        <v>8.748403676470588</v>
      </c>
      <c r="H427" s="23">
        <v>0.35467651415576557</v>
      </c>
    </row>
    <row r="428">
      <c r="A428" s="5" t="s">
        <v>15</v>
      </c>
      <c r="B428" s="5" t="s">
        <v>641</v>
      </c>
      <c r="C428" s="23">
        <v>8.350884998198522</v>
      </c>
      <c r="D428" s="23">
        <v>20.93253939180131</v>
      </c>
      <c r="E428" s="23">
        <v>1.0309278350515463</v>
      </c>
      <c r="F428" s="23">
        <v>296.6768808</v>
      </c>
      <c r="G428" s="23">
        <v>3.0585245443298965</v>
      </c>
      <c r="H428" s="23">
        <v>0.2730363898396685</v>
      </c>
    </row>
    <row r="429">
      <c r="A429" s="5" t="s">
        <v>15</v>
      </c>
      <c r="B429" s="5" t="s">
        <v>84</v>
      </c>
      <c r="C429" s="23">
        <v>232.79722650602412</v>
      </c>
      <c r="D429" s="23">
        <v>257.51447978676146</v>
      </c>
      <c r="E429" s="23" t="e">
        <v>#DIV/0!</v>
      </c>
      <c r="F429" s="23">
        <v>1738.995282</v>
      </c>
      <c r="G429" s="23" t="e">
        <v>#DIV/0!</v>
      </c>
      <c r="H429" s="23">
        <v>0.0</v>
      </c>
    </row>
    <row r="430">
      <c r="A430" s="5" t="s">
        <v>22</v>
      </c>
      <c r="B430" s="5" t="s">
        <v>131</v>
      </c>
      <c r="C430" s="23">
        <v>248.02724189814816</v>
      </c>
      <c r="D430" s="23">
        <v>522.7543002045956</v>
      </c>
      <c r="E430" s="23">
        <v>10.588235294117647</v>
      </c>
      <c r="F430" s="23">
        <v>738.1290718888889</v>
      </c>
      <c r="G430" s="23">
        <v>78.15484290588235</v>
      </c>
      <c r="H430" s="23">
        <v>0.3173536439665472</v>
      </c>
    </row>
    <row r="431">
      <c r="A431" s="5" t="s">
        <v>22</v>
      </c>
      <c r="B431" s="5" t="s">
        <v>35</v>
      </c>
      <c r="C431" s="23">
        <v>242.59661665398517</v>
      </c>
      <c r="D431" s="23">
        <v>882.4289318457013</v>
      </c>
      <c r="E431" s="23">
        <v>110.00000000000001</v>
      </c>
      <c r="F431" s="23">
        <v>463.7565140909091</v>
      </c>
      <c r="G431" s="23">
        <v>510.1321655</v>
      </c>
      <c r="H431" s="23">
        <v>0.04755564009891573</v>
      </c>
    </row>
    <row r="432">
      <c r="A432" s="5" t="s">
        <v>61</v>
      </c>
      <c r="B432" s="5" t="s">
        <v>29</v>
      </c>
      <c r="C432" s="23">
        <v>723.4493924009525</v>
      </c>
      <c r="D432" s="23">
        <v>1444.7093573281452</v>
      </c>
      <c r="E432" s="23">
        <v>17.857142857142858</v>
      </c>
      <c r="F432" s="23">
        <v>445.5483658</v>
      </c>
      <c r="G432" s="23">
        <v>79.56220817857142</v>
      </c>
      <c r="H432" s="23">
        <v>0.9092877246157177</v>
      </c>
    </row>
    <row r="433">
      <c r="A433" s="5" t="s">
        <v>22</v>
      </c>
      <c r="B433" s="5" t="s">
        <v>29</v>
      </c>
      <c r="C433" s="23">
        <v>178.00179799904717</v>
      </c>
      <c r="D433" s="23">
        <v>1121.290429000158</v>
      </c>
      <c r="E433" s="23">
        <v>8.0</v>
      </c>
      <c r="F433" s="23">
        <v>709.8889706</v>
      </c>
      <c r="G433" s="23">
        <v>56.791117648</v>
      </c>
      <c r="H433" s="23">
        <v>0.3134324615731802</v>
      </c>
    </row>
    <row r="434">
      <c r="A434" s="5" t="s">
        <v>15</v>
      </c>
      <c r="B434" s="5" t="s">
        <v>471</v>
      </c>
      <c r="C434" s="23">
        <v>178.4877694569512</v>
      </c>
      <c r="D434" s="23">
        <v>1175.8368008474577</v>
      </c>
      <c r="E434" s="23">
        <v>34.78260869565217</v>
      </c>
      <c r="F434" s="23">
        <v>121.4051496875</v>
      </c>
      <c r="G434" s="23">
        <v>42.227878152173915</v>
      </c>
      <c r="H434" s="23">
        <v>0.4226775705228338</v>
      </c>
    </row>
    <row r="435">
      <c r="A435" s="5" t="s">
        <v>15</v>
      </c>
      <c r="B435" s="5" t="s">
        <v>78</v>
      </c>
      <c r="C435" s="23">
        <v>34.01767874180968</v>
      </c>
      <c r="D435" s="23">
        <v>100.03324273822689</v>
      </c>
      <c r="E435" s="23">
        <v>0.7407407407407408</v>
      </c>
      <c r="F435" s="23">
        <v>859.2355385</v>
      </c>
      <c r="G435" s="23">
        <v>6.364707692592592</v>
      </c>
      <c r="H435" s="23">
        <v>0.5344735435595939</v>
      </c>
    </row>
    <row r="436">
      <c r="A436" s="5" t="s">
        <v>22</v>
      </c>
      <c r="B436" s="5" t="s">
        <v>24</v>
      </c>
      <c r="C436" s="23">
        <v>172.04746136865342</v>
      </c>
      <c r="D436" s="23">
        <v>312.6880641925777</v>
      </c>
      <c r="E436" s="23">
        <v>70.0</v>
      </c>
      <c r="F436" s="23">
        <v>178.14285714285714</v>
      </c>
      <c r="G436" s="23">
        <v>124.7</v>
      </c>
      <c r="H436" s="23">
        <v>0.13796909492273732</v>
      </c>
    </row>
    <row r="437">
      <c r="A437" s="5" t="s">
        <v>22</v>
      </c>
      <c r="B437" s="5" t="s">
        <v>29</v>
      </c>
      <c r="C437" s="23">
        <v>434.17166183664045</v>
      </c>
      <c r="D437" s="23">
        <v>1628.8954141274237</v>
      </c>
      <c r="E437" s="23">
        <v>12.0</v>
      </c>
      <c r="F437" s="23">
        <v>1568.0833186666666</v>
      </c>
      <c r="G437" s="23">
        <v>188.16999823999998</v>
      </c>
      <c r="H437" s="23">
        <v>0.23073373327180433</v>
      </c>
    </row>
    <row r="438">
      <c r="A438" s="5" t="s">
        <v>15</v>
      </c>
      <c r="B438" s="5" t="s">
        <v>17</v>
      </c>
      <c r="C438" s="23">
        <v>629.7854085918439</v>
      </c>
      <c r="D438" s="23">
        <v>1456.2597922627444</v>
      </c>
      <c r="E438" s="23">
        <v>17.77777777777778</v>
      </c>
      <c r="F438" s="23">
        <v>903.427168625</v>
      </c>
      <c r="G438" s="23">
        <v>160.60927442222223</v>
      </c>
      <c r="H438" s="23">
        <v>0.3921226908330429</v>
      </c>
    </row>
    <row r="439">
      <c r="A439" s="5" t="s">
        <v>22</v>
      </c>
      <c r="B439" s="5" t="s">
        <v>78</v>
      </c>
      <c r="C439" s="23">
        <v>72.54983128153162</v>
      </c>
      <c r="D439" s="23">
        <v>342.93057574522294</v>
      </c>
      <c r="E439" s="23">
        <v>4.375</v>
      </c>
      <c r="F439" s="23">
        <v>480.71518207142856</v>
      </c>
      <c r="G439" s="23">
        <v>21.031289215625</v>
      </c>
      <c r="H439" s="23">
        <v>0.34496140744254233</v>
      </c>
    </row>
    <row r="440">
      <c r="A440" s="5" t="s">
        <v>22</v>
      </c>
      <c r="B440" s="5" t="s">
        <v>273</v>
      </c>
      <c r="C440" s="23">
        <v>33.42256140443422</v>
      </c>
      <c r="D440" s="23">
        <v>48.4859376473109</v>
      </c>
      <c r="E440" s="23">
        <v>7.8</v>
      </c>
      <c r="F440" s="23">
        <v>162.46021507692308</v>
      </c>
      <c r="G440" s="23">
        <v>12.671896775999999</v>
      </c>
      <c r="H440" s="23">
        <v>0.263753422200653</v>
      </c>
    </row>
    <row r="441">
      <c r="A441" s="5" t="s">
        <v>15</v>
      </c>
      <c r="B441" s="5" t="s">
        <v>24</v>
      </c>
      <c r="C441" s="23">
        <v>396.3233617125984</v>
      </c>
      <c r="D441" s="23">
        <v>2211.574537857983</v>
      </c>
      <c r="E441" s="23">
        <v>23.333333333333332</v>
      </c>
      <c r="F441" s="23">
        <v>805.329071</v>
      </c>
      <c r="G441" s="23">
        <v>187.91011656666666</v>
      </c>
      <c r="H441" s="23">
        <v>0.2109111361079865</v>
      </c>
    </row>
    <row r="442">
      <c r="A442" s="5" t="s">
        <v>15</v>
      </c>
      <c r="B442" s="5" t="s">
        <v>17</v>
      </c>
      <c r="C442" s="23">
        <v>14.641481938561636</v>
      </c>
      <c r="D442" s="23">
        <v>20.45101264828764</v>
      </c>
      <c r="E442" s="23">
        <v>6.935483870967742</v>
      </c>
      <c r="F442" s="23">
        <v>62.38224704651163</v>
      </c>
      <c r="G442" s="23">
        <v>4.326510682258065</v>
      </c>
      <c r="H442" s="23">
        <v>0.33841316973057944</v>
      </c>
    </row>
    <row r="443">
      <c r="A443" s="5" t="s">
        <v>22</v>
      </c>
      <c r="B443" s="5" t="s">
        <v>78</v>
      </c>
      <c r="C443" s="23">
        <v>83.88722844869667</v>
      </c>
      <c r="D443" s="23">
        <v>117.84363724885141</v>
      </c>
      <c r="E443" s="23">
        <v>4.761904761904762</v>
      </c>
      <c r="F443" s="23">
        <v>859.256881</v>
      </c>
      <c r="G443" s="23">
        <v>40.916994333333335</v>
      </c>
      <c r="H443" s="23">
        <v>0.20501806111490775</v>
      </c>
    </row>
    <row r="444">
      <c r="A444" s="5" t="s">
        <v>15</v>
      </c>
      <c r="B444" s="5" t="s">
        <v>35</v>
      </c>
      <c r="C444" s="23">
        <v>141.39004200172792</v>
      </c>
      <c r="D444" s="23">
        <v>376.34812701220585</v>
      </c>
      <c r="E444" s="23">
        <v>4.761904761904762</v>
      </c>
      <c r="F444" s="23">
        <v>531.8739905</v>
      </c>
      <c r="G444" s="23">
        <v>25.32733288095238</v>
      </c>
      <c r="H444" s="23">
        <v>0.5582508141157706</v>
      </c>
    </row>
    <row r="445">
      <c r="A445" s="5" t="s">
        <v>22</v>
      </c>
      <c r="B445" s="5" t="s">
        <v>32</v>
      </c>
      <c r="C445" s="23">
        <v>163.55198133114925</v>
      </c>
      <c r="D445" s="23">
        <v>325.2938578478344</v>
      </c>
      <c r="E445" s="23">
        <v>7.964601769911504</v>
      </c>
      <c r="F445" s="23">
        <v>754.392600111111</v>
      </c>
      <c r="G445" s="23">
        <v>60.08436638053097</v>
      </c>
      <c r="H445" s="23">
        <v>0.27220388793871797</v>
      </c>
    </row>
    <row r="446">
      <c r="A446" s="5" t="s">
        <v>15</v>
      </c>
      <c r="B446" s="5" t="s">
        <v>35</v>
      </c>
      <c r="C446" s="23">
        <v>346.2718213052172</v>
      </c>
      <c r="D446" s="23">
        <v>664.8660694589878</v>
      </c>
      <c r="E446" s="23">
        <v>10.144927536231885</v>
      </c>
      <c r="F446" s="23">
        <v>816.3605524285714</v>
      </c>
      <c r="G446" s="23">
        <v>82.81918647826087</v>
      </c>
      <c r="H446" s="23">
        <v>0.4181057989456462</v>
      </c>
    </row>
    <row r="447">
      <c r="A447" s="5" t="s">
        <v>15</v>
      </c>
      <c r="B447" s="5" t="s">
        <v>17</v>
      </c>
      <c r="C447" s="23">
        <v>99.98865742414337</v>
      </c>
      <c r="D447" s="23">
        <v>210.433010319291</v>
      </c>
      <c r="E447" s="23">
        <v>7.5</v>
      </c>
      <c r="F447" s="23">
        <v>433.3341765</v>
      </c>
      <c r="G447" s="23">
        <v>32.5000632375</v>
      </c>
      <c r="H447" s="23">
        <v>0.30765680882975044</v>
      </c>
    </row>
    <row r="448">
      <c r="A448" s="5" t="s">
        <v>15</v>
      </c>
      <c r="B448" s="5" t="s">
        <v>66</v>
      </c>
      <c r="C448" s="23">
        <v>615.7464874109263</v>
      </c>
      <c r="D448" s="23">
        <v>1170.3353101580135</v>
      </c>
      <c r="E448" s="23">
        <v>10.0</v>
      </c>
      <c r="F448" s="23">
        <v>648.073178</v>
      </c>
      <c r="G448" s="23">
        <v>64.80731779999999</v>
      </c>
      <c r="H448" s="23">
        <v>0.9501187648456058</v>
      </c>
    </row>
    <row r="449">
      <c r="A449" s="5" t="s">
        <v>61</v>
      </c>
      <c r="B449" s="5" t="s">
        <v>45</v>
      </c>
      <c r="C449" s="23">
        <v>30.34239020736419</v>
      </c>
      <c r="D449" s="23">
        <v>68.32721405489862</v>
      </c>
      <c r="E449" s="23">
        <v>4.864864864864865</v>
      </c>
      <c r="F449" s="23">
        <v>213.79585277777778</v>
      </c>
      <c r="G449" s="23">
        <v>10.400879324324325</v>
      </c>
      <c r="H449" s="23">
        <v>0.291729086178349</v>
      </c>
    </row>
    <row r="450">
      <c r="A450" s="5" t="s">
        <v>22</v>
      </c>
      <c r="B450" s="5" t="s">
        <v>17</v>
      </c>
      <c r="C450" s="23">
        <v>19.931908326987926</v>
      </c>
      <c r="D450" s="23">
        <v>36.27947694592254</v>
      </c>
      <c r="E450" s="23">
        <v>0.4484304932735426</v>
      </c>
      <c r="F450" s="23">
        <v>1465.872266</v>
      </c>
      <c r="G450" s="23">
        <v>6.573418233183856</v>
      </c>
      <c r="H450" s="23">
        <v>0.3032198411835092</v>
      </c>
    </row>
    <row r="451">
      <c r="A451" s="5" t="s">
        <v>22</v>
      </c>
      <c r="B451" s="5" t="s">
        <v>32</v>
      </c>
      <c r="C451" s="23">
        <v>124.64039225196463</v>
      </c>
      <c r="D451" s="23">
        <v>382.7569210030166</v>
      </c>
      <c r="E451" s="23">
        <v>5.357142857142857</v>
      </c>
      <c r="F451" s="23">
        <v>676.7142363333334</v>
      </c>
      <c r="G451" s="23">
        <v>36.252548374999996</v>
      </c>
      <c r="H451" s="23">
        <v>0.343811394891945</v>
      </c>
    </row>
    <row r="452">
      <c r="A452" s="5" t="s">
        <v>15</v>
      </c>
      <c r="B452" s="5" t="s">
        <v>183</v>
      </c>
      <c r="C452" s="23">
        <v>874.2612734243015</v>
      </c>
      <c r="D452" s="23">
        <v>1932.6172074116632</v>
      </c>
      <c r="E452" s="23">
        <v>70.0</v>
      </c>
      <c r="F452" s="23">
        <v>480.53146421428573</v>
      </c>
      <c r="G452" s="23">
        <v>336.37202495</v>
      </c>
      <c r="H452" s="23">
        <v>0.2599090318388564</v>
      </c>
    </row>
    <row r="453">
      <c r="A453" s="5" t="s">
        <v>61</v>
      </c>
      <c r="B453" s="5" t="s">
        <v>183</v>
      </c>
      <c r="C453" s="23">
        <v>166.7026231893347</v>
      </c>
      <c r="D453" s="23">
        <v>338.8345918447108</v>
      </c>
      <c r="E453" s="23">
        <v>2.0</v>
      </c>
      <c r="F453" s="23">
        <v>2600.894327</v>
      </c>
      <c r="G453" s="23">
        <v>52.01788654</v>
      </c>
      <c r="H453" s="23">
        <v>0.32047173439302656</v>
      </c>
    </row>
    <row r="454">
      <c r="A454" s="5" t="s">
        <v>15</v>
      </c>
      <c r="B454" s="5" t="s">
        <v>39</v>
      </c>
      <c r="C454" s="23">
        <v>769.92086275</v>
      </c>
      <c r="D454" s="23">
        <v>1399.856114090909</v>
      </c>
      <c r="E454" s="23">
        <v>10.0</v>
      </c>
      <c r="F454" s="23">
        <v>6159.366902</v>
      </c>
      <c r="G454" s="23">
        <v>615.9366901999999</v>
      </c>
      <c r="H454" s="23">
        <v>0.125</v>
      </c>
    </row>
    <row r="455">
      <c r="A455" s="5" t="s">
        <v>22</v>
      </c>
      <c r="B455" s="5" t="s">
        <v>17</v>
      </c>
      <c r="C455" s="23">
        <v>114.41377854620366</v>
      </c>
      <c r="D455" s="23">
        <v>200.73732773977025</v>
      </c>
      <c r="E455" s="23">
        <v>1.1764705882352942</v>
      </c>
      <c r="F455" s="23">
        <v>1555.112078</v>
      </c>
      <c r="G455" s="23">
        <v>18.295436211764706</v>
      </c>
      <c r="H455" s="23">
        <v>0.6253678634490877</v>
      </c>
    </row>
    <row r="456">
      <c r="A456" s="5" t="s">
        <v>22</v>
      </c>
      <c r="B456" s="5" t="s">
        <v>78</v>
      </c>
      <c r="C456" s="23">
        <v>225.7206493456505</v>
      </c>
      <c r="D456" s="23">
        <v>1684.3147352800381</v>
      </c>
      <c r="E456" s="23">
        <v>11.25</v>
      </c>
      <c r="F456" s="23">
        <v>390.9481646666666</v>
      </c>
      <c r="G456" s="23">
        <v>43.981668524999996</v>
      </c>
      <c r="H456" s="23">
        <v>0.5132152938157557</v>
      </c>
    </row>
    <row r="457">
      <c r="A457" s="5" t="s">
        <v>22</v>
      </c>
      <c r="B457" s="5" t="s">
        <v>29</v>
      </c>
      <c r="C457" s="23">
        <v>453.68734242769625</v>
      </c>
      <c r="D457" s="23">
        <v>3980.5393206249996</v>
      </c>
      <c r="E457" s="23">
        <v>12.698412698412698</v>
      </c>
      <c r="F457" s="23">
        <v>796.107864125</v>
      </c>
      <c r="G457" s="23">
        <v>101.09306211111111</v>
      </c>
      <c r="H457" s="23">
        <v>0.44878187776036477</v>
      </c>
    </row>
    <row r="458">
      <c r="A458" s="5" t="s">
        <v>61</v>
      </c>
      <c r="B458" s="5" t="s">
        <v>55</v>
      </c>
      <c r="C458" s="23">
        <v>43.42198789532555</v>
      </c>
      <c r="D458" s="23">
        <v>80.05604622356495</v>
      </c>
      <c r="E458" s="23">
        <v>7.386363636363637</v>
      </c>
      <c r="F458" s="23">
        <v>234.4102615</v>
      </c>
      <c r="G458" s="23">
        <v>17.31439431534091</v>
      </c>
      <c r="H458" s="23">
        <v>0.2507854857900099</v>
      </c>
    </row>
    <row r="459">
      <c r="A459" s="5" t="s">
        <v>22</v>
      </c>
      <c r="B459" s="5" t="s">
        <v>35</v>
      </c>
      <c r="C459" s="23">
        <v>203.93044563975252</v>
      </c>
      <c r="D459" s="23">
        <v>309.9259144208887</v>
      </c>
      <c r="E459" s="23">
        <v>1.9801980198019802</v>
      </c>
      <c r="F459" s="23">
        <v>2587.5714595</v>
      </c>
      <c r="G459" s="23">
        <v>51.2390388019802</v>
      </c>
      <c r="H459" s="23">
        <v>0.3979981873349883</v>
      </c>
    </row>
    <row r="460">
      <c r="A460" s="5" t="s">
        <v>22</v>
      </c>
      <c r="B460" s="5" t="s">
        <v>55</v>
      </c>
      <c r="C460" s="23">
        <v>61.90905097621339</v>
      </c>
      <c r="D460" s="23">
        <v>106.03191516543036</v>
      </c>
      <c r="E460" s="23">
        <v>20.0</v>
      </c>
      <c r="F460" s="23">
        <v>120.07054073333333</v>
      </c>
      <c r="G460" s="23">
        <v>24.01410814666667</v>
      </c>
      <c r="H460" s="23">
        <v>0.2578028323937852</v>
      </c>
    </row>
    <row r="461">
      <c r="A461" s="5" t="s">
        <v>15</v>
      </c>
      <c r="B461" s="5" t="s">
        <v>95</v>
      </c>
      <c r="C461" s="23">
        <v>21.305287302730843</v>
      </c>
      <c r="D461" s="23">
        <v>54.42243302083333</v>
      </c>
      <c r="E461" s="23">
        <v>1.015228426395939</v>
      </c>
      <c r="F461" s="23">
        <v>783.6830355</v>
      </c>
      <c r="G461" s="23">
        <v>7.956172949238578</v>
      </c>
      <c r="H461" s="23">
        <v>0.26778310927453886</v>
      </c>
    </row>
    <row r="462">
      <c r="A462" s="5" t="s">
        <v>22</v>
      </c>
      <c r="B462" s="5" t="s">
        <v>35</v>
      </c>
      <c r="C462" s="23">
        <v>9.789761474610971</v>
      </c>
      <c r="D462" s="23">
        <v>15.77183754676221</v>
      </c>
      <c r="E462" s="23">
        <v>2.5821596244131455</v>
      </c>
      <c r="F462" s="23">
        <v>136.0607749090909</v>
      </c>
      <c r="G462" s="23">
        <v>3.513306394366197</v>
      </c>
      <c r="H462" s="23">
        <v>0.2786480988481237</v>
      </c>
    </row>
    <row r="463">
      <c r="A463" s="5" t="s">
        <v>22</v>
      </c>
      <c r="B463" s="5" t="s">
        <v>35</v>
      </c>
      <c r="C463" s="23">
        <v>147.0340719871913</v>
      </c>
      <c r="D463" s="23">
        <v>254.68653813333333</v>
      </c>
      <c r="E463" s="23">
        <v>6.41025641025641</v>
      </c>
      <c r="F463" s="23">
        <v>477.537259</v>
      </c>
      <c r="G463" s="23">
        <v>30.611362756410255</v>
      </c>
      <c r="H463" s="23">
        <v>0.4803251431738408</v>
      </c>
    </row>
    <row r="464">
      <c r="A464" s="5" t="s">
        <v>15</v>
      </c>
      <c r="B464" s="5" t="s">
        <v>35</v>
      </c>
      <c r="C464" s="23">
        <v>115.48471095633539</v>
      </c>
      <c r="D464" s="23">
        <v>192.73697373421257</v>
      </c>
      <c r="E464" s="23">
        <v>3.3333333333333335</v>
      </c>
      <c r="F464" s="23">
        <v>574.8059013333333</v>
      </c>
      <c r="G464" s="23">
        <v>19.160196711111112</v>
      </c>
      <c r="H464" s="23">
        <v>0.6027323868202518</v>
      </c>
    </row>
    <row r="465">
      <c r="A465" s="5" t="s">
        <v>15</v>
      </c>
      <c r="B465" s="5" t="s">
        <v>24</v>
      </c>
      <c r="C465" s="23">
        <v>113.91953512262172</v>
      </c>
      <c r="D465" s="23">
        <v>147.5690876206541</v>
      </c>
      <c r="E465" s="23">
        <v>5.172413793103448</v>
      </c>
      <c r="F465" s="23">
        <v>524.9032446666666</v>
      </c>
      <c r="G465" s="23">
        <v>27.15016782758621</v>
      </c>
      <c r="H465" s="23">
        <v>0.41959053750994724</v>
      </c>
    </row>
    <row r="466">
      <c r="A466" s="5" t="s">
        <v>15</v>
      </c>
      <c r="B466" s="5" t="s">
        <v>32</v>
      </c>
      <c r="C466" s="23">
        <v>138.61148698056</v>
      </c>
      <c r="D466" s="23">
        <v>281.4392929567264</v>
      </c>
      <c r="E466" s="23">
        <v>4.081632653061225</v>
      </c>
      <c r="F466" s="23">
        <v>777.1946075</v>
      </c>
      <c r="G466" s="23">
        <v>31.722228877551018</v>
      </c>
      <c r="H466" s="23">
        <v>0.4369538077403246</v>
      </c>
    </row>
    <row r="467">
      <c r="A467" s="5" t="s">
        <v>22</v>
      </c>
      <c r="B467" s="5" t="s">
        <v>699</v>
      </c>
      <c r="C467" s="23">
        <v>98.4650649553684</v>
      </c>
      <c r="D467" s="23">
        <v>129.5510432618937</v>
      </c>
      <c r="E467" s="23">
        <v>4.761904761904762</v>
      </c>
      <c r="F467" s="23">
        <v>976.2318865</v>
      </c>
      <c r="G467" s="23">
        <v>46.48723269047619</v>
      </c>
      <c r="H467" s="23">
        <v>0.21181098391245146</v>
      </c>
    </row>
    <row r="468">
      <c r="A468" s="5" t="s">
        <v>22</v>
      </c>
      <c r="B468" s="5" t="s">
        <v>39</v>
      </c>
      <c r="C468" s="23">
        <v>42.915841887245534</v>
      </c>
      <c r="D468" s="23">
        <v>50.64710620249903</v>
      </c>
      <c r="E468" s="23">
        <v>5.105105105105105</v>
      </c>
      <c r="F468" s="23">
        <v>231.27852085294117</v>
      </c>
      <c r="G468" s="23">
        <v>11.807011575075075</v>
      </c>
      <c r="H468" s="23">
        <v>0.3634775964634612</v>
      </c>
    </row>
    <row r="469">
      <c r="A469" s="5" t="s">
        <v>22</v>
      </c>
      <c r="B469" s="5" t="s">
        <v>84</v>
      </c>
      <c r="C469" s="23">
        <v>65.71915764334021</v>
      </c>
      <c r="D469" s="23">
        <v>77.72898679016728</v>
      </c>
      <c r="E469" s="23">
        <v>1.0526315789473684</v>
      </c>
      <c r="F469" s="23">
        <v>1860.87080825</v>
      </c>
      <c r="G469" s="23">
        <v>19.58811377105263</v>
      </c>
      <c r="H469" s="23">
        <v>0.33550528862283907</v>
      </c>
    </row>
    <row r="470">
      <c r="A470" s="5" t="s">
        <v>15</v>
      </c>
      <c r="B470" s="5" t="s">
        <v>29</v>
      </c>
      <c r="C470" s="23">
        <v>96.14416650117171</v>
      </c>
      <c r="D470" s="23">
        <v>113.79379842045881</v>
      </c>
      <c r="E470" s="23">
        <v>4.5</v>
      </c>
      <c r="F470" s="23">
        <v>806.8738933333333</v>
      </c>
      <c r="G470" s="23">
        <v>36.309325199999996</v>
      </c>
      <c r="H470" s="23">
        <v>0.2647919397333545</v>
      </c>
    </row>
    <row r="471">
      <c r="A471" s="5" t="s">
        <v>15</v>
      </c>
      <c r="B471" s="5" t="s">
        <v>17</v>
      </c>
      <c r="C471" s="23">
        <v>64.33906228753472</v>
      </c>
      <c r="D471" s="23">
        <v>76.24212944846002</v>
      </c>
      <c r="E471" s="23">
        <v>3.75</v>
      </c>
      <c r="F471" s="23">
        <v>552.0184312499999</v>
      </c>
      <c r="G471" s="23">
        <v>20.700691171875</v>
      </c>
      <c r="H471" s="23">
        <v>0.31080634821966235</v>
      </c>
    </row>
    <row r="472">
      <c r="A472" s="5" t="s">
        <v>15</v>
      </c>
      <c r="B472" s="5" t="s">
        <v>35</v>
      </c>
      <c r="C472" s="23">
        <v>153.20554250964798</v>
      </c>
      <c r="D472" s="23">
        <v>179.445606388516</v>
      </c>
      <c r="E472" s="23">
        <v>10.256410256410255</v>
      </c>
      <c r="F472" s="23">
        <v>545.8585808333333</v>
      </c>
      <c r="G472" s="23">
        <v>55.98549547008547</v>
      </c>
      <c r="H472" s="23">
        <v>0.2736522044205356</v>
      </c>
    </row>
    <row r="473">
      <c r="A473" s="5" t="s">
        <v>22</v>
      </c>
      <c r="B473" s="5" t="s">
        <v>55</v>
      </c>
      <c r="C473" s="23">
        <v>18.424112638899388</v>
      </c>
      <c r="D473" s="23">
        <v>22.409512986953285</v>
      </c>
      <c r="E473" s="23">
        <v>1.3024602026049203</v>
      </c>
      <c r="F473" s="23">
        <v>541.627969111111</v>
      </c>
      <c r="G473" s="23">
        <v>7.054488743849493</v>
      </c>
      <c r="H473" s="23">
        <v>0.261168644644342</v>
      </c>
    </row>
    <row r="474">
      <c r="A474" s="5" t="s">
        <v>22</v>
      </c>
      <c r="B474" s="5" t="s">
        <v>32</v>
      </c>
      <c r="C474" s="23">
        <v>47.64865451871221</v>
      </c>
      <c r="D474" s="23">
        <v>54.515060072653455</v>
      </c>
      <c r="E474" s="23">
        <v>7.5</v>
      </c>
      <c r="F474" s="23">
        <v>226.77053544444445</v>
      </c>
      <c r="G474" s="23">
        <v>17.007790158333332</v>
      </c>
      <c r="H474" s="23">
        <v>0.2801578222398618</v>
      </c>
    </row>
    <row r="475">
      <c r="A475" s="5" t="s">
        <v>22</v>
      </c>
      <c r="B475" s="5" t="s">
        <v>39</v>
      </c>
      <c r="C475" s="23">
        <v>4.232098773482637</v>
      </c>
      <c r="D475" s="23">
        <v>5.135724099172887</v>
      </c>
      <c r="E475" s="23">
        <v>1.862348178137652</v>
      </c>
      <c r="F475" s="23">
        <v>88.60285191304348</v>
      </c>
      <c r="G475" s="23">
        <v>1.650093598380567</v>
      </c>
      <c r="H475" s="23">
        <v>0.2564762858080353</v>
      </c>
    </row>
    <row r="476">
      <c r="A476" s="5" t="s">
        <v>15</v>
      </c>
      <c r="B476" s="5" t="s">
        <v>78</v>
      </c>
      <c r="C476" s="23">
        <v>32.45885684395114</v>
      </c>
      <c r="D476" s="23">
        <v>39.244514359369724</v>
      </c>
      <c r="E476" s="23">
        <v>7.537688442211055</v>
      </c>
      <c r="F476" s="23">
        <v>108.59218753333333</v>
      </c>
      <c r="G476" s="23">
        <v>8.18534076884422</v>
      </c>
      <c r="H476" s="23">
        <v>0.39654863200685486</v>
      </c>
    </row>
    <row r="477">
      <c r="A477" s="5" t="s">
        <v>15</v>
      </c>
      <c r="B477" s="5" t="s">
        <v>17</v>
      </c>
      <c r="C477" s="23">
        <v>76.99552356790592</v>
      </c>
      <c r="D477" s="23">
        <v>90.55669832682655</v>
      </c>
      <c r="E477" s="23">
        <v>6.666666666666667</v>
      </c>
      <c r="F477" s="23">
        <v>405.92040025</v>
      </c>
      <c r="G477" s="23">
        <v>27.061360016666665</v>
      </c>
      <c r="H477" s="23">
        <v>0.2845220030349013</v>
      </c>
    </row>
    <row r="478">
      <c r="A478" s="5" t="s">
        <v>15</v>
      </c>
      <c r="B478" s="5" t="s">
        <v>29</v>
      </c>
      <c r="C478" s="23">
        <v>5.63775952918538</v>
      </c>
      <c r="D478" s="23">
        <v>6.707544908778718</v>
      </c>
      <c r="E478" s="23">
        <v>1.1904761904761905</v>
      </c>
      <c r="F478" s="23">
        <v>178.3931191111111</v>
      </c>
      <c r="G478" s="23">
        <v>2.1237276084656087</v>
      </c>
      <c r="H478" s="23">
        <v>0.2654652840935028</v>
      </c>
    </row>
    <row r="479">
      <c r="A479" s="5" t="s">
        <v>22</v>
      </c>
      <c r="B479" s="5" t="s">
        <v>531</v>
      </c>
      <c r="C479" s="23">
        <v>73.0169416835461</v>
      </c>
      <c r="D479" s="23">
        <v>85.767534720301</v>
      </c>
      <c r="E479" s="23">
        <v>12.5</v>
      </c>
      <c r="F479" s="23">
        <v>155.0076655</v>
      </c>
      <c r="G479" s="23">
        <v>19.3759581875</v>
      </c>
      <c r="H479" s="23">
        <v>0.3768429977860474</v>
      </c>
    </row>
    <row r="480">
      <c r="A480" s="5" t="s">
        <v>22</v>
      </c>
      <c r="B480" s="5" t="s">
        <v>214</v>
      </c>
      <c r="C480" s="23">
        <v>27.73017883634258</v>
      </c>
      <c r="D480" s="23">
        <v>32.212300716642496</v>
      </c>
      <c r="E480" s="23">
        <v>1.36986301369863</v>
      </c>
      <c r="F480" s="23">
        <v>510.9193016666666</v>
      </c>
      <c r="G480" s="23">
        <v>6.998894543378995</v>
      </c>
      <c r="H480" s="23">
        <v>0.39620798205304486</v>
      </c>
    </row>
    <row r="481">
      <c r="A481" s="5" t="s">
        <v>22</v>
      </c>
      <c r="B481" s="5" t="s">
        <v>55</v>
      </c>
      <c r="C481" s="23">
        <v>184.37987666102924</v>
      </c>
      <c r="D481" s="23">
        <v>225.8503431488606</v>
      </c>
      <c r="E481" s="23">
        <v>2.5</v>
      </c>
      <c r="F481" s="23">
        <v>1526.296619</v>
      </c>
      <c r="G481" s="23">
        <v>38.157415475</v>
      </c>
      <c r="H481" s="23">
        <v>0.48320850446967867</v>
      </c>
    </row>
    <row r="482">
      <c r="A482" s="5" t="s">
        <v>15</v>
      </c>
      <c r="B482" s="5" t="s">
        <v>29</v>
      </c>
      <c r="C482" s="23">
        <v>17.20257631955986</v>
      </c>
      <c r="D482" s="23">
        <v>20.873103639625604</v>
      </c>
      <c r="E482" s="23">
        <v>0.5714285714285714</v>
      </c>
      <c r="F482" s="23">
        <v>750.4193855</v>
      </c>
      <c r="G482" s="23">
        <v>4.288110774285714</v>
      </c>
      <c r="H482" s="23">
        <v>0.4011691214396241</v>
      </c>
    </row>
    <row r="483">
      <c r="A483" s="5" t="s">
        <v>15</v>
      </c>
      <c r="B483" s="5" t="s">
        <v>35</v>
      </c>
      <c r="C483" s="23">
        <v>272.7768628715648</v>
      </c>
      <c r="D483" s="23">
        <v>369.05452850948507</v>
      </c>
      <c r="E483" s="23">
        <v>21.333333333333336</v>
      </c>
      <c r="F483" s="23">
        <v>425.5660031875</v>
      </c>
      <c r="G483" s="23">
        <v>90.78741401333333</v>
      </c>
      <c r="H483" s="23">
        <v>0.3004566941751462</v>
      </c>
    </row>
    <row r="484">
      <c r="A484" s="5" t="s">
        <v>15</v>
      </c>
      <c r="B484" s="5" t="s">
        <v>95</v>
      </c>
      <c r="C484" s="23">
        <v>102.17519171564511</v>
      </c>
      <c r="D484" s="23">
        <v>135.02118212708905</v>
      </c>
      <c r="E484" s="23">
        <v>7.5</v>
      </c>
      <c r="F484" s="23">
        <v>486.7626133333333</v>
      </c>
      <c r="G484" s="23">
        <v>36.507196</v>
      </c>
      <c r="H484" s="23">
        <v>0.279876854184159</v>
      </c>
    </row>
    <row r="485">
      <c r="A485" s="5" t="s">
        <v>15</v>
      </c>
      <c r="B485" s="5" t="s">
        <v>55</v>
      </c>
      <c r="C485" s="23">
        <v>89.73825406570104</v>
      </c>
      <c r="D485" s="23">
        <v>120.4854636313542</v>
      </c>
      <c r="E485" s="23">
        <v>14.074074074074074</v>
      </c>
      <c r="F485" s="23">
        <v>276.19073068421056</v>
      </c>
      <c r="G485" s="23">
        <v>38.871288022222224</v>
      </c>
      <c r="H485" s="23">
        <v>0.23085999623783712</v>
      </c>
    </row>
    <row r="486">
      <c r="A486" s="5" t="s">
        <v>15</v>
      </c>
      <c r="B486" s="5" t="s">
        <v>175</v>
      </c>
      <c r="C486" s="23">
        <v>128.6972283744887</v>
      </c>
      <c r="D486" s="23">
        <v>156.2929637567841</v>
      </c>
      <c r="E486" s="23">
        <v>2.9702970297029703</v>
      </c>
      <c r="F486" s="23">
        <v>566.353603</v>
      </c>
      <c r="G486" s="23">
        <v>16.822384247524752</v>
      </c>
      <c r="H486" s="23">
        <v>0.7650356006665656</v>
      </c>
    </row>
    <row r="487">
      <c r="A487" s="5" t="s">
        <v>15</v>
      </c>
      <c r="B487" s="5" t="s">
        <v>55</v>
      </c>
      <c r="C487" s="23">
        <v>852.5991576890193</v>
      </c>
      <c r="D487" s="23">
        <v>1428.0338183306058</v>
      </c>
      <c r="E487" s="23">
        <v>15.0</v>
      </c>
      <c r="F487" s="23">
        <v>2326.7431013333335</v>
      </c>
      <c r="G487" s="23">
        <v>349.01146520000003</v>
      </c>
      <c r="H487" s="23">
        <v>0.24428972761695372</v>
      </c>
    </row>
    <row r="488">
      <c r="A488" s="5" t="s">
        <v>15</v>
      </c>
      <c r="B488" s="5" t="s">
        <v>84</v>
      </c>
      <c r="C488" s="23">
        <v>321.31158843984963</v>
      </c>
      <c r="D488" s="23">
        <v>446.6333922529231</v>
      </c>
      <c r="E488" s="23">
        <v>8.571428571428571</v>
      </c>
      <c r="F488" s="23">
        <v>1139.5851003333335</v>
      </c>
      <c r="G488" s="23">
        <v>97.6787228857143</v>
      </c>
      <c r="H488" s="23">
        <v>0.3289473684210526</v>
      </c>
    </row>
    <row r="489">
      <c r="A489" s="5" t="s">
        <v>22</v>
      </c>
      <c r="B489" s="5" t="s">
        <v>121</v>
      </c>
      <c r="C489" s="23">
        <v>78.3708111736364</v>
      </c>
      <c r="D489" s="23">
        <v>120.01486848528087</v>
      </c>
      <c r="E489" s="23">
        <v>0.9090909090909091</v>
      </c>
      <c r="F489" s="23">
        <v>1598.11798875</v>
      </c>
      <c r="G489" s="23">
        <v>14.528345352272726</v>
      </c>
      <c r="H489" s="23">
        <v>0.539433839665551</v>
      </c>
    </row>
    <row r="490">
      <c r="A490" s="5" t="s">
        <v>15</v>
      </c>
      <c r="B490" s="5" t="s">
        <v>356</v>
      </c>
      <c r="C490" s="23">
        <v>136.6512102724177</v>
      </c>
      <c r="D490" s="23">
        <v>215.03923595605963</v>
      </c>
      <c r="E490" s="23">
        <v>17.307692307692307</v>
      </c>
      <c r="F490" s="23">
        <v>267.5327027777778</v>
      </c>
      <c r="G490" s="23">
        <v>46.303737019230766</v>
      </c>
      <c r="H490" s="23">
        <v>0.29511918274687854</v>
      </c>
    </row>
    <row r="491">
      <c r="A491" s="5" t="s">
        <v>15</v>
      </c>
      <c r="B491" s="5" t="s">
        <v>17</v>
      </c>
      <c r="C491" s="23">
        <v>74.6420630513834</v>
      </c>
      <c r="D491" s="23">
        <v>99.33324541323009</v>
      </c>
      <c r="E491" s="23">
        <v>6.0606060606060606</v>
      </c>
      <c r="F491" s="23">
        <v>393.425874</v>
      </c>
      <c r="G491" s="23">
        <v>23.843992363636364</v>
      </c>
      <c r="H491" s="23">
        <v>0.3130434782608696</v>
      </c>
    </row>
    <row r="492">
      <c r="A492" s="5" t="s">
        <v>22</v>
      </c>
      <c r="B492" s="5" t="s">
        <v>84</v>
      </c>
      <c r="C492" s="23">
        <v>86.10045019165727</v>
      </c>
      <c r="D492" s="23">
        <v>128.0534864520456</v>
      </c>
      <c r="E492" s="23">
        <v>4.285714285714286</v>
      </c>
      <c r="F492" s="23">
        <v>318.21291383333335</v>
      </c>
      <c r="G492" s="23">
        <v>13.637696307142857</v>
      </c>
      <c r="H492" s="23">
        <v>0.6313416009019166</v>
      </c>
    </row>
    <row r="493">
      <c r="A493" s="5" t="s">
        <v>22</v>
      </c>
      <c r="B493" s="5" t="s">
        <v>35</v>
      </c>
      <c r="C493" s="23">
        <v>43.2803751646846</v>
      </c>
      <c r="D493" s="23">
        <v>117.43669766444235</v>
      </c>
      <c r="E493" s="23">
        <v>3.0303030303030303</v>
      </c>
      <c r="F493" s="23">
        <v>492.76438340000004</v>
      </c>
      <c r="G493" s="23">
        <v>14.932254042424244</v>
      </c>
      <c r="H493" s="23">
        <v>0.28984488906845607</v>
      </c>
    </row>
    <row r="494">
      <c r="A494" s="5" t="s">
        <v>22</v>
      </c>
      <c r="B494" s="5" t="s">
        <v>55</v>
      </c>
      <c r="C494" s="23">
        <v>86.44079776841062</v>
      </c>
      <c r="D494" s="23">
        <v>264.06282184517494</v>
      </c>
      <c r="E494" s="23">
        <v>16.666666666666664</v>
      </c>
      <c r="F494" s="23">
        <v>174.3078687</v>
      </c>
      <c r="G494" s="23">
        <v>29.05131145</v>
      </c>
      <c r="H494" s="23">
        <v>0.29754525167369206</v>
      </c>
    </row>
    <row r="495">
      <c r="A495" s="5" t="s">
        <v>15</v>
      </c>
      <c r="B495" s="5" t="s">
        <v>55</v>
      </c>
      <c r="C495" s="23">
        <v>67.66445709079596</v>
      </c>
      <c r="D495" s="23">
        <v>117.0897445974006</v>
      </c>
      <c r="E495" s="23">
        <v>7.5</v>
      </c>
      <c r="F495" s="23">
        <v>169.16866100000001</v>
      </c>
      <c r="G495" s="23">
        <v>12.687649575</v>
      </c>
      <c r="H495" s="23">
        <v>0.5333096306830807</v>
      </c>
    </row>
    <row r="496">
      <c r="A496" s="5" t="s">
        <v>15</v>
      </c>
      <c r="B496" s="5" t="s">
        <v>32</v>
      </c>
      <c r="C496" s="23">
        <v>55.16132693834562</v>
      </c>
      <c r="D496" s="23">
        <v>150.31930463196008</v>
      </c>
      <c r="E496" s="23">
        <v>4.166666666666666</v>
      </c>
      <c r="F496" s="23">
        <v>453.9041722666667</v>
      </c>
      <c r="G496" s="23">
        <v>18.912673844444445</v>
      </c>
      <c r="H496" s="23">
        <v>0.29166329093413274</v>
      </c>
    </row>
    <row r="497">
      <c r="A497" s="5" t="s">
        <v>22</v>
      </c>
      <c r="B497" s="5" t="s">
        <v>131</v>
      </c>
      <c r="C497" s="23">
        <v>9.482927253721018</v>
      </c>
      <c r="D497" s="23">
        <v>26.55632580816552</v>
      </c>
      <c r="E497" s="23">
        <v>0.5006257822277848</v>
      </c>
      <c r="F497" s="23">
        <v>637.2787895</v>
      </c>
      <c r="G497" s="23">
        <v>3.190381924906133</v>
      </c>
      <c r="H497" s="23">
        <v>0.29723486018057294</v>
      </c>
    </row>
    <row r="498">
      <c r="A498" s="5" t="s">
        <v>15</v>
      </c>
      <c r="B498" s="5" t="s">
        <v>121</v>
      </c>
      <c r="C498" s="23">
        <v>99.48758389825424</v>
      </c>
      <c r="D498" s="23">
        <v>151.29628099625944</v>
      </c>
      <c r="E498" s="23">
        <v>19.230769230769234</v>
      </c>
      <c r="F498" s="23">
        <v>331.6717072</v>
      </c>
      <c r="G498" s="23">
        <v>63.783020615384615</v>
      </c>
      <c r="H498" s="23">
        <v>0.155978163057172</v>
      </c>
    </row>
    <row r="499">
      <c r="A499" s="5" t="s">
        <v>15</v>
      </c>
      <c r="B499" s="5" t="s">
        <v>32</v>
      </c>
      <c r="C499" s="23">
        <v>181.35737754654983</v>
      </c>
      <c r="D499" s="23">
        <v>444.98598683149686</v>
      </c>
      <c r="E499" s="23">
        <v>3.0303030303030303</v>
      </c>
      <c r="F499" s="23">
        <v>1655.792857</v>
      </c>
      <c r="G499" s="23">
        <v>50.17554112121212</v>
      </c>
      <c r="H499" s="23">
        <v>0.3614457831325301</v>
      </c>
    </row>
    <row r="500">
      <c r="A500" s="5" t="s">
        <v>15</v>
      </c>
      <c r="B500" s="5" t="s">
        <v>55</v>
      </c>
      <c r="C500" s="23">
        <v>762.9325114239842</v>
      </c>
      <c r="D500" s="23">
        <v>1249.9928257790368</v>
      </c>
      <c r="E500" s="23">
        <v>5.0</v>
      </c>
      <c r="F500" s="23">
        <v>6177.464545</v>
      </c>
      <c r="G500" s="23">
        <v>308.87322725</v>
      </c>
      <c r="H500" s="23">
        <v>0.24700506360380386</v>
      </c>
    </row>
    <row r="501">
      <c r="A501" s="5" t="s">
        <v>15</v>
      </c>
      <c r="B501" s="5" t="s">
        <v>17</v>
      </c>
      <c r="C501" s="23">
        <v>57.54924278466655</v>
      </c>
      <c r="D501" s="23">
        <v>94.95195728700402</v>
      </c>
      <c r="E501" s="23">
        <v>3.3333333333333335</v>
      </c>
      <c r="F501" s="23">
        <v>938.67131175</v>
      </c>
      <c r="G501" s="23">
        <v>31.289043725</v>
      </c>
      <c r="H501" s="23">
        <v>0.18392777769262603</v>
      </c>
    </row>
    <row r="502">
      <c r="A502" s="5" t="s">
        <v>15</v>
      </c>
      <c r="B502" s="5" t="s">
        <v>39</v>
      </c>
      <c r="C502" s="23">
        <v>32.73341857548794</v>
      </c>
      <c r="D502" s="23">
        <v>60.74679570043325</v>
      </c>
      <c r="E502" s="23">
        <v>1.3664596273291925</v>
      </c>
      <c r="F502" s="23">
        <v>669.181179</v>
      </c>
      <c r="G502" s="23">
        <v>9.144090644720496</v>
      </c>
      <c r="H502" s="23">
        <v>0.3579734699413457</v>
      </c>
    </row>
    <row r="503">
      <c r="A503" s="5" t="s">
        <v>15</v>
      </c>
      <c r="B503" s="5" t="s">
        <v>78</v>
      </c>
      <c r="C503" s="23">
        <v>63.343508411659286</v>
      </c>
      <c r="D503" s="23">
        <v>118.760391559243</v>
      </c>
      <c r="E503" s="23">
        <v>5.769230769230769</v>
      </c>
      <c r="F503" s="23">
        <v>329.9050572380952</v>
      </c>
      <c r="G503" s="23">
        <v>19.03298407142857</v>
      </c>
      <c r="H503" s="23">
        <v>0.33280912847895255</v>
      </c>
    </row>
    <row r="504">
      <c r="A504" s="5" t="s">
        <v>22</v>
      </c>
      <c r="B504" s="5" t="s">
        <v>183</v>
      </c>
      <c r="C504" s="23">
        <v>148.0307903049745</v>
      </c>
      <c r="D504" s="23">
        <v>380.21137186015903</v>
      </c>
      <c r="E504" s="23">
        <v>20.0</v>
      </c>
      <c r="F504" s="23">
        <v>265.79816584</v>
      </c>
      <c r="G504" s="23">
        <v>53.159633168</v>
      </c>
      <c r="H504" s="23">
        <v>0.2784646572656998</v>
      </c>
    </row>
    <row r="505">
      <c r="A505" s="5" t="s">
        <v>22</v>
      </c>
      <c r="B505" s="5" t="s">
        <v>204</v>
      </c>
      <c r="C505" s="23">
        <v>148.88461077745592</v>
      </c>
      <c r="D505" s="23">
        <v>416.24360894185816</v>
      </c>
      <c r="E505" s="23">
        <v>9.090909090909092</v>
      </c>
      <c r="F505" s="23">
        <v>574.6810626363637</v>
      </c>
      <c r="G505" s="23">
        <v>52.243732966942154</v>
      </c>
      <c r="H505" s="23">
        <v>0.2849808050118938</v>
      </c>
    </row>
    <row r="506">
      <c r="A506" s="5" t="s">
        <v>15</v>
      </c>
      <c r="B506" s="5" t="s">
        <v>55</v>
      </c>
      <c r="C506" s="23">
        <v>90.3559816525569</v>
      </c>
      <c r="D506" s="23">
        <v>209.24669111802888</v>
      </c>
      <c r="E506" s="23">
        <v>4.285714285714286</v>
      </c>
      <c r="F506" s="23">
        <v>702.0458983333333</v>
      </c>
      <c r="G506" s="23">
        <v>30.08768135714286</v>
      </c>
      <c r="H506" s="23">
        <v>0.30030888914311865</v>
      </c>
    </row>
    <row r="507">
      <c r="A507" s="5" t="s">
        <v>22</v>
      </c>
      <c r="B507" s="5" t="s">
        <v>17</v>
      </c>
      <c r="C507" s="23">
        <v>150.0371625590445</v>
      </c>
      <c r="D507" s="23">
        <v>346.4463647923142</v>
      </c>
      <c r="E507" s="23">
        <v>2.7777777777777777</v>
      </c>
      <c r="F507" s="23">
        <v>1532.59210625</v>
      </c>
      <c r="G507" s="23">
        <v>42.57200295138889</v>
      </c>
      <c r="H507" s="23">
        <v>0.3524315328324237</v>
      </c>
    </row>
    <row r="508">
      <c r="A508" s="5" t="s">
        <v>15</v>
      </c>
      <c r="B508" s="5" t="s">
        <v>35</v>
      </c>
      <c r="C508" s="23">
        <v>346.6881344092355</v>
      </c>
      <c r="D508" s="23">
        <v>703.4864522528984</v>
      </c>
      <c r="E508" s="23">
        <v>30.0</v>
      </c>
      <c r="F508" s="23">
        <v>654.0079051111111</v>
      </c>
      <c r="G508" s="23">
        <v>196.20237153333335</v>
      </c>
      <c r="H508" s="23">
        <v>0.17669925786311697</v>
      </c>
    </row>
    <row r="509">
      <c r="A509" s="5" t="s">
        <v>22</v>
      </c>
      <c r="B509" s="5" t="s">
        <v>55</v>
      </c>
      <c r="C509" s="23">
        <v>363.278930868939</v>
      </c>
      <c r="D509" s="23">
        <v>1386.2784849515833</v>
      </c>
      <c r="E509" s="23">
        <v>13.333333333333334</v>
      </c>
      <c r="F509" s="23">
        <v>882.8283485000001</v>
      </c>
      <c r="G509" s="23">
        <v>117.71044646666667</v>
      </c>
      <c r="H509" s="23">
        <v>0.3086208079006927</v>
      </c>
    </row>
    <row r="510">
      <c r="A510" s="5" t="s">
        <v>15</v>
      </c>
      <c r="B510" s="5" t="s">
        <v>35</v>
      </c>
      <c r="C510" s="23">
        <v>455.0711828941285</v>
      </c>
      <c r="D510" s="23">
        <v>1138.994409395973</v>
      </c>
      <c r="E510" s="23">
        <v>8.0</v>
      </c>
      <c r="F510" s="23">
        <v>2460.7974215</v>
      </c>
      <c r="G510" s="23">
        <v>196.86379372</v>
      </c>
      <c r="H510" s="23">
        <v>0.2311604253351826</v>
      </c>
    </row>
    <row r="511">
      <c r="A511" s="5" t="s">
        <v>15</v>
      </c>
      <c r="B511" s="5" t="s">
        <v>240</v>
      </c>
      <c r="C511" s="23">
        <v>35.344145716937845</v>
      </c>
      <c r="D511" s="23">
        <v>79.25867242699762</v>
      </c>
      <c r="E511" s="23">
        <v>0.5263157894736842</v>
      </c>
      <c r="F511" s="23">
        <v>2018.044688</v>
      </c>
      <c r="G511" s="23">
        <v>10.621287831578947</v>
      </c>
      <c r="H511" s="23">
        <v>0.3327670455540571</v>
      </c>
    </row>
    <row r="512">
      <c r="A512" s="5" t="s">
        <v>15</v>
      </c>
      <c r="B512" s="5" t="s">
        <v>356</v>
      </c>
      <c r="C512" s="23">
        <v>202.14528927438673</v>
      </c>
      <c r="D512" s="23">
        <v>679.6392979325353</v>
      </c>
      <c r="E512" s="23">
        <v>2.0</v>
      </c>
      <c r="F512" s="23">
        <v>3122.942574</v>
      </c>
      <c r="G512" s="23">
        <v>62.45885148</v>
      </c>
      <c r="H512" s="23">
        <v>0.3236455434008674</v>
      </c>
    </row>
    <row r="513">
      <c r="A513" s="5" t="s">
        <v>15</v>
      </c>
      <c r="B513" s="5" t="s">
        <v>78</v>
      </c>
      <c r="C513" s="23">
        <v>23.446437449132294</v>
      </c>
      <c r="D513" s="23">
        <v>43.94649412768191</v>
      </c>
      <c r="E513" s="23">
        <v>4.545454545454546</v>
      </c>
      <c r="F513" s="23">
        <v>535.8308135999999</v>
      </c>
      <c r="G513" s="23">
        <v>24.35594607272727</v>
      </c>
      <c r="H513" s="23">
        <v>0.09626576351877619</v>
      </c>
    </row>
    <row r="514">
      <c r="A514" s="5" t="s">
        <v>15</v>
      </c>
      <c r="B514" s="5" t="s">
        <v>173</v>
      </c>
      <c r="C514" s="23">
        <v>36.09794337592054</v>
      </c>
      <c r="D514" s="23">
        <v>90.75484252638088</v>
      </c>
      <c r="E514" s="23">
        <v>2.5</v>
      </c>
      <c r="F514" s="23">
        <v>586.97963275</v>
      </c>
      <c r="G514" s="23">
        <v>14.674490818749998</v>
      </c>
      <c r="H514" s="23">
        <v>0.24599111357102224</v>
      </c>
    </row>
    <row r="515">
      <c r="A515" s="5" t="s">
        <v>22</v>
      </c>
      <c r="B515" s="5" t="s">
        <v>35</v>
      </c>
      <c r="C515" s="23">
        <v>26.00764648217636</v>
      </c>
      <c r="D515" s="23">
        <v>61.84975158951478</v>
      </c>
      <c r="E515" s="23">
        <v>2.3696682464454977</v>
      </c>
      <c r="F515" s="23">
        <v>443.5864184</v>
      </c>
      <c r="G515" s="23">
        <v>10.511526502369668</v>
      </c>
      <c r="H515" s="23">
        <v>0.24742026266416509</v>
      </c>
    </row>
    <row r="516">
      <c r="A516" s="5" t="s">
        <v>22</v>
      </c>
      <c r="B516" s="5" t="s">
        <v>35</v>
      </c>
      <c r="C516" s="23">
        <v>41.93550082500243</v>
      </c>
      <c r="D516" s="23">
        <v>118.02378305288462</v>
      </c>
      <c r="E516" s="23">
        <v>9.722222222222223</v>
      </c>
      <c r="F516" s="23">
        <v>154.3076660714286</v>
      </c>
      <c r="G516" s="23">
        <v>15.002134201388891</v>
      </c>
      <c r="H516" s="23">
        <v>0.2795302339124527</v>
      </c>
    </row>
    <row r="517">
      <c r="A517" s="5" t="s">
        <v>22</v>
      </c>
      <c r="B517" s="5" t="s">
        <v>66</v>
      </c>
      <c r="C517" s="23">
        <v>45.353222965236114</v>
      </c>
      <c r="D517" s="23">
        <v>106.97314503321991</v>
      </c>
      <c r="E517" s="23">
        <v>13.533834586466165</v>
      </c>
      <c r="F517" s="23">
        <v>110.02187966666666</v>
      </c>
      <c r="G517" s="23">
        <v>14.890179203007518</v>
      </c>
      <c r="H517" s="23">
        <v>0.30458480282141714</v>
      </c>
    </row>
    <row r="518">
      <c r="A518" s="5" t="s">
        <v>15</v>
      </c>
      <c r="B518" s="5" t="s">
        <v>35</v>
      </c>
      <c r="C518" s="23">
        <v>40.46898594862145</v>
      </c>
      <c r="D518" s="23">
        <v>61.715834716157204</v>
      </c>
      <c r="E518" s="23">
        <v>8.181818181818182</v>
      </c>
      <c r="F518" s="23">
        <v>219.84551788888888</v>
      </c>
      <c r="G518" s="23">
        <v>17.987360554545454</v>
      </c>
      <c r="H518" s="23">
        <v>0.22498568272928088</v>
      </c>
    </row>
    <row r="519">
      <c r="A519" s="5" t="s">
        <v>22</v>
      </c>
      <c r="B519" s="5" t="s">
        <v>55</v>
      </c>
      <c r="C519" s="23">
        <v>18.53614510466159</v>
      </c>
      <c r="D519" s="23">
        <v>34.703620909545585</v>
      </c>
      <c r="E519" s="23">
        <v>1.3550135501355014</v>
      </c>
      <c r="F519" s="23">
        <v>388.56950259999996</v>
      </c>
      <c r="G519" s="23">
        <v>5.265169411924119</v>
      </c>
      <c r="H519" s="23">
        <v>0.3520522067662717</v>
      </c>
    </row>
    <row r="520">
      <c r="A520" s="5" t="s">
        <v>22</v>
      </c>
      <c r="B520" s="5" t="s">
        <v>29</v>
      </c>
      <c r="C520" s="23">
        <v>27.894592982021464</v>
      </c>
      <c r="D520" s="23">
        <v>47.74062151489452</v>
      </c>
      <c r="E520" s="23">
        <v>4.583333333333333</v>
      </c>
      <c r="F520" s="23">
        <v>163.7590119090909</v>
      </c>
      <c r="G520" s="23">
        <v>7.505621379166667</v>
      </c>
      <c r="H520" s="23">
        <v>0.37164934883937006</v>
      </c>
    </row>
    <row r="521">
      <c r="A521" s="5" t="s">
        <v>15</v>
      </c>
      <c r="B521" s="5" t="s">
        <v>39</v>
      </c>
      <c r="C521" s="23">
        <v>32.29295446450255</v>
      </c>
      <c r="D521" s="23">
        <v>72.02254416610246</v>
      </c>
      <c r="E521" s="23">
        <v>1.7647058823529411</v>
      </c>
      <c r="F521" s="23">
        <v>531.8864886666667</v>
      </c>
      <c r="G521" s="23">
        <v>9.386232152941178</v>
      </c>
      <c r="H521" s="23">
        <v>0.34404598073342507</v>
      </c>
    </row>
    <row r="522">
      <c r="A522" s="5" t="s">
        <v>15</v>
      </c>
      <c r="B522" s="5" t="s">
        <v>32</v>
      </c>
      <c r="C522" s="23">
        <v>139.88723134262136</v>
      </c>
      <c r="D522" s="23">
        <v>315.7830949519231</v>
      </c>
      <c r="E522" s="23">
        <v>4.761904761904762</v>
      </c>
      <c r="F522" s="23">
        <v>525.46307</v>
      </c>
      <c r="G522" s="23">
        <v>25.022050952380955</v>
      </c>
      <c r="H522" s="23">
        <v>0.5590558168426657</v>
      </c>
    </row>
    <row r="523">
      <c r="A523" s="5" t="s">
        <v>22</v>
      </c>
      <c r="B523" s="5" t="s">
        <v>78</v>
      </c>
      <c r="C523" s="23">
        <v>102.51321256038646</v>
      </c>
      <c r="D523" s="23">
        <v>264.8949713225371</v>
      </c>
      <c r="E523" s="23">
        <v>63.33333333333333</v>
      </c>
      <c r="F523" s="23">
        <v>82.64723105263158</v>
      </c>
      <c r="G523" s="23">
        <v>52.34324633333333</v>
      </c>
      <c r="H523" s="23">
        <v>0.19584802193497847</v>
      </c>
    </row>
    <row r="524">
      <c r="A524" s="5" t="s">
        <v>61</v>
      </c>
      <c r="B524" s="5" t="s">
        <v>29</v>
      </c>
      <c r="C524" s="23">
        <v>139.04512561234867</v>
      </c>
      <c r="D524" s="23">
        <v>360.92351583493286</v>
      </c>
      <c r="E524" s="23">
        <v>10.0</v>
      </c>
      <c r="F524" s="23">
        <v>752.164607</v>
      </c>
      <c r="G524" s="23">
        <v>75.2164607</v>
      </c>
      <c r="H524" s="23">
        <v>0.18485996857380535</v>
      </c>
    </row>
    <row r="525">
      <c r="A525" s="5" t="s">
        <v>15</v>
      </c>
      <c r="B525" s="5" t="s">
        <v>32</v>
      </c>
      <c r="C525" s="23">
        <v>48.9511073451846</v>
      </c>
      <c r="D525" s="23">
        <v>119.98119152501795</v>
      </c>
      <c r="E525" s="23">
        <v>8.108108108108109</v>
      </c>
      <c r="F525" s="23">
        <v>167.05381233333333</v>
      </c>
      <c r="G525" s="23">
        <v>13.544903702702703</v>
      </c>
      <c r="H525" s="23">
        <v>0.3613987106856808</v>
      </c>
    </row>
    <row r="526">
      <c r="A526" s="5" t="s">
        <v>22</v>
      </c>
      <c r="B526" s="5" t="s">
        <v>17</v>
      </c>
      <c r="C526" s="23">
        <v>42.77010266634766</v>
      </c>
      <c r="D526" s="23">
        <v>315.96287352710135</v>
      </c>
      <c r="E526" s="23">
        <v>7.0588235294117645</v>
      </c>
      <c r="F526" s="23">
        <v>268.14715866666666</v>
      </c>
      <c r="G526" s="23">
        <v>18.928034729411763</v>
      </c>
      <c r="H526" s="23">
        <v>0.22596166626791075</v>
      </c>
    </row>
    <row r="527">
      <c r="A527" s="5" t="s">
        <v>15</v>
      </c>
      <c r="B527" s="5" t="s">
        <v>55</v>
      </c>
      <c r="C527" s="23">
        <v>30.86008281603739</v>
      </c>
      <c r="D527" s="23">
        <v>89.3872633332452</v>
      </c>
      <c r="E527" s="23">
        <v>3.1423290203327174</v>
      </c>
      <c r="F527" s="23">
        <v>397.7102249411765</v>
      </c>
      <c r="G527" s="23">
        <v>12.497363815157117</v>
      </c>
      <c r="H527" s="23">
        <v>0.24693273935587529</v>
      </c>
    </row>
    <row r="528">
      <c r="A528" s="5" t="s">
        <v>15</v>
      </c>
      <c r="B528" s="5" t="s">
        <v>24</v>
      </c>
      <c r="C528" s="23">
        <v>124.66874032859853</v>
      </c>
      <c r="D528" s="23">
        <v>616.5634011006798</v>
      </c>
      <c r="E528" s="23">
        <v>5.797101449275362</v>
      </c>
      <c r="F528" s="23">
        <v>476.1410865</v>
      </c>
      <c r="G528" s="23">
        <v>27.602381826086955</v>
      </c>
      <c r="H528" s="23">
        <v>0.4516593572036395</v>
      </c>
    </row>
    <row r="529">
      <c r="A529" s="5" t="s">
        <v>15</v>
      </c>
      <c r="B529" s="5" t="s">
        <v>204</v>
      </c>
      <c r="C529" s="23">
        <v>49.276013361339636</v>
      </c>
      <c r="D529" s="23">
        <v>456.01597894168464</v>
      </c>
      <c r="E529" s="23">
        <v>6.0</v>
      </c>
      <c r="F529" s="23">
        <v>281.51386433333334</v>
      </c>
      <c r="G529" s="23">
        <v>16.890831860000002</v>
      </c>
      <c r="H529" s="23">
        <v>0.29173230643561465</v>
      </c>
    </row>
    <row r="530">
      <c r="A530" s="5" t="s">
        <v>15</v>
      </c>
      <c r="B530" s="5" t="s">
        <v>78</v>
      </c>
      <c r="C530" s="23">
        <v>108.19961089523241</v>
      </c>
      <c r="D530" s="23">
        <v>433.5111356287425</v>
      </c>
      <c r="E530" s="23">
        <v>1.4705882352941175</v>
      </c>
      <c r="F530" s="23">
        <v>1447.927193</v>
      </c>
      <c r="G530" s="23">
        <v>21.293046955882353</v>
      </c>
      <c r="H530" s="23">
        <v>0.5081452697653565</v>
      </c>
    </row>
    <row r="531">
      <c r="A531" s="5" t="s">
        <v>22</v>
      </c>
      <c r="B531" s="5" t="s">
        <v>777</v>
      </c>
      <c r="C531" s="23">
        <v>493.03616300032195</v>
      </c>
      <c r="D531" s="23">
        <v>741.9027939609238</v>
      </c>
      <c r="E531" s="23">
        <v>40.0</v>
      </c>
      <c r="F531" s="23">
        <v>382.8836669166667</v>
      </c>
      <c r="G531" s="23">
        <v>153.15346676666667</v>
      </c>
      <c r="H531" s="23">
        <v>0.3219229531065565</v>
      </c>
    </row>
    <row r="532">
      <c r="A532" s="5" t="s">
        <v>22</v>
      </c>
      <c r="B532" s="5" t="s">
        <v>35</v>
      </c>
      <c r="C532" s="23">
        <v>90.67430599726043</v>
      </c>
      <c r="D532" s="23">
        <v>133.53028170496404</v>
      </c>
      <c r="E532" s="23">
        <v>7.5</v>
      </c>
      <c r="F532" s="23">
        <v>507.5040906666666</v>
      </c>
      <c r="G532" s="23">
        <v>38.0628068</v>
      </c>
      <c r="H532" s="23">
        <v>0.2382228574831755</v>
      </c>
    </row>
    <row r="533">
      <c r="A533" s="5" t="s">
        <v>22</v>
      </c>
      <c r="B533" s="5" t="s">
        <v>78</v>
      </c>
      <c r="C533" s="23">
        <v>377.16639386572876</v>
      </c>
      <c r="D533" s="23">
        <v>840.7857787386141</v>
      </c>
      <c r="E533" s="23">
        <v>27.500000000000004</v>
      </c>
      <c r="F533" s="23">
        <v>662.921369</v>
      </c>
      <c r="G533" s="23">
        <v>182.303376475</v>
      </c>
      <c r="H533" s="23">
        <v>0.20688941760628943</v>
      </c>
    </row>
    <row r="534">
      <c r="A534" s="5" t="s">
        <v>22</v>
      </c>
      <c r="B534" s="5" t="s">
        <v>78</v>
      </c>
      <c r="C534" s="23">
        <v>222.6403056706019</v>
      </c>
      <c r="D534" s="23">
        <v>1532.6171854516388</v>
      </c>
      <c r="E534" s="23">
        <v>15.942028985507244</v>
      </c>
      <c r="F534" s="23">
        <v>522.9011179090909</v>
      </c>
      <c r="G534" s="23">
        <v>83.3610477826087</v>
      </c>
      <c r="H534" s="23">
        <v>0.26707954325527383</v>
      </c>
    </row>
    <row r="535">
      <c r="A535" s="5" t="s">
        <v>15</v>
      </c>
      <c r="B535" s="5" t="s">
        <v>78</v>
      </c>
      <c r="C535" s="23">
        <v>114.26422481426448</v>
      </c>
      <c r="D535" s="23">
        <v>246.14244702643876</v>
      </c>
      <c r="E535" s="23">
        <v>9.0</v>
      </c>
      <c r="F535" s="23">
        <v>427.22124055555554</v>
      </c>
      <c r="G535" s="23">
        <v>38.44991165</v>
      </c>
      <c r="H535" s="23">
        <v>0.2971768202080238</v>
      </c>
    </row>
    <row r="536">
      <c r="A536" s="5" t="s">
        <v>22</v>
      </c>
      <c r="B536" s="5" t="s">
        <v>147</v>
      </c>
      <c r="C536" s="23">
        <v>124.52334067436209</v>
      </c>
      <c r="D536" s="23">
        <v>192.29780110238067</v>
      </c>
      <c r="E536" s="23">
        <v>4.761904761904762</v>
      </c>
      <c r="F536" s="23">
        <v>409.9308375</v>
      </c>
      <c r="G536" s="23">
        <v>19.52051607142857</v>
      </c>
      <c r="H536" s="23">
        <v>0.637910085054678</v>
      </c>
    </row>
    <row r="537">
      <c r="A537" s="5" t="s">
        <v>15</v>
      </c>
      <c r="B537" s="5" t="s">
        <v>35</v>
      </c>
      <c r="C537" s="23">
        <v>244.21422059435926</v>
      </c>
      <c r="D537" s="23">
        <v>467.7629350300921</v>
      </c>
      <c r="E537" s="23">
        <v>18.333333333333332</v>
      </c>
      <c r="F537" s="23">
        <v>586.4471488181817</v>
      </c>
      <c r="G537" s="23">
        <v>107.51531061666667</v>
      </c>
      <c r="H537" s="23">
        <v>0.2271436683702442</v>
      </c>
    </row>
    <row r="538">
      <c r="A538" s="5" t="s">
        <v>15</v>
      </c>
      <c r="B538" s="5" t="s">
        <v>32</v>
      </c>
      <c r="C538" s="23">
        <v>115.65605903948452</v>
      </c>
      <c r="D538" s="23">
        <v>184.71478042359698</v>
      </c>
      <c r="E538" s="23">
        <v>12.5</v>
      </c>
      <c r="F538" s="23">
        <v>154.366142</v>
      </c>
      <c r="G538" s="23">
        <v>19.29576775</v>
      </c>
      <c r="H538" s="23">
        <v>0.5993856297295272</v>
      </c>
    </row>
    <row r="539">
      <c r="A539" s="5" t="s">
        <v>22</v>
      </c>
      <c r="B539" s="5" t="s">
        <v>78</v>
      </c>
      <c r="C539" s="23">
        <v>119.54921886521427</v>
      </c>
      <c r="D539" s="23">
        <v>252.17507686092316</v>
      </c>
      <c r="E539" s="23">
        <v>15.151515151515152</v>
      </c>
      <c r="F539" s="23">
        <v>166.4523624</v>
      </c>
      <c r="G539" s="23">
        <v>25.22005490909091</v>
      </c>
      <c r="H539" s="23">
        <v>0.4740244194397893</v>
      </c>
    </row>
    <row r="540">
      <c r="A540" s="5" t="s">
        <v>15</v>
      </c>
      <c r="B540" s="5" t="s">
        <v>35</v>
      </c>
      <c r="C540" s="23">
        <v>147.50291832757551</v>
      </c>
      <c r="D540" s="23">
        <v>1238.0375055762083</v>
      </c>
      <c r="E540" s="23">
        <v>3.0927835051546393</v>
      </c>
      <c r="F540" s="23">
        <v>555.0534816666667</v>
      </c>
      <c r="G540" s="23">
        <v>17.166602525773197</v>
      </c>
      <c r="H540" s="23">
        <v>0.859243511382762</v>
      </c>
    </row>
    <row r="541">
      <c r="A541" s="5" t="s">
        <v>15</v>
      </c>
      <c r="B541" s="5" t="s">
        <v>24</v>
      </c>
      <c r="C541" s="23">
        <v>248.57963682741362</v>
      </c>
      <c r="D541" s="23">
        <v>316.44330927582405</v>
      </c>
      <c r="E541" s="23">
        <v>3.6363636363636362</v>
      </c>
      <c r="F541" s="23">
        <v>1291.2469235</v>
      </c>
      <c r="G541" s="23">
        <v>46.954433581818186</v>
      </c>
      <c r="H541" s="23">
        <v>0.5294061026085283</v>
      </c>
    </row>
    <row r="542">
      <c r="A542" s="5" t="s">
        <v>15</v>
      </c>
      <c r="B542" s="5" t="s">
        <v>35</v>
      </c>
      <c r="C542" s="23">
        <v>34.4788167794971</v>
      </c>
      <c r="D542" s="23">
        <v>48.77809483957768</v>
      </c>
      <c r="E542" s="23">
        <v>8.620689655172415</v>
      </c>
      <c r="F542" s="23">
        <v>142.60438620000002</v>
      </c>
      <c r="G542" s="23">
        <v>12.293481568965518</v>
      </c>
      <c r="H542" s="23">
        <v>0.2804642166344294</v>
      </c>
    </row>
    <row r="543">
      <c r="A543" s="5" t="s">
        <v>15</v>
      </c>
      <c r="B543" s="5" t="s">
        <v>78</v>
      </c>
      <c r="C543" s="23">
        <v>21.081428863856733</v>
      </c>
      <c r="D543" s="23">
        <v>25.903177416270754</v>
      </c>
      <c r="E543" s="23">
        <v>1.8018018018018018</v>
      </c>
      <c r="F543" s="23">
        <v>440.26983075</v>
      </c>
      <c r="G543" s="23">
        <v>7.932789743243243</v>
      </c>
      <c r="H543" s="23">
        <v>0.265750505763913</v>
      </c>
    </row>
    <row r="544">
      <c r="A544" s="5" t="s">
        <v>61</v>
      </c>
      <c r="B544" s="5" t="s">
        <v>45</v>
      </c>
      <c r="C544" s="23">
        <v>18.90539444074321</v>
      </c>
      <c r="D544" s="23">
        <v>26.996191836087522</v>
      </c>
      <c r="E544" s="23">
        <v>6.037735849056604</v>
      </c>
      <c r="F544" s="23">
        <v>95.7723650625</v>
      </c>
      <c r="G544" s="23">
        <v>5.782482418867924</v>
      </c>
      <c r="H544" s="23">
        <v>0.32694253213906777</v>
      </c>
    </row>
    <row r="545">
      <c r="A545" s="5" t="s">
        <v>15</v>
      </c>
      <c r="B545" s="5" t="s">
        <v>173</v>
      </c>
      <c r="C545" s="23">
        <v>43.60289587078732</v>
      </c>
      <c r="D545" s="23">
        <v>72.96229013465762</v>
      </c>
      <c r="E545" s="23">
        <v>17.142857142857142</v>
      </c>
      <c r="F545" s="23">
        <v>63.66567833333334</v>
      </c>
      <c r="G545" s="23">
        <v>10.914116285714286</v>
      </c>
      <c r="H545" s="23">
        <v>0.39950917444282735</v>
      </c>
    </row>
    <row r="546">
      <c r="A546" s="5" t="s">
        <v>22</v>
      </c>
      <c r="B546" s="5" t="s">
        <v>181</v>
      </c>
      <c r="C546" s="23">
        <v>380.5354697084568</v>
      </c>
      <c r="D546" s="23">
        <v>6375.50707852194</v>
      </c>
      <c r="E546" s="23">
        <v>8.88888888888889</v>
      </c>
      <c r="F546" s="23">
        <v>690.14864125</v>
      </c>
      <c r="G546" s="23">
        <v>61.34654588888888</v>
      </c>
      <c r="H546" s="23">
        <v>0.6203046385002412</v>
      </c>
    </row>
    <row r="547">
      <c r="A547" s="5" t="s">
        <v>15</v>
      </c>
      <c r="B547" s="5" t="s">
        <v>24</v>
      </c>
      <c r="C547" s="23">
        <v>111.12395595712097</v>
      </c>
      <c r="D547" s="23">
        <v>189.79897269303203</v>
      </c>
      <c r="E547" s="23">
        <v>26.923076923076923</v>
      </c>
      <c r="F547" s="23">
        <v>86.38564671428571</v>
      </c>
      <c r="G547" s="23">
        <v>23.257674115384614</v>
      </c>
      <c r="H547" s="23">
        <v>0.4777947932618683</v>
      </c>
    </row>
    <row r="548">
      <c r="A548" s="5" t="s">
        <v>15</v>
      </c>
      <c r="B548" s="5" t="s">
        <v>183</v>
      </c>
      <c r="C548" s="23">
        <v>213.5682230805913</v>
      </c>
      <c r="D548" s="23">
        <v>526.2662324324325</v>
      </c>
      <c r="E548" s="23">
        <v>2.380952380952381</v>
      </c>
      <c r="F548" s="23">
        <v>1119.6314095</v>
      </c>
      <c r="G548" s="23">
        <v>26.657890702380953</v>
      </c>
      <c r="H548" s="23">
        <v>0.8011444921316165</v>
      </c>
    </row>
    <row r="549">
      <c r="A549" s="5" t="s">
        <v>22</v>
      </c>
      <c r="B549" s="5" t="s">
        <v>17</v>
      </c>
      <c r="C549" s="23">
        <v>165.37773142461725</v>
      </c>
      <c r="D549" s="23">
        <v>470.57148732463696</v>
      </c>
      <c r="E549" s="23">
        <v>5.747126436781609</v>
      </c>
      <c r="F549" s="23">
        <v>382.3863906</v>
      </c>
      <c r="G549" s="23">
        <v>21.976229344827587</v>
      </c>
      <c r="H549" s="23">
        <v>0.7525300579534642</v>
      </c>
    </row>
    <row r="550">
      <c r="A550" s="5" t="s">
        <v>22</v>
      </c>
      <c r="B550" s="5" t="s">
        <v>84</v>
      </c>
      <c r="C550" s="23">
        <v>378.2730258601676</v>
      </c>
      <c r="D550" s="23">
        <v>632.7577565947242</v>
      </c>
      <c r="E550" s="23">
        <v>13.043478260869565</v>
      </c>
      <c r="F550" s="23">
        <v>762.2621774444444</v>
      </c>
      <c r="G550" s="23">
        <v>99.42550140579709</v>
      </c>
      <c r="H550" s="23">
        <v>0.3804587560652845</v>
      </c>
    </row>
    <row r="551">
      <c r="A551" s="5" t="s">
        <v>15</v>
      </c>
      <c r="B551" s="5" t="s">
        <v>17</v>
      </c>
      <c r="C551" s="23">
        <v>222.8912134645016</v>
      </c>
      <c r="D551" s="23">
        <v>356.76971504458356</v>
      </c>
      <c r="E551" s="23">
        <v>3.1746031746031744</v>
      </c>
      <c r="F551" s="23">
        <v>940.266584</v>
      </c>
      <c r="G551" s="23">
        <v>29.849732825396824</v>
      </c>
      <c r="H551" s="23">
        <v>0.7467109162024416</v>
      </c>
    </row>
    <row r="552">
      <c r="A552" s="5" t="s">
        <v>15</v>
      </c>
      <c r="B552" s="5" t="s">
        <v>17</v>
      </c>
      <c r="C552" s="23">
        <v>790.7738768361581</v>
      </c>
      <c r="D552" s="23">
        <v>1204.3047665391969</v>
      </c>
      <c r="E552" s="23">
        <v>20.0</v>
      </c>
      <c r="F552" s="23">
        <v>629.8513929</v>
      </c>
      <c r="G552" s="23">
        <v>125.97027858</v>
      </c>
      <c r="H552" s="23">
        <v>0.6277463904582549</v>
      </c>
    </row>
    <row r="553">
      <c r="A553" s="5" t="s">
        <v>15</v>
      </c>
      <c r="B553" s="5" t="s">
        <v>84</v>
      </c>
      <c r="C553" s="23">
        <v>426.06515233449477</v>
      </c>
      <c r="D553" s="23">
        <v>743.0766815751093</v>
      </c>
      <c r="E553" s="23">
        <v>10.0</v>
      </c>
      <c r="F553" s="23">
        <v>1019.0058226666666</v>
      </c>
      <c r="G553" s="23">
        <v>101.90058226666666</v>
      </c>
      <c r="H553" s="23">
        <v>0.4181184668989547</v>
      </c>
    </row>
    <row r="554">
      <c r="A554" s="5" t="s">
        <v>22</v>
      </c>
      <c r="B554" s="5" t="s">
        <v>131</v>
      </c>
      <c r="C554" s="23">
        <v>245.32203215767638</v>
      </c>
      <c r="D554" s="23">
        <v>520.6746785557024</v>
      </c>
      <c r="E554" s="23">
        <v>4.545454545454546</v>
      </c>
      <c r="F554" s="23">
        <v>1182.452195</v>
      </c>
      <c r="G554" s="23">
        <v>53.74782704545455</v>
      </c>
      <c r="H554" s="23">
        <v>0.4564315352697096</v>
      </c>
    </row>
    <row r="555">
      <c r="A555" s="5" t="s">
        <v>15</v>
      </c>
      <c r="B555" s="5" t="s">
        <v>150</v>
      </c>
      <c r="C555" s="23">
        <v>257.0205757210982</v>
      </c>
      <c r="D555" s="23">
        <v>408.1902511029412</v>
      </c>
      <c r="E555" s="23">
        <v>13.636363636363635</v>
      </c>
      <c r="F555" s="23">
        <v>616.8208238888889</v>
      </c>
      <c r="G555" s="23">
        <v>84.11193053030303</v>
      </c>
      <c r="H555" s="23">
        <v>0.3055697023010325</v>
      </c>
    </row>
    <row r="556">
      <c r="A556" s="5" t="s">
        <v>15</v>
      </c>
      <c r="B556" s="5" t="s">
        <v>35</v>
      </c>
      <c r="C556" s="23">
        <v>52.81866336493561</v>
      </c>
      <c r="D556" s="23">
        <v>82.70617167420012</v>
      </c>
      <c r="E556" s="23">
        <v>12.5</v>
      </c>
      <c r="F556" s="23">
        <v>124.42316466666666</v>
      </c>
      <c r="G556" s="23">
        <v>15.552895583333333</v>
      </c>
      <c r="H556" s="23">
        <v>0.3396066223291354</v>
      </c>
    </row>
    <row r="557">
      <c r="A557" s="5" t="s">
        <v>15</v>
      </c>
      <c r="B557" s="5" t="s">
        <v>29</v>
      </c>
      <c r="C557" s="23">
        <v>103.76799329404592</v>
      </c>
      <c r="D557" s="23">
        <v>171.06944556113902</v>
      </c>
      <c r="E557" s="23">
        <v>5.0</v>
      </c>
      <c r="F557" s="23">
        <v>765.9634425</v>
      </c>
      <c r="G557" s="23">
        <v>38.298172125</v>
      </c>
      <c r="H557" s="23">
        <v>0.270947639368692</v>
      </c>
    </row>
    <row r="558">
      <c r="A558" s="5" t="s">
        <v>22</v>
      </c>
      <c r="B558" s="5" t="s">
        <v>29</v>
      </c>
      <c r="C558" s="23">
        <v>137.29465652449323</v>
      </c>
      <c r="D558" s="23">
        <v>808.0371483782775</v>
      </c>
      <c r="E558" s="23">
        <v>7.142857142857142</v>
      </c>
      <c r="F558" s="23">
        <v>722.4749925555556</v>
      </c>
      <c r="G558" s="23">
        <v>51.605356611111105</v>
      </c>
      <c r="H558" s="23">
        <v>0.2660472972972973</v>
      </c>
    </row>
    <row r="559">
      <c r="A559" s="5" t="s">
        <v>61</v>
      </c>
      <c r="B559" s="5" t="s">
        <v>84</v>
      </c>
      <c r="C559" s="23">
        <v>283.018427864798</v>
      </c>
      <c r="D559" s="23">
        <v>832.7504014554275</v>
      </c>
      <c r="E559" s="23">
        <v>3.4482758620689653</v>
      </c>
      <c r="F559" s="23">
        <v>2746.410824</v>
      </c>
      <c r="G559" s="23">
        <v>94.70382151724138</v>
      </c>
      <c r="H559" s="23">
        <v>0.298845836768343</v>
      </c>
    </row>
    <row r="560">
      <c r="A560" s="5" t="s">
        <v>61</v>
      </c>
      <c r="B560" s="5" t="s">
        <v>55</v>
      </c>
      <c r="C560" s="23">
        <v>118.29638053691275</v>
      </c>
      <c r="D560" s="23">
        <v>634.0345575539568</v>
      </c>
      <c r="E560" s="23">
        <v>0.7692307692307693</v>
      </c>
      <c r="F560" s="23">
        <v>5464.109817</v>
      </c>
      <c r="G560" s="23">
        <v>42.031613976923076</v>
      </c>
      <c r="H560" s="23">
        <v>0.28144620047629354</v>
      </c>
    </row>
    <row r="561">
      <c r="A561" s="5" t="s">
        <v>15</v>
      </c>
      <c r="B561" s="5" t="s">
        <v>35</v>
      </c>
      <c r="C561" s="23">
        <v>280.8566093758429</v>
      </c>
      <c r="D561" s="23">
        <v>804.3007829445388</v>
      </c>
      <c r="E561" s="23">
        <v>4.2105263157894735</v>
      </c>
      <c r="F561" s="23">
        <v>1301.559742</v>
      </c>
      <c r="G561" s="23">
        <v>54.802515452631575</v>
      </c>
      <c r="H561" s="23">
        <v>0.5124885364406323</v>
      </c>
    </row>
    <row r="562">
      <c r="A562" s="5" t="s">
        <v>22</v>
      </c>
      <c r="B562" s="5" t="s">
        <v>39</v>
      </c>
      <c r="C562" s="23">
        <v>174.2999254484305</v>
      </c>
      <c r="D562" s="23">
        <v>541.3224245212634</v>
      </c>
      <c r="E562" s="23">
        <v>4.040404040404041</v>
      </c>
      <c r="F562" s="23">
        <v>544.16436725</v>
      </c>
      <c r="G562" s="23">
        <v>21.986439080808083</v>
      </c>
      <c r="H562" s="23">
        <v>0.7927610506085844</v>
      </c>
    </row>
    <row r="563">
      <c r="A563" s="5" t="s">
        <v>22</v>
      </c>
      <c r="B563" s="5" t="s">
        <v>35</v>
      </c>
      <c r="C563" s="23">
        <v>111.02837356860294</v>
      </c>
      <c r="D563" s="23">
        <v>310.4012096915017</v>
      </c>
      <c r="E563" s="23">
        <v>18.51851851851852</v>
      </c>
      <c r="F563" s="23">
        <v>213.3077113</v>
      </c>
      <c r="G563" s="23">
        <v>39.50142801851852</v>
      </c>
      <c r="H563" s="23">
        <v>0.2810743285446596</v>
      </c>
    </row>
    <row r="564">
      <c r="A564" s="5" t="s">
        <v>15</v>
      </c>
      <c r="B564" s="5" t="s">
        <v>183</v>
      </c>
      <c r="C564" s="23">
        <v>46.27585570112372</v>
      </c>
      <c r="D564" s="23">
        <v>132.37686509750154</v>
      </c>
      <c r="E564" s="23">
        <v>8.695652173913043</v>
      </c>
      <c r="F564" s="23">
        <v>217.230435625</v>
      </c>
      <c r="G564" s="23">
        <v>18.88960309782609</v>
      </c>
      <c r="H564" s="23">
        <v>0.2449805613250253</v>
      </c>
    </row>
    <row r="565">
      <c r="A565" s="5" t="s">
        <v>22</v>
      </c>
      <c r="B565" s="5" t="s">
        <v>55</v>
      </c>
      <c r="C565" s="23">
        <v>121.86015371702638</v>
      </c>
      <c r="D565" s="23">
        <v>347.18071578228194</v>
      </c>
      <c r="E565" s="23">
        <v>8.108108108108109</v>
      </c>
      <c r="F565" s="23">
        <v>254.0784205</v>
      </c>
      <c r="G565" s="23">
        <v>20.600953013513514</v>
      </c>
      <c r="H565" s="23">
        <v>0.5915267785771383</v>
      </c>
    </row>
    <row r="566">
      <c r="A566" s="5" t="s">
        <v>61</v>
      </c>
      <c r="B566" s="5" t="s">
        <v>29</v>
      </c>
      <c r="C566" s="23">
        <v>268.60829615508885</v>
      </c>
      <c r="D566" s="23">
        <v>690.5986680511713</v>
      </c>
      <c r="E566" s="23">
        <v>8.181818181818182</v>
      </c>
      <c r="F566" s="23">
        <v>461.8570425555556</v>
      </c>
      <c r="G566" s="23">
        <v>37.78830348181818</v>
      </c>
      <c r="H566" s="23">
        <v>0.7108239095315024</v>
      </c>
    </row>
    <row r="567">
      <c r="A567" s="5" t="s">
        <v>22</v>
      </c>
      <c r="B567" s="5" t="s">
        <v>95</v>
      </c>
      <c r="C567" s="23">
        <v>74.33925865253744</v>
      </c>
      <c r="D567" s="23">
        <v>687.0203185085355</v>
      </c>
      <c r="E567" s="23">
        <v>11.11111111111111</v>
      </c>
      <c r="F567" s="23">
        <v>152.9307229</v>
      </c>
      <c r="G567" s="23">
        <v>16.992302544444446</v>
      </c>
      <c r="H567" s="23">
        <v>0.43748784755979</v>
      </c>
    </row>
    <row r="568">
      <c r="A568" s="5" t="s">
        <v>22</v>
      </c>
      <c r="B568" s="5" t="s">
        <v>84</v>
      </c>
      <c r="C568" s="23">
        <v>88.62232478178817</v>
      </c>
      <c r="D568" s="23">
        <v>198.95142843903085</v>
      </c>
      <c r="E568" s="23">
        <v>4.615384615384616</v>
      </c>
      <c r="F568" s="23">
        <v>500.8933796666667</v>
      </c>
      <c r="G568" s="23">
        <v>23.118155984615385</v>
      </c>
      <c r="H568" s="23">
        <v>0.38334512856805847</v>
      </c>
    </row>
    <row r="569">
      <c r="A569" s="5" t="s">
        <v>15</v>
      </c>
      <c r="B569" s="5" t="s">
        <v>35</v>
      </c>
      <c r="C569" s="23">
        <v>297.8676404099561</v>
      </c>
      <c r="D569" s="23">
        <v>923.4005010893246</v>
      </c>
      <c r="E569" s="23">
        <v>22.727272727272727</v>
      </c>
      <c r="F569" s="23">
        <v>508.60899600000005</v>
      </c>
      <c r="G569" s="23">
        <v>115.59295363636365</v>
      </c>
      <c r="H569" s="23">
        <v>0.25768667642752563</v>
      </c>
    </row>
    <row r="570">
      <c r="A570" s="5" t="s">
        <v>22</v>
      </c>
      <c r="B570" s="5" t="s">
        <v>84</v>
      </c>
      <c r="C570" s="23">
        <v>720.371341332784</v>
      </c>
      <c r="D570" s="23">
        <v>2094.6646759508835</v>
      </c>
      <c r="E570" s="23">
        <v>5.172413793103448</v>
      </c>
      <c r="F570" s="23">
        <v>2331.3617843333336</v>
      </c>
      <c r="G570" s="23">
        <v>120.58767850000001</v>
      </c>
      <c r="H570" s="23">
        <v>0.5973838706354928</v>
      </c>
    </row>
    <row r="571">
      <c r="A571" s="5" t="s">
        <v>22</v>
      </c>
      <c r="B571" s="5" t="s">
        <v>29</v>
      </c>
      <c r="C571" s="23">
        <v>721.2058349851975</v>
      </c>
      <c r="D571" s="23">
        <v>1777.6167931472082</v>
      </c>
      <c r="E571" s="23">
        <v>10.0</v>
      </c>
      <c r="F571" s="23">
        <v>5603.048132</v>
      </c>
      <c r="G571" s="23">
        <v>560.3048132</v>
      </c>
      <c r="H571" s="23">
        <v>0.1287166945552838</v>
      </c>
    </row>
    <row r="572">
      <c r="A572" s="5" t="s">
        <v>15</v>
      </c>
      <c r="B572" s="5" t="s">
        <v>17</v>
      </c>
      <c r="C572" s="23">
        <v>237.41962468845196</v>
      </c>
      <c r="D572" s="23">
        <v>319.94113532677153</v>
      </c>
      <c r="E572" s="23">
        <v>22.35294117647059</v>
      </c>
      <c r="F572" s="23">
        <v>360.97779568421055</v>
      </c>
      <c r="G572" s="23">
        <v>80.68915432941176</v>
      </c>
      <c r="H572" s="23">
        <v>0.29423982276377736</v>
      </c>
    </row>
    <row r="573">
      <c r="A573" s="5" t="s">
        <v>15</v>
      </c>
      <c r="B573" s="5" t="s">
        <v>35</v>
      </c>
      <c r="C573" s="23">
        <v>3.241759808216607</v>
      </c>
      <c r="D573" s="23">
        <v>5.537502915488092</v>
      </c>
      <c r="E573" s="23">
        <v>0.7056451612903225</v>
      </c>
      <c r="F573" s="23">
        <v>175.21410742857142</v>
      </c>
      <c r="G573" s="23">
        <v>1.2363898709677419</v>
      </c>
      <c r="H573" s="23">
        <v>0.2621955973870306</v>
      </c>
    </row>
    <row r="574">
      <c r="A574" s="5" t="s">
        <v>15</v>
      </c>
      <c r="B574" s="5" t="s">
        <v>84</v>
      </c>
      <c r="C574" s="23">
        <v>35.750394698345</v>
      </c>
      <c r="D574" s="23">
        <v>49.11783572258815</v>
      </c>
      <c r="E574" s="23">
        <v>3.4482758620689653</v>
      </c>
      <c r="F574" s="23">
        <v>405.6740288</v>
      </c>
      <c r="G574" s="23">
        <v>13.988759613793103</v>
      </c>
      <c r="H574" s="23">
        <v>0.2555651514884467</v>
      </c>
    </row>
    <row r="575">
      <c r="A575" s="5" t="s">
        <v>15</v>
      </c>
      <c r="B575" s="5" t="s">
        <v>95</v>
      </c>
      <c r="C575" s="23">
        <v>6.665053180549434</v>
      </c>
      <c r="D575" s="23">
        <v>19.33450364234442</v>
      </c>
      <c r="E575" s="23">
        <v>2.857142857142857</v>
      </c>
      <c r="F575" s="23">
        <v>90.738034</v>
      </c>
      <c r="G575" s="23">
        <v>2.592515257142857</v>
      </c>
      <c r="H575" s="23">
        <v>0.2570882914646687</v>
      </c>
    </row>
    <row r="576">
      <c r="A576" s="5" t="s">
        <v>22</v>
      </c>
      <c r="B576" s="5" t="s">
        <v>35</v>
      </c>
      <c r="C576" s="23">
        <v>547.0912056156452</v>
      </c>
      <c r="D576" s="23">
        <v>1152.4800471806675</v>
      </c>
      <c r="E576" s="23">
        <v>60.86956521739131</v>
      </c>
      <c r="F576" s="23">
        <v>357.68041464285716</v>
      </c>
      <c r="G576" s="23">
        <v>217.71851326086957</v>
      </c>
      <c r="H576" s="23">
        <v>0.2512837321096908</v>
      </c>
    </row>
    <row r="577">
      <c r="A577" s="5" t="s">
        <v>22</v>
      </c>
      <c r="B577" s="5" t="s">
        <v>43</v>
      </c>
      <c r="C577" s="23">
        <v>291.5947148711411</v>
      </c>
      <c r="D577" s="23">
        <v>598.3931160530742</v>
      </c>
      <c r="E577" s="23">
        <v>9.166666666666666</v>
      </c>
      <c r="F577" s="23">
        <v>582.1821025454545</v>
      </c>
      <c r="G577" s="23">
        <v>53.36669273333334</v>
      </c>
      <c r="H577" s="23">
        <v>0.5463983243784719</v>
      </c>
    </row>
    <row r="578">
      <c r="A578" s="5" t="s">
        <v>22</v>
      </c>
      <c r="B578" s="5" t="s">
        <v>32</v>
      </c>
      <c r="C578" s="23">
        <v>598.0812423320451</v>
      </c>
      <c r="D578" s="23">
        <v>1157.4261597708467</v>
      </c>
      <c r="E578" s="23">
        <v>20.0</v>
      </c>
      <c r="F578" s="23">
        <v>1818.316497</v>
      </c>
      <c r="G578" s="23">
        <v>363.6632994</v>
      </c>
      <c r="H578" s="23">
        <v>0.16446015952635473</v>
      </c>
    </row>
    <row r="579">
      <c r="A579" s="5" t="s">
        <v>15</v>
      </c>
      <c r="B579" s="5" t="s">
        <v>29</v>
      </c>
      <c r="C579" s="23">
        <v>247.95629372007883</v>
      </c>
      <c r="D579" s="23">
        <v>501.89595230856924</v>
      </c>
      <c r="E579" s="23">
        <v>16.176470588235293</v>
      </c>
      <c r="F579" s="23">
        <v>240.13439972727272</v>
      </c>
      <c r="G579" s="23">
        <v>38.845270544117646</v>
      </c>
      <c r="H579" s="23">
        <v>0.6383178447385713</v>
      </c>
    </row>
    <row r="580">
      <c r="A580" s="5" t="s">
        <v>15</v>
      </c>
      <c r="B580" s="5" t="s">
        <v>35</v>
      </c>
      <c r="C580" s="23">
        <v>770.7459092445715</v>
      </c>
      <c r="D580" s="23">
        <v>1523.8577861182519</v>
      </c>
      <c r="E580" s="23" t="e">
        <v>#DIV/0!</v>
      </c>
      <c r="F580" s="23">
        <v>5927.806788</v>
      </c>
      <c r="G580" s="23" t="e">
        <v>#DIV/0!</v>
      </c>
      <c r="H580" s="23">
        <v>0.0</v>
      </c>
    </row>
    <row r="581">
      <c r="A581" s="5" t="s">
        <v>15</v>
      </c>
      <c r="B581" s="5" t="s">
        <v>35</v>
      </c>
      <c r="C581" s="23">
        <v>836.8176229370964</v>
      </c>
      <c r="D581" s="23">
        <v>1174.268998657493</v>
      </c>
      <c r="E581" s="23">
        <v>22.58064516129032</v>
      </c>
      <c r="F581" s="23">
        <v>999.6384232857143</v>
      </c>
      <c r="G581" s="23">
        <v>225.72480525806452</v>
      </c>
      <c r="H581" s="23">
        <v>0.37072470700789284</v>
      </c>
    </row>
    <row r="582">
      <c r="A582" s="5" t="s">
        <v>61</v>
      </c>
      <c r="B582" s="5" t="s">
        <v>66</v>
      </c>
      <c r="C582" s="23">
        <v>257.2113116451998</v>
      </c>
      <c r="D582" s="23">
        <v>633.232555737169</v>
      </c>
      <c r="E582" s="23">
        <v>10.0</v>
      </c>
      <c r="F582" s="23">
        <v>1937.058388</v>
      </c>
      <c r="G582" s="23">
        <v>193.70583879999998</v>
      </c>
      <c r="H582" s="23">
        <v>0.1327844907714779</v>
      </c>
    </row>
    <row r="583">
      <c r="A583" s="5" t="s">
        <v>15</v>
      </c>
      <c r="B583" s="5" t="s">
        <v>35</v>
      </c>
      <c r="C583" s="23">
        <v>543.6311735131821</v>
      </c>
      <c r="D583" s="23">
        <v>4474.864533525595</v>
      </c>
      <c r="E583" s="23">
        <v>11.538461538461538</v>
      </c>
      <c r="F583" s="23">
        <v>689.6263453333333</v>
      </c>
      <c r="G583" s="23">
        <v>79.57227061538461</v>
      </c>
      <c r="H583" s="23">
        <v>0.6831917316282736</v>
      </c>
    </row>
    <row r="584">
      <c r="A584" s="5" t="s">
        <v>22</v>
      </c>
      <c r="B584" s="5" t="s">
        <v>29</v>
      </c>
      <c r="C584" s="23">
        <v>158.2590153980561</v>
      </c>
      <c r="D584" s="23">
        <v>320.61455840707964</v>
      </c>
      <c r="E584" s="23">
        <v>3.3333333333333335</v>
      </c>
      <c r="F584" s="23">
        <v>724.588902</v>
      </c>
      <c r="G584" s="23">
        <v>24.152963399999997</v>
      </c>
      <c r="H584" s="23">
        <v>0.6552364311455717</v>
      </c>
    </row>
    <row r="585">
      <c r="A585" s="5" t="s">
        <v>15</v>
      </c>
      <c r="B585" s="5" t="s">
        <v>35</v>
      </c>
      <c r="C585" s="23">
        <v>113.68524191162281</v>
      </c>
      <c r="D585" s="23">
        <v>232.10301457649376</v>
      </c>
      <c r="E585" s="23">
        <v>4.285714285714286</v>
      </c>
      <c r="F585" s="23">
        <v>589.1548186666666</v>
      </c>
      <c r="G585" s="23">
        <v>25.249492228571427</v>
      </c>
      <c r="H585" s="23">
        <v>0.45024763619990993</v>
      </c>
    </row>
    <row r="586">
      <c r="A586" s="5" t="s">
        <v>22</v>
      </c>
      <c r="B586" s="5" t="s">
        <v>78</v>
      </c>
      <c r="C586" s="23">
        <v>143.3579358282983</v>
      </c>
      <c r="D586" s="23">
        <v>1741.1786970427163</v>
      </c>
      <c r="E586" s="23">
        <v>23.225806451612904</v>
      </c>
      <c r="F586" s="23">
        <v>220.791132</v>
      </c>
      <c r="G586" s="23">
        <v>51.280520980645164</v>
      </c>
      <c r="H586" s="23">
        <v>0.2795563170709712</v>
      </c>
    </row>
    <row r="587">
      <c r="A587" s="5" t="s">
        <v>22</v>
      </c>
      <c r="B587" s="5" t="s">
        <v>78</v>
      </c>
      <c r="C587" s="23">
        <v>360.74539715723694</v>
      </c>
      <c r="D587" s="23">
        <v>1435.1237680968097</v>
      </c>
      <c r="E587" s="23">
        <v>34.090909090909086</v>
      </c>
      <c r="F587" s="23">
        <v>434.84250173333334</v>
      </c>
      <c r="G587" s="23">
        <v>148.24176195454547</v>
      </c>
      <c r="H587" s="23">
        <v>0.2433493722692329</v>
      </c>
    </row>
    <row r="588">
      <c r="A588" s="5" t="s">
        <v>15</v>
      </c>
      <c r="B588" s="5" t="s">
        <v>78</v>
      </c>
      <c r="C588" s="23">
        <v>64.70562000940882</v>
      </c>
      <c r="D588" s="23">
        <v>672.6163966529015</v>
      </c>
      <c r="E588" s="23">
        <v>8.727272727272728</v>
      </c>
      <c r="F588" s="23">
        <v>257.89233674999997</v>
      </c>
      <c r="G588" s="23">
        <v>22.50696757090909</v>
      </c>
      <c r="H588" s="23">
        <v>0.2874915059327793</v>
      </c>
    </row>
    <row r="589">
      <c r="A589" s="5" t="s">
        <v>15</v>
      </c>
      <c r="B589" s="5" t="s">
        <v>641</v>
      </c>
      <c r="C589" s="23">
        <v>32.15952854672791</v>
      </c>
      <c r="D589" s="23">
        <v>484.95078377666584</v>
      </c>
      <c r="E589" s="23">
        <v>0.5988023952095809</v>
      </c>
      <c r="F589" s="23">
        <v>1841.358126</v>
      </c>
      <c r="G589" s="23">
        <v>11.026096562874253</v>
      </c>
      <c r="H589" s="23">
        <v>0.2916673943797265</v>
      </c>
    </row>
    <row r="590">
      <c r="A590" s="5" t="s">
        <v>61</v>
      </c>
      <c r="B590" s="5" t="s">
        <v>39</v>
      </c>
      <c r="C590" s="23">
        <v>88.4361322917177</v>
      </c>
      <c r="D590" s="23">
        <v>1777.1658592519686</v>
      </c>
      <c r="E590" s="23">
        <v>5.813953488372093</v>
      </c>
      <c r="F590" s="23">
        <v>361.1201026</v>
      </c>
      <c r="G590" s="23">
        <v>20.995354802325583</v>
      </c>
      <c r="H590" s="23">
        <v>0.421217612773669</v>
      </c>
    </row>
    <row r="591">
      <c r="A591" s="5" t="s">
        <v>15</v>
      </c>
      <c r="B591" s="5" t="s">
        <v>35</v>
      </c>
      <c r="C591" s="23">
        <v>28.829685670873836</v>
      </c>
      <c r="D591" s="23">
        <v>457.45997397260277</v>
      </c>
      <c r="E591" s="23">
        <v>2.358490566037736</v>
      </c>
      <c r="F591" s="23">
        <v>333.945781</v>
      </c>
      <c r="G591" s="23">
        <v>7.876079740566038</v>
      </c>
      <c r="H591" s="23">
        <v>0.36604105875649634</v>
      </c>
    </row>
    <row r="592">
      <c r="A592" s="5" t="s">
        <v>15</v>
      </c>
      <c r="B592" s="5" t="s">
        <v>29</v>
      </c>
      <c r="C592" s="23">
        <v>11.560056879928023</v>
      </c>
      <c r="D592" s="23">
        <v>197.07523538647342</v>
      </c>
      <c r="E592" s="23">
        <v>0.9523809523809524</v>
      </c>
      <c r="F592" s="23">
        <v>407.94573725</v>
      </c>
      <c r="G592" s="23">
        <v>3.8851974976190475</v>
      </c>
      <c r="H592" s="23">
        <v>0.29754103586786346</v>
      </c>
    </row>
    <row r="593">
      <c r="A593" s="5" t="s">
        <v>15</v>
      </c>
      <c r="B593" s="5" t="s">
        <v>35</v>
      </c>
      <c r="C593" s="23">
        <v>30.877211682435878</v>
      </c>
      <c r="D593" s="23">
        <v>47.801277236903104</v>
      </c>
      <c r="E593" s="23">
        <v>4.266666666666667</v>
      </c>
      <c r="F593" s="23">
        <v>238.4357584375</v>
      </c>
      <c r="G593" s="23">
        <v>10.173259026666667</v>
      </c>
      <c r="H593" s="23">
        <v>0.30351347195130834</v>
      </c>
    </row>
    <row r="594">
      <c r="A594" s="5" t="s">
        <v>15</v>
      </c>
      <c r="B594" s="5" t="s">
        <v>35</v>
      </c>
      <c r="C594" s="23">
        <v>18.867962754433098</v>
      </c>
      <c r="D594" s="23">
        <v>33.08643370901087</v>
      </c>
      <c r="E594" s="23">
        <v>7.781282860147214</v>
      </c>
      <c r="F594" s="23">
        <v>91.2054372027027</v>
      </c>
      <c r="G594" s="23">
        <v>7.096953052576235</v>
      </c>
      <c r="H594" s="23">
        <v>0.2658600474690179</v>
      </c>
    </row>
    <row r="595">
      <c r="A595" s="5" t="s">
        <v>15</v>
      </c>
      <c r="B595" s="5" t="s">
        <v>35</v>
      </c>
      <c r="C595" s="23">
        <v>114.98050881803437</v>
      </c>
      <c r="D595" s="23">
        <v>222.39518874592963</v>
      </c>
      <c r="E595" s="23">
        <v>7.027027027027027</v>
      </c>
      <c r="F595" s="23">
        <v>430.7965879230769</v>
      </c>
      <c r="G595" s="23">
        <v>30.272192664864864</v>
      </c>
      <c r="H595" s="23">
        <v>0.37982220214753526</v>
      </c>
    </row>
    <row r="596">
      <c r="A596" s="5" t="s">
        <v>22</v>
      </c>
      <c r="B596" s="5" t="s">
        <v>155</v>
      </c>
      <c r="C596" s="23">
        <v>104.11135615685316</v>
      </c>
      <c r="D596" s="23">
        <v>360.2855893045867</v>
      </c>
      <c r="E596" s="23">
        <v>10.0</v>
      </c>
      <c r="F596" s="23">
        <v>189.39012477777777</v>
      </c>
      <c r="G596" s="23">
        <v>18.939012477777776</v>
      </c>
      <c r="H596" s="23">
        <v>0.5497190324945028</v>
      </c>
    </row>
    <row r="597">
      <c r="A597" s="5" t="s">
        <v>15</v>
      </c>
      <c r="B597" s="5" t="s">
        <v>55</v>
      </c>
      <c r="C597" s="23">
        <v>114.45100581120346</v>
      </c>
      <c r="D597" s="23">
        <v>1207.2419351389879</v>
      </c>
      <c r="E597" s="23">
        <v>15.254237288135593</v>
      </c>
      <c r="F597" s="23">
        <v>188.19560388888888</v>
      </c>
      <c r="G597" s="23">
        <v>28.707803983050844</v>
      </c>
      <c r="H597" s="23">
        <v>0.398675586188256</v>
      </c>
    </row>
    <row r="598">
      <c r="A598" s="5" t="s">
        <v>22</v>
      </c>
      <c r="B598" s="5" t="s">
        <v>45</v>
      </c>
      <c r="C598" s="23">
        <v>17.027560146282333</v>
      </c>
      <c r="D598" s="23">
        <v>37.571169817308125</v>
      </c>
      <c r="E598" s="23">
        <v>2.4050632911392404</v>
      </c>
      <c r="F598" s="23">
        <v>87.24025631578947</v>
      </c>
      <c r="G598" s="23">
        <v>2.0981833797468354</v>
      </c>
      <c r="H598" s="23">
        <v>0.8115382244776365</v>
      </c>
    </row>
    <row r="599">
      <c r="A599" s="5" t="s">
        <v>22</v>
      </c>
      <c r="B599" s="5" t="s">
        <v>78</v>
      </c>
      <c r="C599" s="23">
        <v>113.81286609860011</v>
      </c>
      <c r="D599" s="23">
        <v>140.09024841842395</v>
      </c>
      <c r="E599" s="23">
        <v>10.240963855421686</v>
      </c>
      <c r="F599" s="23">
        <v>296.9913266470588</v>
      </c>
      <c r="G599" s="23">
        <v>30.41477441566265</v>
      </c>
      <c r="H599" s="23">
        <v>0.3742025653163815</v>
      </c>
    </row>
    <row r="600">
      <c r="A600" s="5" t="s">
        <v>15</v>
      </c>
      <c r="B600" s="5" t="s">
        <v>39</v>
      </c>
      <c r="C600" s="23">
        <v>143.7621099348534</v>
      </c>
      <c r="D600" s="23">
        <v>183.64701029855405</v>
      </c>
      <c r="E600" s="23">
        <v>10.0</v>
      </c>
      <c r="F600" s="23">
        <v>441.3496775</v>
      </c>
      <c r="G600" s="23">
        <v>44.13496775</v>
      </c>
      <c r="H600" s="23">
        <v>0.32573289902280134</v>
      </c>
    </row>
    <row r="601">
      <c r="A601" s="5" t="s">
        <v>15</v>
      </c>
      <c r="B601" s="5" t="s">
        <v>17</v>
      </c>
      <c r="C601" s="23">
        <v>74.61002607482341</v>
      </c>
      <c r="D601" s="23">
        <v>92.31259915839448</v>
      </c>
      <c r="E601" s="23">
        <v>6.172839506172839</v>
      </c>
      <c r="F601" s="23">
        <v>342.22126760000003</v>
      </c>
      <c r="G601" s="23">
        <v>21.124769604938272</v>
      </c>
      <c r="H601" s="23">
        <v>0.35318740734280984</v>
      </c>
    </row>
    <row r="602">
      <c r="A602" s="5" t="s">
        <v>22</v>
      </c>
      <c r="B602" s="5" t="s">
        <v>35</v>
      </c>
      <c r="C602" s="23">
        <v>327.3579187503609</v>
      </c>
      <c r="D602" s="23">
        <v>703.7687248913718</v>
      </c>
      <c r="E602" s="23">
        <v>17.647058823529413</v>
      </c>
      <c r="F602" s="23">
        <v>472.4047565833334</v>
      </c>
      <c r="G602" s="23">
        <v>83.36554527941178</v>
      </c>
      <c r="H602" s="23">
        <v>0.39267771553964315</v>
      </c>
    </row>
    <row r="603">
      <c r="A603" s="5" t="s">
        <v>15</v>
      </c>
      <c r="B603" s="5" t="s">
        <v>78</v>
      </c>
      <c r="C603" s="23">
        <v>192.02625187340212</v>
      </c>
      <c r="D603" s="23">
        <v>369.1786059322034</v>
      </c>
      <c r="E603" s="23">
        <v>4.3478260869565215</v>
      </c>
      <c r="F603" s="23">
        <v>726.0512583333334</v>
      </c>
      <c r="G603" s="23">
        <v>31.567446014492756</v>
      </c>
      <c r="H603" s="23">
        <v>0.608304681301243</v>
      </c>
    </row>
    <row r="604">
      <c r="A604" s="5" t="s">
        <v>15</v>
      </c>
      <c r="B604" s="5" t="s">
        <v>356</v>
      </c>
      <c r="C604" s="23">
        <v>168.26334972380693</v>
      </c>
      <c r="D604" s="23">
        <v>408.65013657356496</v>
      </c>
      <c r="E604" s="23">
        <v>10.4</v>
      </c>
      <c r="F604" s="23">
        <v>142.93324392307693</v>
      </c>
      <c r="G604" s="23">
        <v>14.865057368</v>
      </c>
      <c r="H604" s="23">
        <v>1.1319387847505207</v>
      </c>
    </row>
    <row r="605">
      <c r="A605" s="5" t="s">
        <v>22</v>
      </c>
      <c r="B605" s="5" t="s">
        <v>17</v>
      </c>
      <c r="C605" s="23">
        <v>69.99938574780329</v>
      </c>
      <c r="D605" s="23">
        <v>135.7823173300018</v>
      </c>
      <c r="E605" s="23">
        <v>5.0</v>
      </c>
      <c r="F605" s="23">
        <v>380.394162</v>
      </c>
      <c r="G605" s="23">
        <v>19.0197081</v>
      </c>
      <c r="H605" s="23">
        <v>0.3680360675346184</v>
      </c>
    </row>
    <row r="606">
      <c r="A606" s="5" t="s">
        <v>15</v>
      </c>
      <c r="B606" s="5" t="s">
        <v>78</v>
      </c>
      <c r="C606" s="23">
        <v>781.0823282418287</v>
      </c>
      <c r="D606" s="23">
        <v>1405.7079502114573</v>
      </c>
      <c r="E606" s="23">
        <v>15.384615384615385</v>
      </c>
      <c r="F606" s="23">
        <v>1218.7487928333333</v>
      </c>
      <c r="G606" s="23">
        <v>187.4998142820513</v>
      </c>
      <c r="H606" s="23">
        <v>0.4165776543473617</v>
      </c>
    </row>
    <row r="607">
      <c r="A607" s="5" t="s">
        <v>15</v>
      </c>
      <c r="B607" s="5" t="s">
        <v>183</v>
      </c>
      <c r="C607" s="23">
        <v>100.19039277122926</v>
      </c>
      <c r="D607" s="23">
        <v>208.92473676950087</v>
      </c>
      <c r="E607" s="23">
        <v>18.571428571428573</v>
      </c>
      <c r="F607" s="23">
        <v>128.15121930769232</v>
      </c>
      <c r="G607" s="23">
        <v>23.799512157142857</v>
      </c>
      <c r="H607" s="23">
        <v>0.4209766658648063</v>
      </c>
    </row>
    <row r="608">
      <c r="A608" s="5" t="s">
        <v>15</v>
      </c>
      <c r="B608" s="5" t="s">
        <v>66</v>
      </c>
      <c r="C608" s="23">
        <v>187.02480607035176</v>
      </c>
      <c r="D608" s="23">
        <v>327.32301773024693</v>
      </c>
      <c r="E608" s="23">
        <v>11.940298507462686</v>
      </c>
      <c r="F608" s="23">
        <v>581.530256375</v>
      </c>
      <c r="G608" s="23">
        <v>69.43644852238806</v>
      </c>
      <c r="H608" s="23">
        <v>0.2693467336683417</v>
      </c>
    </row>
    <row r="609">
      <c r="A609" s="5" t="s">
        <v>22</v>
      </c>
      <c r="B609" s="5" t="s">
        <v>32</v>
      </c>
      <c r="C609" s="23">
        <v>149.79539217334454</v>
      </c>
      <c r="D609" s="23">
        <v>254.58083555555555</v>
      </c>
      <c r="E609" s="23">
        <v>5.263157894736842</v>
      </c>
      <c r="F609" s="23">
        <v>534.6197546666666</v>
      </c>
      <c r="G609" s="23">
        <v>28.137881824561404</v>
      </c>
      <c r="H609" s="23">
        <v>0.5323620061641917</v>
      </c>
    </row>
    <row r="610">
      <c r="A610" s="5" t="s">
        <v>22</v>
      </c>
      <c r="B610" s="5" t="s">
        <v>39</v>
      </c>
      <c r="C610" s="23">
        <v>427.4829639899865</v>
      </c>
      <c r="D610" s="23">
        <v>755.5885064669842</v>
      </c>
      <c r="E610" s="23">
        <v>23.076923076923077</v>
      </c>
      <c r="F610" s="23">
        <v>295.98920426666666</v>
      </c>
      <c r="G610" s="23">
        <v>68.30520098461538</v>
      </c>
      <c r="H610" s="23">
        <v>0.625842480261891</v>
      </c>
    </row>
    <row r="611">
      <c r="A611" s="5" t="s">
        <v>22</v>
      </c>
      <c r="B611" s="5" t="s">
        <v>78</v>
      </c>
      <c r="C611" s="23">
        <v>113.71684563425667</v>
      </c>
      <c r="D611" s="23">
        <v>231.17268052406146</v>
      </c>
      <c r="E611" s="23">
        <v>10.0</v>
      </c>
      <c r="F611" s="23">
        <v>458.7621845</v>
      </c>
      <c r="G611" s="23">
        <v>45.876218449999996</v>
      </c>
      <c r="H611" s="23">
        <v>0.2478775484910454</v>
      </c>
    </row>
    <row r="612">
      <c r="A612" s="5" t="s">
        <v>61</v>
      </c>
      <c r="B612" s="5" t="s">
        <v>78</v>
      </c>
      <c r="C612" s="23">
        <v>161.09734554136082</v>
      </c>
      <c r="D612" s="23">
        <v>273.9670778334485</v>
      </c>
      <c r="E612" s="23">
        <v>17.17171717171717</v>
      </c>
      <c r="F612" s="23">
        <v>373.1109285882353</v>
      </c>
      <c r="G612" s="23">
        <v>64.06955339393939</v>
      </c>
      <c r="H612" s="23">
        <v>0.2514413430523455</v>
      </c>
    </row>
    <row r="613">
      <c r="A613" s="5" t="s">
        <v>22</v>
      </c>
      <c r="B613" s="5" t="s">
        <v>35</v>
      </c>
      <c r="C613" s="23">
        <v>127.08173983324825</v>
      </c>
      <c r="D613" s="23">
        <v>489.3427583947584</v>
      </c>
      <c r="E613" s="23">
        <v>6.532663316582915</v>
      </c>
      <c r="F613" s="23">
        <v>459.60577538461536</v>
      </c>
      <c r="G613" s="23">
        <v>30.024497889447236</v>
      </c>
      <c r="H613" s="23">
        <v>0.42326016675174405</v>
      </c>
    </row>
    <row r="614">
      <c r="A614" s="5" t="s">
        <v>22</v>
      </c>
      <c r="B614" s="5" t="s">
        <v>35</v>
      </c>
      <c r="C614" s="23">
        <v>188.1237806100474</v>
      </c>
      <c r="D614" s="23">
        <v>396.08353116240727</v>
      </c>
      <c r="E614" s="23">
        <v>19.230769230769234</v>
      </c>
      <c r="F614" s="23">
        <v>320.29954886666667</v>
      </c>
      <c r="G614" s="23">
        <v>61.59606708974359</v>
      </c>
      <c r="H614" s="23">
        <v>0.30541524726888286</v>
      </c>
    </row>
    <row r="615">
      <c r="A615" s="5" t="s">
        <v>15</v>
      </c>
      <c r="B615" s="5" t="s">
        <v>78</v>
      </c>
      <c r="C615" s="23">
        <v>25.224928139954077</v>
      </c>
      <c r="D615" s="23">
        <v>152.24307932653392</v>
      </c>
      <c r="E615" s="23">
        <v>0.3191489361702127</v>
      </c>
      <c r="F615" s="23">
        <v>1567.3425016666667</v>
      </c>
      <c r="G615" s="23">
        <v>5.002156920212766</v>
      </c>
      <c r="H615" s="23">
        <v>0.5042810240123602</v>
      </c>
    </row>
    <row r="616">
      <c r="A616" s="5" t="s">
        <v>22</v>
      </c>
      <c r="B616" s="5" t="s">
        <v>433</v>
      </c>
      <c r="C616" s="23">
        <v>94.37756002864596</v>
      </c>
      <c r="D616" s="23">
        <v>298.2038016809439</v>
      </c>
      <c r="E616" s="23">
        <v>2.380952380952381</v>
      </c>
      <c r="F616" s="23">
        <v>922.4934605</v>
      </c>
      <c r="G616" s="23">
        <v>21.96413001190476</v>
      </c>
      <c r="H616" s="23">
        <v>0.4296894981840504</v>
      </c>
    </row>
    <row r="617">
      <c r="A617" s="5" t="s">
        <v>22</v>
      </c>
      <c r="B617" s="5" t="s">
        <v>39</v>
      </c>
      <c r="C617" s="23">
        <v>86.54996925004271</v>
      </c>
      <c r="D617" s="23">
        <v>513.4810844594595</v>
      </c>
      <c r="E617" s="23">
        <v>20.0</v>
      </c>
      <c r="F617" s="23">
        <v>151.990401</v>
      </c>
      <c r="G617" s="23">
        <v>30.3980802</v>
      </c>
      <c r="H617" s="23">
        <v>0.2847218267752406</v>
      </c>
    </row>
    <row r="618">
      <c r="A618" s="5" t="s">
        <v>61</v>
      </c>
      <c r="B618" s="5" t="s">
        <v>32</v>
      </c>
      <c r="C618" s="23">
        <v>129.5313958700764</v>
      </c>
      <c r="D618" s="23">
        <v>649.4706098010316</v>
      </c>
      <c r="E618" s="23">
        <v>1.5151515151515151</v>
      </c>
      <c r="F618" s="23">
        <v>1762.663235</v>
      </c>
      <c r="G618" s="23">
        <v>26.70701871212121</v>
      </c>
      <c r="H618" s="23">
        <v>0.48500881834215165</v>
      </c>
    </row>
    <row r="619">
      <c r="A619" s="5" t="s">
        <v>61</v>
      </c>
      <c r="B619" s="5" t="s">
        <v>35</v>
      </c>
      <c r="C619" s="23">
        <v>15.570797239767757</v>
      </c>
      <c r="D619" s="23">
        <v>35.388096336878945</v>
      </c>
      <c r="E619" s="23">
        <v>3.4700315457413247</v>
      </c>
      <c r="F619" s="23">
        <v>210.80688987878787</v>
      </c>
      <c r="G619" s="23">
        <v>7.315065579390115</v>
      </c>
      <c r="H619" s="23">
        <v>0.21285929798958758</v>
      </c>
    </row>
    <row r="620">
      <c r="A620" s="5" t="s">
        <v>15</v>
      </c>
      <c r="B620" s="5" t="s">
        <v>17</v>
      </c>
      <c r="C620" s="23">
        <v>595.307341948824</v>
      </c>
      <c r="D620" s="23">
        <v>1324.2108696818705</v>
      </c>
      <c r="E620" s="23">
        <v>6.521739130434782</v>
      </c>
      <c r="F620" s="23">
        <v>575.8110265</v>
      </c>
      <c r="G620" s="23">
        <v>37.5528930326087</v>
      </c>
      <c r="H620" s="23">
        <v>1.5852502800034463</v>
      </c>
    </row>
    <row r="621">
      <c r="A621" s="5" t="s">
        <v>61</v>
      </c>
      <c r="B621" s="5" t="s">
        <v>78</v>
      </c>
      <c r="C621" s="23">
        <v>23.6049365059556</v>
      </c>
      <c r="D621" s="23">
        <v>173.58185031100234</v>
      </c>
      <c r="E621" s="23">
        <v>8.55614973262032</v>
      </c>
      <c r="F621" s="23">
        <v>106.394825375</v>
      </c>
      <c r="G621" s="23">
        <v>9.10330056684492</v>
      </c>
      <c r="H621" s="23">
        <v>0.25930085832744015</v>
      </c>
    </row>
    <row r="622">
      <c r="A622" s="5" t="s">
        <v>15</v>
      </c>
      <c r="B622" s="5" t="s">
        <v>126</v>
      </c>
      <c r="C622" s="23">
        <v>43.43343254531127</v>
      </c>
      <c r="D622" s="23">
        <v>108.4056105028519</v>
      </c>
      <c r="E622" s="23">
        <v>5.47945205479452</v>
      </c>
      <c r="F622" s="23">
        <v>206.688847125</v>
      </c>
      <c r="G622" s="23">
        <v>11.325416280821917</v>
      </c>
      <c r="H622" s="23">
        <v>0.38350407144733384</v>
      </c>
    </row>
    <row r="623">
      <c r="A623" s="5" t="s">
        <v>61</v>
      </c>
      <c r="B623" s="5" t="s">
        <v>78</v>
      </c>
      <c r="C623" s="23">
        <v>46.986192067901236</v>
      </c>
      <c r="D623" s="23">
        <v>295.4876985636646</v>
      </c>
      <c r="E623" s="23">
        <v>10.344827586206897</v>
      </c>
      <c r="F623" s="23">
        <v>169.15029144444443</v>
      </c>
      <c r="G623" s="23">
        <v>17.498306011494254</v>
      </c>
      <c r="H623" s="23">
        <v>0.2685185185185185</v>
      </c>
    </row>
    <row r="624">
      <c r="A624" s="5" t="s">
        <v>22</v>
      </c>
      <c r="B624" s="5" t="s">
        <v>35</v>
      </c>
      <c r="C624" s="23">
        <v>693.1761514138036</v>
      </c>
      <c r="D624" s="23">
        <v>996.0054006116208</v>
      </c>
      <c r="E624" s="23">
        <v>40.0</v>
      </c>
      <c r="F624" s="23">
        <v>569.9640905</v>
      </c>
      <c r="G624" s="23">
        <v>227.98563620000002</v>
      </c>
      <c r="H624" s="23">
        <v>0.30404378230465184</v>
      </c>
    </row>
    <row r="625">
      <c r="A625" s="5" t="s">
        <v>15</v>
      </c>
      <c r="B625" s="5" t="s">
        <v>17</v>
      </c>
      <c r="C625" s="23">
        <v>6.753487950601523</v>
      </c>
      <c r="D625" s="23">
        <v>90.21329293671343</v>
      </c>
      <c r="E625" s="23">
        <v>0.7956715467854869</v>
      </c>
      <c r="F625" s="23">
        <v>299.63443115999996</v>
      </c>
      <c r="G625" s="23">
        <v>2.384105913112667</v>
      </c>
      <c r="H625" s="23">
        <v>0.2832713057526975</v>
      </c>
    </row>
    <row r="626">
      <c r="A626" s="5" t="s">
        <v>22</v>
      </c>
      <c r="B626" s="5" t="s">
        <v>29</v>
      </c>
      <c r="C626" s="23">
        <v>10.871361310489213</v>
      </c>
      <c r="D626" s="23">
        <v>91.11085810678901</v>
      </c>
      <c r="E626" s="23">
        <v>0.9112709832134293</v>
      </c>
      <c r="F626" s="23">
        <v>393.0042887894737</v>
      </c>
      <c r="G626" s="23">
        <v>3.581334046522782</v>
      </c>
      <c r="H626" s="23">
        <v>0.30355619356548225</v>
      </c>
    </row>
    <row r="627">
      <c r="A627" s="5" t="s">
        <v>61</v>
      </c>
      <c r="B627" s="5" t="s">
        <v>35</v>
      </c>
      <c r="C627" s="23">
        <v>165.27451530699503</v>
      </c>
      <c r="D627" s="23">
        <v>731.378596280679</v>
      </c>
      <c r="E627" s="23">
        <v>5.633802816901409</v>
      </c>
      <c r="F627" s="23">
        <v>845.565079625</v>
      </c>
      <c r="G627" s="23">
        <v>47.637469274647884</v>
      </c>
      <c r="H627" s="23">
        <v>0.34694226587505195</v>
      </c>
    </row>
    <row r="628">
      <c r="A628" s="5" t="s">
        <v>22</v>
      </c>
      <c r="B628" s="5" t="s">
        <v>39</v>
      </c>
      <c r="C628" s="23">
        <v>159.82004640598336</v>
      </c>
      <c r="D628" s="23">
        <v>574.8731541933737</v>
      </c>
      <c r="E628" s="23">
        <v>9.090909090909092</v>
      </c>
      <c r="F628" s="23">
        <v>707.5411032222223</v>
      </c>
      <c r="G628" s="23">
        <v>64.32191847474748</v>
      </c>
      <c r="H628" s="23">
        <v>0.24846902921393435</v>
      </c>
    </row>
    <row r="629">
      <c r="A629" s="5" t="s">
        <v>22</v>
      </c>
      <c r="B629" s="5" t="s">
        <v>66</v>
      </c>
      <c r="C629" s="23">
        <v>30.099094926435694</v>
      </c>
      <c r="D629" s="23">
        <v>67.02118151651256</v>
      </c>
      <c r="E629" s="23">
        <v>0.4261363636363636</v>
      </c>
      <c r="F629" s="23">
        <v>2113.959767</v>
      </c>
      <c r="G629" s="23">
        <v>9.008351279829546</v>
      </c>
      <c r="H629" s="23">
        <v>0.334124347413384</v>
      </c>
    </row>
    <row r="630">
      <c r="A630" s="5" t="s">
        <v>22</v>
      </c>
      <c r="B630" s="5" t="s">
        <v>142</v>
      </c>
      <c r="C630" s="23">
        <v>147.42450925753195</v>
      </c>
      <c r="D630" s="23">
        <v>1455.0408872266974</v>
      </c>
      <c r="E630" s="23">
        <v>8.653846153846153</v>
      </c>
      <c r="F630" s="23">
        <v>702.461406111111</v>
      </c>
      <c r="G630" s="23">
        <v>60.789929375</v>
      </c>
      <c r="H630" s="23">
        <v>0.24251469079376925</v>
      </c>
    </row>
    <row r="631">
      <c r="A631" s="5" t="s">
        <v>15</v>
      </c>
      <c r="B631" s="5" t="s">
        <v>78</v>
      </c>
      <c r="C631" s="23">
        <v>65.27770233211751</v>
      </c>
      <c r="D631" s="23">
        <v>642.6112047604516</v>
      </c>
      <c r="E631" s="23">
        <v>4.013377926421405</v>
      </c>
      <c r="F631" s="23">
        <v>526.4592295</v>
      </c>
      <c r="G631" s="23">
        <v>21.128798508361204</v>
      </c>
      <c r="H631" s="23">
        <v>0.30895132208433645</v>
      </c>
    </row>
    <row r="632">
      <c r="A632" s="5" t="s">
        <v>15</v>
      </c>
      <c r="B632" s="5" t="s">
        <v>35</v>
      </c>
      <c r="C632" s="23">
        <v>34.63709956950042</v>
      </c>
      <c r="D632" s="23">
        <v>435.71877813082824</v>
      </c>
      <c r="E632" s="23">
        <v>5.800000000000001</v>
      </c>
      <c r="F632" s="23">
        <v>217.513819</v>
      </c>
      <c r="G632" s="23">
        <v>12.615801502</v>
      </c>
      <c r="H632" s="23">
        <v>0.2745533017780072</v>
      </c>
    </row>
    <row r="633">
      <c r="A633" s="5" t="s">
        <v>61</v>
      </c>
      <c r="B633" s="5" t="s">
        <v>35</v>
      </c>
      <c r="C633" s="23">
        <v>29.10628569022678</v>
      </c>
      <c r="D633" s="23">
        <v>180.0177254627701</v>
      </c>
      <c r="E633" s="23">
        <v>2.166666666666667</v>
      </c>
      <c r="F633" s="23">
        <v>465.3042777692308</v>
      </c>
      <c r="G633" s="23">
        <v>10.081592685</v>
      </c>
      <c r="H633" s="23">
        <v>0.2887072171992513</v>
      </c>
    </row>
    <row r="634">
      <c r="A634" s="5" t="s">
        <v>61</v>
      </c>
      <c r="B634" s="5" t="s">
        <v>29</v>
      </c>
      <c r="C634" s="23">
        <v>22.87824294777827</v>
      </c>
      <c r="D634" s="23">
        <v>56.15936984045389</v>
      </c>
      <c r="E634" s="23">
        <v>3.0</v>
      </c>
      <c r="F634" s="23">
        <v>280.9252134761905</v>
      </c>
      <c r="G634" s="23">
        <v>8.427756404285715</v>
      </c>
      <c r="H634" s="23">
        <v>0.27146303061327376</v>
      </c>
    </row>
    <row r="635">
      <c r="A635" s="5" t="s">
        <v>15</v>
      </c>
      <c r="B635" s="5" t="s">
        <v>35</v>
      </c>
      <c r="C635" s="23">
        <v>201.62570327924655</v>
      </c>
      <c r="D635" s="23">
        <v>751.5553318764979</v>
      </c>
      <c r="E635" s="23">
        <v>7.368421052631578</v>
      </c>
      <c r="F635" s="23">
        <v>761.5402812857143</v>
      </c>
      <c r="G635" s="23">
        <v>56.113494410526314</v>
      </c>
      <c r="H635" s="23">
        <v>0.3593176746473013</v>
      </c>
    </row>
    <row r="636">
      <c r="A636" s="5" t="s">
        <v>22</v>
      </c>
      <c r="B636" s="5" t="s">
        <v>204</v>
      </c>
      <c r="C636" s="23">
        <v>55.02931955900029</v>
      </c>
      <c r="D636" s="23">
        <v>112.83904328056941</v>
      </c>
      <c r="E636" s="23">
        <v>4.273504273504273</v>
      </c>
      <c r="F636" s="23">
        <v>354.0513048</v>
      </c>
      <c r="G636" s="23">
        <v>15.130397641025642</v>
      </c>
      <c r="H636" s="23">
        <v>0.36370041861814567</v>
      </c>
    </row>
    <row r="637">
      <c r="A637" s="5" t="s">
        <v>15</v>
      </c>
      <c r="B637" s="5" t="s">
        <v>78</v>
      </c>
      <c r="C637" s="23">
        <v>26.262792589938584</v>
      </c>
      <c r="D637" s="23">
        <v>67.85727580676706</v>
      </c>
      <c r="E637" s="23">
        <v>6.609808102345416</v>
      </c>
      <c r="F637" s="23">
        <v>167.8810892903226</v>
      </c>
      <c r="G637" s="23">
        <v>11.096617842217483</v>
      </c>
      <c r="H637" s="23">
        <v>0.23667384930587446</v>
      </c>
    </row>
    <row r="638">
      <c r="A638" s="5" t="s">
        <v>22</v>
      </c>
      <c r="B638" s="5" t="s">
        <v>214</v>
      </c>
      <c r="C638" s="23">
        <v>32.98501853260626</v>
      </c>
      <c r="D638" s="23">
        <v>83.46269866226686</v>
      </c>
      <c r="E638" s="23">
        <v>0.5859375</v>
      </c>
      <c r="F638" s="23">
        <v>1719.9158313333335</v>
      </c>
      <c r="G638" s="23">
        <v>10.07763182421875</v>
      </c>
      <c r="H638" s="23">
        <v>0.32730922411092717</v>
      </c>
    </row>
    <row r="639">
      <c r="A639" s="5" t="s">
        <v>15</v>
      </c>
      <c r="B639" s="5" t="s">
        <v>39</v>
      </c>
      <c r="C639" s="23">
        <v>81.19766792802157</v>
      </c>
      <c r="D639" s="23">
        <v>267.1189402682054</v>
      </c>
      <c r="E639" s="23">
        <v>2.857142857142857</v>
      </c>
      <c r="F639" s="23">
        <v>624.958150625</v>
      </c>
      <c r="G639" s="23">
        <v>17.855947160714287</v>
      </c>
      <c r="H639" s="23">
        <v>0.4547373891577614</v>
      </c>
    </row>
    <row r="640">
      <c r="A640" s="5" t="s">
        <v>15</v>
      </c>
      <c r="B640" s="5" t="s">
        <v>29</v>
      </c>
      <c r="C640" s="23">
        <v>162.49311515273314</v>
      </c>
      <c r="D640" s="23">
        <v>633.0107575678497</v>
      </c>
      <c r="E640" s="23">
        <v>8.108108108108109</v>
      </c>
      <c r="F640" s="23">
        <v>539.0438273333334</v>
      </c>
      <c r="G640" s="23">
        <v>43.70625627027027</v>
      </c>
      <c r="H640" s="23">
        <v>0.37178456591639875</v>
      </c>
    </row>
    <row r="641">
      <c r="A641" s="5" t="s">
        <v>15</v>
      </c>
      <c r="B641" s="5" t="s">
        <v>35</v>
      </c>
      <c r="C641" s="23">
        <v>46.06715082532107</v>
      </c>
      <c r="D641" s="23">
        <v>82.8737687306281</v>
      </c>
      <c r="E641" s="23">
        <v>3.146853146853147</v>
      </c>
      <c r="F641" s="23">
        <v>516.9297365555556</v>
      </c>
      <c r="G641" s="23">
        <v>16.267019681818184</v>
      </c>
      <c r="H641" s="23">
        <v>0.2831935519006644</v>
      </c>
    </row>
    <row r="642">
      <c r="A642" s="5" t="s">
        <v>22</v>
      </c>
      <c r="B642" s="5" t="s">
        <v>35</v>
      </c>
      <c r="C642" s="23">
        <v>105.1279083250629</v>
      </c>
      <c r="D642" s="23">
        <v>971.3962217956922</v>
      </c>
      <c r="E642" s="23">
        <v>10.0</v>
      </c>
      <c r="F642" s="23">
        <v>325.34834885714287</v>
      </c>
      <c r="G642" s="23">
        <v>32.53483488571429</v>
      </c>
      <c r="H642" s="23">
        <v>0.3231241489140721</v>
      </c>
    </row>
    <row r="643">
      <c r="A643" s="5" t="s">
        <v>22</v>
      </c>
      <c r="B643" s="5" t="s">
        <v>29</v>
      </c>
      <c r="C643" s="23">
        <v>18.789871170563515</v>
      </c>
      <c r="D643" s="23">
        <v>235.67543021948765</v>
      </c>
      <c r="E643" s="23">
        <v>2.7027027027027026</v>
      </c>
      <c r="F643" s="23">
        <v>265.57478646666664</v>
      </c>
      <c r="G643" s="23">
        <v>7.177696931531531</v>
      </c>
      <c r="H643" s="23">
        <v>0.26178133947143756</v>
      </c>
    </row>
    <row r="644">
      <c r="A644" s="5" t="s">
        <v>15</v>
      </c>
      <c r="B644" s="5" t="s">
        <v>66</v>
      </c>
      <c r="C644" s="23">
        <v>75.41830047297888</v>
      </c>
      <c r="D644" s="23">
        <v>204.13720637743006</v>
      </c>
      <c r="E644" s="23">
        <v>6.923076923076923</v>
      </c>
      <c r="F644" s="23">
        <v>382.6892162222222</v>
      </c>
      <c r="G644" s="23">
        <v>26.493868815384616</v>
      </c>
      <c r="H644" s="23">
        <v>0.2846632215117807</v>
      </c>
    </row>
    <row r="645">
      <c r="A645" s="5" t="s">
        <v>22</v>
      </c>
      <c r="B645" s="5" t="s">
        <v>78</v>
      </c>
      <c r="C645" s="23">
        <v>4.853566358019979</v>
      </c>
      <c r="D645" s="23">
        <v>78.03526170426926</v>
      </c>
      <c r="E645" s="23">
        <v>0.7470651013874066</v>
      </c>
      <c r="F645" s="23">
        <v>227.04359392857143</v>
      </c>
      <c r="G645" s="23">
        <v>1.6961634551760938</v>
      </c>
      <c r="H645" s="23">
        <v>0.2861496834640908</v>
      </c>
    </row>
    <row r="646">
      <c r="A646" s="5" t="s">
        <v>22</v>
      </c>
      <c r="B646" s="5" t="s">
        <v>150</v>
      </c>
      <c r="C646" s="23">
        <v>11.790801567125488</v>
      </c>
      <c r="D646" s="23">
        <v>32.69490163478261</v>
      </c>
      <c r="E646" s="23">
        <v>5.865522174535051</v>
      </c>
      <c r="F646" s="23">
        <v>68.77890892682927</v>
      </c>
      <c r="G646" s="23">
        <v>4.034242154506438</v>
      </c>
      <c r="H646" s="23">
        <v>0.2922680671003997</v>
      </c>
    </row>
    <row r="647">
      <c r="A647" s="5" t="s">
        <v>15</v>
      </c>
      <c r="B647" s="5" t="s">
        <v>35</v>
      </c>
      <c r="C647" s="23">
        <v>4.805886170305127</v>
      </c>
      <c r="D647" s="23">
        <v>34.670088171383284</v>
      </c>
      <c r="E647" s="23">
        <v>0.3024193548387097</v>
      </c>
      <c r="F647" s="23">
        <v>452.06327966666663</v>
      </c>
      <c r="G647" s="23">
        <v>1.3671268538306451</v>
      </c>
      <c r="H647" s="23">
        <v>0.351531838968651</v>
      </c>
    </row>
    <row r="648">
      <c r="A648" s="5" t="s">
        <v>22</v>
      </c>
      <c r="B648" s="5" t="s">
        <v>78</v>
      </c>
      <c r="C648" s="23">
        <v>183.7347318574169</v>
      </c>
      <c r="D648" s="23">
        <v>368.4116931089744</v>
      </c>
      <c r="E648" s="23">
        <v>1.4492753623188406</v>
      </c>
      <c r="F648" s="23">
        <v>2298.888965</v>
      </c>
      <c r="G648" s="23">
        <v>33.3172313768116</v>
      </c>
      <c r="H648" s="23">
        <v>0.5514705882352942</v>
      </c>
    </row>
    <row r="649">
      <c r="A649" s="5" t="s">
        <v>22</v>
      </c>
      <c r="B649" s="5" t="s">
        <v>17</v>
      </c>
      <c r="C649" s="23">
        <v>28.287968194918246</v>
      </c>
      <c r="D649" s="23">
        <v>642.1255477303071</v>
      </c>
      <c r="E649" s="23">
        <v>4.411764705882353</v>
      </c>
      <c r="F649" s="23">
        <v>213.7564601111111</v>
      </c>
      <c r="G649" s="23">
        <v>9.43043206372549</v>
      </c>
      <c r="H649" s="23">
        <v>0.2999647100341136</v>
      </c>
    </row>
    <row r="650">
      <c r="A650" s="5" t="s">
        <v>22</v>
      </c>
      <c r="B650" s="5" t="s">
        <v>78</v>
      </c>
      <c r="C650" s="23">
        <v>29.425261964816972</v>
      </c>
      <c r="D650" s="23">
        <v>276.53754778908984</v>
      </c>
      <c r="E650" s="23">
        <v>7.042253521126761</v>
      </c>
      <c r="F650" s="23">
        <v>121.32624013333334</v>
      </c>
      <c r="G650" s="23">
        <v>8.544101417840377</v>
      </c>
      <c r="H650" s="23">
        <v>0.3443927046953822</v>
      </c>
    </row>
    <row r="651">
      <c r="A651" s="5" t="s">
        <v>15</v>
      </c>
      <c r="B651" s="5" t="s">
        <v>78</v>
      </c>
      <c r="C651" s="23">
        <v>7.625644816987986</v>
      </c>
      <c r="D651" s="23">
        <v>52.16395795107034</v>
      </c>
      <c r="E651" s="23">
        <v>5.8558558558558556</v>
      </c>
      <c r="F651" s="23">
        <v>45.48697133333334</v>
      </c>
      <c r="G651" s="23">
        <v>2.6636514744744746</v>
      </c>
      <c r="H651" s="23">
        <v>0.2862853826810239</v>
      </c>
    </row>
    <row r="652">
      <c r="A652" s="5" t="s">
        <v>15</v>
      </c>
      <c r="B652" s="5" t="s">
        <v>35</v>
      </c>
      <c r="C652" s="23">
        <v>9.541743053899852</v>
      </c>
      <c r="D652" s="23">
        <v>25.442908245486937</v>
      </c>
      <c r="E652" s="23">
        <v>1.6985138004246285</v>
      </c>
      <c r="F652" s="23">
        <v>215.110248125</v>
      </c>
      <c r="G652" s="23">
        <v>3.6536772505307855</v>
      </c>
      <c r="H652" s="23">
        <v>0.26115451364823433</v>
      </c>
    </row>
    <row r="653">
      <c r="A653" s="5" t="s">
        <v>22</v>
      </c>
      <c r="B653" s="5" t="s">
        <v>78</v>
      </c>
      <c r="C653" s="23">
        <v>20.55957730802086</v>
      </c>
      <c r="D653" s="23">
        <v>67.00250662733204</v>
      </c>
      <c r="E653" s="23">
        <v>7.8431372549019605</v>
      </c>
      <c r="F653" s="23">
        <v>100.7843329375</v>
      </c>
      <c r="G653" s="23">
        <v>7.90465356372549</v>
      </c>
      <c r="H653" s="23">
        <v>0.26009460303698695</v>
      </c>
    </row>
    <row r="654">
      <c r="A654" s="5" t="s">
        <v>22</v>
      </c>
      <c r="B654" s="5" t="s">
        <v>35</v>
      </c>
      <c r="C654" s="23">
        <v>8.14191907428413</v>
      </c>
      <c r="D654" s="23">
        <v>54.52939118627754</v>
      </c>
      <c r="E654" s="23">
        <v>0.8016032064128256</v>
      </c>
      <c r="F654" s="23">
        <v>396.57862975</v>
      </c>
      <c r="G654" s="23">
        <v>3.178987012024048</v>
      </c>
      <c r="H654" s="23">
        <v>0.2561167769320392</v>
      </c>
    </row>
    <row r="655">
      <c r="A655" s="5" t="s">
        <v>15</v>
      </c>
      <c r="B655" s="5" t="s">
        <v>142</v>
      </c>
      <c r="C655" s="23">
        <v>8.036491120329424</v>
      </c>
      <c r="D655" s="23">
        <v>19.65607527628592</v>
      </c>
      <c r="E655" s="23">
        <v>0.9633911368015413</v>
      </c>
      <c r="F655" s="23">
        <v>316.9463514</v>
      </c>
      <c r="G655" s="23">
        <v>3.0534330578034683</v>
      </c>
      <c r="H655" s="23">
        <v>0.2631952614710536</v>
      </c>
    </row>
    <row r="656">
      <c r="A656" s="5" t="s">
        <v>15</v>
      </c>
      <c r="B656" s="5" t="s">
        <v>55</v>
      </c>
      <c r="C656" s="23">
        <v>39.05355455465337</v>
      </c>
      <c r="D656" s="23">
        <v>259.19917723177724</v>
      </c>
      <c r="E656" s="23">
        <v>9.00900900900901</v>
      </c>
      <c r="F656" s="23">
        <v>158.2410977</v>
      </c>
      <c r="G656" s="23">
        <v>14.255954747747747</v>
      </c>
      <c r="H656" s="23">
        <v>0.27394555640563684</v>
      </c>
    </row>
    <row r="657">
      <c r="A657" s="5" t="s">
        <v>22</v>
      </c>
      <c r="B657" s="5" t="s">
        <v>173</v>
      </c>
      <c r="C657" s="23">
        <v>6.1269405565585995</v>
      </c>
      <c r="D657" s="23">
        <v>81.43470786165163</v>
      </c>
      <c r="E657" s="23">
        <v>0.5722460658082975</v>
      </c>
      <c r="F657" s="23">
        <v>390.25547875</v>
      </c>
      <c r="G657" s="23">
        <v>2.2332216237482116</v>
      </c>
      <c r="H657" s="23">
        <v>0.27435434492503336</v>
      </c>
    </row>
    <row r="658">
      <c r="A658" s="5" t="s">
        <v>22</v>
      </c>
      <c r="B658" s="5" t="s">
        <v>953</v>
      </c>
      <c r="C658" s="23">
        <v>41.40570637331363</v>
      </c>
      <c r="D658" s="23">
        <v>83.84621123794746</v>
      </c>
      <c r="E658" s="23">
        <v>4.081632653061225</v>
      </c>
      <c r="F658" s="23">
        <v>252.18145466666667</v>
      </c>
      <c r="G658" s="23">
        <v>10.293120598639456</v>
      </c>
      <c r="H658" s="23">
        <v>0.4022658238239882</v>
      </c>
    </row>
    <row r="659">
      <c r="A659" s="5" t="s">
        <v>22</v>
      </c>
      <c r="B659" s="5" t="s">
        <v>29</v>
      </c>
      <c r="C659" s="23">
        <v>5.134824432797856</v>
      </c>
      <c r="D659" s="23">
        <v>118.11144694887301</v>
      </c>
      <c r="E659" s="23">
        <v>0.5025125628140703</v>
      </c>
      <c r="F659" s="23">
        <v>375.9782635</v>
      </c>
      <c r="G659" s="23">
        <v>1.8893380075376887</v>
      </c>
      <c r="H659" s="23">
        <v>0.27177902589753655</v>
      </c>
    </row>
    <row r="660">
      <c r="A660" s="5" t="s">
        <v>15</v>
      </c>
      <c r="B660" s="5" t="s">
        <v>55</v>
      </c>
      <c r="C660" s="23">
        <v>5.888051731821104</v>
      </c>
      <c r="D660" s="23">
        <v>22.29401084035119</v>
      </c>
      <c r="E660" s="23">
        <v>4.943820224719101</v>
      </c>
      <c r="F660" s="23">
        <v>33.933511227272724</v>
      </c>
      <c r="G660" s="23">
        <v>1.6776117910112358</v>
      </c>
      <c r="H660" s="23">
        <v>0.3509782038591828</v>
      </c>
    </row>
    <row r="661">
      <c r="A661" s="5" t="s">
        <v>15</v>
      </c>
      <c r="B661" s="5" t="s">
        <v>35</v>
      </c>
      <c r="C661" s="23">
        <v>118.25792842019543</v>
      </c>
      <c r="D661" s="23">
        <v>190.25381383466527</v>
      </c>
      <c r="E661" s="23">
        <v>5.555555555555555</v>
      </c>
      <c r="F661" s="23">
        <v>290.4414722</v>
      </c>
      <c r="G661" s="23">
        <v>16.135637344444444</v>
      </c>
      <c r="H661" s="23">
        <v>0.7328990228013029</v>
      </c>
    </row>
    <row r="662">
      <c r="A662" s="5" t="s">
        <v>15</v>
      </c>
      <c r="B662" s="5" t="s">
        <v>55</v>
      </c>
      <c r="C662" s="23">
        <v>348.8293181039797</v>
      </c>
      <c r="D662" s="23">
        <v>2862.596523327712</v>
      </c>
      <c r="E662" s="23">
        <v>12.121212121212121</v>
      </c>
      <c r="F662" s="23">
        <v>1273.13980375</v>
      </c>
      <c r="G662" s="23">
        <v>154.31997621212122</v>
      </c>
      <c r="H662" s="23">
        <v>0.22604287964929104</v>
      </c>
    </row>
    <row r="663">
      <c r="A663" s="5" t="s">
        <v>15</v>
      </c>
      <c r="B663" s="5" t="s">
        <v>78</v>
      </c>
      <c r="C663" s="23">
        <v>101.95174497681607</v>
      </c>
      <c r="D663" s="23">
        <v>857.5504290171607</v>
      </c>
      <c r="E663" s="23">
        <v>5.714285714285714</v>
      </c>
      <c r="F663" s="23">
        <v>824.5347375</v>
      </c>
      <c r="G663" s="23">
        <v>47.11627071428571</v>
      </c>
      <c r="H663" s="23">
        <v>0.21638330757341576</v>
      </c>
    </row>
    <row r="664">
      <c r="A664" s="5" t="s">
        <v>22</v>
      </c>
      <c r="B664" s="5" t="s">
        <v>17</v>
      </c>
      <c r="C664" s="23">
        <v>146.19602437543776</v>
      </c>
      <c r="D664" s="23">
        <v>255.58495138577086</v>
      </c>
      <c r="E664" s="23">
        <v>3.125</v>
      </c>
      <c r="F664" s="23">
        <v>1252.3151448</v>
      </c>
      <c r="G664" s="23">
        <v>39.134848275</v>
      </c>
      <c r="H664" s="23">
        <v>0.3735699276208265</v>
      </c>
    </row>
    <row r="665">
      <c r="A665" s="5" t="s">
        <v>22</v>
      </c>
      <c r="B665" s="5" t="s">
        <v>35</v>
      </c>
      <c r="C665" s="23">
        <v>312.79836038987634</v>
      </c>
      <c r="D665" s="23">
        <v>960.5018063380281</v>
      </c>
      <c r="E665" s="23">
        <v>2.7210884353741496</v>
      </c>
      <c r="F665" s="23">
        <v>954.7387955</v>
      </c>
      <c r="G665" s="23">
        <v>25.979286952380953</v>
      </c>
      <c r="H665" s="23">
        <v>1.2040298140715866</v>
      </c>
    </row>
    <row r="666">
      <c r="A666" s="5" t="s">
        <v>15</v>
      </c>
      <c r="B666" s="5" t="s">
        <v>35</v>
      </c>
      <c r="C666" s="23">
        <v>444.73495984960385</v>
      </c>
      <c r="D666" s="23">
        <v>795.5659971174633</v>
      </c>
      <c r="E666" s="23">
        <v>190.0</v>
      </c>
      <c r="F666" s="23">
        <v>174.31269715789472</v>
      </c>
      <c r="G666" s="23">
        <v>331.1941246</v>
      </c>
      <c r="H666" s="23">
        <v>0.13428226131328053</v>
      </c>
    </row>
    <row r="667">
      <c r="A667" s="5" t="s">
        <v>15</v>
      </c>
      <c r="B667" s="5" t="s">
        <v>84</v>
      </c>
      <c r="C667" s="23">
        <v>255.26599754242247</v>
      </c>
      <c r="D667" s="23">
        <v>631.5135926462073</v>
      </c>
      <c r="E667" s="23">
        <v>10.0</v>
      </c>
      <c r="F667" s="23">
        <v>1090.6239745</v>
      </c>
      <c r="G667" s="23">
        <v>109.06239745</v>
      </c>
      <c r="H667" s="23">
        <v>0.23405500292568754</v>
      </c>
    </row>
    <row r="668">
      <c r="A668" s="5" t="s">
        <v>15</v>
      </c>
      <c r="B668" s="5" t="s">
        <v>55</v>
      </c>
      <c r="C668" s="23">
        <v>135.40189950482994</v>
      </c>
      <c r="D668" s="23">
        <v>237.3386454183267</v>
      </c>
      <c r="E668" s="23">
        <v>17.5</v>
      </c>
      <c r="F668" s="23">
        <v>238.288</v>
      </c>
      <c r="G668" s="23">
        <v>41.7004</v>
      </c>
      <c r="H668" s="23">
        <v>0.32470168033119573</v>
      </c>
    </row>
    <row r="669">
      <c r="A669" s="5" t="s">
        <v>22</v>
      </c>
      <c r="B669" s="5" t="s">
        <v>32</v>
      </c>
      <c r="C669" s="23">
        <v>51.77508332536114</v>
      </c>
      <c r="D669" s="23">
        <v>88.49001733158927</v>
      </c>
      <c r="E669" s="23">
        <v>36.36363636363637</v>
      </c>
      <c r="F669" s="23">
        <v>67.65061825</v>
      </c>
      <c r="G669" s="23">
        <v>24.600224818181818</v>
      </c>
      <c r="H669" s="23">
        <v>0.21046589495838514</v>
      </c>
    </row>
    <row r="670">
      <c r="A670" s="5" t="s">
        <v>22</v>
      </c>
      <c r="B670" s="5" t="s">
        <v>29</v>
      </c>
      <c r="C670" s="23">
        <v>96.08694036966887</v>
      </c>
      <c r="D670" s="23">
        <v>189.6592940569808</v>
      </c>
      <c r="E670" s="23">
        <v>190.0</v>
      </c>
      <c r="F670" s="23">
        <v>77.43090231578947</v>
      </c>
      <c r="G670" s="23">
        <v>147.1187144</v>
      </c>
      <c r="H670" s="23">
        <v>0.06531252041016262</v>
      </c>
    </row>
    <row r="671">
      <c r="A671" s="5" t="s">
        <v>61</v>
      </c>
      <c r="B671" s="5" t="s">
        <v>39</v>
      </c>
      <c r="C671" s="23">
        <v>283.87805326123976</v>
      </c>
      <c r="D671" s="23">
        <v>1443.2311071428571</v>
      </c>
      <c r="E671" s="23">
        <v>12.0</v>
      </c>
      <c r="F671" s="23">
        <v>740.858635</v>
      </c>
      <c r="G671" s="23">
        <v>88.9030362</v>
      </c>
      <c r="H671" s="23">
        <v>0.31931198910081743</v>
      </c>
    </row>
    <row r="672">
      <c r="A672" s="5" t="s">
        <v>61</v>
      </c>
      <c r="B672" s="5" t="s">
        <v>78</v>
      </c>
      <c r="C672" s="23">
        <v>551.8302193570277</v>
      </c>
      <c r="D672" s="23">
        <v>1051.4831834491674</v>
      </c>
      <c r="E672" s="23">
        <v>15.0</v>
      </c>
      <c r="F672" s="23">
        <v>2168.5088186666667</v>
      </c>
      <c r="G672" s="23">
        <v>325.2763228</v>
      </c>
      <c r="H672" s="23">
        <v>0.16964967342437867</v>
      </c>
    </row>
    <row r="673">
      <c r="A673" s="5" t="s">
        <v>15</v>
      </c>
      <c r="B673" s="5" t="s">
        <v>39</v>
      </c>
      <c r="C673" s="23">
        <v>136.8883011398835</v>
      </c>
      <c r="D673" s="23">
        <v>312.80449561155154</v>
      </c>
      <c r="E673" s="23">
        <v>16.666666666666664</v>
      </c>
      <c r="F673" s="23">
        <v>441.93019139999996</v>
      </c>
      <c r="G673" s="23">
        <v>73.6550319</v>
      </c>
      <c r="H673" s="23">
        <v>0.18585057613678604</v>
      </c>
    </row>
    <row r="674">
      <c r="A674" s="5" t="s">
        <v>15</v>
      </c>
      <c r="B674" s="5" t="s">
        <v>39</v>
      </c>
      <c r="C674" s="23">
        <v>42.226370927586665</v>
      </c>
      <c r="D674" s="23">
        <v>92.03909942817131</v>
      </c>
      <c r="E674" s="23">
        <v>2.0689655172413794</v>
      </c>
      <c r="F674" s="23">
        <v>525.7886953333333</v>
      </c>
      <c r="G674" s="23">
        <v>10.8783868</v>
      </c>
      <c r="H674" s="23">
        <v>0.38816758131441575</v>
      </c>
    </row>
    <row r="675">
      <c r="A675" s="5" t="s">
        <v>15</v>
      </c>
      <c r="B675" s="5" t="s">
        <v>78</v>
      </c>
      <c r="C675" s="23">
        <v>143.06348362398978</v>
      </c>
      <c r="D675" s="23">
        <v>281.39907969044134</v>
      </c>
      <c r="E675" s="23">
        <v>13.333333333333334</v>
      </c>
      <c r="F675" s="23">
        <v>336.34225</v>
      </c>
      <c r="G675" s="23">
        <v>44.84563333333333</v>
      </c>
      <c r="H675" s="23">
        <v>0.31901318587834965</v>
      </c>
    </row>
    <row r="676">
      <c r="A676" s="5" t="s">
        <v>15</v>
      </c>
      <c r="B676" s="5" t="s">
        <v>78</v>
      </c>
      <c r="C676" s="23">
        <v>126.90748042808971</v>
      </c>
      <c r="D676" s="23">
        <v>176.1212459816887</v>
      </c>
      <c r="E676" s="23">
        <v>7.5</v>
      </c>
      <c r="F676" s="23">
        <v>577.0906160000001</v>
      </c>
      <c r="G676" s="23">
        <v>43.2817962</v>
      </c>
      <c r="H676" s="23">
        <v>0.2932121389825539</v>
      </c>
    </row>
    <row r="677">
      <c r="A677" s="5" t="s">
        <v>15</v>
      </c>
      <c r="B677" s="5" t="s">
        <v>78</v>
      </c>
      <c r="C677" s="23">
        <v>139.34179024025045</v>
      </c>
      <c r="D677" s="23">
        <v>310.3454485372139</v>
      </c>
      <c r="E677" s="23">
        <v>5.714285714285714</v>
      </c>
      <c r="F677" s="23">
        <v>511.837231</v>
      </c>
      <c r="G677" s="23">
        <v>29.24784177142857</v>
      </c>
      <c r="H677" s="23">
        <v>0.47641734159123394</v>
      </c>
    </row>
    <row r="678">
      <c r="A678" s="5" t="s">
        <v>22</v>
      </c>
      <c r="B678" s="5" t="s">
        <v>24</v>
      </c>
      <c r="C678" s="23">
        <v>701.0235926044672</v>
      </c>
      <c r="D678" s="23">
        <v>3739.7250604332953</v>
      </c>
      <c r="E678" s="23">
        <v>16.666666666666664</v>
      </c>
      <c r="F678" s="23">
        <v>655.9477756</v>
      </c>
      <c r="G678" s="23">
        <v>109.32462926666668</v>
      </c>
      <c r="H678" s="23">
        <v>0.6412311638345624</v>
      </c>
    </row>
    <row r="679">
      <c r="A679" s="5" t="s">
        <v>15</v>
      </c>
      <c r="B679" s="5" t="s">
        <v>78</v>
      </c>
      <c r="C679" s="23">
        <v>90.06337127914365</v>
      </c>
      <c r="D679" s="23">
        <v>145.453624329018</v>
      </c>
      <c r="E679" s="23">
        <v>10.0</v>
      </c>
      <c r="F679" s="23">
        <v>460.65162825</v>
      </c>
      <c r="G679" s="23">
        <v>46.065162825</v>
      </c>
      <c r="H679" s="23">
        <v>0.1955129771738599</v>
      </c>
    </row>
    <row r="680">
      <c r="A680" s="5" t="s">
        <v>61</v>
      </c>
      <c r="B680" s="5" t="s">
        <v>17</v>
      </c>
      <c r="C680" s="23">
        <v>333.51858111839834</v>
      </c>
      <c r="D680" s="23">
        <v>782.2453079206584</v>
      </c>
      <c r="E680" s="23">
        <v>8.0</v>
      </c>
      <c r="F680" s="23">
        <v>724.652497125</v>
      </c>
      <c r="G680" s="23">
        <v>57.972199769999996</v>
      </c>
      <c r="H680" s="23">
        <v>0.5753077896674721</v>
      </c>
    </row>
    <row r="681">
      <c r="A681" s="5" t="s">
        <v>22</v>
      </c>
      <c r="B681" s="5" t="s">
        <v>84</v>
      </c>
      <c r="C681" s="23">
        <v>113.40979310856973</v>
      </c>
      <c r="D681" s="23">
        <v>175.8609251497006</v>
      </c>
      <c r="E681" s="23">
        <v>0.6666666666666667</v>
      </c>
      <c r="F681" s="23">
        <v>1527.176274</v>
      </c>
      <c r="G681" s="23">
        <v>10.181175159999999</v>
      </c>
      <c r="H681" s="23">
        <v>1.1139165305213128</v>
      </c>
    </row>
    <row r="682">
      <c r="A682" s="5" t="s">
        <v>61</v>
      </c>
      <c r="B682" s="5" t="s">
        <v>131</v>
      </c>
      <c r="C682" s="23">
        <v>82.45111161896625</v>
      </c>
      <c r="D682" s="23">
        <v>141.65422890063115</v>
      </c>
      <c r="E682" s="23">
        <v>9.090909090909092</v>
      </c>
      <c r="F682" s="23">
        <v>321.69675383333333</v>
      </c>
      <c r="G682" s="23">
        <v>29.24515943939394</v>
      </c>
      <c r="H682" s="23">
        <v>0.2819307988039299</v>
      </c>
    </row>
    <row r="683">
      <c r="A683" s="5" t="s">
        <v>22</v>
      </c>
      <c r="B683" s="5" t="s">
        <v>32</v>
      </c>
      <c r="C683" s="23">
        <v>108.65647174214249</v>
      </c>
      <c r="D683" s="23">
        <v>178.67924175560617</v>
      </c>
      <c r="E683" s="23">
        <v>3.3112582781456954</v>
      </c>
      <c r="F683" s="23">
        <v>298.0012394</v>
      </c>
      <c r="G683" s="23">
        <v>9.86759070860927</v>
      </c>
      <c r="H683" s="23">
        <v>1.101144899000948</v>
      </c>
    </row>
    <row r="684">
      <c r="A684" s="5" t="s">
        <v>61</v>
      </c>
      <c r="B684" s="5" t="s">
        <v>17</v>
      </c>
      <c r="C684" s="23">
        <v>590.2615327969711</v>
      </c>
      <c r="D684" s="23">
        <v>998.0974862355955</v>
      </c>
      <c r="E684" s="23">
        <v>13.636363636363635</v>
      </c>
      <c r="F684" s="23">
        <v>692.9014548888889</v>
      </c>
      <c r="G684" s="23">
        <v>94.48656203030303</v>
      </c>
      <c r="H684" s="23">
        <v>0.6247042120208235</v>
      </c>
    </row>
    <row r="685">
      <c r="A685" s="5" t="s">
        <v>22</v>
      </c>
      <c r="B685" s="5" t="s">
        <v>35</v>
      </c>
      <c r="C685" s="23">
        <v>9.159922980686616</v>
      </c>
      <c r="D685" s="23">
        <v>21.959270262317474</v>
      </c>
      <c r="E685" s="23">
        <v>1.478352692713833</v>
      </c>
      <c r="F685" s="23">
        <v>193.6750124761905</v>
      </c>
      <c r="G685" s="23">
        <v>2.8631997620556144</v>
      </c>
      <c r="H685" s="23">
        <v>0.3199191024698295</v>
      </c>
    </row>
    <row r="686">
      <c r="A686" s="5" t="s">
        <v>15</v>
      </c>
      <c r="B686" s="5" t="s">
        <v>35</v>
      </c>
      <c r="C686" s="23">
        <v>4.24881850684978</v>
      </c>
      <c r="D686" s="23">
        <v>8.52120608150648</v>
      </c>
      <c r="E686" s="23">
        <v>1.6075845012366035</v>
      </c>
      <c r="F686" s="23">
        <v>96.3032845</v>
      </c>
      <c r="G686" s="23">
        <v>1.5481566758037923</v>
      </c>
      <c r="H686" s="23">
        <v>0.27444370284059416</v>
      </c>
    </row>
    <row r="687">
      <c r="A687" s="5" t="s">
        <v>15</v>
      </c>
      <c r="B687" s="5" t="s">
        <v>78</v>
      </c>
      <c r="C687" s="23">
        <v>6.125567169444386</v>
      </c>
      <c r="D687" s="23">
        <v>14.6139130826175</v>
      </c>
      <c r="E687" s="23">
        <v>0.490449148167269</v>
      </c>
      <c r="F687" s="23">
        <v>393.88879931578947</v>
      </c>
      <c r="G687" s="23">
        <v>1.9318242609705731</v>
      </c>
      <c r="H687" s="23">
        <v>0.3170871850613794</v>
      </c>
    </row>
    <row r="688">
      <c r="A688" s="5" t="s">
        <v>22</v>
      </c>
      <c r="B688" s="5" t="s">
        <v>35</v>
      </c>
      <c r="C688" s="23">
        <v>16.223485726564213</v>
      </c>
      <c r="D688" s="23">
        <v>44.25428065890858</v>
      </c>
      <c r="E688" s="23">
        <v>0.9638554216867471</v>
      </c>
      <c r="F688" s="23">
        <v>604.0193009999999</v>
      </c>
      <c r="G688" s="23">
        <v>5.821872780722892</v>
      </c>
      <c r="H688" s="23">
        <v>0.27866438064882915</v>
      </c>
    </row>
    <row r="689">
      <c r="A689" s="5" t="s">
        <v>22</v>
      </c>
      <c r="B689" s="5" t="s">
        <v>45</v>
      </c>
      <c r="C689" s="23">
        <v>55.00304830725603</v>
      </c>
      <c r="D689" s="23">
        <v>139.9331850015821</v>
      </c>
      <c r="E689" s="23">
        <v>3.3557046979865772</v>
      </c>
      <c r="F689" s="23">
        <v>663.3532634999999</v>
      </c>
      <c r="G689" s="23">
        <v>22.260176627516778</v>
      </c>
      <c r="H689" s="23">
        <v>0.24709169755312888</v>
      </c>
    </row>
    <row r="690">
      <c r="A690" s="5" t="s">
        <v>15</v>
      </c>
      <c r="B690" s="5" t="s">
        <v>32</v>
      </c>
      <c r="C690" s="23">
        <v>19.525412070716026</v>
      </c>
      <c r="D690" s="23">
        <v>57.66421765948941</v>
      </c>
      <c r="E690" s="23">
        <v>1.443298969072165</v>
      </c>
      <c r="F690" s="23">
        <v>432.7040515714286</v>
      </c>
      <c r="G690" s="23">
        <v>6.245213115463918</v>
      </c>
      <c r="H690" s="23">
        <v>0.3126460492175791</v>
      </c>
    </row>
    <row r="691">
      <c r="A691" s="5" t="s">
        <v>15</v>
      </c>
      <c r="B691" s="5" t="s">
        <v>183</v>
      </c>
      <c r="C691" s="23">
        <v>7.341510534008858</v>
      </c>
      <c r="D691" s="23">
        <v>15.187753162798217</v>
      </c>
      <c r="E691" s="23">
        <v>1.1071967790639154</v>
      </c>
      <c r="F691" s="23">
        <v>273.27738477272726</v>
      </c>
      <c r="G691" s="23">
        <v>3.025718402113739</v>
      </c>
      <c r="H691" s="23">
        <v>0.24263693967291025</v>
      </c>
    </row>
    <row r="692">
      <c r="A692" s="5" t="s">
        <v>22</v>
      </c>
      <c r="B692" s="5" t="s">
        <v>78</v>
      </c>
      <c r="C692" s="23">
        <v>6.810030127468436</v>
      </c>
      <c r="D692" s="23">
        <v>15.851572234414073</v>
      </c>
      <c r="E692" s="23">
        <v>0.794392523364486</v>
      </c>
      <c r="F692" s="23">
        <v>304.649501882353</v>
      </c>
      <c r="G692" s="23">
        <v>2.420112865420561</v>
      </c>
      <c r="H692" s="23">
        <v>0.28139307983410955</v>
      </c>
    </row>
    <row r="693">
      <c r="A693" s="5" t="s">
        <v>22</v>
      </c>
      <c r="B693" s="5" t="s">
        <v>55</v>
      </c>
      <c r="C693" s="23">
        <v>8.288743951040992</v>
      </c>
      <c r="D693" s="23">
        <v>19.223363843845306</v>
      </c>
      <c r="E693" s="23">
        <v>0.7138221933809215</v>
      </c>
      <c r="F693" s="23">
        <v>430.3289802727273</v>
      </c>
      <c r="G693" s="23">
        <v>3.0717837657365346</v>
      </c>
      <c r="H693" s="23">
        <v>0.2698348771647201</v>
      </c>
    </row>
    <row r="694">
      <c r="A694" s="5" t="s">
        <v>15</v>
      </c>
      <c r="B694" s="5" t="s">
        <v>35</v>
      </c>
      <c r="C694" s="23">
        <v>589.0138130274262</v>
      </c>
      <c r="D694" s="23">
        <v>1444.2550139023604</v>
      </c>
      <c r="E694" s="23">
        <v>5.0</v>
      </c>
      <c r="F694" s="23">
        <v>2233.540379</v>
      </c>
      <c r="G694" s="23">
        <v>111.67701895</v>
      </c>
      <c r="H694" s="23">
        <v>0.5274261603375527</v>
      </c>
    </row>
    <row r="695">
      <c r="A695" s="5" t="s">
        <v>15</v>
      </c>
      <c r="B695" s="5" t="s">
        <v>24</v>
      </c>
      <c r="C695" s="23">
        <v>50.66577024627043</v>
      </c>
      <c r="D695" s="23">
        <v>324.94729706128027</v>
      </c>
      <c r="E695" s="23">
        <v>0.4784688995215311</v>
      </c>
      <c r="F695" s="23">
        <v>4279.230955</v>
      </c>
      <c r="G695" s="23">
        <v>20.474789258373207</v>
      </c>
      <c r="H695" s="23">
        <v>0.24745441629173576</v>
      </c>
    </row>
    <row r="696">
      <c r="A696" s="5" t="s">
        <v>15</v>
      </c>
      <c r="B696" s="5" t="s">
        <v>214</v>
      </c>
      <c r="C696" s="23">
        <v>38.10252973158905</v>
      </c>
      <c r="D696" s="23">
        <v>102.74720346488735</v>
      </c>
      <c r="E696" s="23">
        <v>15.0</v>
      </c>
      <c r="F696" s="23">
        <v>381.5460318888889</v>
      </c>
      <c r="G696" s="23">
        <v>57.231904783333334</v>
      </c>
      <c r="H696" s="23">
        <v>0.06657567990413102</v>
      </c>
    </row>
    <row r="697">
      <c r="A697" s="5" t="s">
        <v>15</v>
      </c>
      <c r="B697" s="5" t="s">
        <v>78</v>
      </c>
      <c r="C697" s="23">
        <v>2.234275304274761</v>
      </c>
      <c r="D697" s="23">
        <v>4.5306657826523695</v>
      </c>
      <c r="E697" s="23">
        <v>0.28994845360824745</v>
      </c>
      <c r="F697" s="23">
        <v>277.1352884444444</v>
      </c>
      <c r="G697" s="23">
        <v>0.8035494832474227</v>
      </c>
      <c r="H697" s="23">
        <v>0.2780507424689365</v>
      </c>
    </row>
    <row r="698">
      <c r="A698" s="5" t="s">
        <v>15</v>
      </c>
      <c r="B698" s="5" t="s">
        <v>273</v>
      </c>
      <c r="C698" s="23">
        <v>8.226042118995649</v>
      </c>
      <c r="D698" s="23">
        <v>19.80628982745569</v>
      </c>
      <c r="E698" s="23">
        <v>6.132665832290362</v>
      </c>
      <c r="F698" s="23">
        <v>46.45464226530612</v>
      </c>
      <c r="G698" s="23">
        <v>2.848907973717146</v>
      </c>
      <c r="H698" s="23">
        <v>0.2887436938955463</v>
      </c>
    </row>
    <row r="699">
      <c r="A699" s="5" t="s">
        <v>15</v>
      </c>
      <c r="B699" s="5" t="s">
        <v>24</v>
      </c>
      <c r="C699" s="23">
        <v>125.7838927209807</v>
      </c>
      <c r="D699" s="23">
        <v>11227.694172774869</v>
      </c>
      <c r="E699" s="23">
        <v>17.857142857142858</v>
      </c>
      <c r="F699" s="23">
        <v>142.96597246666667</v>
      </c>
      <c r="G699" s="23">
        <v>25.529637940476192</v>
      </c>
      <c r="H699" s="23">
        <v>0.49269751891606545</v>
      </c>
    </row>
    <row r="700">
      <c r="A700" s="5" t="s">
        <v>15</v>
      </c>
      <c r="B700" s="5" t="s">
        <v>17</v>
      </c>
      <c r="C700" s="23">
        <v>25.64993046491559</v>
      </c>
      <c r="D700" s="23">
        <v>75.77682612332696</v>
      </c>
      <c r="E700" s="23">
        <v>7.883817427385892</v>
      </c>
      <c r="F700" s="23">
        <v>100.12112857894738</v>
      </c>
      <c r="G700" s="23">
        <v>7.8933669834024895</v>
      </c>
      <c r="H700" s="23">
        <v>0.32495550401812195</v>
      </c>
    </row>
    <row r="701">
      <c r="A701" s="5" t="s">
        <v>22</v>
      </c>
      <c r="B701" s="5" t="s">
        <v>35</v>
      </c>
      <c r="C701" s="23">
        <v>51.06763077873586</v>
      </c>
      <c r="D701" s="23">
        <v>140.38507539506722</v>
      </c>
      <c r="E701" s="23">
        <v>3.076923076923077</v>
      </c>
      <c r="F701" s="23">
        <v>475.27367275</v>
      </c>
      <c r="G701" s="23">
        <v>14.623805315384615</v>
      </c>
      <c r="H701" s="23">
        <v>0.349208907513364</v>
      </c>
    </row>
    <row r="702">
      <c r="A702" s="5" t="s">
        <v>15</v>
      </c>
      <c r="B702" s="5" t="s">
        <v>17</v>
      </c>
      <c r="C702" s="23">
        <v>3.2690704052129633</v>
      </c>
      <c r="D702" s="23">
        <v>8.195805150721489</v>
      </c>
      <c r="E702" s="23">
        <v>0.3749330476700589</v>
      </c>
      <c r="F702" s="23">
        <v>259.72857771428573</v>
      </c>
      <c r="G702" s="23">
        <v>0.9738082720942689</v>
      </c>
      <c r="H702" s="23">
        <v>0.33569959291704426</v>
      </c>
    </row>
    <row r="703">
      <c r="A703" s="5" t="s">
        <v>15</v>
      </c>
      <c r="B703" s="5" t="s">
        <v>35</v>
      </c>
      <c r="C703" s="23">
        <v>2.8234877970123318</v>
      </c>
      <c r="D703" s="23">
        <v>8.400294835274643</v>
      </c>
      <c r="E703" s="23">
        <v>0.7859733978234582</v>
      </c>
      <c r="F703" s="23">
        <v>129.9803466923077</v>
      </c>
      <c r="G703" s="23">
        <v>1.021610947400242</v>
      </c>
      <c r="H703" s="23">
        <v>0.2763760318149918</v>
      </c>
    </row>
    <row r="704">
      <c r="A704" s="5" t="s">
        <v>15</v>
      </c>
      <c r="B704" s="5" t="s">
        <v>35</v>
      </c>
      <c r="C704" s="23">
        <v>3.884781211559925</v>
      </c>
      <c r="D704" s="23">
        <v>7.71151228434053</v>
      </c>
      <c r="E704" s="23">
        <v>0.40650406504065045</v>
      </c>
      <c r="F704" s="23">
        <v>408.980054</v>
      </c>
      <c r="G704" s="23">
        <v>1.6625205447154472</v>
      </c>
      <c r="H704" s="23">
        <v>0.2336681627128304</v>
      </c>
    </row>
    <row r="705">
      <c r="A705" s="5" t="s">
        <v>15</v>
      </c>
      <c r="B705" s="5" t="s">
        <v>45</v>
      </c>
      <c r="C705" s="23">
        <v>26.455667481786293</v>
      </c>
      <c r="D705" s="23">
        <v>61.5617007691704</v>
      </c>
      <c r="E705" s="23">
        <v>2.3529411764705883</v>
      </c>
      <c r="F705" s="23">
        <v>392.17881475</v>
      </c>
      <c r="G705" s="23">
        <v>9.22773681764706</v>
      </c>
      <c r="H705" s="23">
        <v>0.286697247706422</v>
      </c>
    </row>
    <row r="706">
      <c r="A706" s="5" t="s">
        <v>15</v>
      </c>
      <c r="B706" s="5" t="s">
        <v>398</v>
      </c>
      <c r="C706" s="23">
        <v>5.065620826404406</v>
      </c>
      <c r="D706" s="23">
        <v>11.556427248275401</v>
      </c>
      <c r="E706" s="23">
        <v>1.2746234067207416</v>
      </c>
      <c r="F706" s="23">
        <v>141.7858059090909</v>
      </c>
      <c r="G706" s="23">
        <v>1.807235069524913</v>
      </c>
      <c r="H706" s="23">
        <v>0.28029673127890664</v>
      </c>
    </row>
    <row r="707">
      <c r="A707" s="5" t="s">
        <v>15</v>
      </c>
      <c r="B707" s="5" t="s">
        <v>24</v>
      </c>
      <c r="C707" s="23">
        <v>18.094978328389463</v>
      </c>
      <c r="D707" s="23">
        <v>45.933406525911714</v>
      </c>
      <c r="E707" s="23">
        <v>1.2875536480686696</v>
      </c>
      <c r="F707" s="23">
        <v>518.511604</v>
      </c>
      <c r="G707" s="23">
        <v>6.676115072961374</v>
      </c>
      <c r="H707" s="23">
        <v>0.2710405397545512</v>
      </c>
    </row>
    <row r="708">
      <c r="A708" s="5" t="s">
        <v>15</v>
      </c>
      <c r="B708" s="5" t="s">
        <v>55</v>
      </c>
      <c r="C708" s="23">
        <v>4.595369822203155</v>
      </c>
      <c r="D708" s="23">
        <v>10.370307082061556</v>
      </c>
      <c r="E708" s="23">
        <v>2.9342723004694835</v>
      </c>
      <c r="F708" s="23">
        <v>61.70000863999999</v>
      </c>
      <c r="G708" s="23">
        <v>1.810446262910798</v>
      </c>
      <c r="H708" s="23">
        <v>0.25382525382525384</v>
      </c>
    </row>
    <row r="709">
      <c r="A709" s="5" t="s">
        <v>22</v>
      </c>
      <c r="B709" s="5" t="s">
        <v>273</v>
      </c>
      <c r="C709" s="23">
        <v>20.449083539105693</v>
      </c>
      <c r="D709" s="23">
        <v>63.53070289764436</v>
      </c>
      <c r="E709" s="23">
        <v>12.0</v>
      </c>
      <c r="F709" s="23">
        <v>63.490996208333335</v>
      </c>
      <c r="G709" s="23">
        <v>7.618919545</v>
      </c>
      <c r="H709" s="23">
        <v>0.2683987331579795</v>
      </c>
    </row>
    <row r="710">
      <c r="A710" s="5" t="s">
        <v>22</v>
      </c>
      <c r="B710" s="5" t="s">
        <v>55</v>
      </c>
      <c r="C710" s="23">
        <v>5.556411742849343</v>
      </c>
      <c r="D710" s="23">
        <v>11.53567095921034</v>
      </c>
      <c r="E710" s="23">
        <v>0.5698005698005698</v>
      </c>
      <c r="F710" s="23">
        <v>366.3786775</v>
      </c>
      <c r="G710" s="23">
        <v>2.0876277920227917</v>
      </c>
      <c r="H710" s="23">
        <v>0.266159119172556</v>
      </c>
    </row>
    <row r="711">
      <c r="A711" s="5" t="s">
        <v>22</v>
      </c>
      <c r="B711" s="5" t="s">
        <v>398</v>
      </c>
      <c r="C711" s="23">
        <v>2.8367327545979535</v>
      </c>
      <c r="D711" s="23">
        <v>8.17077940667729</v>
      </c>
      <c r="E711" s="23">
        <v>9.477521263669502</v>
      </c>
      <c r="F711" s="23">
        <v>18.471094384615384</v>
      </c>
      <c r="G711" s="23">
        <v>1.7506018979343863</v>
      </c>
      <c r="H711" s="23">
        <v>0.16204328111063637</v>
      </c>
    </row>
    <row r="712">
      <c r="A712" s="5" t="s">
        <v>22</v>
      </c>
      <c r="B712" s="5" t="s">
        <v>84</v>
      </c>
      <c r="C712" s="23">
        <v>35.61410269382177</v>
      </c>
      <c r="D712" s="23">
        <v>70.07013438950231</v>
      </c>
      <c r="E712" s="23">
        <v>6.0</v>
      </c>
      <c r="F712" s="23">
        <v>145.95608993333332</v>
      </c>
      <c r="G712" s="23">
        <v>8.757365395999999</v>
      </c>
      <c r="H712" s="23">
        <v>0.4066759931027752</v>
      </c>
    </row>
    <row r="713">
      <c r="A713" s="5" t="s">
        <v>22</v>
      </c>
      <c r="B713" s="5" t="s">
        <v>29</v>
      </c>
      <c r="C713" s="23">
        <v>133.137440161182</v>
      </c>
      <c r="D713" s="23">
        <v>317.2881696542894</v>
      </c>
      <c r="E713" s="23">
        <v>10.0</v>
      </c>
      <c r="F713" s="23">
        <v>330.40274733333337</v>
      </c>
      <c r="G713" s="23">
        <v>33.040274733333334</v>
      </c>
      <c r="H713" s="23">
        <v>0.4029550033579583</v>
      </c>
    </row>
    <row r="714">
      <c r="A714" s="5" t="s">
        <v>15</v>
      </c>
      <c r="B714" s="5" t="s">
        <v>35</v>
      </c>
      <c r="C714" s="23">
        <v>31.351424665588713</v>
      </c>
      <c r="D714" s="23">
        <v>183.97102530189764</v>
      </c>
      <c r="E714" s="23">
        <v>4.597701149425287</v>
      </c>
      <c r="F714" s="23">
        <v>239.94420975</v>
      </c>
      <c r="G714" s="23">
        <v>11.031917689655172</v>
      </c>
      <c r="H714" s="23">
        <v>0.2841883482777206</v>
      </c>
    </row>
    <row r="715">
      <c r="A715" s="5" t="s">
        <v>22</v>
      </c>
      <c r="B715" s="5" t="s">
        <v>35</v>
      </c>
      <c r="C715" s="23">
        <v>274.7657007453014</v>
      </c>
      <c r="D715" s="23">
        <v>621.1160682456355</v>
      </c>
      <c r="E715" s="23">
        <v>19.11764705882353</v>
      </c>
      <c r="F715" s="23">
        <v>391.35090115384617</v>
      </c>
      <c r="G715" s="23">
        <v>74.81708404411765</v>
      </c>
      <c r="H715" s="23">
        <v>0.367249945992655</v>
      </c>
    </row>
    <row r="716">
      <c r="A716" s="5" t="s">
        <v>15</v>
      </c>
      <c r="B716" s="5" t="s">
        <v>55</v>
      </c>
      <c r="C716" s="23">
        <v>333.15623204903676</v>
      </c>
      <c r="D716" s="23">
        <v>818.7312610286206</v>
      </c>
      <c r="E716" s="23">
        <v>13.432835820895523</v>
      </c>
      <c r="F716" s="23">
        <v>422.7382411111111</v>
      </c>
      <c r="G716" s="23">
        <v>56.785733880597014</v>
      </c>
      <c r="H716" s="23">
        <v>0.5866900175131349</v>
      </c>
    </row>
    <row r="717">
      <c r="A717" s="5" t="s">
        <v>61</v>
      </c>
      <c r="B717" s="5" t="s">
        <v>55</v>
      </c>
      <c r="C717" s="23">
        <v>522.1227709517698</v>
      </c>
      <c r="D717" s="23">
        <v>1202.5915395987329</v>
      </c>
      <c r="E717" s="23">
        <v>6.521739130434782</v>
      </c>
      <c r="F717" s="23">
        <v>1898.0903133333334</v>
      </c>
      <c r="G717" s="23">
        <v>123.78849869565218</v>
      </c>
      <c r="H717" s="23">
        <v>0.4217861727489456</v>
      </c>
    </row>
    <row r="718">
      <c r="A718" s="5" t="s">
        <v>15</v>
      </c>
      <c r="B718" s="5" t="s">
        <v>29</v>
      </c>
      <c r="C718" s="23">
        <v>933.7711011206328</v>
      </c>
      <c r="D718" s="23">
        <v>1312.5748335804299</v>
      </c>
      <c r="E718" s="23">
        <v>184.6153846153846</v>
      </c>
      <c r="F718" s="23">
        <v>295.11057508333334</v>
      </c>
      <c r="G718" s="23">
        <v>544.8195232307692</v>
      </c>
      <c r="H718" s="23">
        <v>0.17139090309822017</v>
      </c>
    </row>
    <row r="719">
      <c r="A719" s="5" t="s">
        <v>22</v>
      </c>
      <c r="B719" s="5" t="s">
        <v>55</v>
      </c>
      <c r="C719" s="23">
        <v>121.47176158209895</v>
      </c>
      <c r="D719" s="23">
        <v>170.39341268788684</v>
      </c>
      <c r="E719" s="23">
        <v>13.333333333333334</v>
      </c>
      <c r="F719" s="23">
        <v>110.12282842857142</v>
      </c>
      <c r="G719" s="23">
        <v>14.683043790476189</v>
      </c>
      <c r="H719" s="23">
        <v>0.827292782855342</v>
      </c>
    </row>
    <row r="720">
      <c r="A720" s="5" t="s">
        <v>22</v>
      </c>
      <c r="B720" s="5" t="s">
        <v>17</v>
      </c>
      <c r="C720" s="23">
        <v>24.679538349635056</v>
      </c>
      <c r="D720" s="23">
        <v>235.48889195023233</v>
      </c>
      <c r="E720" s="23">
        <v>4.814004376367615</v>
      </c>
      <c r="F720" s="23">
        <v>178.5166361590909</v>
      </c>
      <c r="G720" s="23">
        <v>8.593798677242887</v>
      </c>
      <c r="H720" s="23">
        <v>0.2871784559602098</v>
      </c>
    </row>
    <row r="721">
      <c r="A721" s="5" t="s">
        <v>15</v>
      </c>
      <c r="B721" s="5" t="s">
        <v>35</v>
      </c>
      <c r="C721" s="23">
        <v>246.18247405768352</v>
      </c>
      <c r="D721" s="23">
        <v>507.0670289171774</v>
      </c>
      <c r="E721" s="23">
        <v>19.480519480519483</v>
      </c>
      <c r="F721" s="23">
        <v>430.19566733333335</v>
      </c>
      <c r="G721" s="23">
        <v>83.80435077922078</v>
      </c>
      <c r="H721" s="23">
        <v>0.29375858385472303</v>
      </c>
    </row>
    <row r="722">
      <c r="A722" s="5" t="s">
        <v>15</v>
      </c>
      <c r="B722" s="5" t="s">
        <v>17</v>
      </c>
      <c r="C722" s="23">
        <v>266.0448414054625</v>
      </c>
      <c r="D722" s="23">
        <v>3119.027676420934</v>
      </c>
      <c r="E722" s="23">
        <v>10.344827586206897</v>
      </c>
      <c r="F722" s="23">
        <v>615.8346867777777</v>
      </c>
      <c r="G722" s="23">
        <v>63.70703656321839</v>
      </c>
      <c r="H722" s="23">
        <v>0.4176066817069073</v>
      </c>
    </row>
    <row r="723">
      <c r="A723" s="5" t="s">
        <v>22</v>
      </c>
      <c r="B723" s="5" t="s">
        <v>150</v>
      </c>
      <c r="C723" s="23">
        <v>205.37812255835274</v>
      </c>
      <c r="D723" s="23">
        <v>409.86028088938923</v>
      </c>
      <c r="E723" s="23">
        <v>26.153846153846157</v>
      </c>
      <c r="F723" s="23">
        <v>171.3215974117647</v>
      </c>
      <c r="G723" s="23">
        <v>44.80718701538462</v>
      </c>
      <c r="H723" s="23">
        <v>0.4583597771666314</v>
      </c>
    </row>
    <row r="724">
      <c r="A724" s="5" t="s">
        <v>22</v>
      </c>
      <c r="B724" s="5" t="s">
        <v>84</v>
      </c>
      <c r="C724" s="23">
        <v>5.241812423409128</v>
      </c>
      <c r="D724" s="23">
        <v>57.97765689160216</v>
      </c>
      <c r="E724" s="23">
        <v>7.865168539325842</v>
      </c>
      <c r="F724" s="23">
        <v>25.325192698412696</v>
      </c>
      <c r="G724" s="23">
        <v>1.991869088639201</v>
      </c>
      <c r="H724" s="23">
        <v>0.26316048847317636</v>
      </c>
    </row>
    <row r="725">
      <c r="A725" s="5" t="s">
        <v>15</v>
      </c>
      <c r="B725" s="5" t="s">
        <v>78</v>
      </c>
      <c r="C725" s="23">
        <v>4.9676762073758995</v>
      </c>
      <c r="D725" s="23">
        <v>43.49116171728218</v>
      </c>
      <c r="E725" s="23">
        <v>0.5945303210463734</v>
      </c>
      <c r="F725" s="23">
        <v>310.1876636</v>
      </c>
      <c r="G725" s="23">
        <v>1.8441597122473246</v>
      </c>
      <c r="H725" s="23">
        <v>0.2693734265196697</v>
      </c>
    </row>
    <row r="726">
      <c r="A726" s="5" t="s">
        <v>15</v>
      </c>
      <c r="B726" s="5" t="s">
        <v>84</v>
      </c>
      <c r="C726" s="23">
        <v>156.50141787538305</v>
      </c>
      <c r="D726" s="23">
        <v>1183.1265490347491</v>
      </c>
      <c r="E726" s="23">
        <v>8.333333333333332</v>
      </c>
      <c r="F726" s="23">
        <v>766.0744405</v>
      </c>
      <c r="G726" s="23">
        <v>63.839536708333334</v>
      </c>
      <c r="H726" s="23">
        <v>0.24514811031664963</v>
      </c>
    </row>
    <row r="727">
      <c r="A727" s="5" t="s">
        <v>61</v>
      </c>
      <c r="B727" s="5" t="s">
        <v>131</v>
      </c>
      <c r="C727" s="23">
        <v>11.545360101682975</v>
      </c>
      <c r="D727" s="23">
        <v>128.48049761417857</v>
      </c>
      <c r="E727" s="23">
        <v>1.486988847583643</v>
      </c>
      <c r="F727" s="23">
        <v>376.96178</v>
      </c>
      <c r="G727" s="23">
        <v>5.605379628252788</v>
      </c>
      <c r="H727" s="23">
        <v>0.20596928071545612</v>
      </c>
    </row>
    <row r="728">
      <c r="A728" s="5" t="s">
        <v>22</v>
      </c>
      <c r="B728" s="5" t="s">
        <v>35</v>
      </c>
      <c r="C728" s="23">
        <v>133.90899330459504</v>
      </c>
      <c r="D728" s="23">
        <v>386.655125529661</v>
      </c>
      <c r="E728" s="23">
        <v>5.714285714285714</v>
      </c>
      <c r="F728" s="23">
        <v>730.004877</v>
      </c>
      <c r="G728" s="23">
        <v>41.7145644</v>
      </c>
      <c r="H728" s="23">
        <v>0.32101256534898653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75"/>
    <col customWidth="1" min="2" max="2" width="24.13"/>
    <col customWidth="1" min="6" max="6" width="20.88"/>
  </cols>
  <sheetData>
    <row r="1">
      <c r="F1" s="29" t="s">
        <v>1993</v>
      </c>
      <c r="G1" s="29" t="s">
        <v>1994</v>
      </c>
    </row>
    <row r="2">
      <c r="F2" s="22"/>
      <c r="G2" s="22"/>
    </row>
    <row r="3">
      <c r="F3" s="29" t="s">
        <v>1995</v>
      </c>
      <c r="G3" s="22">
        <f>(SUMIF(A2:A41, "Huntsville-Decatur (Florence), Alabama" , E2:E41) + SUMIF(A3:A41, "Birmingham, Alabama", E3:E41))</f>
        <v>4</v>
      </c>
    </row>
    <row r="4">
      <c r="F4" s="29" t="s">
        <v>1996</v>
      </c>
      <c r="G4" s="29">
        <f>(SUMIF(A3:A41, "Little Rock-Pine Bluff, Arkansas", E3:E41))</f>
        <v>1</v>
      </c>
    </row>
    <row r="5">
      <c r="F5" s="29" t="s">
        <v>1997</v>
      </c>
      <c r="G5" s="22">
        <f>((SUMIF(A3:A41, "San Francisco, California", E3:E41) + SUMIF(A3:A41, "Los Angeles, California", E3:E41)))</f>
        <v>140</v>
      </c>
    </row>
    <row r="6">
      <c r="F6" s="29" t="s">
        <v>1998</v>
      </c>
      <c r="G6" s="22">
        <f>(SUMIF(A3:A41, "West Palm Beach-Ft. Pierce, Florida",E3:E41) + SUMIF(A3:A41,"Tampa-St Petersburg (Sarasota), Florida",E3:E41) + SUMIF(A3:A41,"Panama City, Florida", E3:E41) + SUMIF(A3:A41,"Orlando-Daytona Beach, Florida", E3:E41) + SUMIF(A3:A41,"Mobile, Alabama-Pensacola, Florida", E3:E41) + SUMIF(A3:A41,"Miami-Ft. Lauderdale, Florida", E3:E41) + SUMIF(A3:A41,"Jacksonville, Florida", E3:E41) + SUMIF(A3:A41, "Ft. Myers-Naples, Florida", E3:E41))</f>
        <v>155</v>
      </c>
    </row>
    <row r="7">
      <c r="F7" s="29" t="s">
        <v>1999</v>
      </c>
      <c r="G7" s="22">
        <f>(SUMIF(A3:A41, "Tallahassee, Florida-Thomasville, Georgia", E3:E41) + SUMIF(A3:A41, "Savannah, Georgia", E3:E41) + SUMIF(A3:A41, "Augusta, Georgia", E3:E41))</f>
        <v>16</v>
      </c>
    </row>
    <row r="8">
      <c r="F8" s="29" t="s">
        <v>2000</v>
      </c>
      <c r="G8" s="22">
        <f>(SUMIF(A3:A41, "Rockford, Illinois", E3:E41) + SUMIF(A3:A41, "Peoria-Bloomington, Illinois", E3:E41) + SUMIF(A3:A41, "Chicago, Illinois", E3:E41) + SUMIF(A3:A41, "Champaign &amp; Springfield-Decatur,Illinois", E3:E41))</f>
        <v>163</v>
      </c>
    </row>
    <row r="9">
      <c r="F9" s="29" t="s">
        <v>2001</v>
      </c>
      <c r="G9" s="22">
        <f>(SUMIF(A3:A41, "South Bend-Elkhart, Indiana", E3:E41) + SUMIF(A3:A41, "Lafayette, Indiana", E3:E41) + SUMIF(A3:A41, "Ft. Wayne, Indiana", E3:E41))</f>
        <v>16</v>
      </c>
    </row>
    <row r="10">
      <c r="F10" s="29" t="s">
        <v>2002</v>
      </c>
      <c r="G10" s="29">
        <v>1.0</v>
      </c>
    </row>
    <row r="11">
      <c r="F11" s="29" t="s">
        <v>2003</v>
      </c>
      <c r="G11" s="29">
        <v>2.0</v>
      </c>
    </row>
    <row r="12">
      <c r="F12" s="29" t="s">
        <v>2004</v>
      </c>
      <c r="G12" s="22">
        <f>(SUMIF(A3:A41, "Lansing, Michigan", E3:E41) + SUMIF(A3:A41, "Grand Rapids-Kalamazoo, Michigan", E3:E41) + SUMIF(A3:A41, "Flint-Saginaw-Bay City, Michigan", E3:E41))</f>
        <v>40</v>
      </c>
    </row>
    <row r="13">
      <c r="F13" s="29" t="s">
        <v>2005</v>
      </c>
      <c r="G13" s="22">
        <f>(SUMIF(A3:A41,"Jackson, Mississippi", E3:E41) + SUMIF(A3:A41, "Hattiesburg-Laurel, Mississippi", E3:E41))</f>
        <v>5</v>
      </c>
    </row>
    <row r="14">
      <c r="F14" s="29" t="s">
        <v>2006</v>
      </c>
      <c r="G14" s="22">
        <f>SUMIF(A3:A41, "New York City, New York", E3:E41)</f>
        <v>101</v>
      </c>
    </row>
    <row r="15">
      <c r="F15" s="29" t="s">
        <v>2007</v>
      </c>
      <c r="G15" s="22">
        <f>(SUMIF(A3:A41, "Toledo, Ohio", E3:E41) + SUMIF(A3:A41, "Cincinnati, Ohio", E3:E41))</f>
        <v>3</v>
      </c>
    </row>
    <row r="16">
      <c r="F16" s="29" t="s">
        <v>2008</v>
      </c>
      <c r="G16" s="22">
        <f>SUMIF(A3:A41, "Charleston, South Carolina", E3:E41)</f>
        <v>5</v>
      </c>
    </row>
    <row r="17">
      <c r="F17" s="29" t="s">
        <v>2009</v>
      </c>
      <c r="G17" s="22">
        <f>(SUMIF(A3:A41, "Nashville, Tennessee", E3:E41) + SUMIF(A3:A41, "Memphis, Tennessee", E3:E41) + SUMIF(A3:A41, "Knoxville, Tennessee", E3:E41) + SUMIF(A3:A41, "Chattanooga, Tennessee", E3:E41))</f>
        <v>71</v>
      </c>
    </row>
    <row r="18">
      <c r="F18" s="29" t="s">
        <v>2010</v>
      </c>
      <c r="G18" s="22">
        <f>SUMIF(A3:A41, "Tri-Cities, Tennessee-Virginia", E3:E41)</f>
        <v>4</v>
      </c>
    </row>
    <row r="19"/>
    <row r="20"/>
    <row r="21"/>
    <row r="22"/>
    <row r="23"/>
    <row r="24"/>
    <row r="25"/>
    <row r="26"/>
    <row r="27"/>
    <row r="28"/>
    <row r="29"/>
    <row r="30"/>
    <row r="31"/>
    <row r="32"/>
    <row r="33"/>
    <row r="34"/>
    <row r="35"/>
    <row r="36"/>
    <row r="37"/>
    <row r="38"/>
    <row r="39"/>
    <row r="40"/>
    <row r="41"/>
    <row r="42"/>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88"/>
    <col hidden="1" min="2" max="2" width="12.63"/>
    <col customWidth="1" min="3" max="3" width="24.13"/>
    <col customWidth="1" min="4" max="4" width="20.0"/>
    <col customWidth="1" min="5" max="5" width="23.25"/>
    <col customWidth="1" min="6" max="6" width="27.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6.25"/>
    <col customWidth="1" min="3" max="3" width="22.88"/>
    <col customWidth="1" min="4" max="4" width="24.13"/>
    <col customWidth="1" min="5" max="7" width="22.75"/>
    <col customWidth="1" min="8" max="8" width="21.5"/>
    <col customWidth="1" min="9" max="9" width="25.38"/>
    <col customWidth="1" min="10" max="10" width="25.13"/>
    <col customWidth="1" min="11" max="11" width="17.13"/>
    <col customWidth="1" min="12" max="12" width="15.75"/>
    <col customWidth="1" min="13" max="13" width="13.88"/>
    <col customWidth="1" min="14" max="14" width="16.88"/>
    <col customWidth="1" min="15" max="15" width="19.75"/>
    <col customWidth="1" min="16" max="16" width="17.75"/>
    <col customWidth="1" min="17" max="17" width="21.0"/>
    <col customWidth="1" min="18" max="18" width="18.88"/>
    <col customWidth="1" min="19" max="19" width="17.0"/>
    <col customWidth="1" min="20" max="20" width="18.25"/>
    <col customWidth="1" min="21" max="21" width="19.0"/>
    <col customWidth="1" min="22" max="22" width="20.5"/>
    <col customWidth="1" min="23" max="23" width="18.63"/>
    <col customWidth="1" min="24" max="25" width="16.0"/>
  </cols>
  <sheetData>
    <row r="1">
      <c r="A1" s="1" t="s">
        <v>2012</v>
      </c>
      <c r="B1" s="1" t="s">
        <v>2013</v>
      </c>
      <c r="C1" s="1" t="s">
        <v>2014</v>
      </c>
      <c r="D1" s="1" t="s">
        <v>2015</v>
      </c>
      <c r="E1" s="1" t="s">
        <v>2016</v>
      </c>
      <c r="F1" s="1" t="s">
        <v>2017</v>
      </c>
      <c r="G1" s="1" t="s">
        <v>2018</v>
      </c>
      <c r="H1" s="35" t="s">
        <v>1</v>
      </c>
      <c r="I1" s="2" t="s">
        <v>2</v>
      </c>
      <c r="J1" s="2" t="s">
        <v>3</v>
      </c>
      <c r="K1" s="2" t="s">
        <v>4</v>
      </c>
      <c r="L1" s="2" t="s">
        <v>5</v>
      </c>
      <c r="M1" s="2" t="s">
        <v>6</v>
      </c>
      <c r="N1" s="2" t="s">
        <v>7</v>
      </c>
      <c r="O1" s="2" t="s">
        <v>8</v>
      </c>
      <c r="P1" s="2" t="s">
        <v>9</v>
      </c>
      <c r="Q1" s="2" t="s">
        <v>10</v>
      </c>
      <c r="R1" s="2" t="s">
        <v>11</v>
      </c>
      <c r="S1" s="2" t="s">
        <v>12</v>
      </c>
      <c r="T1" s="35" t="s">
        <v>2019</v>
      </c>
      <c r="U1" s="35" t="s">
        <v>1981</v>
      </c>
      <c r="V1" s="35" t="s">
        <v>1982</v>
      </c>
      <c r="W1" s="35" t="s">
        <v>1979</v>
      </c>
      <c r="X1" s="35" t="s">
        <v>1699</v>
      </c>
      <c r="Y1" s="35"/>
    </row>
    <row r="2">
      <c r="A2" s="4" t="s">
        <v>2020</v>
      </c>
      <c r="B2" s="4" t="s">
        <v>2021</v>
      </c>
      <c r="C2" s="4" t="s">
        <v>2022</v>
      </c>
      <c r="D2" s="4" t="s">
        <v>2023</v>
      </c>
      <c r="E2" s="4" t="s">
        <v>2024</v>
      </c>
      <c r="F2" s="4" t="s">
        <v>2025</v>
      </c>
      <c r="G2" s="4" t="s">
        <v>2026</v>
      </c>
      <c r="H2" s="4" t="s">
        <v>22</v>
      </c>
      <c r="I2" s="4" t="s">
        <v>23</v>
      </c>
      <c r="J2" s="4" t="s">
        <v>35</v>
      </c>
      <c r="K2" s="4" t="s">
        <v>365</v>
      </c>
      <c r="L2" s="4" t="s">
        <v>19</v>
      </c>
      <c r="M2" s="4" t="s">
        <v>27</v>
      </c>
      <c r="N2" s="4">
        <v>232470.0</v>
      </c>
      <c r="O2" s="4">
        <v>504.0</v>
      </c>
      <c r="P2" s="4">
        <v>40870.0</v>
      </c>
      <c r="Q2" s="4">
        <v>195447.0</v>
      </c>
      <c r="R2" s="4">
        <v>36.0</v>
      </c>
      <c r="S2" s="36">
        <v>5401.365085</v>
      </c>
      <c r="T2" s="37">
        <f t="shared" ref="T2:T34" si="1">S2/R2</f>
        <v>150.037919</v>
      </c>
      <c r="U2" s="38">
        <f t="shared" ref="U2:U34" si="2">(R2/O2)</f>
        <v>0.07142857143</v>
      </c>
      <c r="V2" s="39">
        <f t="shared" ref="V2:V34" si="3">S2/O2</f>
        <v>10.71699422</v>
      </c>
      <c r="W2" s="39">
        <f t="shared" ref="W2:W34" si="4">(S2/N2)*1000</f>
        <v>23.23467581</v>
      </c>
      <c r="X2" s="38">
        <f t="shared" ref="X2:X34" si="5">O2/N2</f>
        <v>0.00216802168</v>
      </c>
      <c r="Y2" s="8"/>
    </row>
    <row r="3">
      <c r="A3" s="4" t="s">
        <v>2020</v>
      </c>
      <c r="B3" s="4" t="s">
        <v>2021</v>
      </c>
      <c r="C3" s="4" t="s">
        <v>2022</v>
      </c>
      <c r="D3" s="4" t="s">
        <v>2023</v>
      </c>
      <c r="E3" s="4" t="s">
        <v>2027</v>
      </c>
      <c r="F3" s="4" t="s">
        <v>2025</v>
      </c>
      <c r="G3" s="4" t="s">
        <v>2028</v>
      </c>
      <c r="H3" s="4" t="s">
        <v>22</v>
      </c>
      <c r="I3" s="4" t="s">
        <v>42</v>
      </c>
      <c r="J3" s="4" t="s">
        <v>121</v>
      </c>
      <c r="K3" s="4" t="s">
        <v>539</v>
      </c>
      <c r="L3" s="4" t="s">
        <v>26</v>
      </c>
      <c r="M3" s="4" t="s">
        <v>27</v>
      </c>
      <c r="N3" s="4">
        <v>207685.0</v>
      </c>
      <c r="O3" s="4">
        <v>512.0</v>
      </c>
      <c r="P3" s="4">
        <v>20134.0</v>
      </c>
      <c r="Q3" s="4">
        <v>30708.0</v>
      </c>
      <c r="R3" s="4">
        <v>34.0</v>
      </c>
      <c r="S3" s="36">
        <v>5239.204787</v>
      </c>
      <c r="T3" s="39">
        <f t="shared" si="1"/>
        <v>154.0942584</v>
      </c>
      <c r="U3" s="38">
        <f t="shared" si="2"/>
        <v>0.06640625</v>
      </c>
      <c r="V3" s="39">
        <f t="shared" si="3"/>
        <v>10.23282185</v>
      </c>
      <c r="W3" s="39">
        <f t="shared" si="4"/>
        <v>25.22668843</v>
      </c>
      <c r="X3" s="38">
        <f t="shared" si="5"/>
        <v>0.002465271926</v>
      </c>
      <c r="Y3" s="8"/>
    </row>
    <row r="4" hidden="1">
      <c r="A4" s="4" t="s">
        <v>2020</v>
      </c>
      <c r="B4" s="4" t="s">
        <v>2021</v>
      </c>
      <c r="C4" s="4" t="s">
        <v>2022</v>
      </c>
      <c r="D4" s="4" t="s">
        <v>2029</v>
      </c>
      <c r="E4" s="4" t="s">
        <v>2030</v>
      </c>
      <c r="F4" s="4" t="s">
        <v>2031</v>
      </c>
      <c r="G4" s="4" t="s">
        <v>2030</v>
      </c>
      <c r="H4" s="4" t="s">
        <v>15</v>
      </c>
      <c r="I4" s="4" t="s">
        <v>16</v>
      </c>
      <c r="J4" s="4" t="s">
        <v>78</v>
      </c>
      <c r="K4" s="4" t="s">
        <v>919</v>
      </c>
      <c r="L4" s="4" t="s">
        <v>19</v>
      </c>
      <c r="M4" s="4" t="s">
        <v>27</v>
      </c>
      <c r="N4" s="4">
        <v>198163.0</v>
      </c>
      <c r="O4" s="4">
        <v>469.0</v>
      </c>
      <c r="P4" s="4">
        <v>76695.0</v>
      </c>
      <c r="Q4" s="4">
        <v>183585.0</v>
      </c>
      <c r="R4" s="4">
        <v>31.0</v>
      </c>
      <c r="S4" s="36">
        <v>5204.313768</v>
      </c>
      <c r="T4" s="39">
        <f t="shared" si="1"/>
        <v>167.8810893</v>
      </c>
      <c r="U4" s="38">
        <f t="shared" si="2"/>
        <v>0.06609808102</v>
      </c>
      <c r="V4" s="39">
        <f t="shared" si="3"/>
        <v>11.09661784</v>
      </c>
      <c r="W4" s="39">
        <f t="shared" si="4"/>
        <v>26.26279259</v>
      </c>
      <c r="X4" s="38">
        <f t="shared" si="5"/>
        <v>0.002366738493</v>
      </c>
      <c r="Y4" s="8"/>
    </row>
    <row r="5" hidden="1">
      <c r="A5" s="4" t="s">
        <v>2020</v>
      </c>
      <c r="B5" s="4" t="s">
        <v>2021</v>
      </c>
      <c r="C5" s="4" t="s">
        <v>2022</v>
      </c>
      <c r="D5" s="4" t="s">
        <v>2029</v>
      </c>
      <c r="E5" s="40" t="s">
        <v>2032</v>
      </c>
      <c r="F5" s="4" t="s">
        <v>2031</v>
      </c>
      <c r="G5" s="40" t="s">
        <v>2032</v>
      </c>
      <c r="H5" s="4" t="s">
        <v>22</v>
      </c>
      <c r="I5" s="4" t="s">
        <v>42</v>
      </c>
      <c r="J5" s="4" t="s">
        <v>471</v>
      </c>
      <c r="K5" s="4" t="s">
        <v>508</v>
      </c>
      <c r="L5" s="4" t="s">
        <v>48</v>
      </c>
      <c r="M5" s="4" t="s">
        <v>27</v>
      </c>
      <c r="N5" s="4">
        <v>190592.0</v>
      </c>
      <c r="O5" s="4">
        <v>601.0</v>
      </c>
      <c r="P5" s="4">
        <v>28906.0</v>
      </c>
      <c r="Q5" s="4">
        <v>172515.0</v>
      </c>
      <c r="R5" s="4">
        <v>25.0</v>
      </c>
      <c r="S5" s="36">
        <v>4742.047766</v>
      </c>
      <c r="T5" s="39">
        <f t="shared" si="1"/>
        <v>189.6819106</v>
      </c>
      <c r="U5" s="38">
        <f t="shared" si="2"/>
        <v>0.04159733777</v>
      </c>
      <c r="V5" s="39">
        <f t="shared" si="3"/>
        <v>7.890262506</v>
      </c>
      <c r="W5" s="39">
        <f t="shared" si="4"/>
        <v>24.88062335</v>
      </c>
      <c r="X5" s="38">
        <f t="shared" si="5"/>
        <v>0.003153332774</v>
      </c>
      <c r="Y5" s="8"/>
    </row>
    <row r="6">
      <c r="A6" s="4" t="s">
        <v>2020</v>
      </c>
      <c r="B6" s="4" t="s">
        <v>2021</v>
      </c>
      <c r="C6" s="4" t="s">
        <v>2022</v>
      </c>
      <c r="D6" s="4" t="s">
        <v>2023</v>
      </c>
      <c r="E6" s="4" t="s">
        <v>2033</v>
      </c>
      <c r="F6" s="4" t="s">
        <v>2025</v>
      </c>
      <c r="G6" s="4" t="s">
        <v>2034</v>
      </c>
      <c r="H6" s="4" t="s">
        <v>15</v>
      </c>
      <c r="I6" s="4" t="s">
        <v>16</v>
      </c>
      <c r="J6" s="4" t="s">
        <v>45</v>
      </c>
      <c r="K6" s="4" t="s">
        <v>539</v>
      </c>
      <c r="L6" s="4" t="s">
        <v>19</v>
      </c>
      <c r="M6" s="4" t="s">
        <v>27</v>
      </c>
      <c r="N6" s="4">
        <v>766674.0</v>
      </c>
      <c r="O6" s="4">
        <v>1984.0</v>
      </c>
      <c r="P6" s="4">
        <v>344201.0</v>
      </c>
      <c r="Q6" s="4">
        <v>720606.0</v>
      </c>
      <c r="R6" s="4">
        <v>17.0</v>
      </c>
      <c r="S6" s="36">
        <v>5816.234619</v>
      </c>
      <c r="T6" s="39">
        <f t="shared" si="1"/>
        <v>342.1314482</v>
      </c>
      <c r="U6" s="38">
        <f t="shared" si="2"/>
        <v>0.008568548387</v>
      </c>
      <c r="V6" s="37">
        <f t="shared" si="3"/>
        <v>2.931569868</v>
      </c>
      <c r="W6" s="39">
        <f t="shared" si="4"/>
        <v>7.586320417</v>
      </c>
      <c r="X6" s="38">
        <f t="shared" si="5"/>
        <v>0.002587801334</v>
      </c>
      <c r="Y6" s="8"/>
    </row>
    <row r="7" hidden="1">
      <c r="A7" s="4" t="s">
        <v>2020</v>
      </c>
      <c r="B7" s="4" t="s">
        <v>2021</v>
      </c>
      <c r="C7" s="4" t="s">
        <v>2022</v>
      </c>
      <c r="D7" s="4" t="s">
        <v>2035</v>
      </c>
      <c r="E7" s="4" t="s">
        <v>2036</v>
      </c>
      <c r="F7" s="4" t="s">
        <v>2036</v>
      </c>
      <c r="G7" s="4"/>
      <c r="H7" s="4" t="s">
        <v>22</v>
      </c>
      <c r="I7" s="4" t="s">
        <v>23</v>
      </c>
      <c r="J7" s="4" t="s">
        <v>29</v>
      </c>
      <c r="K7" s="4" t="s">
        <v>493</v>
      </c>
      <c r="L7" s="4" t="s">
        <v>19</v>
      </c>
      <c r="M7" s="4" t="s">
        <v>27</v>
      </c>
      <c r="N7" s="4">
        <v>48947.0</v>
      </c>
      <c r="O7" s="4">
        <v>230.0</v>
      </c>
      <c r="P7" s="4">
        <v>32089.0</v>
      </c>
      <c r="Q7" s="4">
        <v>45597.0</v>
      </c>
      <c r="R7" s="4">
        <v>21.0</v>
      </c>
      <c r="S7" s="36">
        <v>5702.290265</v>
      </c>
      <c r="T7" s="39">
        <f t="shared" si="1"/>
        <v>271.5376317</v>
      </c>
      <c r="U7" s="38">
        <f t="shared" si="2"/>
        <v>0.09130434783</v>
      </c>
      <c r="V7" s="39">
        <f t="shared" si="3"/>
        <v>24.79256637</v>
      </c>
      <c r="W7" s="39">
        <f t="shared" si="4"/>
        <v>116.4992801</v>
      </c>
      <c r="X7" s="38">
        <f t="shared" si="5"/>
        <v>0.0046989601</v>
      </c>
      <c r="Y7" s="8"/>
    </row>
    <row r="8" hidden="1">
      <c r="A8" s="4" t="s">
        <v>2020</v>
      </c>
      <c r="B8" s="4" t="s">
        <v>2021</v>
      </c>
      <c r="C8" s="4" t="s">
        <v>2022</v>
      </c>
      <c r="D8" s="4" t="s">
        <v>2029</v>
      </c>
      <c r="E8" s="4" t="s">
        <v>2026</v>
      </c>
      <c r="F8" s="4" t="s">
        <v>2031</v>
      </c>
      <c r="G8" s="4" t="s">
        <v>2026</v>
      </c>
      <c r="H8" s="4" t="s">
        <v>22</v>
      </c>
      <c r="I8" s="4" t="s">
        <v>42</v>
      </c>
      <c r="J8" s="4" t="s">
        <v>39</v>
      </c>
      <c r="K8" s="4" t="s">
        <v>896</v>
      </c>
      <c r="L8" s="4" t="s">
        <v>167</v>
      </c>
      <c r="M8" s="4" t="s">
        <v>27</v>
      </c>
      <c r="N8" s="4">
        <v>10386.0</v>
      </c>
      <c r="O8" s="4">
        <v>65.0</v>
      </c>
      <c r="P8" s="4">
        <v>5876.0</v>
      </c>
      <c r="Q8" s="4">
        <v>10048.0</v>
      </c>
      <c r="R8" s="4">
        <v>15.0</v>
      </c>
      <c r="S8" s="36">
        <v>4439.838064</v>
      </c>
      <c r="T8" s="39">
        <f t="shared" si="1"/>
        <v>295.9892043</v>
      </c>
      <c r="U8" s="41">
        <f t="shared" si="2"/>
        <v>0.2307692308</v>
      </c>
      <c r="V8" s="39">
        <f t="shared" si="3"/>
        <v>68.30520098</v>
      </c>
      <c r="W8" s="39">
        <f t="shared" si="4"/>
        <v>427.482964</v>
      </c>
      <c r="X8" s="38">
        <f t="shared" si="5"/>
        <v>0.006258424803</v>
      </c>
      <c r="Y8" s="8"/>
    </row>
    <row r="9">
      <c r="A9" s="4" t="s">
        <v>2020</v>
      </c>
      <c r="B9" s="4" t="s">
        <v>2021</v>
      </c>
      <c r="C9" s="4" t="s">
        <v>2022</v>
      </c>
      <c r="D9" s="4" t="s">
        <v>2023</v>
      </c>
      <c r="E9" s="4" t="s">
        <v>2037</v>
      </c>
      <c r="F9" s="4" t="s">
        <v>2025</v>
      </c>
      <c r="G9" s="4" t="s">
        <v>2038</v>
      </c>
      <c r="H9" s="4" t="s">
        <v>22</v>
      </c>
      <c r="I9" s="4" t="s">
        <v>31</v>
      </c>
      <c r="J9" s="4" t="s">
        <v>35</v>
      </c>
      <c r="K9" s="4" t="s">
        <v>261</v>
      </c>
      <c r="L9" s="4" t="s">
        <v>26</v>
      </c>
      <c r="M9" s="4" t="s">
        <v>27</v>
      </c>
      <c r="N9" s="4">
        <v>28553.0</v>
      </c>
      <c r="O9" s="4">
        <v>90.0</v>
      </c>
      <c r="P9" s="4">
        <v>11390.0</v>
      </c>
      <c r="Q9" s="4">
        <v>23355.0</v>
      </c>
      <c r="R9" s="4">
        <v>13.0</v>
      </c>
      <c r="S9" s="36">
        <v>5573.112396</v>
      </c>
      <c r="T9" s="39">
        <f t="shared" si="1"/>
        <v>428.7009535</v>
      </c>
      <c r="U9" s="38">
        <f t="shared" si="2"/>
        <v>0.1444444444</v>
      </c>
      <c r="V9" s="39">
        <f t="shared" si="3"/>
        <v>61.92347107</v>
      </c>
      <c r="W9" s="39">
        <f t="shared" si="4"/>
        <v>195.1848281</v>
      </c>
      <c r="X9" s="38">
        <f t="shared" si="5"/>
        <v>0.003152033061</v>
      </c>
      <c r="Y9" s="8"/>
    </row>
    <row r="10" hidden="1">
      <c r="A10" s="4" t="s">
        <v>2020</v>
      </c>
      <c r="B10" s="4" t="s">
        <v>2021</v>
      </c>
      <c r="C10" s="4" t="s">
        <v>2039</v>
      </c>
      <c r="D10" s="4" t="s">
        <v>2040</v>
      </c>
      <c r="E10" s="40" t="s">
        <v>2041</v>
      </c>
      <c r="F10" s="4" t="s">
        <v>2031</v>
      </c>
      <c r="G10" s="40" t="s">
        <v>2041</v>
      </c>
      <c r="H10" s="4" t="s">
        <v>15</v>
      </c>
      <c r="I10" s="4" t="s">
        <v>42</v>
      </c>
      <c r="J10" s="4" t="s">
        <v>43</v>
      </c>
      <c r="K10" s="4" t="s">
        <v>25</v>
      </c>
      <c r="L10" s="4" t="s">
        <v>36</v>
      </c>
      <c r="M10" s="4" t="s">
        <v>27</v>
      </c>
      <c r="N10" s="4">
        <v>36863.0</v>
      </c>
      <c r="O10" s="4">
        <v>116.0</v>
      </c>
      <c r="P10" s="4">
        <v>3570.0</v>
      </c>
      <c r="Q10" s="4">
        <v>29458.0</v>
      </c>
      <c r="R10" s="4">
        <v>15.0</v>
      </c>
      <c r="S10" s="36">
        <v>4752.816685</v>
      </c>
      <c r="T10" s="39">
        <f t="shared" si="1"/>
        <v>316.8544457</v>
      </c>
      <c r="U10" s="38">
        <f t="shared" si="2"/>
        <v>0.1293103448</v>
      </c>
      <c r="V10" s="39">
        <f t="shared" si="3"/>
        <v>40.97255763</v>
      </c>
      <c r="W10" s="39">
        <f t="shared" si="4"/>
        <v>128.9319015</v>
      </c>
      <c r="X10" s="38">
        <f t="shared" si="5"/>
        <v>0.003146786751</v>
      </c>
      <c r="Y10" s="8"/>
    </row>
    <row r="11">
      <c r="A11" s="4" t="s">
        <v>2020</v>
      </c>
      <c r="B11" s="4" t="s">
        <v>2021</v>
      </c>
      <c r="C11" s="4" t="s">
        <v>2022</v>
      </c>
      <c r="D11" s="4" t="s">
        <v>2023</v>
      </c>
      <c r="E11" s="4" t="s">
        <v>2042</v>
      </c>
      <c r="F11" s="4" t="s">
        <v>2025</v>
      </c>
      <c r="G11" s="4" t="s">
        <v>2041</v>
      </c>
      <c r="H11" s="4" t="s">
        <v>15</v>
      </c>
      <c r="I11" s="4" t="s">
        <v>16</v>
      </c>
      <c r="J11" s="4" t="s">
        <v>17</v>
      </c>
      <c r="K11" s="4" t="s">
        <v>669</v>
      </c>
      <c r="L11" s="4" t="s">
        <v>19</v>
      </c>
      <c r="M11" s="4" t="s">
        <v>27</v>
      </c>
      <c r="N11" s="4">
        <v>52006.0</v>
      </c>
      <c r="O11" s="4">
        <v>160.0</v>
      </c>
      <c r="P11" s="4">
        <v>24711.0</v>
      </c>
      <c r="Q11" s="4">
        <v>48019.0</v>
      </c>
      <c r="R11" s="4">
        <v>12.0</v>
      </c>
      <c r="S11" s="36">
        <v>5200.010118</v>
      </c>
      <c r="T11" s="39">
        <f t="shared" si="1"/>
        <v>433.3341765</v>
      </c>
      <c r="U11" s="38">
        <f t="shared" si="2"/>
        <v>0.075</v>
      </c>
      <c r="V11" s="39">
        <f t="shared" si="3"/>
        <v>32.50006324</v>
      </c>
      <c r="W11" s="39">
        <f t="shared" si="4"/>
        <v>99.98865742</v>
      </c>
      <c r="X11" s="38">
        <f t="shared" si="5"/>
        <v>0.003076568088</v>
      </c>
      <c r="Y11" s="42"/>
    </row>
    <row r="12" hidden="1">
      <c r="A12" s="4" t="s">
        <v>2020</v>
      </c>
      <c r="B12" s="4" t="s">
        <v>2021</v>
      </c>
      <c r="C12" s="4" t="s">
        <v>2022</v>
      </c>
      <c r="D12" s="4" t="s">
        <v>2029</v>
      </c>
      <c r="E12" s="4" t="s">
        <v>2043</v>
      </c>
      <c r="F12" s="4" t="s">
        <v>2031</v>
      </c>
      <c r="G12" s="4" t="s">
        <v>2043</v>
      </c>
      <c r="H12" s="4" t="s">
        <v>15</v>
      </c>
      <c r="I12" s="4" t="s">
        <v>23</v>
      </c>
      <c r="J12" s="4" t="s">
        <v>55</v>
      </c>
      <c r="K12" s="4" t="s">
        <v>770</v>
      </c>
      <c r="L12" s="4" t="s">
        <v>19</v>
      </c>
      <c r="M12" s="4" t="s">
        <v>52</v>
      </c>
      <c r="N12" s="4">
        <v>219088.0</v>
      </c>
      <c r="O12" s="4">
        <v>541.0</v>
      </c>
      <c r="P12" s="4">
        <v>75638.0</v>
      </c>
      <c r="Q12" s="4">
        <v>153987.0</v>
      </c>
      <c r="R12" s="4">
        <v>17.0</v>
      </c>
      <c r="S12" s="36">
        <v>6761.073824</v>
      </c>
      <c r="T12" s="39">
        <f t="shared" si="1"/>
        <v>397.7102249</v>
      </c>
      <c r="U12" s="38">
        <f t="shared" si="2"/>
        <v>0.0314232902</v>
      </c>
      <c r="V12" s="39">
        <f t="shared" si="3"/>
        <v>12.49736382</v>
      </c>
      <c r="W12" s="39">
        <f t="shared" si="4"/>
        <v>30.86008282</v>
      </c>
      <c r="X12" s="38">
        <f t="shared" si="5"/>
        <v>0.002469327394</v>
      </c>
      <c r="Y12" s="8"/>
    </row>
    <row r="13">
      <c r="A13" s="4" t="s">
        <v>2020</v>
      </c>
      <c r="B13" s="4" t="s">
        <v>2021</v>
      </c>
      <c r="C13" s="4" t="s">
        <v>2022</v>
      </c>
      <c r="D13" s="4" t="s">
        <v>2023</v>
      </c>
      <c r="E13" s="4" t="s">
        <v>2044</v>
      </c>
      <c r="F13" s="4" t="s">
        <v>2025</v>
      </c>
      <c r="G13" s="4" t="s">
        <v>2045</v>
      </c>
      <c r="H13" s="4" t="s">
        <v>22</v>
      </c>
      <c r="I13" s="4" t="s">
        <v>16</v>
      </c>
      <c r="J13" s="4" t="s">
        <v>17</v>
      </c>
      <c r="K13" s="4" t="s">
        <v>197</v>
      </c>
      <c r="L13" s="4" t="s">
        <v>19</v>
      </c>
      <c r="M13" s="4" t="s">
        <v>27</v>
      </c>
      <c r="N13" s="4">
        <v>43117.0</v>
      </c>
      <c r="O13" s="4">
        <v>100.0</v>
      </c>
      <c r="P13" s="4">
        <v>6478.0</v>
      </c>
      <c r="Q13" s="4">
        <v>27405.0</v>
      </c>
      <c r="R13" s="4">
        <v>8.0</v>
      </c>
      <c r="S13" s="36">
        <v>4250.430439</v>
      </c>
      <c r="T13" s="39">
        <f t="shared" si="1"/>
        <v>531.3038049</v>
      </c>
      <c r="U13" s="38">
        <f t="shared" si="2"/>
        <v>0.08</v>
      </c>
      <c r="V13" s="39">
        <f t="shared" si="3"/>
        <v>42.50430439</v>
      </c>
      <c r="W13" s="39">
        <f t="shared" si="4"/>
        <v>98.57899295</v>
      </c>
      <c r="X13" s="38">
        <f t="shared" si="5"/>
        <v>0.002319270821</v>
      </c>
      <c r="Y13" s="8"/>
    </row>
    <row r="14">
      <c r="A14" s="4" t="s">
        <v>2020</v>
      </c>
      <c r="B14" s="4" t="s">
        <v>2021</v>
      </c>
      <c r="C14" s="4" t="s">
        <v>2022</v>
      </c>
      <c r="D14" s="4" t="s">
        <v>2023</v>
      </c>
      <c r="E14" s="4" t="s">
        <v>2046</v>
      </c>
      <c r="F14" s="4" t="s">
        <v>2025</v>
      </c>
      <c r="G14" s="4" t="s">
        <v>2047</v>
      </c>
      <c r="H14" s="4" t="s">
        <v>22</v>
      </c>
      <c r="I14" s="4" t="s">
        <v>31</v>
      </c>
      <c r="J14" s="4" t="s">
        <v>55</v>
      </c>
      <c r="K14" s="4" t="s">
        <v>702</v>
      </c>
      <c r="L14" s="4" t="s">
        <v>46</v>
      </c>
      <c r="M14" s="4" t="s">
        <v>27</v>
      </c>
      <c r="N14" s="4">
        <v>264580.0</v>
      </c>
      <c r="O14" s="4">
        <v>691.0</v>
      </c>
      <c r="P14" s="4">
        <v>217526.0</v>
      </c>
      <c r="Q14" s="4">
        <v>240731.0</v>
      </c>
      <c r="R14" s="4">
        <v>9.0</v>
      </c>
      <c r="S14" s="36">
        <v>4874.651722</v>
      </c>
      <c r="T14" s="39">
        <f t="shared" si="1"/>
        <v>541.6279691</v>
      </c>
      <c r="U14" s="38">
        <f t="shared" si="2"/>
        <v>0.01302460203</v>
      </c>
      <c r="V14" s="39">
        <f t="shared" si="3"/>
        <v>7.054488744</v>
      </c>
      <c r="W14" s="39">
        <f t="shared" si="4"/>
        <v>18.42411264</v>
      </c>
      <c r="X14" s="38">
        <f t="shared" si="5"/>
        <v>0.002611686446</v>
      </c>
      <c r="Y14" s="8"/>
    </row>
    <row r="15">
      <c r="A15" s="4" t="s">
        <v>2020</v>
      </c>
      <c r="B15" s="4" t="s">
        <v>2021</v>
      </c>
      <c r="C15" s="4" t="s">
        <v>2022</v>
      </c>
      <c r="D15" s="4" t="s">
        <v>2023</v>
      </c>
      <c r="E15" s="4" t="s">
        <v>2048</v>
      </c>
      <c r="F15" s="4" t="s">
        <v>2025</v>
      </c>
      <c r="G15" s="4" t="s">
        <v>2049</v>
      </c>
      <c r="H15" s="4" t="s">
        <v>22</v>
      </c>
      <c r="I15" s="4" t="s">
        <v>31</v>
      </c>
      <c r="J15" s="4" t="s">
        <v>35</v>
      </c>
      <c r="K15" s="4" t="s">
        <v>539</v>
      </c>
      <c r="L15" s="4" t="s">
        <v>50</v>
      </c>
      <c r="M15" s="4" t="s">
        <v>27</v>
      </c>
      <c r="N15" s="4">
        <v>742281.0</v>
      </c>
      <c r="O15" s="4">
        <v>1999.0</v>
      </c>
      <c r="P15" s="4">
        <v>432673.0</v>
      </c>
      <c r="Q15" s="4">
        <v>642404.0</v>
      </c>
      <c r="R15" s="4">
        <v>11.0</v>
      </c>
      <c r="S15" s="36">
        <v>6024.422487</v>
      </c>
      <c r="T15" s="39">
        <f t="shared" si="1"/>
        <v>547.6747715</v>
      </c>
      <c r="U15" s="38">
        <f t="shared" si="2"/>
        <v>0.005502751376</v>
      </c>
      <c r="V15" s="39">
        <f t="shared" si="3"/>
        <v>3.013718103</v>
      </c>
      <c r="W15" s="39">
        <f t="shared" si="4"/>
        <v>8.116094157</v>
      </c>
      <c r="X15" s="38">
        <f t="shared" si="5"/>
        <v>0.002693050206</v>
      </c>
      <c r="Y15" s="8"/>
    </row>
    <row r="16">
      <c r="A16" s="4" t="s">
        <v>2020</v>
      </c>
      <c r="B16" s="4" t="s">
        <v>2021</v>
      </c>
      <c r="C16" s="4" t="s">
        <v>2039</v>
      </c>
      <c r="D16" s="4" t="s">
        <v>2050</v>
      </c>
      <c r="E16" s="4" t="s">
        <v>2051</v>
      </c>
      <c r="F16" s="4" t="s">
        <v>2025</v>
      </c>
      <c r="G16" s="4" t="s">
        <v>2052</v>
      </c>
      <c r="H16" s="4" t="s">
        <v>15</v>
      </c>
      <c r="I16" s="4" t="s">
        <v>16</v>
      </c>
      <c r="J16" s="4" t="s">
        <v>17</v>
      </c>
      <c r="K16" s="4" t="s">
        <v>18</v>
      </c>
      <c r="L16" s="4" t="s">
        <v>19</v>
      </c>
      <c r="M16" s="4" t="s">
        <v>20</v>
      </c>
      <c r="N16" s="4">
        <v>10524.0</v>
      </c>
      <c r="O16" s="4">
        <v>55.0</v>
      </c>
      <c r="P16" s="4">
        <v>7601.0</v>
      </c>
      <c r="Q16" s="4">
        <v>10242.0</v>
      </c>
      <c r="R16" s="4">
        <v>11.0</v>
      </c>
      <c r="S16" s="36">
        <v>6136.133902</v>
      </c>
      <c r="T16" s="39">
        <f t="shared" si="1"/>
        <v>557.8303547</v>
      </c>
      <c r="U16" s="38">
        <f t="shared" si="2"/>
        <v>0.2</v>
      </c>
      <c r="V16" s="39">
        <f t="shared" si="3"/>
        <v>111.5660709</v>
      </c>
      <c r="W16" s="39">
        <f t="shared" si="4"/>
        <v>583.0609941</v>
      </c>
      <c r="X16" s="38">
        <f t="shared" si="5"/>
        <v>0.005226149753</v>
      </c>
      <c r="Y16" s="8"/>
    </row>
    <row r="17">
      <c r="A17" s="4" t="s">
        <v>2020</v>
      </c>
      <c r="B17" s="4" t="s">
        <v>2021</v>
      </c>
      <c r="C17" s="4" t="s">
        <v>2022</v>
      </c>
      <c r="D17" s="4" t="s">
        <v>2023</v>
      </c>
      <c r="E17" s="4" t="s">
        <v>2053</v>
      </c>
      <c r="F17" s="4" t="s">
        <v>2025</v>
      </c>
      <c r="G17" s="4" t="s">
        <v>2054</v>
      </c>
      <c r="H17" s="4" t="s">
        <v>15</v>
      </c>
      <c r="I17" s="4" t="s">
        <v>31</v>
      </c>
      <c r="J17" s="4" t="s">
        <v>84</v>
      </c>
      <c r="K17" s="4" t="s">
        <v>338</v>
      </c>
      <c r="L17" s="4" t="s">
        <v>26</v>
      </c>
      <c r="M17" s="4" t="s">
        <v>27</v>
      </c>
      <c r="N17" s="4">
        <v>121991.0</v>
      </c>
      <c r="O17" s="4">
        <v>369.0</v>
      </c>
      <c r="P17" s="4">
        <v>43079.0</v>
      </c>
      <c r="Q17" s="4">
        <v>99312.0</v>
      </c>
      <c r="R17" s="4">
        <v>4.0</v>
      </c>
      <c r="S17" s="36">
        <v>3993.214585</v>
      </c>
      <c r="T17" s="39">
        <f t="shared" si="1"/>
        <v>998.3036463</v>
      </c>
      <c r="U17" s="38">
        <f t="shared" si="2"/>
        <v>0.0108401084</v>
      </c>
      <c r="V17" s="39">
        <f t="shared" si="3"/>
        <v>10.82171974</v>
      </c>
      <c r="W17" s="39">
        <f t="shared" si="4"/>
        <v>32.73368187</v>
      </c>
      <c r="X17" s="38">
        <f t="shared" si="5"/>
        <v>0.003024813306</v>
      </c>
      <c r="Y17" s="8"/>
    </row>
    <row r="18">
      <c r="A18" s="4" t="s">
        <v>2020</v>
      </c>
      <c r="B18" s="4" t="s">
        <v>2021</v>
      </c>
      <c r="C18" s="4" t="s">
        <v>2022</v>
      </c>
      <c r="D18" s="4" t="s">
        <v>2023</v>
      </c>
      <c r="E18" s="4" t="s">
        <v>2055</v>
      </c>
      <c r="F18" s="4" t="s">
        <v>2025</v>
      </c>
      <c r="G18" s="4" t="s">
        <v>2032</v>
      </c>
      <c r="H18" s="4" t="s">
        <v>15</v>
      </c>
      <c r="I18" s="4" t="s">
        <v>42</v>
      </c>
      <c r="J18" s="4" t="s">
        <v>17</v>
      </c>
      <c r="K18" s="4" t="s">
        <v>469</v>
      </c>
      <c r="L18" s="4" t="s">
        <v>117</v>
      </c>
      <c r="M18" s="4" t="s">
        <v>27</v>
      </c>
      <c r="N18" s="4">
        <v>8273.0</v>
      </c>
      <c r="O18" s="4">
        <v>24.0</v>
      </c>
      <c r="P18" s="4">
        <v>1929.0</v>
      </c>
      <c r="Q18" s="4">
        <v>7441.0</v>
      </c>
      <c r="R18" s="4">
        <v>3.0</v>
      </c>
      <c r="S18" s="36">
        <v>4689.521024</v>
      </c>
      <c r="T18" s="39">
        <f t="shared" si="1"/>
        <v>1563.173675</v>
      </c>
      <c r="U18" s="38">
        <f t="shared" si="2"/>
        <v>0.125</v>
      </c>
      <c r="V18" s="39">
        <f t="shared" si="3"/>
        <v>195.3967093</v>
      </c>
      <c r="W18" s="39">
        <f t="shared" si="4"/>
        <v>566.8464915</v>
      </c>
      <c r="X18" s="38">
        <f t="shared" si="5"/>
        <v>0.002901003264</v>
      </c>
      <c r="Y18" s="8"/>
    </row>
    <row r="19">
      <c r="A19" s="4" t="s">
        <v>2020</v>
      </c>
      <c r="B19" s="4" t="s">
        <v>2021</v>
      </c>
      <c r="C19" s="4" t="s">
        <v>2022</v>
      </c>
      <c r="D19" s="4" t="s">
        <v>2023</v>
      </c>
      <c r="E19" s="4" t="s">
        <v>2056</v>
      </c>
      <c r="F19" s="4" t="s">
        <v>2036</v>
      </c>
      <c r="G19" s="4" t="s">
        <v>2047</v>
      </c>
      <c r="H19" s="4" t="s">
        <v>15</v>
      </c>
      <c r="I19" s="4" t="s">
        <v>31</v>
      </c>
      <c r="J19" s="4" t="s">
        <v>39</v>
      </c>
      <c r="K19" s="4" t="s">
        <v>186</v>
      </c>
      <c r="L19" s="4" t="s">
        <v>19</v>
      </c>
      <c r="M19" s="4" t="s">
        <v>20</v>
      </c>
      <c r="N19" s="4">
        <v>47394.0</v>
      </c>
      <c r="O19" s="4">
        <v>184.0</v>
      </c>
      <c r="P19" s="4">
        <v>22712.0</v>
      </c>
      <c r="Q19" s="4">
        <v>41918.0</v>
      </c>
      <c r="R19" s="4">
        <v>24.0</v>
      </c>
      <c r="S19" s="36">
        <v>4701.496237</v>
      </c>
      <c r="T19" s="39">
        <f t="shared" si="1"/>
        <v>195.8956765</v>
      </c>
      <c r="U19" s="38">
        <f t="shared" si="2"/>
        <v>0.1304347826</v>
      </c>
      <c r="V19" s="39">
        <f t="shared" si="3"/>
        <v>25.55160998</v>
      </c>
      <c r="W19" s="39">
        <f t="shared" si="4"/>
        <v>99.20024132</v>
      </c>
      <c r="X19" s="38">
        <f t="shared" si="5"/>
        <v>0.003882347977</v>
      </c>
      <c r="Y19" s="8"/>
    </row>
    <row r="20">
      <c r="A20" s="4" t="s">
        <v>2020</v>
      </c>
      <c r="B20" s="4" t="s">
        <v>2021</v>
      </c>
      <c r="C20" s="4" t="s">
        <v>2022</v>
      </c>
      <c r="D20" s="4" t="s">
        <v>2023</v>
      </c>
      <c r="E20" s="4" t="s">
        <v>2057</v>
      </c>
      <c r="F20" s="4" t="s">
        <v>2036</v>
      </c>
      <c r="G20" s="4" t="s">
        <v>2041</v>
      </c>
      <c r="H20" s="4" t="s">
        <v>22</v>
      </c>
      <c r="I20" s="4" t="s">
        <v>23</v>
      </c>
      <c r="J20" s="4" t="s">
        <v>78</v>
      </c>
      <c r="K20" s="4" t="s">
        <v>880</v>
      </c>
      <c r="L20" s="4" t="s">
        <v>50</v>
      </c>
      <c r="M20" s="4" t="s">
        <v>27</v>
      </c>
      <c r="N20" s="4">
        <v>44361.0</v>
      </c>
      <c r="O20" s="4">
        <v>166.0</v>
      </c>
      <c r="P20" s="4">
        <v>36040.0</v>
      </c>
      <c r="Q20" s="4">
        <v>40684.0</v>
      </c>
      <c r="R20" s="4">
        <v>17.0</v>
      </c>
      <c r="S20" s="36">
        <v>5048.852553</v>
      </c>
      <c r="T20" s="39">
        <f t="shared" si="1"/>
        <v>296.9913266</v>
      </c>
      <c r="U20" s="38">
        <f t="shared" si="2"/>
        <v>0.1024096386</v>
      </c>
      <c r="V20" s="39">
        <f t="shared" si="3"/>
        <v>30.41477442</v>
      </c>
      <c r="W20" s="39">
        <f t="shared" si="4"/>
        <v>113.8128661</v>
      </c>
      <c r="X20" s="38">
        <f t="shared" si="5"/>
        <v>0.003742025653</v>
      </c>
      <c r="Y20" s="8"/>
    </row>
    <row r="21" hidden="1">
      <c r="A21" s="4" t="s">
        <v>2020</v>
      </c>
      <c r="B21" s="4" t="s">
        <v>2021</v>
      </c>
      <c r="C21" s="4" t="s">
        <v>2022</v>
      </c>
      <c r="D21" s="4" t="s">
        <v>2029</v>
      </c>
      <c r="E21" s="40" t="s">
        <v>2049</v>
      </c>
      <c r="F21" s="4" t="s">
        <v>2031</v>
      </c>
      <c r="G21" s="40" t="s">
        <v>2049</v>
      </c>
      <c r="H21" s="4" t="s">
        <v>15</v>
      </c>
      <c r="I21" s="4" t="s">
        <v>42</v>
      </c>
      <c r="J21" s="4" t="s">
        <v>32</v>
      </c>
      <c r="K21" s="4" t="s">
        <v>186</v>
      </c>
      <c r="L21" s="4" t="s">
        <v>26</v>
      </c>
      <c r="M21" s="4" t="s">
        <v>52</v>
      </c>
      <c r="N21" s="4">
        <v>48562.0</v>
      </c>
      <c r="O21" s="4">
        <v>150.0</v>
      </c>
      <c r="P21" s="4">
        <v>29108.0</v>
      </c>
      <c r="Q21" s="4">
        <v>45570.0</v>
      </c>
      <c r="R21" s="4">
        <v>11.0</v>
      </c>
      <c r="S21" s="36">
        <v>6346.633024</v>
      </c>
      <c r="T21" s="39">
        <f t="shared" si="1"/>
        <v>576.9666385</v>
      </c>
      <c r="U21" s="38">
        <f t="shared" si="2"/>
        <v>0.07333333333</v>
      </c>
      <c r="V21" s="39">
        <f t="shared" si="3"/>
        <v>42.31088683</v>
      </c>
      <c r="W21" s="39">
        <f t="shared" si="4"/>
        <v>130.6913435</v>
      </c>
      <c r="X21" s="38">
        <f t="shared" si="5"/>
        <v>0.003088834891</v>
      </c>
      <c r="Y21" s="8"/>
    </row>
    <row r="22" hidden="1">
      <c r="A22" s="4" t="s">
        <v>2020</v>
      </c>
      <c r="B22" s="4" t="s">
        <v>2021</v>
      </c>
      <c r="C22" s="4" t="s">
        <v>2022</v>
      </c>
      <c r="D22" s="4" t="s">
        <v>2029</v>
      </c>
      <c r="E22" s="4" t="s">
        <v>2047</v>
      </c>
      <c r="F22" s="4" t="s">
        <v>2031</v>
      </c>
      <c r="G22" s="4" t="s">
        <v>2047</v>
      </c>
      <c r="H22" s="4" t="s">
        <v>61</v>
      </c>
      <c r="I22" s="4" t="s">
        <v>23</v>
      </c>
      <c r="J22" s="4" t="s">
        <v>32</v>
      </c>
      <c r="K22" s="4" t="s">
        <v>216</v>
      </c>
      <c r="L22" s="4" t="s">
        <v>26</v>
      </c>
      <c r="M22" s="4" t="s">
        <v>27</v>
      </c>
      <c r="N22" s="4">
        <v>114723.0</v>
      </c>
      <c r="O22" s="4">
        <v>350.0</v>
      </c>
      <c r="P22" s="4">
        <v>14623.0</v>
      </c>
      <c r="Q22" s="4">
        <v>92063.0</v>
      </c>
      <c r="R22" s="4">
        <v>6.0</v>
      </c>
      <c r="S22" s="36">
        <v>4742.008637</v>
      </c>
      <c r="T22" s="39">
        <f t="shared" si="1"/>
        <v>790.3347728</v>
      </c>
      <c r="U22" s="38">
        <f t="shared" si="2"/>
        <v>0.01714285714</v>
      </c>
      <c r="V22" s="39">
        <f t="shared" si="3"/>
        <v>13.54859611</v>
      </c>
      <c r="W22" s="39">
        <f t="shared" si="4"/>
        <v>41.33441975</v>
      </c>
      <c r="X22" s="38">
        <f t="shared" si="5"/>
        <v>0.003050826774</v>
      </c>
      <c r="Y22" s="8"/>
    </row>
    <row r="23" hidden="1">
      <c r="A23" s="4" t="s">
        <v>2020</v>
      </c>
      <c r="B23" s="4" t="s">
        <v>2021</v>
      </c>
      <c r="C23" s="4" t="s">
        <v>2022</v>
      </c>
      <c r="D23" s="4" t="s">
        <v>2029</v>
      </c>
      <c r="E23" s="40" t="s">
        <v>2038</v>
      </c>
      <c r="F23" s="4" t="s">
        <v>2031</v>
      </c>
      <c r="G23" s="40" t="s">
        <v>2038</v>
      </c>
      <c r="H23" s="4" t="s">
        <v>22</v>
      </c>
      <c r="I23" s="4" t="s">
        <v>42</v>
      </c>
      <c r="J23" s="4" t="s">
        <v>173</v>
      </c>
      <c r="K23" s="4" t="s">
        <v>515</v>
      </c>
      <c r="L23" s="4" t="s">
        <v>26</v>
      </c>
      <c r="M23" s="4" t="s">
        <v>27</v>
      </c>
      <c r="N23" s="4">
        <v>12214.0</v>
      </c>
      <c r="O23" s="4">
        <v>50.0</v>
      </c>
      <c r="P23" s="4">
        <v>5376.0</v>
      </c>
      <c r="Q23" s="4">
        <v>11490.0</v>
      </c>
      <c r="R23" s="4">
        <v>7.0</v>
      </c>
      <c r="S23" s="36">
        <v>5616.309402</v>
      </c>
      <c r="T23" s="39">
        <f t="shared" si="1"/>
        <v>802.3299146</v>
      </c>
      <c r="U23" s="38">
        <f t="shared" si="2"/>
        <v>0.14</v>
      </c>
      <c r="V23" s="39">
        <f t="shared" si="3"/>
        <v>112.326188</v>
      </c>
      <c r="W23" s="39">
        <f t="shared" si="4"/>
        <v>459.825561</v>
      </c>
      <c r="X23" s="38">
        <f t="shared" si="5"/>
        <v>0.00409366301</v>
      </c>
      <c r="Y23" s="8"/>
    </row>
    <row r="24">
      <c r="A24" s="4" t="s">
        <v>2020</v>
      </c>
      <c r="B24" s="4" t="s">
        <v>2021</v>
      </c>
      <c r="C24" s="4" t="s">
        <v>2022</v>
      </c>
      <c r="D24" s="4" t="s">
        <v>2023</v>
      </c>
      <c r="E24" s="4" t="s">
        <v>2058</v>
      </c>
      <c r="F24" s="4" t="s">
        <v>2036</v>
      </c>
      <c r="G24" s="4" t="s">
        <v>2034</v>
      </c>
      <c r="H24" s="4" t="s">
        <v>15</v>
      </c>
      <c r="I24" s="4" t="s">
        <v>42</v>
      </c>
      <c r="J24" s="4" t="s">
        <v>35</v>
      </c>
      <c r="K24" s="4" t="s">
        <v>873</v>
      </c>
      <c r="L24" s="4" t="s">
        <v>117</v>
      </c>
      <c r="M24" s="4" t="s">
        <v>20</v>
      </c>
      <c r="N24" s="4">
        <v>48707.0</v>
      </c>
      <c r="O24" s="4">
        <v>185.0</v>
      </c>
      <c r="P24" s="4">
        <v>25182.0</v>
      </c>
      <c r="Q24" s="4">
        <v>44696.0</v>
      </c>
      <c r="R24" s="4">
        <v>13.0</v>
      </c>
      <c r="S24" s="36">
        <v>5600.355643</v>
      </c>
      <c r="T24" s="39">
        <f t="shared" si="1"/>
        <v>430.7965879</v>
      </c>
      <c r="U24" s="38">
        <f t="shared" si="2"/>
        <v>0.07027027027</v>
      </c>
      <c r="V24" s="39">
        <f t="shared" si="3"/>
        <v>30.27219266</v>
      </c>
      <c r="W24" s="39">
        <f t="shared" si="4"/>
        <v>114.9805088</v>
      </c>
      <c r="X24" s="38">
        <f t="shared" si="5"/>
        <v>0.003798222021</v>
      </c>
      <c r="Y24" s="8"/>
    </row>
    <row r="25" hidden="1">
      <c r="A25" s="4" t="s">
        <v>2020</v>
      </c>
      <c r="B25" s="4" t="s">
        <v>2021</v>
      </c>
      <c r="C25" s="4" t="s">
        <v>2022</v>
      </c>
      <c r="D25" s="4" t="s">
        <v>2029</v>
      </c>
      <c r="E25" s="4" t="s">
        <v>2054</v>
      </c>
      <c r="F25" s="4" t="s">
        <v>2031</v>
      </c>
      <c r="G25" s="4" t="s">
        <v>2054</v>
      </c>
      <c r="H25" s="4" t="s">
        <v>15</v>
      </c>
      <c r="I25" s="4" t="s">
        <v>42</v>
      </c>
      <c r="J25" s="4" t="s">
        <v>29</v>
      </c>
      <c r="K25" s="4" t="s">
        <v>460</v>
      </c>
      <c r="L25" s="4" t="s">
        <v>19</v>
      </c>
      <c r="M25" s="4" t="s">
        <v>52</v>
      </c>
      <c r="N25" s="4">
        <v>27473.0</v>
      </c>
      <c r="O25" s="4">
        <v>69.0</v>
      </c>
      <c r="P25" s="4">
        <v>11306.0</v>
      </c>
      <c r="Q25" s="4">
        <v>20625.0</v>
      </c>
      <c r="R25" s="4">
        <v>2.0</v>
      </c>
      <c r="S25" s="36">
        <v>2922.286102</v>
      </c>
      <c r="T25" s="39">
        <f t="shared" si="1"/>
        <v>1461.143051</v>
      </c>
      <c r="U25" s="38">
        <f t="shared" si="2"/>
        <v>0.02898550725</v>
      </c>
      <c r="V25" s="39">
        <f t="shared" si="3"/>
        <v>42.35197249</v>
      </c>
      <c r="W25" s="39">
        <f t="shared" si="4"/>
        <v>106.3693846</v>
      </c>
      <c r="X25" s="38">
        <f t="shared" si="5"/>
        <v>0.002511556801</v>
      </c>
      <c r="Y25" s="8"/>
    </row>
    <row r="26">
      <c r="A26" s="4" t="s">
        <v>2020</v>
      </c>
      <c r="B26" s="4" t="s">
        <v>2021</v>
      </c>
      <c r="C26" s="4" t="s">
        <v>2022</v>
      </c>
      <c r="D26" s="4" t="s">
        <v>2023</v>
      </c>
      <c r="E26" s="4" t="s">
        <v>2059</v>
      </c>
      <c r="F26" s="4" t="s">
        <v>2036</v>
      </c>
      <c r="G26" s="4" t="s">
        <v>2052</v>
      </c>
      <c r="H26" s="4" t="s">
        <v>22</v>
      </c>
      <c r="I26" s="4" t="s">
        <v>16</v>
      </c>
      <c r="J26" s="4" t="s">
        <v>35</v>
      </c>
      <c r="K26" s="4" t="s">
        <v>1604</v>
      </c>
      <c r="L26" s="4" t="s">
        <v>48</v>
      </c>
      <c r="M26" s="4" t="s">
        <v>27</v>
      </c>
      <c r="N26" s="4">
        <v>47016.0</v>
      </c>
      <c r="O26" s="4">
        <v>199.0</v>
      </c>
      <c r="P26" s="4">
        <v>12210.0</v>
      </c>
      <c r="Q26" s="4">
        <v>38039.0</v>
      </c>
      <c r="R26" s="4">
        <v>13.0</v>
      </c>
      <c r="S26" s="36">
        <v>5974.87508</v>
      </c>
      <c r="T26" s="39">
        <f t="shared" si="1"/>
        <v>459.6057754</v>
      </c>
      <c r="U26" s="38">
        <f t="shared" si="2"/>
        <v>0.06532663317</v>
      </c>
      <c r="V26" s="39">
        <f t="shared" si="3"/>
        <v>30.02449789</v>
      </c>
      <c r="W26" s="39">
        <f t="shared" si="4"/>
        <v>127.0817398</v>
      </c>
      <c r="X26" s="38">
        <f t="shared" si="5"/>
        <v>0.004232601668</v>
      </c>
      <c r="Y26" s="8"/>
    </row>
    <row r="27">
      <c r="A27" s="4" t="s">
        <v>2020</v>
      </c>
      <c r="B27" s="4" t="s">
        <v>2021</v>
      </c>
      <c r="C27" s="4" t="s">
        <v>2022</v>
      </c>
      <c r="D27" s="4" t="s">
        <v>2023</v>
      </c>
      <c r="E27" s="4" t="s">
        <v>2060</v>
      </c>
      <c r="F27" s="4" t="s">
        <v>2036</v>
      </c>
      <c r="G27" s="4" t="s">
        <v>2061</v>
      </c>
      <c r="H27" s="4" t="s">
        <v>22</v>
      </c>
      <c r="I27" s="4" t="s">
        <v>42</v>
      </c>
      <c r="J27" s="4" t="s">
        <v>29</v>
      </c>
      <c r="K27" s="4" t="s">
        <v>657</v>
      </c>
      <c r="L27" s="4" t="s">
        <v>46</v>
      </c>
      <c r="M27" s="4" t="s">
        <v>27</v>
      </c>
      <c r="N27" s="4">
        <v>10835.0</v>
      </c>
      <c r="O27" s="4">
        <v>25.0</v>
      </c>
      <c r="P27" s="4">
        <v>2888.0</v>
      </c>
      <c r="Q27" s="4">
        <v>10487.0</v>
      </c>
      <c r="R27" s="4">
        <v>3.0</v>
      </c>
      <c r="S27" s="36">
        <v>4704.249956</v>
      </c>
      <c r="T27" s="39">
        <f t="shared" si="1"/>
        <v>1568.083319</v>
      </c>
      <c r="U27" s="38">
        <f t="shared" si="2"/>
        <v>0.12</v>
      </c>
      <c r="V27" s="39">
        <f t="shared" si="3"/>
        <v>188.1699982</v>
      </c>
      <c r="W27" s="39">
        <f t="shared" si="4"/>
        <v>434.1716618</v>
      </c>
      <c r="X27" s="38">
        <f t="shared" si="5"/>
        <v>0.002307337333</v>
      </c>
      <c r="Y27" s="8"/>
    </row>
    <row r="28" hidden="1">
      <c r="A28" s="4" t="s">
        <v>2020</v>
      </c>
      <c r="B28" s="4" t="s">
        <v>2021</v>
      </c>
      <c r="C28" s="4" t="s">
        <v>2022</v>
      </c>
      <c r="D28" s="4" t="s">
        <v>2029</v>
      </c>
      <c r="E28" s="4" t="s">
        <v>2052</v>
      </c>
      <c r="F28" s="4" t="s">
        <v>2031</v>
      </c>
      <c r="G28" s="4" t="s">
        <v>2052</v>
      </c>
      <c r="H28" s="4" t="s">
        <v>22</v>
      </c>
      <c r="I28" s="4" t="s">
        <v>42</v>
      </c>
      <c r="J28" s="4" t="s">
        <v>240</v>
      </c>
      <c r="K28" s="4" t="s">
        <v>502</v>
      </c>
      <c r="L28" s="4" t="s">
        <v>48</v>
      </c>
      <c r="M28" s="4" t="s">
        <v>27</v>
      </c>
      <c r="N28" s="4">
        <v>8233.0</v>
      </c>
      <c r="O28" s="4">
        <v>65.0</v>
      </c>
      <c r="P28" s="4">
        <v>5361.0</v>
      </c>
      <c r="Q28" s="4">
        <v>7643.0</v>
      </c>
      <c r="R28" s="4">
        <v>4.0</v>
      </c>
      <c r="S28" s="36">
        <v>6381.006576</v>
      </c>
      <c r="T28" s="39">
        <f t="shared" si="1"/>
        <v>1595.251644</v>
      </c>
      <c r="U28" s="38">
        <f t="shared" si="2"/>
        <v>0.06153846154</v>
      </c>
      <c r="V28" s="39">
        <f t="shared" si="3"/>
        <v>98.16933194</v>
      </c>
      <c r="W28" s="39">
        <f t="shared" si="4"/>
        <v>775.0524203</v>
      </c>
      <c r="X28" s="38">
        <f t="shared" si="5"/>
        <v>0.00789505648</v>
      </c>
      <c r="Y28" s="8"/>
    </row>
    <row r="29">
      <c r="A29" s="4" t="s">
        <v>2020</v>
      </c>
      <c r="B29" s="4" t="s">
        <v>2021</v>
      </c>
      <c r="C29" s="4" t="s">
        <v>2039</v>
      </c>
      <c r="D29" s="4" t="s">
        <v>2050</v>
      </c>
      <c r="E29" s="4" t="s">
        <v>2062</v>
      </c>
      <c r="F29" s="4" t="s">
        <v>2036</v>
      </c>
      <c r="G29" s="4" t="s">
        <v>2038</v>
      </c>
      <c r="H29" s="4" t="s">
        <v>15</v>
      </c>
      <c r="I29" s="4" t="s">
        <v>31</v>
      </c>
      <c r="J29" s="4" t="s">
        <v>39</v>
      </c>
      <c r="K29" s="4" t="s">
        <v>25</v>
      </c>
      <c r="L29" s="4" t="s">
        <v>19</v>
      </c>
      <c r="M29" s="4" t="s">
        <v>27</v>
      </c>
      <c r="N29" s="4">
        <v>14730.0</v>
      </c>
      <c r="O29" s="4">
        <v>88.0</v>
      </c>
      <c r="P29" s="4">
        <v>1272.0</v>
      </c>
      <c r="Q29" s="4">
        <v>12427.0</v>
      </c>
      <c r="R29" s="4">
        <v>3.0</v>
      </c>
      <c r="S29" s="36">
        <v>5190.535998</v>
      </c>
      <c r="T29" s="39">
        <f t="shared" si="1"/>
        <v>1730.178666</v>
      </c>
      <c r="U29" s="38">
        <f t="shared" si="2"/>
        <v>0.03409090909</v>
      </c>
      <c r="V29" s="39">
        <f t="shared" si="3"/>
        <v>58.98336361</v>
      </c>
      <c r="W29" s="39">
        <f t="shared" si="4"/>
        <v>352.378547</v>
      </c>
      <c r="X29" s="38">
        <f t="shared" si="5"/>
        <v>0.005974202308</v>
      </c>
      <c r="Y29" s="8"/>
    </row>
    <row r="30" hidden="1">
      <c r="A30" s="4" t="s">
        <v>2020</v>
      </c>
      <c r="B30" s="4" t="s">
        <v>2021</v>
      </c>
      <c r="C30" s="4" t="s">
        <v>2022</v>
      </c>
      <c r="D30" s="4" t="s">
        <v>2035</v>
      </c>
      <c r="E30" s="4" t="s">
        <v>2025</v>
      </c>
      <c r="F30" s="4" t="s">
        <v>2025</v>
      </c>
      <c r="G30" s="4"/>
      <c r="H30" s="4" t="s">
        <v>61</v>
      </c>
      <c r="I30" s="4" t="s">
        <v>16</v>
      </c>
      <c r="J30" s="4" t="s">
        <v>55</v>
      </c>
      <c r="K30" s="4" t="s">
        <v>1027</v>
      </c>
      <c r="L30" s="4" t="s">
        <v>19</v>
      </c>
      <c r="M30" s="4" t="s">
        <v>27</v>
      </c>
      <c r="N30" s="4">
        <v>10906.0</v>
      </c>
      <c r="O30" s="4">
        <v>46.0</v>
      </c>
      <c r="P30" s="4">
        <v>4735.0</v>
      </c>
      <c r="Q30" s="4">
        <v>6390.0</v>
      </c>
      <c r="R30" s="4">
        <v>3.0</v>
      </c>
      <c r="S30" s="36">
        <v>5694.27094</v>
      </c>
      <c r="T30" s="39">
        <f t="shared" si="1"/>
        <v>1898.090313</v>
      </c>
      <c r="U30" s="38">
        <f t="shared" si="2"/>
        <v>0.0652173913</v>
      </c>
      <c r="V30" s="39">
        <f t="shared" si="3"/>
        <v>123.7884987</v>
      </c>
      <c r="W30" s="39">
        <f t="shared" si="4"/>
        <v>522.122771</v>
      </c>
      <c r="X30" s="38">
        <f t="shared" si="5"/>
        <v>0.004217861727</v>
      </c>
      <c r="Y30" s="8"/>
    </row>
    <row r="31">
      <c r="A31" s="4" t="s">
        <v>2020</v>
      </c>
      <c r="B31" s="4" t="s">
        <v>2021</v>
      </c>
      <c r="C31" s="4" t="s">
        <v>2022</v>
      </c>
      <c r="D31" s="4" t="s">
        <v>2023</v>
      </c>
      <c r="E31" s="4" t="s">
        <v>2063</v>
      </c>
      <c r="F31" s="4" t="s">
        <v>2036</v>
      </c>
      <c r="G31" s="4" t="s">
        <v>2028</v>
      </c>
      <c r="H31" s="4" t="s">
        <v>15</v>
      </c>
      <c r="I31" s="4" t="s">
        <v>42</v>
      </c>
      <c r="J31" s="4" t="s">
        <v>35</v>
      </c>
      <c r="K31" s="4" t="s">
        <v>743</v>
      </c>
      <c r="L31" s="4" t="s">
        <v>46</v>
      </c>
      <c r="M31" s="4" t="s">
        <v>20</v>
      </c>
      <c r="N31" s="4">
        <v>10815.0</v>
      </c>
      <c r="O31" s="4">
        <v>25.0</v>
      </c>
      <c r="P31" s="4">
        <v>4321.0</v>
      </c>
      <c r="Q31" s="4">
        <v>9646.0</v>
      </c>
      <c r="R31" s="4">
        <v>2.0</v>
      </c>
      <c r="S31" s="36">
        <v>4921.594843</v>
      </c>
      <c r="T31" s="39">
        <f t="shared" si="1"/>
        <v>2460.797422</v>
      </c>
      <c r="U31" s="38">
        <f t="shared" si="2"/>
        <v>0.08</v>
      </c>
      <c r="V31" s="39">
        <f t="shared" si="3"/>
        <v>196.8637937</v>
      </c>
      <c r="W31" s="39">
        <f t="shared" si="4"/>
        <v>455.0711829</v>
      </c>
      <c r="X31" s="38">
        <f t="shared" si="5"/>
        <v>0.002311604253</v>
      </c>
      <c r="Y31" s="8"/>
    </row>
    <row r="32">
      <c r="A32" s="4" t="s">
        <v>2020</v>
      </c>
      <c r="B32" s="4" t="s">
        <v>2021</v>
      </c>
      <c r="C32" s="4" t="s">
        <v>2022</v>
      </c>
      <c r="D32" s="4" t="s">
        <v>2023</v>
      </c>
      <c r="E32" s="4" t="s">
        <v>2064</v>
      </c>
      <c r="F32" s="4" t="s">
        <v>2036</v>
      </c>
      <c r="G32" s="4" t="s">
        <v>2030</v>
      </c>
      <c r="H32" s="4" t="s">
        <v>15</v>
      </c>
      <c r="I32" s="4" t="s">
        <v>16</v>
      </c>
      <c r="J32" s="4" t="s">
        <v>35</v>
      </c>
      <c r="K32" s="4" t="s">
        <v>569</v>
      </c>
      <c r="L32" s="4" t="s">
        <v>184</v>
      </c>
      <c r="M32" s="4" t="s">
        <v>27</v>
      </c>
      <c r="N32" s="4">
        <v>9725.0</v>
      </c>
      <c r="O32" s="4">
        <v>80.0</v>
      </c>
      <c r="P32" s="4">
        <v>6616.0</v>
      </c>
      <c r="Q32" s="4">
        <v>8778.0</v>
      </c>
      <c r="R32" s="4">
        <v>1.0</v>
      </c>
      <c r="S32" s="36">
        <v>4942.283987</v>
      </c>
      <c r="T32" s="39">
        <f t="shared" si="1"/>
        <v>4942.283987</v>
      </c>
      <c r="U32" s="38">
        <f t="shared" si="2"/>
        <v>0.0125</v>
      </c>
      <c r="V32" s="39">
        <f t="shared" si="3"/>
        <v>61.77854984</v>
      </c>
      <c r="W32" s="39">
        <f t="shared" si="4"/>
        <v>508.2040089</v>
      </c>
      <c r="X32" s="38">
        <f t="shared" si="5"/>
        <v>0.00822622108</v>
      </c>
      <c r="Y32" s="8"/>
    </row>
    <row r="33">
      <c r="A33" s="4" t="s">
        <v>2020</v>
      </c>
      <c r="B33" s="4" t="s">
        <v>2021</v>
      </c>
      <c r="C33" s="4" t="s">
        <v>2022</v>
      </c>
      <c r="D33" s="4" t="s">
        <v>2023</v>
      </c>
      <c r="E33" s="4" t="s">
        <v>2065</v>
      </c>
      <c r="F33" s="4" t="s">
        <v>2036</v>
      </c>
      <c r="G33" s="4" t="s">
        <v>2049</v>
      </c>
      <c r="H33" s="4" t="s">
        <v>15</v>
      </c>
      <c r="I33" s="4" t="s">
        <v>23</v>
      </c>
      <c r="J33" s="4" t="s">
        <v>84</v>
      </c>
      <c r="K33" s="4" t="s">
        <v>506</v>
      </c>
      <c r="L33" s="4" t="s">
        <v>46</v>
      </c>
      <c r="M33" s="4" t="s">
        <v>27</v>
      </c>
      <c r="N33" s="4">
        <v>9702.0</v>
      </c>
      <c r="O33" s="4">
        <v>40.0</v>
      </c>
      <c r="P33" s="4">
        <v>5564.0</v>
      </c>
      <c r="Q33" s="4">
        <v>8210.0</v>
      </c>
      <c r="R33" s="4">
        <v>1.0</v>
      </c>
      <c r="S33" s="36">
        <v>5711.39201</v>
      </c>
      <c r="T33" s="39">
        <f t="shared" si="1"/>
        <v>5711.39201</v>
      </c>
      <c r="U33" s="38">
        <f t="shared" si="2"/>
        <v>0.025</v>
      </c>
      <c r="V33" s="39">
        <f t="shared" si="3"/>
        <v>142.7848003</v>
      </c>
      <c r="W33" s="39">
        <f t="shared" si="4"/>
        <v>588.6819223</v>
      </c>
      <c r="X33" s="38">
        <f t="shared" si="5"/>
        <v>0.004122861266</v>
      </c>
      <c r="Y33" s="8"/>
    </row>
    <row r="34" hidden="1">
      <c r="A34" s="4" t="s">
        <v>2020</v>
      </c>
      <c r="B34" s="4" t="s">
        <v>2021</v>
      </c>
      <c r="C34" s="4" t="s">
        <v>2022</v>
      </c>
      <c r="D34" s="4" t="s">
        <v>2029</v>
      </c>
      <c r="E34" s="4" t="s">
        <v>2034</v>
      </c>
      <c r="F34" s="4" t="s">
        <v>2031</v>
      </c>
      <c r="G34" s="4" t="s">
        <v>2034</v>
      </c>
      <c r="H34" s="4" t="s">
        <v>22</v>
      </c>
      <c r="I34" s="4" t="s">
        <v>31</v>
      </c>
      <c r="J34" s="4" t="s">
        <v>304</v>
      </c>
      <c r="K34" s="4" t="s">
        <v>590</v>
      </c>
      <c r="L34" s="4" t="s">
        <v>36</v>
      </c>
      <c r="M34" s="4" t="s">
        <v>27</v>
      </c>
      <c r="N34" s="4">
        <v>252170.0</v>
      </c>
      <c r="O34" s="4">
        <v>650.0</v>
      </c>
      <c r="P34" s="4">
        <v>9248.0</v>
      </c>
      <c r="Q34" s="4">
        <v>14192.0</v>
      </c>
      <c r="R34" s="4">
        <v>1.0</v>
      </c>
      <c r="S34" s="36">
        <v>5874.00478</v>
      </c>
      <c r="T34" s="39">
        <f t="shared" si="1"/>
        <v>5874.00478</v>
      </c>
      <c r="U34" s="38">
        <f t="shared" si="2"/>
        <v>0.001538461538</v>
      </c>
      <c r="V34" s="39">
        <f t="shared" si="3"/>
        <v>9.036930431</v>
      </c>
      <c r="W34" s="39">
        <f t="shared" si="4"/>
        <v>23.29382869</v>
      </c>
      <c r="X34" s="38">
        <f t="shared" si="5"/>
        <v>0.002577626205</v>
      </c>
      <c r="Y34" s="8"/>
    </row>
    <row r="35">
      <c r="A35" s="8"/>
      <c r="B35" s="8"/>
      <c r="C35" s="8"/>
      <c r="D35" s="8"/>
      <c r="E35" s="8"/>
      <c r="F35" s="8"/>
      <c r="G35" s="8"/>
      <c r="H35" s="8"/>
      <c r="I35" s="8"/>
      <c r="J35" s="8"/>
      <c r="K35" s="8"/>
      <c r="L35" s="8"/>
      <c r="M35" s="8"/>
      <c r="N35" s="8"/>
      <c r="O35" s="8"/>
      <c r="P35" s="8"/>
      <c r="Q35" s="8"/>
      <c r="R35" s="8"/>
      <c r="S35" s="8"/>
      <c r="T35" s="8"/>
      <c r="U35" s="8"/>
      <c r="V35" s="8"/>
      <c r="W35" s="8"/>
      <c r="X35" s="8"/>
      <c r="Y35" s="8"/>
    </row>
    <row r="36">
      <c r="A36" s="43"/>
      <c r="B36" s="43"/>
      <c r="C36" s="43"/>
      <c r="D36" s="43"/>
      <c r="E36" s="43"/>
      <c r="F36" s="43"/>
      <c r="G36" s="43"/>
      <c r="H36" s="43"/>
      <c r="I36" s="43"/>
      <c r="J36" s="43"/>
      <c r="K36" s="43"/>
      <c r="L36" s="43"/>
      <c r="M36" s="43"/>
      <c r="N36" s="43"/>
      <c r="O36" s="43"/>
      <c r="P36" s="43"/>
      <c r="Q36" s="43"/>
      <c r="R36" s="44" t="s">
        <v>2066</v>
      </c>
      <c r="T36" s="45">
        <f>AVERAGE(T2:T33)</f>
        <v>1025.250268</v>
      </c>
      <c r="U36" s="46">
        <f>AVERAGE(U2:U34)</f>
        <v>0.07328806528</v>
      </c>
      <c r="V36" s="45">
        <f t="shared" ref="V36:W36" si="6">AVERAGE(V2:V35)</f>
        <v>56.38159048</v>
      </c>
      <c r="W36" s="45">
        <f t="shared" si="6"/>
        <v>220.1870179</v>
      </c>
      <c r="X36" s="46">
        <f>AVERAGE(X2:X33)</f>
        <v>0.003680451983</v>
      </c>
      <c r="Y36" s="43"/>
    </row>
    <row r="37">
      <c r="A37" s="8"/>
      <c r="B37" s="8"/>
      <c r="C37" s="8"/>
      <c r="D37" s="8"/>
      <c r="E37" s="8"/>
      <c r="F37" s="8"/>
      <c r="G37" s="8"/>
      <c r="H37" s="8"/>
      <c r="I37" s="8"/>
      <c r="J37" s="8"/>
      <c r="K37" s="8"/>
      <c r="L37" s="8"/>
      <c r="M37" s="8"/>
      <c r="N37" s="8"/>
      <c r="O37" s="8"/>
      <c r="P37" s="8"/>
      <c r="Q37" s="8"/>
      <c r="R37" s="4"/>
      <c r="S37" s="8"/>
      <c r="T37" s="47"/>
      <c r="U37" s="8"/>
      <c r="V37" s="8"/>
      <c r="W37" s="8"/>
      <c r="X37" s="48"/>
      <c r="Y37" s="8"/>
    </row>
    <row r="38">
      <c r="A38" s="8"/>
      <c r="B38" s="8"/>
      <c r="C38" s="8"/>
      <c r="D38" s="8"/>
      <c r="E38" s="8"/>
      <c r="F38" s="8"/>
      <c r="G38" s="8"/>
      <c r="H38" s="8"/>
      <c r="I38" s="8"/>
      <c r="J38" s="8"/>
      <c r="K38" s="8"/>
      <c r="L38" s="8"/>
      <c r="M38" s="8"/>
      <c r="N38" s="8"/>
      <c r="O38" s="8"/>
      <c r="P38" s="8"/>
      <c r="Q38" s="8"/>
      <c r="R38" s="8"/>
      <c r="S38" s="8"/>
      <c r="T38" s="8"/>
      <c r="U38" s="8"/>
      <c r="V38" s="8"/>
      <c r="W38" s="8"/>
      <c r="X38" s="8"/>
      <c r="Y38" s="8"/>
    </row>
    <row r="39">
      <c r="A39" s="8"/>
      <c r="B39" s="8"/>
      <c r="C39" s="8"/>
      <c r="D39" s="8"/>
      <c r="E39" s="8"/>
      <c r="F39" s="8"/>
      <c r="G39" s="8"/>
      <c r="H39" s="8"/>
      <c r="I39" s="8"/>
      <c r="J39" s="8"/>
      <c r="K39" s="8"/>
      <c r="L39" s="8"/>
      <c r="M39" s="8"/>
      <c r="N39" s="8"/>
      <c r="O39" s="8"/>
      <c r="P39" s="8"/>
      <c r="Q39" s="8"/>
      <c r="R39" s="8"/>
      <c r="S39" s="8"/>
      <c r="T39" s="8"/>
      <c r="U39" s="8"/>
      <c r="V39" s="8"/>
      <c r="W39" s="8"/>
      <c r="X39" s="8"/>
      <c r="Y39" s="8"/>
    </row>
    <row r="40">
      <c r="A40" s="8"/>
      <c r="B40" s="8"/>
      <c r="C40" s="8"/>
      <c r="D40" s="8"/>
      <c r="E40" s="8"/>
      <c r="F40" s="8"/>
      <c r="G40" s="8"/>
      <c r="H40" s="8"/>
      <c r="I40" s="8"/>
      <c r="J40" s="8"/>
      <c r="K40" s="8"/>
      <c r="L40" s="8"/>
      <c r="M40" s="8"/>
      <c r="N40" s="8"/>
      <c r="O40" s="8"/>
      <c r="P40" s="8"/>
      <c r="Q40" s="8"/>
      <c r="R40" s="8"/>
      <c r="S40" s="8"/>
      <c r="T40" s="8"/>
      <c r="U40" s="8"/>
      <c r="V40" s="8"/>
      <c r="W40" s="8"/>
      <c r="X40" s="8"/>
      <c r="Y40" s="8"/>
    </row>
    <row r="41">
      <c r="A41" s="8"/>
      <c r="B41" s="8"/>
      <c r="C41" s="8"/>
      <c r="D41" s="8"/>
      <c r="E41" s="8"/>
      <c r="F41" s="8"/>
      <c r="G41" s="8"/>
      <c r="H41" s="8"/>
      <c r="I41" s="8"/>
      <c r="J41" s="8"/>
      <c r="K41" s="8"/>
      <c r="L41" s="8"/>
      <c r="M41" s="8"/>
      <c r="N41" s="8"/>
      <c r="O41" s="8"/>
      <c r="P41" s="8"/>
      <c r="Q41" s="8"/>
      <c r="R41" s="8"/>
      <c r="S41" s="8"/>
      <c r="T41" s="8"/>
      <c r="U41" s="8"/>
      <c r="V41" s="8"/>
      <c r="W41" s="8"/>
      <c r="X41" s="8"/>
      <c r="Y41" s="8"/>
    </row>
    <row r="42">
      <c r="A42" s="8"/>
      <c r="B42" s="8"/>
      <c r="C42" s="8"/>
      <c r="D42" s="8"/>
      <c r="E42" s="8"/>
      <c r="F42" s="8"/>
      <c r="G42" s="8"/>
      <c r="H42" s="8"/>
      <c r="I42" s="8"/>
      <c r="J42" s="8"/>
      <c r="K42" s="8"/>
      <c r="L42" s="8"/>
      <c r="M42" s="8"/>
      <c r="N42" s="8"/>
      <c r="O42" s="8"/>
      <c r="P42" s="8"/>
      <c r="Q42" s="8"/>
      <c r="R42" s="8"/>
      <c r="S42" s="8"/>
      <c r="T42" s="8"/>
      <c r="U42" s="8"/>
      <c r="V42" s="8"/>
      <c r="W42" s="8"/>
      <c r="X42" s="8"/>
      <c r="Y42" s="8"/>
    </row>
    <row r="43">
      <c r="A43" s="8"/>
      <c r="B43" s="8"/>
      <c r="C43" s="8"/>
      <c r="D43" s="8"/>
      <c r="E43" s="8"/>
      <c r="F43" s="8"/>
      <c r="G43" s="8"/>
      <c r="H43" s="8"/>
      <c r="I43" s="8"/>
      <c r="J43" s="8"/>
      <c r="K43" s="8"/>
      <c r="L43" s="8"/>
      <c r="M43" s="8"/>
      <c r="N43" s="8"/>
      <c r="O43" s="8"/>
      <c r="P43" s="8"/>
      <c r="Q43" s="8"/>
      <c r="R43" s="8"/>
      <c r="S43" s="8"/>
      <c r="T43" s="8"/>
      <c r="U43" s="8"/>
      <c r="V43" s="8"/>
      <c r="W43" s="8"/>
      <c r="X43" s="8"/>
      <c r="Y43" s="8"/>
    </row>
    <row r="44">
      <c r="A44" s="8"/>
      <c r="B44" s="8"/>
      <c r="C44" s="8"/>
      <c r="D44" s="8"/>
      <c r="E44" s="8"/>
      <c r="F44" s="8"/>
      <c r="G44" s="8"/>
      <c r="H44" s="8"/>
      <c r="I44" s="8"/>
      <c r="J44" s="8"/>
      <c r="K44" s="8"/>
      <c r="L44" s="8"/>
      <c r="M44" s="8"/>
      <c r="N44" s="8"/>
      <c r="O44" s="8"/>
      <c r="P44" s="8"/>
      <c r="Q44" s="8"/>
      <c r="R44" s="8"/>
      <c r="S44" s="8"/>
      <c r="T44" s="8"/>
      <c r="U44" s="8"/>
      <c r="V44" s="8"/>
      <c r="W44" s="8"/>
      <c r="X44" s="8"/>
      <c r="Y44" s="8"/>
    </row>
    <row r="45">
      <c r="A45" s="8"/>
      <c r="B45" s="8"/>
      <c r="C45" s="8"/>
      <c r="D45" s="8"/>
      <c r="E45" s="8"/>
      <c r="F45" s="8"/>
      <c r="G45" s="8"/>
      <c r="H45" s="8"/>
      <c r="I45" s="8"/>
      <c r="J45" s="8"/>
      <c r="K45" s="8"/>
      <c r="L45" s="8"/>
      <c r="M45" s="8"/>
      <c r="N45" s="8"/>
      <c r="O45" s="8"/>
      <c r="P45" s="8"/>
      <c r="Q45" s="8"/>
      <c r="R45" s="8"/>
      <c r="S45" s="8"/>
      <c r="T45" s="8"/>
      <c r="U45" s="8"/>
      <c r="V45" s="8"/>
      <c r="W45" s="8"/>
      <c r="X45" s="8"/>
      <c r="Y45" s="8"/>
    </row>
    <row r="46">
      <c r="A46" s="8"/>
      <c r="B46" s="8"/>
      <c r="C46" s="8"/>
      <c r="D46" s="8"/>
      <c r="E46" s="8"/>
      <c r="F46" s="8"/>
      <c r="G46" s="8"/>
      <c r="H46" s="8"/>
      <c r="I46" s="8"/>
      <c r="J46" s="8"/>
      <c r="K46" s="8"/>
      <c r="L46" s="8"/>
      <c r="M46" s="8"/>
      <c r="N46" s="8"/>
      <c r="O46" s="8"/>
      <c r="P46" s="8"/>
      <c r="Q46" s="8"/>
      <c r="R46" s="8"/>
      <c r="S46" s="8"/>
      <c r="T46" s="8"/>
      <c r="U46" s="8"/>
      <c r="V46" s="8"/>
      <c r="W46" s="8"/>
      <c r="X46" s="8"/>
      <c r="Y46" s="8"/>
    </row>
    <row r="47">
      <c r="A47" s="8"/>
      <c r="B47" s="8"/>
      <c r="C47" s="8"/>
      <c r="D47" s="8"/>
      <c r="E47" s="8"/>
      <c r="F47" s="8"/>
      <c r="G47" s="8"/>
      <c r="H47" s="8"/>
      <c r="I47" s="8"/>
      <c r="J47" s="8"/>
      <c r="K47" s="8"/>
      <c r="L47" s="8"/>
      <c r="M47" s="8"/>
      <c r="N47" s="8"/>
      <c r="O47" s="8"/>
      <c r="P47" s="8"/>
      <c r="Q47" s="8"/>
      <c r="R47" s="8"/>
      <c r="S47" s="8"/>
      <c r="T47" s="8"/>
      <c r="U47" s="8"/>
      <c r="V47" s="8"/>
      <c r="W47" s="8"/>
      <c r="X47" s="8"/>
      <c r="Y47" s="8"/>
    </row>
    <row r="48">
      <c r="A48" s="8"/>
      <c r="B48" s="8"/>
      <c r="C48" s="8"/>
      <c r="D48" s="8"/>
      <c r="E48" s="8"/>
      <c r="F48" s="8"/>
      <c r="G48" s="8"/>
      <c r="H48" s="8"/>
      <c r="I48" s="8"/>
      <c r="J48" s="8"/>
      <c r="K48" s="8"/>
      <c r="L48" s="8"/>
      <c r="M48" s="8"/>
      <c r="N48" s="8"/>
      <c r="O48" s="8"/>
      <c r="P48" s="8"/>
      <c r="Q48" s="8"/>
      <c r="R48" s="8"/>
      <c r="S48" s="8"/>
      <c r="T48" s="8"/>
      <c r="U48" s="8"/>
      <c r="V48" s="8"/>
      <c r="W48" s="8"/>
      <c r="X48" s="8"/>
      <c r="Y48" s="8"/>
    </row>
    <row r="49">
      <c r="A49" s="8"/>
      <c r="B49" s="8"/>
      <c r="C49" s="8"/>
      <c r="D49" s="8"/>
      <c r="E49" s="8"/>
      <c r="F49" s="8"/>
      <c r="G49" s="8"/>
      <c r="H49" s="8"/>
      <c r="I49" s="8"/>
      <c r="J49" s="8"/>
      <c r="K49" s="8"/>
      <c r="L49" s="8"/>
      <c r="M49" s="8"/>
      <c r="N49" s="8"/>
      <c r="O49" s="8"/>
      <c r="P49" s="8"/>
      <c r="Q49" s="8"/>
      <c r="R49" s="8"/>
      <c r="S49" s="8"/>
      <c r="T49" s="8"/>
      <c r="U49" s="8"/>
      <c r="V49" s="8"/>
      <c r="W49" s="8"/>
      <c r="X49" s="8"/>
      <c r="Y49" s="8"/>
    </row>
    <row r="50">
      <c r="A50" s="8"/>
      <c r="B50" s="8"/>
      <c r="C50" s="8"/>
      <c r="D50" s="8"/>
      <c r="E50" s="8"/>
      <c r="F50" s="8"/>
      <c r="G50" s="8"/>
      <c r="H50" s="8"/>
      <c r="I50" s="8"/>
      <c r="J50" s="8"/>
      <c r="K50" s="8"/>
      <c r="L50" s="8"/>
      <c r="M50" s="8"/>
      <c r="N50" s="8"/>
      <c r="O50" s="8"/>
      <c r="P50" s="8"/>
      <c r="Q50" s="8"/>
      <c r="R50" s="8"/>
      <c r="S50" s="8"/>
      <c r="T50" s="8"/>
      <c r="U50" s="8"/>
      <c r="V50" s="8"/>
      <c r="W50" s="8"/>
      <c r="X50" s="8"/>
      <c r="Y50" s="8"/>
    </row>
    <row r="51">
      <c r="A51" s="8"/>
      <c r="B51" s="8"/>
      <c r="C51" s="8"/>
      <c r="D51" s="8"/>
      <c r="E51" s="8"/>
      <c r="F51" s="8"/>
      <c r="G51" s="8"/>
      <c r="H51" s="8"/>
      <c r="I51" s="8"/>
      <c r="J51" s="8"/>
      <c r="K51" s="8"/>
      <c r="L51" s="8"/>
      <c r="M51" s="8"/>
      <c r="N51" s="8"/>
      <c r="O51" s="8"/>
      <c r="P51" s="8"/>
      <c r="Q51" s="8"/>
      <c r="R51" s="8"/>
      <c r="S51" s="8"/>
      <c r="T51" s="8"/>
      <c r="U51" s="8"/>
      <c r="V51" s="8"/>
      <c r="W51" s="8"/>
      <c r="X51" s="8"/>
      <c r="Y51" s="8"/>
    </row>
    <row r="52">
      <c r="A52" s="8"/>
      <c r="B52" s="8"/>
      <c r="C52" s="8"/>
      <c r="D52" s="8"/>
      <c r="E52" s="8"/>
      <c r="F52" s="8"/>
      <c r="G52" s="8"/>
      <c r="H52" s="8"/>
      <c r="I52" s="8"/>
      <c r="J52" s="8"/>
      <c r="K52" s="8"/>
      <c r="L52" s="8"/>
      <c r="M52" s="8"/>
      <c r="N52" s="8"/>
      <c r="O52" s="8"/>
      <c r="P52" s="8"/>
      <c r="Q52" s="8"/>
      <c r="R52" s="8"/>
      <c r="S52" s="8"/>
      <c r="T52" s="8"/>
      <c r="U52" s="8"/>
      <c r="V52" s="8"/>
      <c r="W52" s="8"/>
      <c r="X52" s="8"/>
      <c r="Y52" s="8"/>
    </row>
    <row r="53">
      <c r="A53" s="8"/>
      <c r="B53" s="8"/>
      <c r="C53" s="8"/>
      <c r="D53" s="8"/>
      <c r="E53" s="8"/>
      <c r="F53" s="8"/>
      <c r="G53" s="8"/>
      <c r="H53" s="8"/>
      <c r="I53" s="8"/>
      <c r="J53" s="8"/>
      <c r="K53" s="8"/>
      <c r="L53" s="8"/>
      <c r="M53" s="8"/>
      <c r="N53" s="8"/>
      <c r="O53" s="8"/>
      <c r="P53" s="8"/>
      <c r="Q53" s="8"/>
      <c r="R53" s="8"/>
      <c r="S53" s="8"/>
      <c r="T53" s="8"/>
      <c r="U53" s="8"/>
      <c r="V53" s="8"/>
      <c r="W53" s="8"/>
      <c r="X53" s="8"/>
      <c r="Y53" s="8"/>
    </row>
    <row r="54">
      <c r="A54" s="8"/>
      <c r="B54" s="8"/>
      <c r="C54" s="8"/>
      <c r="D54" s="8"/>
      <c r="E54" s="8"/>
      <c r="F54" s="8"/>
      <c r="G54" s="8"/>
      <c r="H54" s="8"/>
      <c r="I54" s="8"/>
      <c r="J54" s="8"/>
      <c r="K54" s="8"/>
      <c r="L54" s="8"/>
      <c r="M54" s="8"/>
      <c r="N54" s="8"/>
      <c r="O54" s="8"/>
      <c r="P54" s="8"/>
      <c r="Q54" s="8"/>
      <c r="R54" s="8"/>
      <c r="S54" s="8"/>
      <c r="T54" s="8"/>
      <c r="U54" s="8"/>
      <c r="V54" s="8"/>
      <c r="W54" s="8"/>
      <c r="X54" s="8"/>
      <c r="Y54" s="8"/>
    </row>
    <row r="55">
      <c r="A55" s="8"/>
      <c r="B55" s="8"/>
      <c r="C55" s="8"/>
      <c r="D55" s="8"/>
      <c r="E55" s="8"/>
      <c r="F55" s="8"/>
      <c r="G55" s="8"/>
      <c r="H55" s="8"/>
      <c r="I55" s="8"/>
      <c r="J55" s="8"/>
      <c r="K55" s="8"/>
      <c r="L55" s="8"/>
      <c r="M55" s="8"/>
      <c r="N55" s="8"/>
      <c r="O55" s="8"/>
      <c r="P55" s="8"/>
      <c r="Q55" s="8"/>
      <c r="R55" s="8"/>
      <c r="S55" s="8"/>
      <c r="T55" s="8"/>
      <c r="U55" s="8"/>
      <c r="V55" s="8"/>
      <c r="W55" s="8"/>
      <c r="X55" s="8"/>
      <c r="Y55" s="8"/>
    </row>
    <row r="56">
      <c r="A56" s="8"/>
      <c r="B56" s="8"/>
      <c r="C56" s="8"/>
      <c r="D56" s="8"/>
      <c r="E56" s="8"/>
      <c r="F56" s="8"/>
      <c r="G56" s="8"/>
      <c r="H56" s="8"/>
      <c r="I56" s="8"/>
      <c r="J56" s="8"/>
      <c r="K56" s="8"/>
      <c r="L56" s="8"/>
      <c r="M56" s="8"/>
      <c r="N56" s="8"/>
      <c r="O56" s="8"/>
      <c r="P56" s="8"/>
      <c r="Q56" s="8"/>
      <c r="R56" s="8"/>
      <c r="S56" s="8"/>
      <c r="T56" s="8"/>
      <c r="U56" s="8"/>
      <c r="V56" s="8"/>
      <c r="W56" s="8"/>
      <c r="X56" s="8"/>
      <c r="Y56" s="8"/>
    </row>
    <row r="57">
      <c r="A57" s="8"/>
      <c r="B57" s="8"/>
      <c r="C57" s="8"/>
      <c r="D57" s="8"/>
      <c r="E57" s="8"/>
      <c r="F57" s="8"/>
      <c r="G57" s="8"/>
      <c r="H57" s="8"/>
      <c r="I57" s="8"/>
      <c r="J57" s="8"/>
      <c r="K57" s="8"/>
      <c r="L57" s="8"/>
      <c r="M57" s="8"/>
      <c r="N57" s="8"/>
      <c r="O57" s="8"/>
      <c r="P57" s="8"/>
      <c r="Q57" s="8"/>
      <c r="R57" s="8"/>
      <c r="S57" s="8"/>
      <c r="T57" s="8"/>
      <c r="U57" s="8"/>
      <c r="V57" s="8"/>
      <c r="W57" s="8"/>
      <c r="X57" s="8"/>
      <c r="Y57" s="8"/>
    </row>
    <row r="58">
      <c r="A58" s="8"/>
      <c r="B58" s="8"/>
      <c r="C58" s="8"/>
      <c r="D58" s="8"/>
      <c r="E58" s="8"/>
      <c r="F58" s="8"/>
      <c r="G58" s="8"/>
      <c r="H58" s="8"/>
      <c r="I58" s="8"/>
      <c r="J58" s="8"/>
      <c r="K58" s="8"/>
      <c r="L58" s="8"/>
      <c r="M58" s="8"/>
      <c r="N58" s="8"/>
      <c r="O58" s="8"/>
      <c r="P58" s="8"/>
      <c r="Q58" s="8"/>
      <c r="R58" s="8"/>
      <c r="S58" s="8"/>
      <c r="T58" s="8"/>
      <c r="U58" s="8"/>
      <c r="V58" s="8"/>
      <c r="W58" s="8"/>
      <c r="X58" s="8"/>
      <c r="Y58" s="8"/>
    </row>
    <row r="59">
      <c r="A59" s="8"/>
      <c r="B59" s="8"/>
      <c r="C59" s="8"/>
      <c r="D59" s="8"/>
      <c r="E59" s="8"/>
      <c r="F59" s="8"/>
      <c r="G59" s="8"/>
      <c r="H59" s="8"/>
      <c r="I59" s="8"/>
      <c r="J59" s="8"/>
      <c r="K59" s="8"/>
      <c r="L59" s="8"/>
      <c r="M59" s="8"/>
      <c r="N59" s="8"/>
      <c r="O59" s="8"/>
      <c r="P59" s="8"/>
      <c r="Q59" s="8"/>
      <c r="R59" s="8"/>
      <c r="S59" s="8"/>
      <c r="T59" s="8"/>
      <c r="U59" s="8"/>
      <c r="V59" s="8"/>
      <c r="W59" s="8"/>
      <c r="X59" s="8"/>
      <c r="Y59" s="8"/>
    </row>
    <row r="60">
      <c r="A60" s="8"/>
      <c r="B60" s="8"/>
      <c r="C60" s="8"/>
      <c r="D60" s="8"/>
      <c r="E60" s="8"/>
      <c r="F60" s="8"/>
      <c r="G60" s="8"/>
      <c r="H60" s="8"/>
      <c r="I60" s="8"/>
      <c r="J60" s="8"/>
      <c r="K60" s="8"/>
      <c r="L60" s="8"/>
      <c r="M60" s="8"/>
      <c r="N60" s="8"/>
      <c r="O60" s="8"/>
      <c r="P60" s="8"/>
      <c r="Q60" s="8"/>
      <c r="R60" s="8"/>
      <c r="S60" s="8"/>
      <c r="T60" s="8"/>
      <c r="U60" s="8"/>
      <c r="V60" s="8"/>
      <c r="W60" s="8"/>
      <c r="X60" s="8"/>
      <c r="Y60" s="8"/>
    </row>
    <row r="61">
      <c r="A61" s="8"/>
      <c r="B61" s="8"/>
      <c r="C61" s="8"/>
      <c r="D61" s="8"/>
      <c r="E61" s="8"/>
      <c r="F61" s="8"/>
      <c r="G61" s="8"/>
      <c r="H61" s="8"/>
      <c r="I61" s="8"/>
      <c r="J61" s="8"/>
      <c r="K61" s="8"/>
      <c r="L61" s="8"/>
      <c r="M61" s="8"/>
      <c r="N61" s="8"/>
      <c r="O61" s="8"/>
      <c r="P61" s="8"/>
      <c r="Q61" s="8"/>
      <c r="R61" s="8"/>
      <c r="S61" s="8"/>
      <c r="T61" s="8"/>
      <c r="U61" s="8"/>
      <c r="V61" s="8"/>
      <c r="W61" s="8"/>
      <c r="X61" s="8"/>
      <c r="Y61" s="8"/>
    </row>
    <row r="62">
      <c r="A62" s="8"/>
      <c r="B62" s="8"/>
      <c r="C62" s="8"/>
      <c r="D62" s="8"/>
      <c r="E62" s="8"/>
      <c r="F62" s="8"/>
      <c r="G62" s="8"/>
      <c r="H62" s="8"/>
      <c r="I62" s="8"/>
      <c r="J62" s="8"/>
      <c r="K62" s="8"/>
      <c r="L62" s="8"/>
      <c r="M62" s="8"/>
      <c r="N62" s="8"/>
      <c r="O62" s="8"/>
      <c r="P62" s="8"/>
      <c r="Q62" s="8"/>
      <c r="R62" s="8"/>
      <c r="S62" s="8"/>
      <c r="T62" s="8"/>
      <c r="U62" s="8"/>
      <c r="V62" s="8"/>
      <c r="W62" s="8"/>
      <c r="X62" s="8"/>
      <c r="Y62" s="8"/>
    </row>
    <row r="63">
      <c r="A63" s="8"/>
      <c r="B63" s="8"/>
      <c r="C63" s="8"/>
      <c r="D63" s="8"/>
      <c r="E63" s="8"/>
      <c r="F63" s="8"/>
      <c r="G63" s="8"/>
      <c r="H63" s="8"/>
      <c r="I63" s="8"/>
      <c r="J63" s="8"/>
      <c r="K63" s="8"/>
      <c r="L63" s="8"/>
      <c r="M63" s="8"/>
      <c r="N63" s="8"/>
      <c r="O63" s="8"/>
      <c r="P63" s="8"/>
      <c r="Q63" s="8"/>
      <c r="R63" s="8"/>
      <c r="S63" s="8"/>
      <c r="T63" s="8"/>
      <c r="U63" s="8"/>
      <c r="V63" s="8"/>
      <c r="W63" s="8"/>
      <c r="X63" s="8"/>
      <c r="Y63" s="8"/>
    </row>
    <row r="64">
      <c r="A64" s="8"/>
      <c r="B64" s="8"/>
      <c r="C64" s="8"/>
      <c r="D64" s="8"/>
      <c r="E64" s="8"/>
      <c r="F64" s="8"/>
      <c r="G64" s="8"/>
      <c r="H64" s="8"/>
      <c r="I64" s="8"/>
      <c r="J64" s="8"/>
      <c r="K64" s="8"/>
      <c r="L64" s="8"/>
      <c r="M64" s="8"/>
      <c r="N64" s="8"/>
      <c r="O64" s="8"/>
      <c r="P64" s="8"/>
      <c r="Q64" s="8"/>
      <c r="R64" s="8"/>
      <c r="S64" s="8"/>
      <c r="T64" s="8"/>
      <c r="U64" s="8"/>
      <c r="V64" s="8"/>
      <c r="W64" s="8"/>
      <c r="X64" s="8"/>
      <c r="Y64" s="8"/>
    </row>
    <row r="65">
      <c r="A65" s="8"/>
      <c r="B65" s="8"/>
      <c r="C65" s="8"/>
      <c r="D65" s="8"/>
      <c r="E65" s="8"/>
      <c r="F65" s="8"/>
      <c r="G65" s="8"/>
      <c r="H65" s="8"/>
      <c r="I65" s="8"/>
      <c r="J65" s="8"/>
      <c r="K65" s="8"/>
      <c r="L65" s="8"/>
      <c r="M65" s="8"/>
      <c r="N65" s="8"/>
      <c r="O65" s="8"/>
      <c r="P65" s="8"/>
      <c r="Q65" s="8"/>
      <c r="R65" s="8"/>
      <c r="S65" s="8"/>
      <c r="T65" s="8"/>
      <c r="U65" s="8"/>
      <c r="V65" s="8"/>
      <c r="W65" s="8"/>
      <c r="X65" s="8"/>
      <c r="Y65" s="8"/>
    </row>
    <row r="66">
      <c r="A66" s="8"/>
      <c r="B66" s="8"/>
      <c r="C66" s="8"/>
      <c r="D66" s="8"/>
      <c r="E66" s="8"/>
      <c r="F66" s="8"/>
      <c r="G66" s="8"/>
      <c r="H66" s="8"/>
      <c r="I66" s="8"/>
      <c r="J66" s="8"/>
      <c r="K66" s="8"/>
      <c r="L66" s="8"/>
      <c r="M66" s="8"/>
      <c r="N66" s="8"/>
      <c r="O66" s="8"/>
      <c r="P66" s="8"/>
      <c r="Q66" s="8"/>
      <c r="R66" s="8"/>
      <c r="S66" s="8"/>
      <c r="T66" s="8"/>
      <c r="U66" s="8"/>
      <c r="V66" s="8"/>
      <c r="W66" s="8"/>
      <c r="X66" s="8"/>
      <c r="Y66" s="8"/>
    </row>
    <row r="67">
      <c r="A67" s="8"/>
      <c r="B67" s="8"/>
      <c r="C67" s="8"/>
      <c r="D67" s="8"/>
      <c r="E67" s="8"/>
      <c r="F67" s="8"/>
      <c r="G67" s="8"/>
      <c r="H67" s="8"/>
      <c r="I67" s="8"/>
      <c r="J67" s="8"/>
      <c r="K67" s="8"/>
      <c r="L67" s="8"/>
      <c r="M67" s="8"/>
      <c r="N67" s="8"/>
      <c r="O67" s="8"/>
      <c r="P67" s="8"/>
      <c r="Q67" s="8"/>
      <c r="R67" s="8"/>
      <c r="S67" s="8"/>
      <c r="T67" s="8"/>
      <c r="U67" s="8"/>
      <c r="V67" s="8"/>
      <c r="W67" s="8"/>
      <c r="X67" s="8"/>
      <c r="Y67" s="8"/>
    </row>
    <row r="68">
      <c r="A68" s="8"/>
      <c r="B68" s="8"/>
      <c r="C68" s="8"/>
      <c r="D68" s="8"/>
      <c r="E68" s="8"/>
      <c r="F68" s="8"/>
      <c r="G68" s="8"/>
      <c r="H68" s="8"/>
      <c r="I68" s="8"/>
      <c r="J68" s="8"/>
      <c r="K68" s="8"/>
      <c r="L68" s="8"/>
      <c r="M68" s="8"/>
      <c r="N68" s="8"/>
      <c r="O68" s="8"/>
      <c r="P68" s="8"/>
      <c r="Q68" s="8"/>
      <c r="R68" s="8"/>
      <c r="S68" s="8"/>
      <c r="T68" s="8"/>
      <c r="U68" s="8"/>
      <c r="V68" s="8"/>
      <c r="W68" s="8"/>
      <c r="X68" s="8"/>
      <c r="Y68" s="8"/>
    </row>
    <row r="69">
      <c r="A69" s="8"/>
      <c r="B69" s="8"/>
      <c r="C69" s="8"/>
      <c r="D69" s="8"/>
      <c r="E69" s="8"/>
      <c r="F69" s="8"/>
      <c r="G69" s="8"/>
      <c r="H69" s="8"/>
      <c r="I69" s="8"/>
      <c r="J69" s="8"/>
      <c r="K69" s="8"/>
      <c r="L69" s="8"/>
      <c r="M69" s="8"/>
      <c r="N69" s="8"/>
      <c r="O69" s="8"/>
      <c r="P69" s="8"/>
      <c r="Q69" s="8"/>
      <c r="R69" s="8"/>
      <c r="S69" s="8"/>
      <c r="T69" s="8"/>
      <c r="U69" s="8"/>
      <c r="V69" s="8"/>
      <c r="W69" s="8"/>
      <c r="X69" s="8"/>
      <c r="Y69" s="8"/>
    </row>
    <row r="70">
      <c r="A70" s="8"/>
      <c r="B70" s="8"/>
      <c r="C70" s="8"/>
      <c r="D70" s="8"/>
      <c r="E70" s="8"/>
      <c r="F70" s="8"/>
      <c r="G70" s="8"/>
      <c r="H70" s="8"/>
      <c r="I70" s="8"/>
      <c r="J70" s="8"/>
      <c r="K70" s="8"/>
      <c r="L70" s="8"/>
      <c r="M70" s="8"/>
      <c r="N70" s="8"/>
      <c r="O70" s="8"/>
      <c r="P70" s="8"/>
      <c r="Q70" s="8"/>
      <c r="R70" s="8"/>
      <c r="S70" s="8"/>
      <c r="T70" s="8"/>
      <c r="U70" s="8"/>
      <c r="V70" s="8"/>
      <c r="W70" s="8"/>
      <c r="X70" s="8"/>
      <c r="Y70" s="8"/>
    </row>
    <row r="71">
      <c r="A71" s="8"/>
      <c r="B71" s="8"/>
      <c r="C71" s="8"/>
      <c r="D71" s="8"/>
      <c r="E71" s="8"/>
      <c r="F71" s="8"/>
      <c r="G71" s="8"/>
      <c r="H71" s="8"/>
      <c r="I71" s="8"/>
      <c r="J71" s="8"/>
      <c r="K71" s="8"/>
      <c r="L71" s="8"/>
      <c r="M71" s="8"/>
      <c r="N71" s="8"/>
      <c r="O71" s="8"/>
      <c r="P71" s="8"/>
      <c r="Q71" s="8"/>
      <c r="R71" s="8"/>
      <c r="S71" s="8"/>
      <c r="T71" s="8"/>
      <c r="U71" s="8"/>
      <c r="V71" s="8"/>
      <c r="W71" s="8"/>
      <c r="X71" s="8"/>
      <c r="Y71" s="8"/>
    </row>
    <row r="72">
      <c r="A72" s="8"/>
      <c r="B72" s="8"/>
      <c r="C72" s="8"/>
      <c r="D72" s="8"/>
      <c r="E72" s="8"/>
      <c r="F72" s="8"/>
      <c r="G72" s="8"/>
      <c r="H72" s="8"/>
      <c r="I72" s="8"/>
      <c r="J72" s="8"/>
      <c r="K72" s="8"/>
      <c r="L72" s="8"/>
      <c r="M72" s="8"/>
      <c r="N72" s="8"/>
      <c r="O72" s="8"/>
      <c r="P72" s="8"/>
      <c r="Q72" s="8"/>
      <c r="R72" s="8"/>
      <c r="S72" s="8"/>
      <c r="T72" s="8"/>
      <c r="U72" s="8"/>
      <c r="V72" s="8"/>
      <c r="W72" s="8"/>
      <c r="X72" s="8"/>
      <c r="Y72" s="8"/>
    </row>
    <row r="73">
      <c r="A73" s="8"/>
      <c r="B73" s="8"/>
      <c r="C73" s="8"/>
      <c r="D73" s="8"/>
      <c r="E73" s="8"/>
      <c r="F73" s="8"/>
      <c r="G73" s="8"/>
      <c r="H73" s="8"/>
      <c r="I73" s="8"/>
      <c r="J73" s="8"/>
      <c r="K73" s="8"/>
      <c r="L73" s="8"/>
      <c r="M73" s="8"/>
      <c r="N73" s="8"/>
      <c r="O73" s="8"/>
      <c r="P73" s="8"/>
      <c r="Q73" s="8"/>
      <c r="R73" s="8"/>
      <c r="S73" s="8"/>
      <c r="T73" s="8"/>
      <c r="U73" s="8"/>
      <c r="V73" s="8"/>
      <c r="W73" s="8"/>
      <c r="X73" s="8"/>
      <c r="Y73" s="8"/>
    </row>
    <row r="74">
      <c r="A74" s="8"/>
      <c r="B74" s="8"/>
      <c r="C74" s="8"/>
      <c r="D74" s="8"/>
      <c r="E74" s="8"/>
      <c r="F74" s="8"/>
      <c r="G74" s="8"/>
      <c r="H74" s="8"/>
      <c r="I74" s="8"/>
      <c r="J74" s="8"/>
      <c r="K74" s="8"/>
      <c r="L74" s="8"/>
      <c r="M74" s="8"/>
      <c r="N74" s="8"/>
      <c r="O74" s="8"/>
      <c r="P74" s="8"/>
      <c r="Q74" s="8"/>
      <c r="R74" s="8"/>
      <c r="S74" s="8"/>
      <c r="T74" s="8"/>
      <c r="U74" s="8"/>
      <c r="V74" s="8"/>
      <c r="W74" s="8"/>
      <c r="X74" s="8"/>
      <c r="Y74" s="8"/>
    </row>
    <row r="75">
      <c r="A75" s="8"/>
      <c r="B75" s="8"/>
      <c r="C75" s="8"/>
      <c r="D75" s="8"/>
      <c r="E75" s="8"/>
      <c r="F75" s="8"/>
      <c r="G75" s="8"/>
      <c r="H75" s="8"/>
      <c r="I75" s="8"/>
      <c r="J75" s="8"/>
      <c r="K75" s="8"/>
      <c r="L75" s="8"/>
      <c r="M75" s="8"/>
      <c r="N75" s="8"/>
      <c r="O75" s="8"/>
      <c r="P75" s="8"/>
      <c r="Q75" s="8"/>
      <c r="R75" s="8"/>
      <c r="S75" s="8"/>
      <c r="T75" s="8"/>
      <c r="U75" s="8"/>
      <c r="V75" s="8"/>
      <c r="W75" s="8"/>
      <c r="X75" s="8"/>
      <c r="Y75" s="8"/>
    </row>
    <row r="76">
      <c r="A76" s="8"/>
      <c r="B76" s="8"/>
      <c r="C76" s="8"/>
      <c r="D76" s="8"/>
      <c r="E76" s="8"/>
      <c r="F76" s="8"/>
      <c r="G76" s="8"/>
      <c r="H76" s="8"/>
      <c r="I76" s="8"/>
      <c r="J76" s="8"/>
      <c r="K76" s="8"/>
      <c r="L76" s="8"/>
      <c r="M76" s="8"/>
      <c r="N76" s="8"/>
      <c r="O76" s="8"/>
      <c r="P76" s="8"/>
      <c r="Q76" s="8"/>
      <c r="R76" s="8"/>
      <c r="S76" s="8"/>
      <c r="T76" s="8"/>
      <c r="U76" s="8"/>
      <c r="V76" s="8"/>
      <c r="W76" s="8"/>
      <c r="X76" s="8"/>
      <c r="Y76" s="8"/>
    </row>
    <row r="77">
      <c r="A77" s="8"/>
      <c r="B77" s="8"/>
      <c r="C77" s="8"/>
      <c r="D77" s="8"/>
      <c r="E77" s="8"/>
      <c r="F77" s="8"/>
      <c r="G77" s="8"/>
      <c r="H77" s="8"/>
      <c r="I77" s="8"/>
      <c r="J77" s="8"/>
      <c r="K77" s="8"/>
      <c r="L77" s="8"/>
      <c r="M77" s="8"/>
      <c r="N77" s="8"/>
      <c r="O77" s="8"/>
      <c r="P77" s="8"/>
      <c r="Q77" s="8"/>
      <c r="R77" s="8"/>
      <c r="S77" s="8"/>
      <c r="T77" s="8"/>
      <c r="U77" s="8"/>
      <c r="V77" s="8"/>
      <c r="W77" s="8"/>
      <c r="X77" s="8"/>
      <c r="Y77" s="8"/>
    </row>
    <row r="78">
      <c r="A78" s="8"/>
      <c r="B78" s="8"/>
      <c r="C78" s="8"/>
      <c r="D78" s="8"/>
      <c r="E78" s="8"/>
      <c r="F78" s="8"/>
      <c r="G78" s="8"/>
      <c r="H78" s="8"/>
      <c r="I78" s="8"/>
      <c r="J78" s="8"/>
      <c r="K78" s="8"/>
      <c r="L78" s="8"/>
      <c r="M78" s="8"/>
      <c r="N78" s="8"/>
      <c r="O78" s="8"/>
      <c r="P78" s="8"/>
      <c r="Q78" s="8"/>
      <c r="R78" s="8"/>
      <c r="S78" s="8"/>
      <c r="T78" s="8"/>
      <c r="U78" s="8"/>
      <c r="V78" s="8"/>
      <c r="W78" s="8"/>
      <c r="X78" s="8"/>
      <c r="Y78" s="8"/>
    </row>
    <row r="79">
      <c r="A79" s="8"/>
      <c r="B79" s="8"/>
      <c r="C79" s="8"/>
      <c r="D79" s="8"/>
      <c r="E79" s="8"/>
      <c r="F79" s="8"/>
      <c r="G79" s="8"/>
      <c r="H79" s="8"/>
      <c r="I79" s="8"/>
      <c r="J79" s="8"/>
      <c r="K79" s="8"/>
      <c r="L79" s="8"/>
      <c r="M79" s="8"/>
      <c r="N79" s="8"/>
      <c r="O79" s="8"/>
      <c r="P79" s="8"/>
      <c r="Q79" s="8"/>
      <c r="R79" s="8"/>
      <c r="S79" s="8"/>
      <c r="T79" s="8"/>
      <c r="U79" s="8"/>
      <c r="V79" s="8"/>
      <c r="W79" s="8"/>
      <c r="X79" s="8"/>
      <c r="Y79" s="8"/>
    </row>
    <row r="80">
      <c r="A80" s="8"/>
      <c r="B80" s="8"/>
      <c r="C80" s="8"/>
      <c r="D80" s="8"/>
      <c r="E80" s="8"/>
      <c r="F80" s="8"/>
      <c r="G80" s="8"/>
      <c r="H80" s="8"/>
      <c r="I80" s="8"/>
      <c r="J80" s="8"/>
      <c r="K80" s="8"/>
      <c r="L80" s="8"/>
      <c r="M80" s="8"/>
      <c r="N80" s="8"/>
      <c r="O80" s="8"/>
      <c r="P80" s="8"/>
      <c r="Q80" s="8"/>
      <c r="R80" s="8"/>
      <c r="S80" s="8"/>
      <c r="T80" s="8"/>
      <c r="U80" s="8"/>
      <c r="V80" s="8"/>
      <c r="W80" s="8"/>
      <c r="X80" s="8"/>
      <c r="Y80" s="8"/>
    </row>
    <row r="81">
      <c r="A81" s="8"/>
      <c r="B81" s="8"/>
      <c r="C81" s="8"/>
      <c r="D81" s="8"/>
      <c r="E81" s="8"/>
      <c r="F81" s="8"/>
      <c r="G81" s="8"/>
      <c r="H81" s="8"/>
      <c r="I81" s="8"/>
      <c r="J81" s="8"/>
      <c r="K81" s="8"/>
      <c r="L81" s="8"/>
      <c r="M81" s="8"/>
      <c r="N81" s="8"/>
      <c r="O81" s="8"/>
      <c r="P81" s="8"/>
      <c r="Q81" s="8"/>
      <c r="R81" s="8"/>
      <c r="S81" s="8"/>
      <c r="T81" s="8"/>
      <c r="U81" s="8"/>
      <c r="V81" s="8"/>
      <c r="W81" s="8"/>
      <c r="X81" s="8"/>
      <c r="Y81" s="8"/>
    </row>
    <row r="82">
      <c r="A82" s="8"/>
      <c r="B82" s="8"/>
      <c r="C82" s="8"/>
      <c r="D82" s="8"/>
      <c r="E82" s="8"/>
      <c r="F82" s="8"/>
      <c r="G82" s="8"/>
      <c r="H82" s="8"/>
      <c r="I82" s="8"/>
      <c r="J82" s="8"/>
      <c r="K82" s="8"/>
      <c r="L82" s="8"/>
      <c r="M82" s="8"/>
      <c r="N82" s="8"/>
      <c r="O82" s="8"/>
      <c r="P82" s="8"/>
      <c r="Q82" s="8"/>
      <c r="R82" s="8"/>
      <c r="S82" s="8"/>
      <c r="T82" s="8"/>
      <c r="U82" s="8"/>
      <c r="V82" s="8"/>
      <c r="W82" s="8"/>
      <c r="X82" s="8"/>
      <c r="Y82" s="8"/>
    </row>
    <row r="83">
      <c r="A83" s="8"/>
      <c r="B83" s="8"/>
      <c r="C83" s="8"/>
      <c r="D83" s="8"/>
      <c r="E83" s="8"/>
      <c r="F83" s="8"/>
      <c r="G83" s="8"/>
      <c r="H83" s="8"/>
      <c r="I83" s="8"/>
      <c r="J83" s="8"/>
      <c r="K83" s="8"/>
      <c r="L83" s="8"/>
      <c r="M83" s="8"/>
      <c r="N83" s="8"/>
      <c r="O83" s="8"/>
      <c r="P83" s="8"/>
      <c r="Q83" s="8"/>
      <c r="R83" s="8"/>
      <c r="S83" s="8"/>
      <c r="T83" s="8"/>
      <c r="U83" s="8"/>
      <c r="V83" s="8"/>
      <c r="W83" s="8"/>
      <c r="X83" s="8"/>
      <c r="Y83" s="8"/>
    </row>
    <row r="84">
      <c r="A84" s="8"/>
      <c r="B84" s="8"/>
      <c r="C84" s="8"/>
      <c r="D84" s="8"/>
      <c r="E84" s="8"/>
      <c r="F84" s="8"/>
      <c r="G84" s="8"/>
      <c r="H84" s="8"/>
      <c r="I84" s="8"/>
      <c r="J84" s="8"/>
      <c r="K84" s="8"/>
      <c r="L84" s="8"/>
      <c r="M84" s="8"/>
      <c r="N84" s="8"/>
      <c r="O84" s="8"/>
      <c r="P84" s="8"/>
      <c r="Q84" s="8"/>
      <c r="R84" s="8"/>
      <c r="S84" s="8"/>
      <c r="T84" s="8"/>
      <c r="U84" s="8"/>
      <c r="V84" s="8"/>
      <c r="W84" s="8"/>
      <c r="X84" s="8"/>
      <c r="Y84" s="8"/>
    </row>
    <row r="85">
      <c r="A85" s="8"/>
      <c r="B85" s="8"/>
      <c r="C85" s="8"/>
      <c r="D85" s="8"/>
      <c r="E85" s="8"/>
      <c r="F85" s="8"/>
      <c r="G85" s="8"/>
      <c r="H85" s="8"/>
      <c r="I85" s="8"/>
      <c r="J85" s="8"/>
      <c r="K85" s="8"/>
      <c r="L85" s="8"/>
      <c r="M85" s="8"/>
      <c r="N85" s="8"/>
      <c r="O85" s="8"/>
      <c r="P85" s="8"/>
      <c r="Q85" s="8"/>
      <c r="R85" s="8"/>
      <c r="S85" s="8"/>
      <c r="T85" s="8"/>
      <c r="U85" s="8"/>
      <c r="V85" s="8"/>
      <c r="W85" s="8"/>
      <c r="X85" s="8"/>
      <c r="Y85" s="8"/>
    </row>
    <row r="86">
      <c r="A86" s="8"/>
      <c r="B86" s="8"/>
      <c r="C86" s="8"/>
      <c r="D86" s="8"/>
      <c r="E86" s="8"/>
      <c r="F86" s="8"/>
      <c r="G86" s="8"/>
      <c r="H86" s="8"/>
      <c r="I86" s="8"/>
      <c r="J86" s="8"/>
      <c r="K86" s="8"/>
      <c r="L86" s="8"/>
      <c r="M86" s="8"/>
      <c r="N86" s="8"/>
      <c r="O86" s="8"/>
      <c r="P86" s="8"/>
      <c r="Q86" s="8"/>
      <c r="R86" s="8"/>
      <c r="S86" s="8"/>
      <c r="T86" s="8"/>
      <c r="U86" s="8"/>
      <c r="V86" s="8"/>
      <c r="W86" s="8"/>
      <c r="X86" s="8"/>
      <c r="Y86" s="8"/>
    </row>
    <row r="87">
      <c r="A87" s="8"/>
      <c r="B87" s="8"/>
      <c r="C87" s="8"/>
      <c r="D87" s="8"/>
      <c r="E87" s="8"/>
      <c r="F87" s="8"/>
      <c r="G87" s="8"/>
      <c r="H87" s="8"/>
      <c r="I87" s="8"/>
      <c r="J87" s="8"/>
      <c r="K87" s="8"/>
      <c r="L87" s="8"/>
      <c r="M87" s="8"/>
      <c r="N87" s="8"/>
      <c r="O87" s="8"/>
      <c r="P87" s="8"/>
      <c r="Q87" s="8"/>
      <c r="R87" s="8"/>
      <c r="S87" s="8"/>
      <c r="T87" s="8"/>
      <c r="U87" s="8"/>
      <c r="V87" s="8"/>
      <c r="W87" s="8"/>
      <c r="X87" s="8"/>
      <c r="Y87" s="8"/>
    </row>
    <row r="88">
      <c r="A88" s="8"/>
      <c r="B88" s="8"/>
      <c r="C88" s="8"/>
      <c r="D88" s="8"/>
      <c r="E88" s="8"/>
      <c r="F88" s="8"/>
      <c r="G88" s="8"/>
      <c r="H88" s="8"/>
      <c r="I88" s="8"/>
      <c r="J88" s="8"/>
      <c r="K88" s="8"/>
      <c r="L88" s="8"/>
      <c r="M88" s="8"/>
      <c r="N88" s="8"/>
      <c r="O88" s="8"/>
      <c r="P88" s="8"/>
      <c r="Q88" s="8"/>
      <c r="R88" s="8"/>
      <c r="S88" s="8"/>
      <c r="T88" s="8"/>
      <c r="U88" s="8"/>
      <c r="V88" s="8"/>
      <c r="W88" s="8"/>
      <c r="X88" s="8"/>
      <c r="Y88" s="8"/>
    </row>
    <row r="89">
      <c r="A89" s="8"/>
      <c r="B89" s="8"/>
      <c r="C89" s="8"/>
      <c r="D89" s="8"/>
      <c r="E89" s="8"/>
      <c r="F89" s="8"/>
      <c r="G89" s="8"/>
      <c r="H89" s="8"/>
      <c r="I89" s="8"/>
      <c r="J89" s="8"/>
      <c r="K89" s="8"/>
      <c r="L89" s="8"/>
      <c r="M89" s="8"/>
      <c r="N89" s="8"/>
      <c r="O89" s="8"/>
      <c r="P89" s="8"/>
      <c r="Q89" s="8"/>
      <c r="R89" s="8"/>
      <c r="S89" s="8"/>
      <c r="T89" s="8"/>
      <c r="U89" s="8"/>
      <c r="V89" s="8"/>
      <c r="W89" s="8"/>
      <c r="X89" s="8"/>
      <c r="Y89" s="8"/>
    </row>
    <row r="90">
      <c r="A90" s="8"/>
      <c r="B90" s="8"/>
      <c r="C90" s="8"/>
      <c r="D90" s="8"/>
      <c r="E90" s="8"/>
      <c r="F90" s="8"/>
      <c r="G90" s="8"/>
      <c r="H90" s="8"/>
      <c r="I90" s="8"/>
      <c r="J90" s="8"/>
      <c r="K90" s="8"/>
      <c r="L90" s="8"/>
      <c r="M90" s="8"/>
      <c r="N90" s="8"/>
      <c r="O90" s="8"/>
      <c r="P90" s="8"/>
      <c r="Q90" s="8"/>
      <c r="R90" s="8"/>
      <c r="S90" s="8"/>
      <c r="T90" s="8"/>
      <c r="U90" s="8"/>
      <c r="V90" s="8"/>
      <c r="W90" s="8"/>
      <c r="X90" s="8"/>
      <c r="Y90" s="8"/>
    </row>
    <row r="91">
      <c r="A91" s="8"/>
      <c r="B91" s="8"/>
      <c r="C91" s="8"/>
      <c r="D91" s="8"/>
      <c r="E91" s="8"/>
      <c r="F91" s="8"/>
      <c r="G91" s="8"/>
      <c r="H91" s="8"/>
      <c r="I91" s="8"/>
      <c r="J91" s="8"/>
      <c r="K91" s="8"/>
      <c r="L91" s="8"/>
      <c r="M91" s="8"/>
      <c r="N91" s="8"/>
      <c r="O91" s="8"/>
      <c r="P91" s="8"/>
      <c r="Q91" s="8"/>
      <c r="R91" s="8"/>
      <c r="S91" s="8"/>
      <c r="T91" s="8"/>
      <c r="U91" s="8"/>
      <c r="V91" s="8"/>
      <c r="W91" s="8"/>
      <c r="X91" s="8"/>
      <c r="Y91" s="8"/>
    </row>
    <row r="92">
      <c r="A92" s="8"/>
      <c r="B92" s="8"/>
      <c r="C92" s="8"/>
      <c r="D92" s="8"/>
      <c r="E92" s="8"/>
      <c r="F92" s="8"/>
      <c r="G92" s="8"/>
      <c r="H92" s="8"/>
      <c r="I92" s="8"/>
      <c r="J92" s="8"/>
      <c r="K92" s="8"/>
      <c r="L92" s="8"/>
      <c r="M92" s="8"/>
      <c r="N92" s="8"/>
      <c r="O92" s="8"/>
      <c r="P92" s="8"/>
      <c r="Q92" s="8"/>
      <c r="R92" s="8"/>
      <c r="S92" s="8"/>
      <c r="T92" s="8"/>
      <c r="U92" s="8"/>
      <c r="V92" s="8"/>
      <c r="W92" s="8"/>
      <c r="X92" s="8"/>
      <c r="Y92" s="8"/>
    </row>
    <row r="93">
      <c r="A93" s="8"/>
      <c r="B93" s="8"/>
      <c r="C93" s="8"/>
      <c r="D93" s="8"/>
      <c r="E93" s="8"/>
      <c r="F93" s="8"/>
      <c r="G93" s="8"/>
      <c r="H93" s="8"/>
      <c r="I93" s="8"/>
      <c r="J93" s="8"/>
      <c r="K93" s="8"/>
      <c r="L93" s="8"/>
      <c r="M93" s="8"/>
      <c r="N93" s="8"/>
      <c r="O93" s="8"/>
      <c r="P93" s="8"/>
      <c r="Q93" s="8"/>
      <c r="R93" s="8"/>
      <c r="S93" s="8"/>
      <c r="T93" s="8"/>
      <c r="U93" s="8"/>
      <c r="V93" s="8"/>
      <c r="W93" s="8"/>
      <c r="X93" s="8"/>
      <c r="Y93" s="8"/>
    </row>
    <row r="94">
      <c r="A94" s="8"/>
      <c r="B94" s="8"/>
      <c r="C94" s="8"/>
      <c r="D94" s="8"/>
      <c r="E94" s="8"/>
      <c r="F94" s="8"/>
      <c r="G94" s="8"/>
      <c r="H94" s="8"/>
      <c r="I94" s="8"/>
      <c r="J94" s="8"/>
      <c r="K94" s="8"/>
      <c r="L94" s="8"/>
      <c r="M94" s="8"/>
      <c r="N94" s="8"/>
      <c r="O94" s="8"/>
      <c r="P94" s="8"/>
      <c r="Q94" s="8"/>
      <c r="R94" s="8"/>
      <c r="S94" s="8"/>
      <c r="T94" s="8"/>
      <c r="U94" s="8"/>
      <c r="V94" s="8"/>
      <c r="W94" s="8"/>
      <c r="X94" s="8"/>
      <c r="Y94" s="8"/>
    </row>
    <row r="95">
      <c r="A95" s="8"/>
      <c r="B95" s="8"/>
      <c r="C95" s="8"/>
      <c r="D95" s="8"/>
      <c r="E95" s="8"/>
      <c r="F95" s="8"/>
      <c r="G95" s="8"/>
      <c r="H95" s="8"/>
      <c r="I95" s="8"/>
      <c r="J95" s="8"/>
      <c r="K95" s="8"/>
      <c r="L95" s="8"/>
      <c r="M95" s="8"/>
      <c r="N95" s="8"/>
      <c r="O95" s="8"/>
      <c r="P95" s="8"/>
      <c r="Q95" s="8"/>
      <c r="R95" s="8"/>
      <c r="S95" s="8"/>
      <c r="T95" s="8"/>
      <c r="U95" s="8"/>
      <c r="V95" s="8"/>
      <c r="W95" s="8"/>
      <c r="X95" s="8"/>
      <c r="Y95" s="8"/>
    </row>
    <row r="96">
      <c r="A96" s="8"/>
      <c r="B96" s="8"/>
      <c r="C96" s="8"/>
      <c r="D96" s="8"/>
      <c r="E96" s="8"/>
      <c r="F96" s="8"/>
      <c r="G96" s="8"/>
      <c r="H96" s="8"/>
      <c r="I96" s="8"/>
      <c r="J96" s="8"/>
      <c r="K96" s="8"/>
      <c r="L96" s="8"/>
      <c r="M96" s="8"/>
      <c r="N96" s="8"/>
      <c r="O96" s="8"/>
      <c r="P96" s="8"/>
      <c r="Q96" s="8"/>
      <c r="R96" s="8"/>
      <c r="S96" s="8"/>
      <c r="T96" s="8"/>
      <c r="U96" s="8"/>
      <c r="V96" s="8"/>
      <c r="W96" s="8"/>
      <c r="X96" s="8"/>
      <c r="Y96" s="8"/>
    </row>
    <row r="97">
      <c r="A97" s="8"/>
      <c r="B97" s="8"/>
      <c r="C97" s="8"/>
      <c r="D97" s="8"/>
      <c r="E97" s="8"/>
      <c r="F97" s="8"/>
      <c r="G97" s="8"/>
      <c r="H97" s="8"/>
      <c r="I97" s="8"/>
      <c r="J97" s="8"/>
      <c r="K97" s="8"/>
      <c r="L97" s="8"/>
      <c r="M97" s="8"/>
      <c r="N97" s="8"/>
      <c r="O97" s="8"/>
      <c r="P97" s="8"/>
      <c r="Q97" s="8"/>
      <c r="R97" s="8"/>
      <c r="S97" s="8"/>
      <c r="T97" s="8"/>
      <c r="U97" s="8"/>
      <c r="V97" s="8"/>
      <c r="W97" s="8"/>
      <c r="X97" s="8"/>
      <c r="Y97" s="8"/>
    </row>
    <row r="98">
      <c r="A98" s="8"/>
      <c r="B98" s="8"/>
      <c r="C98" s="8"/>
      <c r="D98" s="8"/>
      <c r="E98" s="8"/>
      <c r="F98" s="8"/>
      <c r="G98" s="8"/>
      <c r="H98" s="8"/>
      <c r="I98" s="8"/>
      <c r="J98" s="8"/>
      <c r="K98" s="8"/>
      <c r="L98" s="8"/>
      <c r="M98" s="8"/>
      <c r="N98" s="8"/>
      <c r="O98" s="8"/>
      <c r="P98" s="8"/>
      <c r="Q98" s="8"/>
      <c r="R98" s="8"/>
      <c r="S98" s="8"/>
      <c r="T98" s="8"/>
      <c r="U98" s="8"/>
      <c r="V98" s="8"/>
      <c r="W98" s="8"/>
      <c r="X98" s="8"/>
      <c r="Y98" s="8"/>
    </row>
    <row r="99">
      <c r="A99" s="8"/>
      <c r="B99" s="8"/>
      <c r="C99" s="8"/>
      <c r="D99" s="8"/>
      <c r="E99" s="8"/>
      <c r="F99" s="8"/>
      <c r="G99" s="8"/>
      <c r="H99" s="8"/>
      <c r="I99" s="8"/>
      <c r="J99" s="8"/>
      <c r="K99" s="8"/>
      <c r="L99" s="8"/>
      <c r="M99" s="8"/>
      <c r="N99" s="8"/>
      <c r="O99" s="8"/>
      <c r="P99" s="8"/>
      <c r="Q99" s="8"/>
      <c r="R99" s="8"/>
      <c r="S99" s="8"/>
      <c r="T99" s="8"/>
      <c r="U99" s="8"/>
      <c r="V99" s="8"/>
      <c r="W99" s="8"/>
      <c r="X99" s="8"/>
      <c r="Y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autoFilter ref="$A$1:$X$1000">
    <filterColumn colId="3">
      <filters blank="1">
        <filter val="Gender and Age Combined"/>
      </filters>
    </filterColumn>
    <sortState ref="A1:X1000">
      <sortCondition ref="F1:F1000"/>
      <sortCondition ref="T1:T1000"/>
      <sortCondition descending="1" ref="U1:U1000"/>
      <sortCondition descending="1" ref="N1:N1000"/>
      <sortCondition ref="X1:X1000"/>
      <sortCondition ref="W1:W1000"/>
      <sortCondition ref="V1:V1000"/>
      <sortCondition descending="1" ref="M1:M1000"/>
    </sortState>
  </autoFilter>
  <mergeCells count="1">
    <mergeCell ref="R36:S36"/>
  </mergeCells>
  <conditionalFormatting sqref="T2:T34">
    <cfRule type="colorScale" priority="1">
      <colorScale>
        <cfvo type="min"/>
        <cfvo type="percentile" val="50"/>
        <cfvo type="max"/>
        <color rgb="FF57BB8A"/>
        <color rgb="FFFFD666"/>
        <color rgb="FFE67C73"/>
      </colorScale>
    </cfRule>
  </conditionalFormatting>
  <conditionalFormatting sqref="U2:U34">
    <cfRule type="colorScale" priority="2">
      <colorScale>
        <cfvo type="min"/>
        <cfvo type="percentile" val="50"/>
        <cfvo type="max"/>
        <color rgb="FFE67C73"/>
        <color rgb="FFFFD666"/>
        <color rgb="FF57BB8A"/>
      </colorScale>
    </cfRule>
  </conditionalFormatting>
  <conditionalFormatting sqref="V2:V34">
    <cfRule type="colorScale" priority="3">
      <colorScale>
        <cfvo type="min"/>
        <cfvo type="percentile" val="50"/>
        <cfvo type="max"/>
        <color rgb="FF57BB8A"/>
        <color rgb="FFFFD666"/>
        <color rgb="FFE67C73"/>
      </colorScale>
    </cfRule>
  </conditionalFormatting>
  <conditionalFormatting sqref="W2:W34">
    <cfRule type="colorScale" priority="4">
      <colorScale>
        <cfvo type="min"/>
        <cfvo type="percentile" val="50"/>
        <cfvo type="max"/>
        <color rgb="FF57BB8A"/>
        <color rgb="FFFFD666"/>
        <color rgb="FFE67C73"/>
      </colorScale>
    </cfRule>
  </conditionalFormatting>
  <conditionalFormatting sqref="X2:X34">
    <cfRule type="colorScale" priority="5">
      <colorScale>
        <cfvo type="min"/>
        <cfvo type="percentile" val="50"/>
        <cfvo type="max"/>
        <color rgb="FFE67C73"/>
        <color rgb="FFFFD666"/>
        <color rgb="FF57BB8A"/>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4.63"/>
  </cols>
  <sheetData>
    <row r="1">
      <c r="A1" s="49" t="s">
        <v>2012</v>
      </c>
      <c r="B1" s="49" t="s">
        <v>2013</v>
      </c>
      <c r="C1" s="49" t="s">
        <v>2014</v>
      </c>
      <c r="D1" s="49" t="s">
        <v>2015</v>
      </c>
      <c r="E1" s="49" t="s">
        <v>2016</v>
      </c>
      <c r="F1" s="49" t="s">
        <v>2017</v>
      </c>
      <c r="G1" s="49" t="s">
        <v>2018</v>
      </c>
      <c r="H1" s="49" t="s">
        <v>1</v>
      </c>
      <c r="I1" s="50" t="s">
        <v>2</v>
      </c>
      <c r="J1" s="50" t="s">
        <v>3</v>
      </c>
      <c r="K1" s="50" t="s">
        <v>4</v>
      </c>
      <c r="L1" s="50" t="s">
        <v>5</v>
      </c>
      <c r="M1" s="50" t="s">
        <v>6</v>
      </c>
      <c r="N1" s="50" t="s">
        <v>7</v>
      </c>
      <c r="O1" s="50" t="s">
        <v>8</v>
      </c>
      <c r="P1" s="50" t="s">
        <v>9</v>
      </c>
      <c r="Q1" s="50" t="s">
        <v>10</v>
      </c>
      <c r="R1" s="50" t="s">
        <v>11</v>
      </c>
      <c r="S1" s="50" t="s">
        <v>12</v>
      </c>
      <c r="T1" s="49" t="s">
        <v>2019</v>
      </c>
      <c r="U1" s="49" t="s">
        <v>1981</v>
      </c>
      <c r="V1" s="49" t="s">
        <v>1982</v>
      </c>
      <c r="W1" s="49" t="s">
        <v>1979</v>
      </c>
      <c r="X1" s="49" t="s">
        <v>1699</v>
      </c>
      <c r="Y1" s="51"/>
    </row>
    <row r="2">
      <c r="A2" s="52" t="s">
        <v>2020</v>
      </c>
      <c r="B2" s="52" t="s">
        <v>2021</v>
      </c>
      <c r="C2" s="52" t="s">
        <v>2022</v>
      </c>
      <c r="D2" s="52" t="s">
        <v>2023</v>
      </c>
      <c r="E2" s="52" t="s">
        <v>2024</v>
      </c>
      <c r="F2" s="52" t="s">
        <v>2025</v>
      </c>
      <c r="G2" s="52" t="s">
        <v>2026</v>
      </c>
      <c r="H2" s="52" t="s">
        <v>22</v>
      </c>
      <c r="I2" s="52" t="s">
        <v>23</v>
      </c>
      <c r="J2" s="52" t="s">
        <v>35</v>
      </c>
      <c r="K2" s="52" t="s">
        <v>365</v>
      </c>
      <c r="L2" s="52" t="s">
        <v>19</v>
      </c>
      <c r="M2" s="52" t="s">
        <v>27</v>
      </c>
      <c r="N2" s="53">
        <v>232470.0</v>
      </c>
      <c r="O2" s="53">
        <v>504.0</v>
      </c>
      <c r="P2" s="53">
        <v>40870.0</v>
      </c>
      <c r="Q2" s="53">
        <v>195447.0</v>
      </c>
      <c r="R2" s="53">
        <v>36.0</v>
      </c>
      <c r="S2" s="54">
        <v>5401.365085</v>
      </c>
      <c r="T2" s="55">
        <f t="shared" ref="T2:T21" si="1">S2/R2</f>
        <v>150.037919</v>
      </c>
      <c r="U2" s="56">
        <f t="shared" ref="U2:U21" si="2">(R2/O2)</f>
        <v>0.07142857143</v>
      </c>
      <c r="V2" s="57">
        <f t="shared" ref="V2:V21" si="3">S2/O2</f>
        <v>10.71699422</v>
      </c>
      <c r="W2" s="58">
        <f t="shared" ref="W2:W21" si="4">(S2/N2)*1000</f>
        <v>23.23467581</v>
      </c>
      <c r="X2" s="59">
        <f t="shared" ref="X2:X21" si="5">O2/N2</f>
        <v>0.00216802168</v>
      </c>
      <c r="Y2" s="60"/>
    </row>
    <row r="3">
      <c r="A3" s="52" t="s">
        <v>2020</v>
      </c>
      <c r="B3" s="52" t="s">
        <v>2021</v>
      </c>
      <c r="C3" s="52" t="s">
        <v>2022</v>
      </c>
      <c r="D3" s="52" t="s">
        <v>2023</v>
      </c>
      <c r="E3" s="52" t="s">
        <v>2027</v>
      </c>
      <c r="F3" s="52" t="s">
        <v>2025</v>
      </c>
      <c r="G3" s="52" t="s">
        <v>2028</v>
      </c>
      <c r="H3" s="52" t="s">
        <v>22</v>
      </c>
      <c r="I3" s="52" t="s">
        <v>42</v>
      </c>
      <c r="J3" s="52" t="s">
        <v>121</v>
      </c>
      <c r="K3" s="52" t="s">
        <v>539</v>
      </c>
      <c r="L3" s="52" t="s">
        <v>26</v>
      </c>
      <c r="M3" s="52" t="s">
        <v>27</v>
      </c>
      <c r="N3" s="53">
        <v>207685.0</v>
      </c>
      <c r="O3" s="53">
        <v>512.0</v>
      </c>
      <c r="P3" s="53">
        <v>20134.0</v>
      </c>
      <c r="Q3" s="53">
        <v>30708.0</v>
      </c>
      <c r="R3" s="53">
        <v>34.0</v>
      </c>
      <c r="S3" s="54">
        <v>5239.204787</v>
      </c>
      <c r="T3" s="61">
        <f t="shared" si="1"/>
        <v>154.0942584</v>
      </c>
      <c r="U3" s="62">
        <f t="shared" si="2"/>
        <v>0.06640625</v>
      </c>
      <c r="V3" s="63">
        <f t="shared" si="3"/>
        <v>10.23282185</v>
      </c>
      <c r="W3" s="64">
        <f t="shared" si="4"/>
        <v>25.22668843</v>
      </c>
      <c r="X3" s="65">
        <f t="shared" si="5"/>
        <v>0.002465271926</v>
      </c>
      <c r="Y3" s="60"/>
    </row>
    <row r="4">
      <c r="A4" s="52" t="s">
        <v>2020</v>
      </c>
      <c r="B4" s="52" t="s">
        <v>2021</v>
      </c>
      <c r="C4" s="52" t="s">
        <v>2022</v>
      </c>
      <c r="D4" s="52" t="s">
        <v>2023</v>
      </c>
      <c r="E4" s="52" t="s">
        <v>2056</v>
      </c>
      <c r="F4" s="52" t="s">
        <v>2036</v>
      </c>
      <c r="G4" s="52" t="s">
        <v>2047</v>
      </c>
      <c r="H4" s="52" t="s">
        <v>15</v>
      </c>
      <c r="I4" s="52" t="s">
        <v>31</v>
      </c>
      <c r="J4" s="52" t="s">
        <v>39</v>
      </c>
      <c r="K4" s="52" t="s">
        <v>186</v>
      </c>
      <c r="L4" s="52" t="s">
        <v>19</v>
      </c>
      <c r="M4" s="52" t="s">
        <v>20</v>
      </c>
      <c r="N4" s="53">
        <v>47394.0</v>
      </c>
      <c r="O4" s="53">
        <v>184.0</v>
      </c>
      <c r="P4" s="53">
        <v>22712.0</v>
      </c>
      <c r="Q4" s="53">
        <v>41918.0</v>
      </c>
      <c r="R4" s="53">
        <v>24.0</v>
      </c>
      <c r="S4" s="54">
        <v>4701.496237</v>
      </c>
      <c r="T4" s="66">
        <f t="shared" si="1"/>
        <v>195.8956765</v>
      </c>
      <c r="U4" s="67">
        <f t="shared" si="2"/>
        <v>0.1304347826</v>
      </c>
      <c r="V4" s="68">
        <f t="shared" si="3"/>
        <v>25.55160998</v>
      </c>
      <c r="W4" s="69">
        <f t="shared" si="4"/>
        <v>99.20024132</v>
      </c>
      <c r="X4" s="70">
        <f t="shared" si="5"/>
        <v>0.003882347977</v>
      </c>
      <c r="Y4" s="60"/>
    </row>
    <row r="5">
      <c r="A5" s="52" t="s">
        <v>2020</v>
      </c>
      <c r="B5" s="52" t="s">
        <v>2021</v>
      </c>
      <c r="C5" s="52" t="s">
        <v>2022</v>
      </c>
      <c r="D5" s="52" t="s">
        <v>2023</v>
      </c>
      <c r="E5" s="52" t="s">
        <v>2057</v>
      </c>
      <c r="F5" s="52" t="s">
        <v>2036</v>
      </c>
      <c r="G5" s="52" t="s">
        <v>2041</v>
      </c>
      <c r="H5" s="52" t="s">
        <v>22</v>
      </c>
      <c r="I5" s="52" t="s">
        <v>23</v>
      </c>
      <c r="J5" s="52" t="s">
        <v>78</v>
      </c>
      <c r="K5" s="52" t="s">
        <v>880</v>
      </c>
      <c r="L5" s="52" t="s">
        <v>50</v>
      </c>
      <c r="M5" s="52" t="s">
        <v>27</v>
      </c>
      <c r="N5" s="53">
        <v>44361.0</v>
      </c>
      <c r="O5" s="53">
        <v>166.0</v>
      </c>
      <c r="P5" s="53">
        <v>36040.0</v>
      </c>
      <c r="Q5" s="53">
        <v>40684.0</v>
      </c>
      <c r="R5" s="53">
        <v>17.0</v>
      </c>
      <c r="S5" s="54">
        <v>5048.852553</v>
      </c>
      <c r="T5" s="71">
        <f t="shared" si="1"/>
        <v>296.9913266</v>
      </c>
      <c r="U5" s="72">
        <f t="shared" si="2"/>
        <v>0.1024096386</v>
      </c>
      <c r="V5" s="73">
        <f t="shared" si="3"/>
        <v>30.41477442</v>
      </c>
      <c r="W5" s="74">
        <f t="shared" si="4"/>
        <v>113.8128661</v>
      </c>
      <c r="X5" s="75">
        <f t="shared" si="5"/>
        <v>0.003742025653</v>
      </c>
      <c r="Y5" s="60"/>
    </row>
    <row r="6">
      <c r="A6" s="52" t="s">
        <v>2020</v>
      </c>
      <c r="B6" s="52" t="s">
        <v>2021</v>
      </c>
      <c r="C6" s="52" t="s">
        <v>2022</v>
      </c>
      <c r="D6" s="52" t="s">
        <v>2023</v>
      </c>
      <c r="E6" s="52" t="s">
        <v>2033</v>
      </c>
      <c r="F6" s="52" t="s">
        <v>2025</v>
      </c>
      <c r="G6" s="52" t="s">
        <v>2034</v>
      </c>
      <c r="H6" s="52" t="s">
        <v>15</v>
      </c>
      <c r="I6" s="52" t="s">
        <v>16</v>
      </c>
      <c r="J6" s="52" t="s">
        <v>45</v>
      </c>
      <c r="K6" s="52" t="s">
        <v>539</v>
      </c>
      <c r="L6" s="52" t="s">
        <v>19</v>
      </c>
      <c r="M6" s="52" t="s">
        <v>27</v>
      </c>
      <c r="N6" s="53">
        <v>766674.0</v>
      </c>
      <c r="O6" s="53">
        <v>1984.0</v>
      </c>
      <c r="P6" s="53">
        <v>344201.0</v>
      </c>
      <c r="Q6" s="53">
        <v>720606.0</v>
      </c>
      <c r="R6" s="53">
        <v>17.0</v>
      </c>
      <c r="S6" s="54">
        <v>5816.234619</v>
      </c>
      <c r="T6" s="76">
        <f t="shared" si="1"/>
        <v>342.1314482</v>
      </c>
      <c r="U6" s="77">
        <f t="shared" si="2"/>
        <v>0.008568548387</v>
      </c>
      <c r="V6" s="55">
        <f t="shared" si="3"/>
        <v>2.931569868</v>
      </c>
      <c r="W6" s="55">
        <f t="shared" si="4"/>
        <v>7.586320417</v>
      </c>
      <c r="X6" s="78">
        <f t="shared" si="5"/>
        <v>0.002587801334</v>
      </c>
      <c r="Y6" s="60"/>
    </row>
    <row r="7">
      <c r="A7" s="52" t="s">
        <v>2020</v>
      </c>
      <c r="B7" s="52" t="s">
        <v>2021</v>
      </c>
      <c r="C7" s="52" t="s">
        <v>2022</v>
      </c>
      <c r="D7" s="52" t="s">
        <v>2023</v>
      </c>
      <c r="E7" s="52" t="s">
        <v>2037</v>
      </c>
      <c r="F7" s="52" t="s">
        <v>2025</v>
      </c>
      <c r="G7" s="52" t="s">
        <v>2038</v>
      </c>
      <c r="H7" s="52" t="s">
        <v>22</v>
      </c>
      <c r="I7" s="52" t="s">
        <v>31</v>
      </c>
      <c r="J7" s="52" t="s">
        <v>35</v>
      </c>
      <c r="K7" s="52" t="s">
        <v>261</v>
      </c>
      <c r="L7" s="52" t="s">
        <v>26</v>
      </c>
      <c r="M7" s="52" t="s">
        <v>27</v>
      </c>
      <c r="N7" s="53">
        <v>28553.0</v>
      </c>
      <c r="O7" s="53">
        <v>90.0</v>
      </c>
      <c r="P7" s="53">
        <v>11390.0</v>
      </c>
      <c r="Q7" s="53">
        <v>23355.0</v>
      </c>
      <c r="R7" s="53">
        <v>13.0</v>
      </c>
      <c r="S7" s="54">
        <v>5573.112396</v>
      </c>
      <c r="T7" s="79">
        <f t="shared" si="1"/>
        <v>428.7009535</v>
      </c>
      <c r="U7" s="80">
        <f t="shared" si="2"/>
        <v>0.1444444444</v>
      </c>
      <c r="V7" s="81">
        <f t="shared" si="3"/>
        <v>61.92347107</v>
      </c>
      <c r="W7" s="82">
        <f t="shared" si="4"/>
        <v>195.1848281</v>
      </c>
      <c r="X7" s="83">
        <f t="shared" si="5"/>
        <v>0.003152033061</v>
      </c>
      <c r="Y7" s="60"/>
    </row>
    <row r="8">
      <c r="A8" s="52" t="s">
        <v>2020</v>
      </c>
      <c r="B8" s="52" t="s">
        <v>2021</v>
      </c>
      <c r="C8" s="52" t="s">
        <v>2022</v>
      </c>
      <c r="D8" s="52" t="s">
        <v>2023</v>
      </c>
      <c r="E8" s="52" t="s">
        <v>2058</v>
      </c>
      <c r="F8" s="52" t="s">
        <v>2036</v>
      </c>
      <c r="G8" s="52" t="s">
        <v>2034</v>
      </c>
      <c r="H8" s="52" t="s">
        <v>15</v>
      </c>
      <c r="I8" s="52" t="s">
        <v>42</v>
      </c>
      <c r="J8" s="52" t="s">
        <v>35</v>
      </c>
      <c r="K8" s="52" t="s">
        <v>873</v>
      </c>
      <c r="L8" s="52" t="s">
        <v>117</v>
      </c>
      <c r="M8" s="52" t="s">
        <v>20</v>
      </c>
      <c r="N8" s="53">
        <v>48707.0</v>
      </c>
      <c r="O8" s="53">
        <v>185.0</v>
      </c>
      <c r="P8" s="53">
        <v>25182.0</v>
      </c>
      <c r="Q8" s="53">
        <v>44696.0</v>
      </c>
      <c r="R8" s="53">
        <v>13.0</v>
      </c>
      <c r="S8" s="54">
        <v>5600.355643</v>
      </c>
      <c r="T8" s="84">
        <f t="shared" si="1"/>
        <v>430.7965879</v>
      </c>
      <c r="U8" s="85">
        <f t="shared" si="2"/>
        <v>0.07027027027</v>
      </c>
      <c r="V8" s="86">
        <f t="shared" si="3"/>
        <v>30.27219266</v>
      </c>
      <c r="W8" s="87">
        <f t="shared" si="4"/>
        <v>114.9805088</v>
      </c>
      <c r="X8" s="88">
        <f t="shared" si="5"/>
        <v>0.003798222021</v>
      </c>
      <c r="Y8" s="60"/>
    </row>
    <row r="9">
      <c r="A9" s="52" t="s">
        <v>2020</v>
      </c>
      <c r="B9" s="52" t="s">
        <v>2021</v>
      </c>
      <c r="C9" s="52" t="s">
        <v>2022</v>
      </c>
      <c r="D9" s="52" t="s">
        <v>2023</v>
      </c>
      <c r="E9" s="52" t="s">
        <v>2042</v>
      </c>
      <c r="F9" s="52" t="s">
        <v>2025</v>
      </c>
      <c r="G9" s="52" t="s">
        <v>2041</v>
      </c>
      <c r="H9" s="52" t="s">
        <v>15</v>
      </c>
      <c r="I9" s="52" t="s">
        <v>16</v>
      </c>
      <c r="J9" s="52" t="s">
        <v>17</v>
      </c>
      <c r="K9" s="52" t="s">
        <v>669</v>
      </c>
      <c r="L9" s="52" t="s">
        <v>19</v>
      </c>
      <c r="M9" s="52" t="s">
        <v>27</v>
      </c>
      <c r="N9" s="53">
        <v>52006.0</v>
      </c>
      <c r="O9" s="53">
        <v>160.0</v>
      </c>
      <c r="P9" s="53">
        <v>24711.0</v>
      </c>
      <c r="Q9" s="53">
        <v>48019.0</v>
      </c>
      <c r="R9" s="53">
        <v>12.0</v>
      </c>
      <c r="S9" s="54">
        <v>5200.010118</v>
      </c>
      <c r="T9" s="89">
        <f t="shared" si="1"/>
        <v>433.3341765</v>
      </c>
      <c r="U9" s="90">
        <f t="shared" si="2"/>
        <v>0.075</v>
      </c>
      <c r="V9" s="87">
        <f t="shared" si="3"/>
        <v>32.50006324</v>
      </c>
      <c r="W9" s="91">
        <f t="shared" si="4"/>
        <v>99.98865742</v>
      </c>
      <c r="X9" s="92">
        <f t="shared" si="5"/>
        <v>0.003076568088</v>
      </c>
      <c r="Y9" s="60"/>
    </row>
    <row r="10">
      <c r="A10" s="52" t="s">
        <v>2020</v>
      </c>
      <c r="B10" s="52" t="s">
        <v>2021</v>
      </c>
      <c r="C10" s="52" t="s">
        <v>2022</v>
      </c>
      <c r="D10" s="52" t="s">
        <v>2023</v>
      </c>
      <c r="E10" s="52" t="s">
        <v>2059</v>
      </c>
      <c r="F10" s="52" t="s">
        <v>2036</v>
      </c>
      <c r="G10" s="52" t="s">
        <v>2052</v>
      </c>
      <c r="H10" s="52" t="s">
        <v>22</v>
      </c>
      <c r="I10" s="52" t="s">
        <v>16</v>
      </c>
      <c r="J10" s="52" t="s">
        <v>35</v>
      </c>
      <c r="K10" s="52" t="s">
        <v>1604</v>
      </c>
      <c r="L10" s="52" t="s">
        <v>48</v>
      </c>
      <c r="M10" s="52" t="s">
        <v>27</v>
      </c>
      <c r="N10" s="53">
        <v>47016.0</v>
      </c>
      <c r="O10" s="53">
        <v>199.0</v>
      </c>
      <c r="P10" s="53">
        <v>12210.0</v>
      </c>
      <c r="Q10" s="53">
        <v>38039.0</v>
      </c>
      <c r="R10" s="53">
        <v>13.0</v>
      </c>
      <c r="S10" s="54">
        <v>5974.87508</v>
      </c>
      <c r="T10" s="93">
        <f t="shared" si="1"/>
        <v>459.6057754</v>
      </c>
      <c r="U10" s="92">
        <f t="shared" si="2"/>
        <v>0.06532663317</v>
      </c>
      <c r="V10" s="94">
        <f t="shared" si="3"/>
        <v>30.02449789</v>
      </c>
      <c r="W10" s="95">
        <f t="shared" si="4"/>
        <v>127.0817398</v>
      </c>
      <c r="X10" s="96">
        <f t="shared" si="5"/>
        <v>0.004232601668</v>
      </c>
      <c r="Y10" s="60"/>
    </row>
    <row r="11">
      <c r="A11" s="52" t="s">
        <v>2020</v>
      </c>
      <c r="B11" s="52" t="s">
        <v>2021</v>
      </c>
      <c r="C11" s="52" t="s">
        <v>2022</v>
      </c>
      <c r="D11" s="52" t="s">
        <v>2023</v>
      </c>
      <c r="E11" s="52" t="s">
        <v>2044</v>
      </c>
      <c r="F11" s="52" t="s">
        <v>2025</v>
      </c>
      <c r="G11" s="52" t="s">
        <v>2045</v>
      </c>
      <c r="H11" s="52" t="s">
        <v>22</v>
      </c>
      <c r="I11" s="52" t="s">
        <v>16</v>
      </c>
      <c r="J11" s="52" t="s">
        <v>17</v>
      </c>
      <c r="K11" s="52" t="s">
        <v>197</v>
      </c>
      <c r="L11" s="52" t="s">
        <v>19</v>
      </c>
      <c r="M11" s="52" t="s">
        <v>27</v>
      </c>
      <c r="N11" s="53">
        <v>43117.0</v>
      </c>
      <c r="O11" s="53">
        <v>100.0</v>
      </c>
      <c r="P11" s="53">
        <v>6478.0</v>
      </c>
      <c r="Q11" s="53">
        <v>27405.0</v>
      </c>
      <c r="R11" s="53">
        <v>8.0</v>
      </c>
      <c r="S11" s="54">
        <v>4250.430439</v>
      </c>
      <c r="T11" s="97">
        <f t="shared" si="1"/>
        <v>531.3038049</v>
      </c>
      <c r="U11" s="98">
        <f t="shared" si="2"/>
        <v>0.08</v>
      </c>
      <c r="V11" s="99">
        <f t="shared" si="3"/>
        <v>42.50430439</v>
      </c>
      <c r="W11" s="100">
        <f t="shared" si="4"/>
        <v>98.57899295</v>
      </c>
      <c r="X11" s="101">
        <f t="shared" si="5"/>
        <v>0.002319270821</v>
      </c>
      <c r="Y11" s="60"/>
    </row>
    <row r="12">
      <c r="A12" s="52" t="s">
        <v>2020</v>
      </c>
      <c r="B12" s="52" t="s">
        <v>2021</v>
      </c>
      <c r="C12" s="52" t="s">
        <v>2022</v>
      </c>
      <c r="D12" s="52" t="s">
        <v>2023</v>
      </c>
      <c r="E12" s="52" t="s">
        <v>2046</v>
      </c>
      <c r="F12" s="52" t="s">
        <v>2025</v>
      </c>
      <c r="G12" s="52" t="s">
        <v>2047</v>
      </c>
      <c r="H12" s="52" t="s">
        <v>22</v>
      </c>
      <c r="I12" s="52" t="s">
        <v>31</v>
      </c>
      <c r="J12" s="52" t="s">
        <v>55</v>
      </c>
      <c r="K12" s="52" t="s">
        <v>702</v>
      </c>
      <c r="L12" s="52" t="s">
        <v>46</v>
      </c>
      <c r="M12" s="52" t="s">
        <v>27</v>
      </c>
      <c r="N12" s="53">
        <v>264580.0</v>
      </c>
      <c r="O12" s="53">
        <v>691.0</v>
      </c>
      <c r="P12" s="53">
        <v>217526.0</v>
      </c>
      <c r="Q12" s="53">
        <v>240731.0</v>
      </c>
      <c r="R12" s="53">
        <v>9.0</v>
      </c>
      <c r="S12" s="54">
        <v>4874.651722</v>
      </c>
      <c r="T12" s="87">
        <f t="shared" si="1"/>
        <v>541.6279691</v>
      </c>
      <c r="U12" s="102">
        <f t="shared" si="2"/>
        <v>0.01302460203</v>
      </c>
      <c r="V12" s="103">
        <f t="shared" si="3"/>
        <v>7.054488744</v>
      </c>
      <c r="W12" s="104">
        <f t="shared" si="4"/>
        <v>18.42411264</v>
      </c>
      <c r="X12" s="105">
        <f t="shared" si="5"/>
        <v>0.002611686446</v>
      </c>
      <c r="Y12" s="60"/>
    </row>
    <row r="13">
      <c r="A13" s="52" t="s">
        <v>2020</v>
      </c>
      <c r="B13" s="52" t="s">
        <v>2021</v>
      </c>
      <c r="C13" s="52" t="s">
        <v>2022</v>
      </c>
      <c r="D13" s="52" t="s">
        <v>2023</v>
      </c>
      <c r="E13" s="52" t="s">
        <v>2048</v>
      </c>
      <c r="F13" s="52" t="s">
        <v>2025</v>
      </c>
      <c r="G13" s="52" t="s">
        <v>2049</v>
      </c>
      <c r="H13" s="52" t="s">
        <v>22</v>
      </c>
      <c r="I13" s="52" t="s">
        <v>31</v>
      </c>
      <c r="J13" s="52" t="s">
        <v>35</v>
      </c>
      <c r="K13" s="52" t="s">
        <v>539</v>
      </c>
      <c r="L13" s="52" t="s">
        <v>50</v>
      </c>
      <c r="M13" s="52" t="s">
        <v>27</v>
      </c>
      <c r="N13" s="53">
        <v>742281.0</v>
      </c>
      <c r="O13" s="53">
        <v>1999.0</v>
      </c>
      <c r="P13" s="53">
        <v>432673.0</v>
      </c>
      <c r="Q13" s="53">
        <v>642404.0</v>
      </c>
      <c r="R13" s="53">
        <v>11.0</v>
      </c>
      <c r="S13" s="54">
        <v>6024.422487</v>
      </c>
      <c r="T13" s="87">
        <f t="shared" si="1"/>
        <v>547.6747715</v>
      </c>
      <c r="U13" s="106">
        <f t="shared" si="2"/>
        <v>0.005502751376</v>
      </c>
      <c r="V13" s="55">
        <f t="shared" si="3"/>
        <v>3.013718103</v>
      </c>
      <c r="W13" s="55">
        <f t="shared" si="4"/>
        <v>8.116094157</v>
      </c>
      <c r="X13" s="107">
        <f t="shared" si="5"/>
        <v>0.002693050206</v>
      </c>
      <c r="Y13" s="60"/>
    </row>
    <row r="14">
      <c r="A14" s="52" t="s">
        <v>2020</v>
      </c>
      <c r="B14" s="52" t="s">
        <v>2021</v>
      </c>
      <c r="C14" s="52" t="s">
        <v>2039</v>
      </c>
      <c r="D14" s="52" t="s">
        <v>2050</v>
      </c>
      <c r="E14" s="52" t="s">
        <v>2051</v>
      </c>
      <c r="F14" s="52" t="s">
        <v>2025</v>
      </c>
      <c r="G14" s="52" t="s">
        <v>2052</v>
      </c>
      <c r="H14" s="52" t="s">
        <v>15</v>
      </c>
      <c r="I14" s="52" t="s">
        <v>16</v>
      </c>
      <c r="J14" s="52" t="s">
        <v>17</v>
      </c>
      <c r="K14" s="52" t="s">
        <v>18</v>
      </c>
      <c r="L14" s="52" t="s">
        <v>19</v>
      </c>
      <c r="M14" s="52" t="s">
        <v>20</v>
      </c>
      <c r="N14" s="53">
        <v>10524.0</v>
      </c>
      <c r="O14" s="53">
        <v>55.0</v>
      </c>
      <c r="P14" s="53">
        <v>7601.0</v>
      </c>
      <c r="Q14" s="53">
        <v>10242.0</v>
      </c>
      <c r="R14" s="53">
        <v>11.0</v>
      </c>
      <c r="S14" s="54">
        <v>6136.133902</v>
      </c>
      <c r="T14" s="87">
        <f t="shared" si="1"/>
        <v>557.8303547</v>
      </c>
      <c r="U14" s="108">
        <f t="shared" si="2"/>
        <v>0.2</v>
      </c>
      <c r="V14" s="109">
        <f t="shared" si="3"/>
        <v>111.5660709</v>
      </c>
      <c r="W14" s="110">
        <f t="shared" si="4"/>
        <v>583.0609941</v>
      </c>
      <c r="X14" s="111">
        <f t="shared" si="5"/>
        <v>0.005226149753</v>
      </c>
      <c r="Y14" s="60"/>
    </row>
    <row r="15">
      <c r="A15" s="52" t="s">
        <v>2020</v>
      </c>
      <c r="B15" s="52" t="s">
        <v>2021</v>
      </c>
      <c r="C15" s="52" t="s">
        <v>2022</v>
      </c>
      <c r="D15" s="52" t="s">
        <v>2023</v>
      </c>
      <c r="E15" s="52" t="s">
        <v>2053</v>
      </c>
      <c r="F15" s="52" t="s">
        <v>2025</v>
      </c>
      <c r="G15" s="52" t="s">
        <v>2054</v>
      </c>
      <c r="H15" s="52" t="s">
        <v>15</v>
      </c>
      <c r="I15" s="52" t="s">
        <v>31</v>
      </c>
      <c r="J15" s="52" t="s">
        <v>84</v>
      </c>
      <c r="K15" s="52" t="s">
        <v>338</v>
      </c>
      <c r="L15" s="52" t="s">
        <v>26</v>
      </c>
      <c r="M15" s="52" t="s">
        <v>27</v>
      </c>
      <c r="N15" s="53">
        <v>121991.0</v>
      </c>
      <c r="O15" s="53">
        <v>369.0</v>
      </c>
      <c r="P15" s="53">
        <v>43079.0</v>
      </c>
      <c r="Q15" s="53">
        <v>99312.0</v>
      </c>
      <c r="R15" s="53">
        <v>4.0</v>
      </c>
      <c r="S15" s="54">
        <v>3993.214585</v>
      </c>
      <c r="T15" s="112">
        <f t="shared" si="1"/>
        <v>998.3036463</v>
      </c>
      <c r="U15" s="113">
        <f t="shared" si="2"/>
        <v>0.0108401084</v>
      </c>
      <c r="V15" s="57">
        <f t="shared" si="3"/>
        <v>10.82171974</v>
      </c>
      <c r="W15" s="114">
        <f t="shared" si="4"/>
        <v>32.73368187</v>
      </c>
      <c r="X15" s="115">
        <f t="shared" si="5"/>
        <v>0.003024813306</v>
      </c>
      <c r="Y15" s="60"/>
    </row>
    <row r="16">
      <c r="A16" s="52" t="s">
        <v>2020</v>
      </c>
      <c r="B16" s="52" t="s">
        <v>2021</v>
      </c>
      <c r="C16" s="52" t="s">
        <v>2022</v>
      </c>
      <c r="D16" s="52" t="s">
        <v>2023</v>
      </c>
      <c r="E16" s="52" t="s">
        <v>2055</v>
      </c>
      <c r="F16" s="52" t="s">
        <v>2025</v>
      </c>
      <c r="G16" s="52" t="s">
        <v>2032</v>
      </c>
      <c r="H16" s="52" t="s">
        <v>15</v>
      </c>
      <c r="I16" s="52" t="s">
        <v>42</v>
      </c>
      <c r="J16" s="52" t="s">
        <v>17</v>
      </c>
      <c r="K16" s="52" t="s">
        <v>469</v>
      </c>
      <c r="L16" s="52" t="s">
        <v>117</v>
      </c>
      <c r="M16" s="52" t="s">
        <v>27</v>
      </c>
      <c r="N16" s="53">
        <v>8273.0</v>
      </c>
      <c r="O16" s="53">
        <v>24.0</v>
      </c>
      <c r="P16" s="53">
        <v>1929.0</v>
      </c>
      <c r="Q16" s="53">
        <v>7441.0</v>
      </c>
      <c r="R16" s="53">
        <v>3.0</v>
      </c>
      <c r="S16" s="54">
        <v>4689.521024</v>
      </c>
      <c r="T16" s="116">
        <f t="shared" si="1"/>
        <v>1563.173675</v>
      </c>
      <c r="U16" s="117">
        <f t="shared" si="2"/>
        <v>0.125</v>
      </c>
      <c r="V16" s="118">
        <f t="shared" si="3"/>
        <v>195.3967093</v>
      </c>
      <c r="W16" s="119">
        <f t="shared" si="4"/>
        <v>566.8464915</v>
      </c>
      <c r="X16" s="120">
        <f t="shared" si="5"/>
        <v>0.002901003264</v>
      </c>
      <c r="Y16" s="60"/>
    </row>
    <row r="17">
      <c r="A17" s="52" t="s">
        <v>2020</v>
      </c>
      <c r="B17" s="52" t="s">
        <v>2021</v>
      </c>
      <c r="C17" s="52" t="s">
        <v>2022</v>
      </c>
      <c r="D17" s="52" t="s">
        <v>2023</v>
      </c>
      <c r="E17" s="52" t="s">
        <v>2060</v>
      </c>
      <c r="F17" s="52" t="s">
        <v>2036</v>
      </c>
      <c r="G17" s="52" t="s">
        <v>2061</v>
      </c>
      <c r="H17" s="52" t="s">
        <v>22</v>
      </c>
      <c r="I17" s="52" t="s">
        <v>42</v>
      </c>
      <c r="J17" s="52" t="s">
        <v>29</v>
      </c>
      <c r="K17" s="52" t="s">
        <v>657</v>
      </c>
      <c r="L17" s="52" t="s">
        <v>46</v>
      </c>
      <c r="M17" s="52" t="s">
        <v>27</v>
      </c>
      <c r="N17" s="53">
        <v>10835.0</v>
      </c>
      <c r="O17" s="53">
        <v>25.0</v>
      </c>
      <c r="P17" s="53">
        <v>2888.0</v>
      </c>
      <c r="Q17" s="53">
        <v>10487.0</v>
      </c>
      <c r="R17" s="53">
        <v>3.0</v>
      </c>
      <c r="S17" s="54">
        <v>4704.249956</v>
      </c>
      <c r="T17" s="116">
        <f t="shared" si="1"/>
        <v>1568.083319</v>
      </c>
      <c r="U17" s="121">
        <f t="shared" si="2"/>
        <v>0.12</v>
      </c>
      <c r="V17" s="122">
        <f t="shared" si="3"/>
        <v>188.1699982</v>
      </c>
      <c r="W17" s="109">
        <f t="shared" si="4"/>
        <v>434.1716618</v>
      </c>
      <c r="X17" s="123">
        <f t="shared" si="5"/>
        <v>0.002307337333</v>
      </c>
      <c r="Y17" s="60"/>
    </row>
    <row r="18">
      <c r="A18" s="52" t="s">
        <v>2020</v>
      </c>
      <c r="B18" s="52" t="s">
        <v>2021</v>
      </c>
      <c r="C18" s="52" t="s">
        <v>2039</v>
      </c>
      <c r="D18" s="52" t="s">
        <v>2050</v>
      </c>
      <c r="E18" s="52" t="s">
        <v>2062</v>
      </c>
      <c r="F18" s="52" t="s">
        <v>2036</v>
      </c>
      <c r="G18" s="52" t="s">
        <v>2038</v>
      </c>
      <c r="H18" s="52" t="s">
        <v>15</v>
      </c>
      <c r="I18" s="52" t="s">
        <v>31</v>
      </c>
      <c r="J18" s="52" t="s">
        <v>39</v>
      </c>
      <c r="K18" s="52" t="s">
        <v>25</v>
      </c>
      <c r="L18" s="52" t="s">
        <v>19</v>
      </c>
      <c r="M18" s="52" t="s">
        <v>27</v>
      </c>
      <c r="N18" s="53">
        <v>14730.0</v>
      </c>
      <c r="O18" s="53">
        <v>88.0</v>
      </c>
      <c r="P18" s="53">
        <v>1272.0</v>
      </c>
      <c r="Q18" s="53">
        <v>12427.0</v>
      </c>
      <c r="R18" s="53">
        <v>3.0</v>
      </c>
      <c r="S18" s="54">
        <v>5190.535998</v>
      </c>
      <c r="T18" s="124">
        <f t="shared" si="1"/>
        <v>1730.178666</v>
      </c>
      <c r="U18" s="125">
        <f t="shared" si="2"/>
        <v>0.03409090909</v>
      </c>
      <c r="V18" s="126">
        <f t="shared" si="3"/>
        <v>58.98336361</v>
      </c>
      <c r="W18" s="127">
        <f t="shared" si="4"/>
        <v>352.378547</v>
      </c>
      <c r="X18" s="128">
        <f t="shared" si="5"/>
        <v>0.005974202308</v>
      </c>
      <c r="Y18" s="60"/>
    </row>
    <row r="19">
      <c r="A19" s="52" t="s">
        <v>2020</v>
      </c>
      <c r="B19" s="52" t="s">
        <v>2021</v>
      </c>
      <c r="C19" s="52" t="s">
        <v>2022</v>
      </c>
      <c r="D19" s="52" t="s">
        <v>2023</v>
      </c>
      <c r="E19" s="52" t="s">
        <v>2063</v>
      </c>
      <c r="F19" s="52" t="s">
        <v>2036</v>
      </c>
      <c r="G19" s="52" t="s">
        <v>2028</v>
      </c>
      <c r="H19" s="52" t="s">
        <v>15</v>
      </c>
      <c r="I19" s="52" t="s">
        <v>42</v>
      </c>
      <c r="J19" s="52" t="s">
        <v>35</v>
      </c>
      <c r="K19" s="52" t="s">
        <v>743</v>
      </c>
      <c r="L19" s="52" t="s">
        <v>46</v>
      </c>
      <c r="M19" s="52" t="s">
        <v>20</v>
      </c>
      <c r="N19" s="53">
        <v>10815.0</v>
      </c>
      <c r="O19" s="53">
        <v>25.0</v>
      </c>
      <c r="P19" s="53">
        <v>4321.0</v>
      </c>
      <c r="Q19" s="53">
        <v>9646.0</v>
      </c>
      <c r="R19" s="53">
        <v>2.0</v>
      </c>
      <c r="S19" s="54">
        <v>4921.594843</v>
      </c>
      <c r="T19" s="127">
        <f t="shared" si="1"/>
        <v>2460.797422</v>
      </c>
      <c r="U19" s="98">
        <f t="shared" si="2"/>
        <v>0.08</v>
      </c>
      <c r="V19" s="129">
        <f t="shared" si="3"/>
        <v>196.8637937</v>
      </c>
      <c r="W19" s="130">
        <f t="shared" si="4"/>
        <v>455.0711829</v>
      </c>
      <c r="X19" s="131">
        <f t="shared" si="5"/>
        <v>0.002311604253</v>
      </c>
      <c r="Y19" s="60"/>
    </row>
    <row r="20">
      <c r="A20" s="52" t="s">
        <v>2020</v>
      </c>
      <c r="B20" s="52" t="s">
        <v>2021</v>
      </c>
      <c r="C20" s="52" t="s">
        <v>2022</v>
      </c>
      <c r="D20" s="52" t="s">
        <v>2023</v>
      </c>
      <c r="E20" s="52" t="s">
        <v>2064</v>
      </c>
      <c r="F20" s="52" t="s">
        <v>2036</v>
      </c>
      <c r="G20" s="52" t="s">
        <v>2030</v>
      </c>
      <c r="H20" s="52" t="s">
        <v>15</v>
      </c>
      <c r="I20" s="52" t="s">
        <v>16</v>
      </c>
      <c r="J20" s="52" t="s">
        <v>35</v>
      </c>
      <c r="K20" s="52" t="s">
        <v>569</v>
      </c>
      <c r="L20" s="52" t="s">
        <v>184</v>
      </c>
      <c r="M20" s="52" t="s">
        <v>27</v>
      </c>
      <c r="N20" s="53">
        <v>9725.0</v>
      </c>
      <c r="O20" s="53">
        <v>80.0</v>
      </c>
      <c r="P20" s="53">
        <v>6616.0</v>
      </c>
      <c r="Q20" s="53">
        <v>8778.0</v>
      </c>
      <c r="R20" s="53">
        <v>1.0</v>
      </c>
      <c r="S20" s="54">
        <v>4942.283987</v>
      </c>
      <c r="T20" s="132">
        <f t="shared" si="1"/>
        <v>4942.283987</v>
      </c>
      <c r="U20" s="102">
        <f t="shared" si="2"/>
        <v>0.0125</v>
      </c>
      <c r="V20" s="81">
        <f t="shared" si="3"/>
        <v>61.77854984</v>
      </c>
      <c r="W20" s="133">
        <f t="shared" si="4"/>
        <v>508.2040089</v>
      </c>
      <c r="X20" s="134">
        <f t="shared" si="5"/>
        <v>0.00822622108</v>
      </c>
      <c r="Y20" s="60"/>
    </row>
    <row r="21">
      <c r="A21" s="52" t="s">
        <v>2020</v>
      </c>
      <c r="B21" s="52" t="s">
        <v>2021</v>
      </c>
      <c r="C21" s="52" t="s">
        <v>2022</v>
      </c>
      <c r="D21" s="52" t="s">
        <v>2023</v>
      </c>
      <c r="E21" s="52" t="s">
        <v>2065</v>
      </c>
      <c r="F21" s="52" t="s">
        <v>2036</v>
      </c>
      <c r="G21" s="52" t="s">
        <v>2049</v>
      </c>
      <c r="H21" s="52" t="s">
        <v>15</v>
      </c>
      <c r="I21" s="52" t="s">
        <v>23</v>
      </c>
      <c r="J21" s="52" t="s">
        <v>84</v>
      </c>
      <c r="K21" s="52" t="s">
        <v>506</v>
      </c>
      <c r="L21" s="52" t="s">
        <v>46</v>
      </c>
      <c r="M21" s="52" t="s">
        <v>27</v>
      </c>
      <c r="N21" s="53">
        <v>9702.0</v>
      </c>
      <c r="O21" s="53">
        <v>40.0</v>
      </c>
      <c r="P21" s="53">
        <v>5564.0</v>
      </c>
      <c r="Q21" s="53">
        <v>8210.0</v>
      </c>
      <c r="R21" s="53">
        <v>1.0</v>
      </c>
      <c r="S21" s="54">
        <v>5711.39201</v>
      </c>
      <c r="T21" s="135">
        <f t="shared" si="1"/>
        <v>5711.39201</v>
      </c>
      <c r="U21" s="136">
        <f t="shared" si="2"/>
        <v>0.025</v>
      </c>
      <c r="V21" s="137">
        <f t="shared" si="3"/>
        <v>142.7848003</v>
      </c>
      <c r="W21" s="138">
        <f t="shared" si="4"/>
        <v>588.6819223</v>
      </c>
      <c r="X21" s="139">
        <f t="shared" si="5"/>
        <v>0.004122861266</v>
      </c>
      <c r="Y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row>
    <row r="23">
      <c r="A23" s="60"/>
      <c r="B23" s="60"/>
      <c r="C23" s="60"/>
      <c r="D23" s="60"/>
      <c r="E23" s="60"/>
      <c r="F23" s="60"/>
      <c r="G23" s="60"/>
      <c r="H23" s="60"/>
      <c r="I23" s="60"/>
      <c r="J23" s="60"/>
      <c r="K23" s="60"/>
      <c r="L23" s="60"/>
      <c r="M23" s="60"/>
      <c r="N23" s="60"/>
      <c r="O23" s="60"/>
      <c r="P23" s="60"/>
      <c r="Q23" s="60"/>
      <c r="R23" s="60"/>
      <c r="S23" s="60"/>
      <c r="T23" s="140"/>
      <c r="U23" s="60"/>
      <c r="V23" s="60"/>
      <c r="W23" s="60"/>
      <c r="X23" s="141"/>
      <c r="Y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55.25"/>
    <col customWidth="1" min="9" max="9" width="13.25"/>
    <col customWidth="1" min="10" max="10" width="34.25"/>
    <col customWidth="1" min="11" max="12" width="49.25"/>
    <col customWidth="1" min="13" max="13" width="35.5"/>
    <col customWidth="1" min="14" max="14" width="19.63"/>
    <col customWidth="1" min="15" max="15" width="23.0"/>
    <col customWidth="1" min="16" max="16" width="15.63"/>
    <col customWidth="1" min="17" max="17" width="18.38"/>
    <col customWidth="1" min="18" max="18" width="29.13"/>
    <col customWidth="1" min="19" max="19" width="28.5"/>
    <col customWidth="1" min="20" max="20" width="22.0"/>
    <col customWidth="1" min="21" max="33" width="49.25"/>
  </cols>
  <sheetData>
    <row r="1" ht="54.0" customHeight="1">
      <c r="A1" s="1" t="s">
        <v>0</v>
      </c>
      <c r="B1" s="1"/>
      <c r="C1" s="1"/>
      <c r="D1" s="1"/>
      <c r="E1" s="1"/>
      <c r="F1" s="1"/>
      <c r="G1" s="1"/>
      <c r="H1" s="1"/>
      <c r="I1" s="2" t="s">
        <v>1</v>
      </c>
      <c r="J1" s="2" t="s">
        <v>2</v>
      </c>
      <c r="K1" s="2" t="s">
        <v>3</v>
      </c>
      <c r="L1" s="2" t="s">
        <v>4</v>
      </c>
      <c r="M1" s="2" t="s">
        <v>5</v>
      </c>
      <c r="N1" s="2" t="s">
        <v>6</v>
      </c>
      <c r="O1" s="2" t="s">
        <v>7</v>
      </c>
      <c r="P1" s="2" t="s">
        <v>8</v>
      </c>
      <c r="Q1" s="2" t="s">
        <v>9</v>
      </c>
      <c r="R1" s="2" t="s">
        <v>10</v>
      </c>
      <c r="S1" s="2" t="s">
        <v>11</v>
      </c>
      <c r="T1" s="2" t="s">
        <v>12</v>
      </c>
      <c r="U1" s="3"/>
      <c r="V1" s="3"/>
      <c r="W1" s="3"/>
      <c r="X1" s="3"/>
      <c r="Y1" s="3"/>
      <c r="Z1" s="3"/>
      <c r="AA1" s="3"/>
      <c r="AB1" s="3"/>
      <c r="AC1" s="3"/>
      <c r="AD1" s="3"/>
      <c r="AE1" s="3"/>
      <c r="AF1" s="3"/>
      <c r="AG1" s="3"/>
    </row>
    <row r="2">
      <c r="A2" s="4" t="s">
        <v>1704</v>
      </c>
      <c r="B2" s="4" t="str">
        <f>IFERROR(__xludf.DUMMYFUNCTION("SPLIT(A2:A728, ""&gt;"")"),"Online Behavior")</f>
        <v>Online Behavior</v>
      </c>
      <c r="C2" s="4" t="str">
        <f>IFERROR(__xludf.DUMMYFUNCTION("""COMPUTED_VALUE"""),"United States")</f>
        <v>United States</v>
      </c>
      <c r="D2" s="4" t="str">
        <f>IFERROR(__xludf.DUMMYFUNCTION("""COMPUTED_VALUE"""),"Validated Demographic ")</f>
        <v>Validated Demographic </v>
      </c>
      <c r="E2" s="4" t="str">
        <f>IFERROR(__xludf.DUMMYFUNCTION("""COMPUTED_VALUE""")," Gender and Age Combined")</f>
        <v> Gender and Age Combined</v>
      </c>
      <c r="F2" s="4" t="str">
        <f>IFERROR(__xludf.DUMMYFUNCTION("""COMPUTED_VALUE"""),"Females 25 or older")</f>
        <v>Females 25 or older</v>
      </c>
      <c r="G2" s="4"/>
      <c r="H2" s="4"/>
      <c r="I2" s="5" t="s">
        <v>15</v>
      </c>
      <c r="J2" s="5" t="s">
        <v>16</v>
      </c>
      <c r="K2" s="5" t="s">
        <v>17</v>
      </c>
      <c r="L2" s="6" t="s">
        <v>18</v>
      </c>
      <c r="M2" s="5" t="s">
        <v>19</v>
      </c>
      <c r="N2" s="5" t="s">
        <v>20</v>
      </c>
      <c r="O2" s="5">
        <v>10524.0</v>
      </c>
      <c r="P2" s="5">
        <v>55.0</v>
      </c>
      <c r="Q2" s="5">
        <v>7601.0</v>
      </c>
      <c r="R2" s="5">
        <v>10242.0</v>
      </c>
      <c r="S2" s="5">
        <v>11.0</v>
      </c>
      <c r="T2" s="5">
        <v>6136.133902</v>
      </c>
    </row>
    <row r="3">
      <c r="A3" s="4" t="s">
        <v>1705</v>
      </c>
      <c r="B3" s="4" t="str">
        <f>IFERROR(__xludf.DUMMYFUNCTION("SPLIT(A3:A729, ""&gt;"")"),"Online Behavior")</f>
        <v>Online Behavior</v>
      </c>
      <c r="C3" s="4" t="str">
        <f>IFERROR(__xludf.DUMMYFUNCTION("""COMPUTED_VALUE"""),"United States")</f>
        <v>United States</v>
      </c>
      <c r="D3" s="4" t="str">
        <f>IFERROR(__xludf.DUMMYFUNCTION("""COMPUTED_VALUE"""),"Finance ")</f>
        <v>Finance </v>
      </c>
      <c r="E3" s="4" t="str">
        <f>IFERROR(__xludf.DUMMYFUNCTION("""COMPUTED_VALUE""")," Financial Planning and Management")</f>
        <v> Financial Planning and Management</v>
      </c>
      <c r="F3" s="4" t="str">
        <f>IFERROR(__xludf.DUMMYFUNCTION("""COMPUTED_VALUE"""),"Retirement and Pension")</f>
        <v>Retirement and Pension</v>
      </c>
      <c r="G3" s="4"/>
      <c r="H3" s="4"/>
      <c r="I3" s="5" t="s">
        <v>22</v>
      </c>
      <c r="J3" s="5" t="s">
        <v>23</v>
      </c>
      <c r="K3" s="5" t="s">
        <v>24</v>
      </c>
      <c r="L3" s="6" t="s">
        <v>25</v>
      </c>
      <c r="M3" s="5" t="s">
        <v>26</v>
      </c>
      <c r="N3" s="5" t="s">
        <v>27</v>
      </c>
      <c r="O3" s="5">
        <v>18324.0</v>
      </c>
      <c r="P3" s="5">
        <v>60.0</v>
      </c>
      <c r="Q3" s="5">
        <v>3145.0</v>
      </c>
      <c r="R3" s="5">
        <v>13703.0</v>
      </c>
      <c r="S3" s="5">
        <v>8.0</v>
      </c>
      <c r="T3" s="5">
        <v>6996.231838</v>
      </c>
    </row>
    <row r="4">
      <c r="A4" s="4" t="s">
        <v>1706</v>
      </c>
      <c r="B4" s="4" t="str">
        <f>IFERROR(__xludf.DUMMYFUNCTION("SPLIT(A4:A730, ""&gt;"")"),"Online Behavior")</f>
        <v>Online Behavior</v>
      </c>
      <c r="C4" s="4" t="str">
        <f>IFERROR(__xludf.DUMMYFUNCTION("""COMPUTED_VALUE"""),"United States")</f>
        <v>United States</v>
      </c>
      <c r="D4" s="4" t="str">
        <f>IFERROR(__xludf.DUMMYFUNCTION("""COMPUTED_VALUE"""),"Hobbies and Leisure")</f>
        <v>Hobbies and Leisure</v>
      </c>
      <c r="E4" s="4" t="str">
        <f>IFERROR(__xludf.DUMMYFUNCTION("""COMPUTED_VALUE"""),"Outdoors ")</f>
        <v>Outdoors </v>
      </c>
      <c r="F4" s="4" t="str">
        <f>IFERROR(__xludf.DUMMYFUNCTION("""COMPUTED_VALUE""")," Equestrian")</f>
        <v> Equestrian</v>
      </c>
      <c r="G4" s="4"/>
      <c r="H4" s="4"/>
      <c r="I4" s="5" t="s">
        <v>15</v>
      </c>
      <c r="J4" s="5" t="s">
        <v>16</v>
      </c>
      <c r="K4" s="5" t="s">
        <v>29</v>
      </c>
      <c r="L4" s="6" t="s">
        <v>25</v>
      </c>
      <c r="M4" s="5" t="s">
        <v>19</v>
      </c>
      <c r="N4" s="5" t="s">
        <v>27</v>
      </c>
      <c r="O4" s="5">
        <v>7862.0</v>
      </c>
      <c r="P4" s="5">
        <v>20.0</v>
      </c>
      <c r="Q4" s="5">
        <v>2152.0</v>
      </c>
      <c r="R4" s="5">
        <v>6039.0</v>
      </c>
      <c r="S4" s="5">
        <v>2.0</v>
      </c>
      <c r="T4" s="5">
        <v>6506.433687</v>
      </c>
    </row>
    <row r="5">
      <c r="A5" s="4" t="s">
        <v>1707</v>
      </c>
      <c r="B5" s="4" t="str">
        <f>IFERROR(__xludf.DUMMYFUNCTION("SPLIT(A5:A731, ""&gt;"")"),"Online Behavior")</f>
        <v>Online Behavior</v>
      </c>
      <c r="C5" s="4" t="str">
        <f>IFERROR(__xludf.DUMMYFUNCTION("""COMPUTED_VALUE"""),"United States")</f>
        <v>United States</v>
      </c>
      <c r="D5" s="4" t="str">
        <f>IFERROR(__xludf.DUMMYFUNCTION("""COMPUTED_VALUE"""),"Intent ")</f>
        <v>Intent </v>
      </c>
      <c r="E5" s="4" t="str">
        <f>IFERROR(__xludf.DUMMYFUNCTION("""COMPUTED_VALUE""")," Auto Buyers ")</f>
        <v> Auto Buyers </v>
      </c>
      <c r="F5" s="4" t="str">
        <f>IFERROR(__xludf.DUMMYFUNCTION("""COMPUTED_VALUE""")," Car Make")</f>
        <v> Car Make</v>
      </c>
      <c r="G5" s="4" t="str">
        <f>IFERROR(__xludf.DUMMYFUNCTION("""COMPUTED_VALUE"""),"Audi Q")</f>
        <v>Audi Q</v>
      </c>
      <c r="H5" s="4"/>
      <c r="I5" s="5" t="s">
        <v>15</v>
      </c>
      <c r="J5" s="5" t="s">
        <v>31</v>
      </c>
      <c r="K5" s="5" t="s">
        <v>32</v>
      </c>
      <c r="L5" s="6" t="s">
        <v>25</v>
      </c>
      <c r="M5" s="5" t="s">
        <v>33</v>
      </c>
      <c r="N5" s="5" t="s">
        <v>27</v>
      </c>
      <c r="O5" s="5">
        <v>10501.0</v>
      </c>
      <c r="P5" s="5">
        <v>90.0</v>
      </c>
      <c r="Q5" s="5">
        <v>4126.0</v>
      </c>
      <c r="R5" s="5">
        <v>7654.0</v>
      </c>
      <c r="S5" s="5">
        <v>8.0</v>
      </c>
      <c r="T5" s="5">
        <v>6244.517921</v>
      </c>
    </row>
    <row r="6">
      <c r="A6" s="4" t="s">
        <v>1708</v>
      </c>
      <c r="B6" s="4" t="str">
        <f>IFERROR(__xludf.DUMMYFUNCTION("SPLIT(A6:A732, ""&gt;"")"),"Online Behavior")</f>
        <v>Online Behavior</v>
      </c>
      <c r="C6" s="4" t="str">
        <f>IFERROR(__xludf.DUMMYFUNCTION("""COMPUTED_VALUE"""),"United States")</f>
        <v>United States</v>
      </c>
      <c r="D6" s="4" t="str">
        <f>IFERROR(__xludf.DUMMYFUNCTION("""COMPUTED_VALUE"""),"Beauty and Fitness")</f>
        <v>Beauty and Fitness</v>
      </c>
      <c r="E6" s="4" t="str">
        <f>IFERROR(__xludf.DUMMYFUNCTION("""COMPUTED_VALUE"""),"Fitness ")</f>
        <v>Fitness </v>
      </c>
      <c r="F6" s="4" t="str">
        <f>IFERROR(__xludf.DUMMYFUNCTION("""COMPUTED_VALUE""")," Fitness Instruction and Personal Training")</f>
        <v> Fitness Instruction and Personal Training</v>
      </c>
      <c r="G6" s="4"/>
      <c r="H6" s="4"/>
      <c r="I6" s="5" t="s">
        <v>15</v>
      </c>
      <c r="J6" s="5" t="s">
        <v>31</v>
      </c>
      <c r="K6" s="5" t="s">
        <v>35</v>
      </c>
      <c r="L6" s="6" t="s">
        <v>25</v>
      </c>
      <c r="M6" s="5" t="s">
        <v>36</v>
      </c>
      <c r="N6" s="5" t="s">
        <v>20</v>
      </c>
      <c r="O6" s="5">
        <v>23156.0</v>
      </c>
      <c r="P6" s="5">
        <v>73.0</v>
      </c>
      <c r="Q6" s="5">
        <v>4468.0</v>
      </c>
      <c r="R6" s="5">
        <v>18821.0</v>
      </c>
      <c r="S6" s="5">
        <v>15.0</v>
      </c>
      <c r="T6" s="5">
        <v>6173.41289</v>
      </c>
    </row>
    <row r="7">
      <c r="A7" s="4" t="s">
        <v>1709</v>
      </c>
      <c r="B7" s="4" t="str">
        <f>IFERROR(__xludf.DUMMYFUNCTION("SPLIT(A7:A733, ""&gt;"")"),"Online Behavior")</f>
        <v>Online Behavior</v>
      </c>
      <c r="C7" s="4" t="str">
        <f>IFERROR(__xludf.DUMMYFUNCTION("""COMPUTED_VALUE"""),"United States")</f>
        <v>United States</v>
      </c>
      <c r="D7" s="4" t="str">
        <f>IFERROR(__xludf.DUMMYFUNCTION("""COMPUTED_VALUE"""),"Autos and Vehicles ")</f>
        <v>Autos and Vehicles </v>
      </c>
      <c r="E7" s="4" t="str">
        <f>IFERROR(__xludf.DUMMYFUNCTION("""COMPUTED_VALUE""")," Brands")</f>
        <v> Brands</v>
      </c>
      <c r="F7" s="4" t="str">
        <f>IFERROR(__xludf.DUMMYFUNCTION("""COMPUTED_VALUE"""),"Jeep")</f>
        <v>Jeep</v>
      </c>
      <c r="G7" s="4"/>
      <c r="H7" s="4"/>
      <c r="I7" s="5" t="s">
        <v>22</v>
      </c>
      <c r="J7" s="5" t="s">
        <v>31</v>
      </c>
      <c r="K7" s="5" t="s">
        <v>17</v>
      </c>
      <c r="L7" s="6" t="s">
        <v>25</v>
      </c>
      <c r="M7" s="5" t="s">
        <v>19</v>
      </c>
      <c r="N7" s="5" t="s">
        <v>27</v>
      </c>
      <c r="O7" s="5">
        <v>23711.0</v>
      </c>
      <c r="P7" s="5">
        <v>69.0</v>
      </c>
      <c r="Q7" s="5">
        <v>4337.0</v>
      </c>
      <c r="R7" s="5">
        <v>17211.0</v>
      </c>
      <c r="S7" s="5">
        <v>8.0</v>
      </c>
      <c r="T7" s="5">
        <v>5740.952219</v>
      </c>
    </row>
    <row r="8">
      <c r="A8" s="4" t="s">
        <v>1710</v>
      </c>
      <c r="B8" s="4" t="str">
        <f>IFERROR(__xludf.DUMMYFUNCTION("SPLIT(A8:A734, ""&gt;"")"),"Online Behavior")</f>
        <v>Online Behavior</v>
      </c>
      <c r="C8" s="4" t="str">
        <f>IFERROR(__xludf.DUMMYFUNCTION("""COMPUTED_VALUE"""),"United States")</f>
        <v>United States</v>
      </c>
      <c r="D8" s="4" t="str">
        <f>IFERROR(__xludf.DUMMYFUNCTION("""COMPUTED_VALUE"""),"Autos and Vehicles ")</f>
        <v>Autos and Vehicles </v>
      </c>
      <c r="E8" s="4" t="str">
        <f>IFERROR(__xludf.DUMMYFUNCTION("""COMPUTED_VALUE""")," Brands")</f>
        <v> Brands</v>
      </c>
      <c r="F8" s="4" t="str">
        <f>IFERROR(__xludf.DUMMYFUNCTION("""COMPUTED_VALUE"""),"Mercedes-Benz")</f>
        <v>Mercedes-Benz</v>
      </c>
      <c r="G8" s="4"/>
      <c r="H8" s="4"/>
      <c r="I8" s="5" t="s">
        <v>22</v>
      </c>
      <c r="J8" s="5" t="s">
        <v>16</v>
      </c>
      <c r="K8" s="5" t="s">
        <v>39</v>
      </c>
      <c r="L8" s="6" t="s">
        <v>25</v>
      </c>
      <c r="M8" s="5" t="s">
        <v>26</v>
      </c>
      <c r="N8" s="5" t="s">
        <v>27</v>
      </c>
      <c r="O8" s="5">
        <v>23965.0</v>
      </c>
      <c r="P8" s="5">
        <v>270.0</v>
      </c>
      <c r="Q8" s="5">
        <v>13608.0</v>
      </c>
      <c r="R8" s="5">
        <v>21704.0</v>
      </c>
      <c r="S8" s="5">
        <v>12.0</v>
      </c>
      <c r="T8" s="5">
        <v>5706.864417</v>
      </c>
    </row>
    <row r="9">
      <c r="A9" s="4" t="s">
        <v>1711</v>
      </c>
      <c r="B9" s="4" t="str">
        <f>IFERROR(__xludf.DUMMYFUNCTION("SPLIT(A9:A735, ""&gt;"")"),"Online Behavior")</f>
        <v>Online Behavior</v>
      </c>
      <c r="C9" s="4" t="str">
        <f>IFERROR(__xludf.DUMMYFUNCTION("""COMPUTED_VALUE"""),"United States")</f>
        <v>United States</v>
      </c>
      <c r="D9" s="4" t="str">
        <f>IFERROR(__xludf.DUMMYFUNCTION("""COMPUTED_VALUE"""),"Validated Demographic ")</f>
        <v>Validated Demographic </v>
      </c>
      <c r="E9" s="4" t="str">
        <f>IFERROR(__xludf.DUMMYFUNCTION("""COMPUTED_VALUE""")," Gender and Age Combined")</f>
        <v> Gender and Age Combined</v>
      </c>
      <c r="F9" s="4" t="str">
        <f>IFERROR(__xludf.DUMMYFUNCTION("""COMPUTED_VALUE"""),"Males 18-54")</f>
        <v>Males 18-54</v>
      </c>
      <c r="G9" s="4"/>
      <c r="H9" s="4"/>
      <c r="I9" s="5" t="s">
        <v>15</v>
      </c>
      <c r="J9" s="5" t="s">
        <v>31</v>
      </c>
      <c r="K9" s="5" t="s">
        <v>39</v>
      </c>
      <c r="L9" s="6" t="s">
        <v>25</v>
      </c>
      <c r="M9" s="5" t="s">
        <v>19</v>
      </c>
      <c r="N9" s="5" t="s">
        <v>27</v>
      </c>
      <c r="O9" s="5">
        <v>14730.0</v>
      </c>
      <c r="P9" s="5">
        <v>88.0</v>
      </c>
      <c r="Q9" s="5">
        <v>1272.0</v>
      </c>
      <c r="R9" s="5">
        <v>12427.0</v>
      </c>
      <c r="S9" s="5">
        <v>3.0</v>
      </c>
      <c r="T9" s="5">
        <v>5190.535998</v>
      </c>
    </row>
    <row r="10">
      <c r="A10" s="4" t="s">
        <v>1712</v>
      </c>
      <c r="B10" s="4" t="str">
        <f>IFERROR(__xludf.DUMMYFUNCTION("SPLIT(A10:A736, ""&gt;"")"),"Online Behavior")</f>
        <v>Online Behavior</v>
      </c>
      <c r="C10" s="4" t="str">
        <f>IFERROR(__xludf.DUMMYFUNCTION("""COMPUTED_VALUE"""),"United States")</f>
        <v>United States</v>
      </c>
      <c r="D10" s="4" t="str">
        <f>IFERROR(__xludf.DUMMYFUNCTION("""COMPUTED_VALUE"""),"Validated Demographic ")</f>
        <v>Validated Demographic </v>
      </c>
      <c r="E10" s="4" t="str">
        <f>IFERROR(__xludf.DUMMYFUNCTION("""COMPUTED_VALUE""")," Age")</f>
        <v> Age</v>
      </c>
      <c r="F10" s="4" t="str">
        <f>IFERROR(__xludf.DUMMYFUNCTION("""COMPUTED_VALUE"""),"55-64")</f>
        <v>55-64</v>
      </c>
      <c r="G10" s="4"/>
      <c r="H10" s="4"/>
      <c r="I10" s="5" t="s">
        <v>15</v>
      </c>
      <c r="J10" s="5" t="s">
        <v>42</v>
      </c>
      <c r="K10" s="5" t="s">
        <v>43</v>
      </c>
      <c r="L10" s="6" t="s">
        <v>25</v>
      </c>
      <c r="M10" s="5" t="s">
        <v>36</v>
      </c>
      <c r="N10" s="5" t="s">
        <v>27</v>
      </c>
      <c r="O10" s="5">
        <v>36863.0</v>
      </c>
      <c r="P10" s="5">
        <v>116.0</v>
      </c>
      <c r="Q10" s="5">
        <v>3570.0</v>
      </c>
      <c r="R10" s="5">
        <v>29458.0</v>
      </c>
      <c r="S10" s="5">
        <v>15.0</v>
      </c>
      <c r="T10" s="5">
        <v>4752.816685</v>
      </c>
    </row>
    <row r="11">
      <c r="A11" s="4" t="s">
        <v>1713</v>
      </c>
      <c r="B11" s="4" t="str">
        <f>IFERROR(__xludf.DUMMYFUNCTION("SPLIT(A11:A737, ""&gt;"")"),"US ")</f>
        <v>US </v>
      </c>
      <c r="C11" s="4" t="str">
        <f>IFERROR(__xludf.DUMMYFUNCTION("""COMPUTED_VALUE""")," Interest Propensities ")</f>
        <v> Interest Propensities </v>
      </c>
      <c r="D11" s="4" t="str">
        <f>IFERROR(__xludf.DUMMYFUNCTION("""COMPUTED_VALUE""")," Brands ")</f>
        <v> Brands </v>
      </c>
      <c r="E11" s="4" t="str">
        <f>IFERROR(__xludf.DUMMYFUNCTION("""COMPUTED_VALUE""")," Quick Service Restaurants")</f>
        <v> Quick Service Restaurants</v>
      </c>
      <c r="F11" s="4"/>
      <c r="G11" s="4"/>
      <c r="H11" s="4"/>
      <c r="I11" s="5" t="s">
        <v>22</v>
      </c>
      <c r="J11" s="5" t="s">
        <v>31</v>
      </c>
      <c r="K11" s="5" t="s">
        <v>45</v>
      </c>
      <c r="L11" s="6" t="s">
        <v>25</v>
      </c>
      <c r="M11" s="5" t="s">
        <v>46</v>
      </c>
      <c r="N11" s="5" t="s">
        <v>27</v>
      </c>
      <c r="O11" s="5">
        <v>213699.0</v>
      </c>
      <c r="P11" s="5">
        <v>270.0</v>
      </c>
      <c r="Q11" s="5">
        <v>18395.0</v>
      </c>
      <c r="R11" s="5">
        <v>164487.0</v>
      </c>
      <c r="S11" s="5">
        <v>4.0</v>
      </c>
      <c r="T11" s="5">
        <v>2194.987125</v>
      </c>
    </row>
    <row r="12">
      <c r="A12" s="4" t="s">
        <v>1714</v>
      </c>
      <c r="B12" s="4" t="str">
        <f>IFERROR(__xludf.DUMMYFUNCTION("SPLIT(A12:A738, ""&gt;"")"),"US ")</f>
        <v>US </v>
      </c>
      <c r="C12" s="4" t="str">
        <f>IFERROR(__xludf.DUMMYFUNCTION("""COMPUTED_VALUE""")," B2B ")</f>
        <v> B2B </v>
      </c>
      <c r="D12" s="4" t="str">
        <f>IFERROR(__xludf.DUMMYFUNCTION("""COMPUTED_VALUE""")," B2B Decision Maker Responsibilities ")</f>
        <v> B2B Decision Maker Responsibilities </v>
      </c>
      <c r="E12" s="4" t="str">
        <f>IFERROR(__xludf.DUMMYFUNCTION("""COMPUTED_VALUE""")," Purchasing Utilities")</f>
        <v> Purchasing Utilities</v>
      </c>
      <c r="F12" s="4"/>
      <c r="G12" s="4"/>
      <c r="H12" s="4"/>
      <c r="I12" s="5" t="s">
        <v>22</v>
      </c>
      <c r="J12" s="5" t="s">
        <v>23</v>
      </c>
      <c r="K12" s="5" t="s">
        <v>32</v>
      </c>
      <c r="L12" s="6" t="s">
        <v>25</v>
      </c>
      <c r="M12" s="5" t="s">
        <v>48</v>
      </c>
      <c r="N12" s="5" t="s">
        <v>27</v>
      </c>
      <c r="O12" s="5">
        <v>49936.0</v>
      </c>
      <c r="P12" s="5">
        <v>126.0</v>
      </c>
      <c r="Q12" s="5">
        <v>25461.0</v>
      </c>
      <c r="R12" s="5">
        <v>44751.0</v>
      </c>
      <c r="S12" s="5">
        <v>13.0</v>
      </c>
      <c r="T12" s="5">
        <v>2025.784019</v>
      </c>
    </row>
    <row r="13">
      <c r="A13" s="4" t="s">
        <v>1715</v>
      </c>
      <c r="B13" s="4" t="str">
        <f>IFERROR(__xludf.DUMMYFUNCTION("SPLIT(A13:A739, ""&gt;"")"),"US ")</f>
        <v>US </v>
      </c>
      <c r="C13" s="4" t="str">
        <f>IFERROR(__xludf.DUMMYFUNCTION("""COMPUTED_VALUE""")," Interest Propensities ")</f>
        <v> Interest Propensities </v>
      </c>
      <c r="D13" s="4" t="str">
        <f>IFERROR(__xludf.DUMMYFUNCTION("""COMPUTED_VALUE""")," TV and Movies ")</f>
        <v> TV and Movies </v>
      </c>
      <c r="E13" s="4" t="str">
        <f>IFERROR(__xludf.DUMMYFUNCTION("""COMPUTED_VALUE""")," Sports TV")</f>
        <v> Sports TV</v>
      </c>
      <c r="F13" s="4"/>
      <c r="G13" s="4"/>
      <c r="H13" s="4"/>
      <c r="I13" s="5" t="s">
        <v>15</v>
      </c>
      <c r="J13" s="5" t="s">
        <v>23</v>
      </c>
      <c r="K13" s="5" t="s">
        <v>17</v>
      </c>
      <c r="L13" s="6" t="s">
        <v>25</v>
      </c>
      <c r="M13" s="5" t="s">
        <v>50</v>
      </c>
      <c r="N13" s="5" t="s">
        <v>27</v>
      </c>
      <c r="O13" s="5">
        <v>15200.0</v>
      </c>
      <c r="P13" s="5">
        <v>60.0</v>
      </c>
      <c r="Q13" s="5">
        <v>5375.0</v>
      </c>
      <c r="R13" s="5">
        <v>12040.0</v>
      </c>
      <c r="S13" s="5">
        <v>4.0</v>
      </c>
      <c r="T13" s="5">
        <v>1970.357345</v>
      </c>
    </row>
    <row r="14">
      <c r="A14" s="4" t="s">
        <v>1716</v>
      </c>
      <c r="B14" s="4" t="str">
        <f>IFERROR(__xludf.DUMMYFUNCTION("SPLIT(A14:A740, ""&gt;"")"),"Real Estate ")</f>
        <v>Real Estate </v>
      </c>
      <c r="C14" s="4" t="str">
        <f>IFERROR(__xludf.DUMMYFUNCTION("""COMPUTED_VALUE""")," Occupancy ")</f>
        <v> Occupancy </v>
      </c>
      <c r="D14" s="4" t="str">
        <f>IFERROR(__xludf.DUMMYFUNCTION("""COMPUTED_VALUE""")," Owner Occupied")</f>
        <v> Owner Occupied</v>
      </c>
      <c r="E14" s="4"/>
      <c r="F14" s="4"/>
      <c r="G14" s="4"/>
      <c r="H14" s="4"/>
      <c r="I14" s="5" t="s">
        <v>15</v>
      </c>
      <c r="J14" s="5" t="s">
        <v>31</v>
      </c>
      <c r="K14" s="5" t="s">
        <v>35</v>
      </c>
      <c r="L14" s="6" t="s">
        <v>25</v>
      </c>
      <c r="M14" s="5" t="s">
        <v>19</v>
      </c>
      <c r="N14" s="5" t="s">
        <v>52</v>
      </c>
      <c r="O14" s="5">
        <v>49250.0</v>
      </c>
      <c r="P14" s="5">
        <v>220.0</v>
      </c>
      <c r="Q14" s="5">
        <v>9205.0</v>
      </c>
      <c r="R14" s="5">
        <v>43535.0</v>
      </c>
      <c r="S14" s="5">
        <v>15.0</v>
      </c>
      <c r="T14" s="5">
        <v>1694.470977</v>
      </c>
    </row>
    <row r="15">
      <c r="A15" s="4" t="s">
        <v>1717</v>
      </c>
      <c r="B15" s="4" t="str">
        <f>IFERROR(__xludf.DUMMYFUNCTION("SPLIT(A15:A741, ""&gt;"")"),"US Financial ")</f>
        <v>US Financial </v>
      </c>
      <c r="C15" s="4" t="str">
        <f>IFERROR(__xludf.DUMMYFUNCTION("""COMPUTED_VALUE""")," Likely Credit Card ")</f>
        <v> Likely Credit Card </v>
      </c>
      <c r="D15" s="4" t="str">
        <f>IFERROR(__xludf.DUMMYFUNCTION("""COMPUTED_VALUE""")," Card in Own Name ")</f>
        <v> Card in Own Name </v>
      </c>
      <c r="E15" s="4" t="str">
        <f>IFERROR(__xludf.DUMMYFUNCTION("""COMPUTED_VALUE""")," Any major Credit/Debit Card (Financial)")</f>
        <v> Any major Credit/Debit Card (Financial)</v>
      </c>
      <c r="F15" s="4"/>
      <c r="G15" s="4"/>
      <c r="H15" s="4"/>
      <c r="I15" s="5" t="s">
        <v>15</v>
      </c>
      <c r="J15" s="5" t="s">
        <v>16</v>
      </c>
      <c r="K15" s="5" t="s">
        <v>29</v>
      </c>
      <c r="L15" s="6" t="s">
        <v>25</v>
      </c>
      <c r="M15" s="5" t="s">
        <v>46</v>
      </c>
      <c r="N15" s="5" t="s">
        <v>27</v>
      </c>
      <c r="O15" s="5">
        <v>10811.0</v>
      </c>
      <c r="P15" s="5">
        <v>25.0</v>
      </c>
      <c r="Q15" s="5">
        <v>988.0</v>
      </c>
      <c r="R15" s="5">
        <v>2975.0</v>
      </c>
      <c r="S15" s="5">
        <v>3.0</v>
      </c>
      <c r="T15" s="5">
        <v>1679.833815</v>
      </c>
    </row>
    <row r="16">
      <c r="A16" s="4" t="s">
        <v>54</v>
      </c>
      <c r="B16" s="4" t="str">
        <f>IFERROR(__xludf.DUMMYFUNCTION("SPLIT(A16:A742, ""&gt;"")"),"Online Behavior")</f>
        <v>Online Behavior</v>
      </c>
      <c r="C16" s="4" t="str">
        <f>IFERROR(__xludf.DUMMYFUNCTION("""COMPUTED_VALUE"""),"United States")</f>
        <v>United States</v>
      </c>
      <c r="D16" s="4" t="str">
        <f>IFERROR(__xludf.DUMMYFUNCTION("""COMPUTED_VALUE"""),"People and Society")</f>
        <v>People and Society</v>
      </c>
      <c r="E16" s="4" t="str">
        <f>IFERROR(__xludf.DUMMYFUNCTION("""COMPUTED_VALUE"""),"Millennials")</f>
        <v>Millennials</v>
      </c>
      <c r="F16" s="4"/>
      <c r="G16" s="4"/>
      <c r="H16" s="4"/>
      <c r="I16" s="5" t="s">
        <v>15</v>
      </c>
      <c r="J16" s="5" t="s">
        <v>23</v>
      </c>
      <c r="K16" s="5" t="s">
        <v>55</v>
      </c>
      <c r="L16" s="6" t="s">
        <v>25</v>
      </c>
      <c r="M16" s="5" t="s">
        <v>46</v>
      </c>
      <c r="N16" s="5" t="s">
        <v>27</v>
      </c>
      <c r="O16" s="5">
        <v>23829.0</v>
      </c>
      <c r="P16" s="5">
        <v>75.0</v>
      </c>
      <c r="Q16" s="5">
        <v>8326.0</v>
      </c>
      <c r="R16" s="5">
        <v>18812.0</v>
      </c>
      <c r="S16" s="5">
        <v>5.0</v>
      </c>
      <c r="T16" s="5">
        <v>1534.698</v>
      </c>
    </row>
    <row r="17">
      <c r="A17" s="4" t="s">
        <v>1718</v>
      </c>
      <c r="B17" s="4" t="str">
        <f>IFERROR(__xludf.DUMMYFUNCTION("SPLIT(A17:A743, ""&gt;"")"),"OnAudience ")</f>
        <v>OnAudience </v>
      </c>
      <c r="C17" s="4" t="str">
        <f>IFERROR(__xludf.DUMMYFUNCTION("""COMPUTED_VALUE""")," Intent ")</f>
        <v> Intent </v>
      </c>
      <c r="D17" s="4" t="str">
        <f>IFERROR(__xludf.DUMMYFUNCTION("""COMPUTED_VALUE""")," Electronics ")</f>
        <v> Electronics </v>
      </c>
      <c r="E17" s="4" t="str">
        <f>IFERROR(__xludf.DUMMYFUNCTION("""COMPUTED_VALUE""")," Video ")</f>
        <v> Video </v>
      </c>
      <c r="F17" s="4" t="str">
        <f>IFERROR(__xludf.DUMMYFUNCTION("""COMPUTED_VALUE""")," Televisions")</f>
        <v> Televisions</v>
      </c>
      <c r="G17" s="4"/>
      <c r="H17" s="4"/>
      <c r="I17" s="5" t="s">
        <v>22</v>
      </c>
      <c r="J17" s="5" t="s">
        <v>42</v>
      </c>
      <c r="K17" s="5" t="s">
        <v>17</v>
      </c>
      <c r="L17" s="6" t="s">
        <v>25</v>
      </c>
      <c r="M17" s="5" t="s">
        <v>48</v>
      </c>
      <c r="N17" s="5" t="s">
        <v>27</v>
      </c>
      <c r="O17" s="5">
        <v>19826.0</v>
      </c>
      <c r="P17" s="5">
        <v>39.0</v>
      </c>
      <c r="Q17" s="5">
        <v>6511.0</v>
      </c>
      <c r="R17" s="5">
        <v>15752.0</v>
      </c>
      <c r="S17" s="5">
        <v>10.0</v>
      </c>
      <c r="T17" s="5">
        <v>1447.873298</v>
      </c>
    </row>
    <row r="18">
      <c r="A18" s="4" t="s">
        <v>1719</v>
      </c>
      <c r="B18" s="4" t="str">
        <f>IFERROR(__xludf.DUMMYFUNCTION("SPLIT(A18:A744, ""&gt;"")"),"Online Behavior")</f>
        <v>Online Behavior</v>
      </c>
      <c r="C18" s="4" t="str">
        <f>IFERROR(__xludf.DUMMYFUNCTION("""COMPUTED_VALUE"""),"United States")</f>
        <v>United States</v>
      </c>
      <c r="D18" s="4" t="str">
        <f>IFERROR(__xludf.DUMMYFUNCTION("""COMPUTED_VALUE"""),"Arts and Entertainment")</f>
        <v>Arts and Entertainment</v>
      </c>
      <c r="E18" s="4" t="str">
        <f>IFERROR(__xludf.DUMMYFUNCTION("""COMPUTED_VALUE"""),"Events and Listings ")</f>
        <v>Events and Listings </v>
      </c>
      <c r="F18" s="4" t="str">
        <f>IFERROR(__xludf.DUMMYFUNCTION("""COMPUTED_VALUE""")," Bars, Clubs and Nightlife")</f>
        <v> Bars, Clubs and Nightlife</v>
      </c>
      <c r="G18" s="4"/>
      <c r="H18" s="4"/>
      <c r="I18" s="5" t="s">
        <v>15</v>
      </c>
      <c r="J18" s="5" t="s">
        <v>42</v>
      </c>
      <c r="K18" s="5" t="s">
        <v>35</v>
      </c>
      <c r="L18" s="6" t="s">
        <v>58</v>
      </c>
      <c r="M18" s="5" t="s">
        <v>36</v>
      </c>
      <c r="N18" s="5" t="s">
        <v>52</v>
      </c>
      <c r="O18" s="5">
        <v>81905.0</v>
      </c>
      <c r="P18" s="5">
        <v>220.0</v>
      </c>
      <c r="Q18" s="5">
        <v>61995.0</v>
      </c>
      <c r="R18" s="5">
        <v>71110.0</v>
      </c>
      <c r="S18" s="5">
        <v>24.0</v>
      </c>
      <c r="T18" s="5">
        <v>7065.66928</v>
      </c>
    </row>
    <row r="19">
      <c r="A19" s="4" t="s">
        <v>1720</v>
      </c>
      <c r="B19" s="4" t="str">
        <f>IFERROR(__xludf.DUMMYFUNCTION("SPLIT(A19:A745, ""&gt;"")"),"US ")</f>
        <v>US </v>
      </c>
      <c r="C19" s="4" t="str">
        <f>IFERROR(__xludf.DUMMYFUNCTION("""COMPUTED_VALUE""")," Interest Propensities ")</f>
        <v> Interest Propensities </v>
      </c>
      <c r="D19" s="4" t="str">
        <f>IFERROR(__xludf.DUMMYFUNCTION("""COMPUTED_VALUE""")," Activities and Interests ")</f>
        <v> Activities and Interests </v>
      </c>
      <c r="E19" s="4" t="str">
        <f>IFERROR(__xludf.DUMMYFUNCTION("""COMPUTED_VALUE""")," Local News")</f>
        <v> Local News</v>
      </c>
      <c r="F19" s="4"/>
      <c r="G19" s="4"/>
      <c r="H19" s="4"/>
      <c r="I19" s="5" t="s">
        <v>22</v>
      </c>
      <c r="J19" s="5" t="s">
        <v>23</v>
      </c>
      <c r="K19" s="5" t="s">
        <v>32</v>
      </c>
      <c r="L19" s="6" t="s">
        <v>58</v>
      </c>
      <c r="M19" s="5" t="s">
        <v>36</v>
      </c>
      <c r="N19" s="5" t="s">
        <v>27</v>
      </c>
      <c r="O19" s="5">
        <v>16151.0</v>
      </c>
      <c r="P19" s="5">
        <v>54.0</v>
      </c>
      <c r="Q19" s="5">
        <v>4360.0</v>
      </c>
      <c r="R19" s="5">
        <v>11358.0</v>
      </c>
      <c r="S19" s="5">
        <v>3.0</v>
      </c>
      <c r="T19" s="5">
        <v>1706.224318</v>
      </c>
    </row>
    <row r="20">
      <c r="A20" s="4" t="s">
        <v>1721</v>
      </c>
      <c r="B20" s="4" t="str">
        <f>IFERROR(__xludf.DUMMYFUNCTION("SPLIT(A20:A746, ""&gt;"")"),"US ")</f>
        <v>US </v>
      </c>
      <c r="C20" s="4" t="str">
        <f>IFERROR(__xludf.DUMMYFUNCTION("""COMPUTED_VALUE""")," Reach ")</f>
        <v> Reach </v>
      </c>
      <c r="D20" s="4" t="str">
        <f>IFERROR(__xludf.DUMMYFUNCTION("""COMPUTED_VALUE""")," Sociodemographic ")</f>
        <v> Sociodemographic </v>
      </c>
      <c r="E20" s="4" t="str">
        <f>IFERROR(__xludf.DUMMYFUNCTION("""COMPUTED_VALUE""")," Dwelling Type ")</f>
        <v> Dwelling Type </v>
      </c>
      <c r="F20" s="4" t="str">
        <f>IFERROR(__xludf.DUMMYFUNCTION("""COMPUTED_VALUE""")," Multi-family Dwelling Unit")</f>
        <v> Multi-family Dwelling Unit</v>
      </c>
      <c r="G20" s="4"/>
      <c r="H20" s="4"/>
      <c r="I20" s="5" t="s">
        <v>61</v>
      </c>
      <c r="J20" s="5" t="s">
        <v>31</v>
      </c>
      <c r="K20" s="5" t="s">
        <v>29</v>
      </c>
      <c r="L20" s="6" t="s">
        <v>58</v>
      </c>
      <c r="M20" s="5" t="s">
        <v>46</v>
      </c>
      <c r="N20" s="5" t="s">
        <v>27</v>
      </c>
      <c r="O20" s="5">
        <v>68704.0</v>
      </c>
      <c r="P20" s="5">
        <v>185.0</v>
      </c>
      <c r="Q20" s="5">
        <v>31283.0</v>
      </c>
      <c r="R20" s="5">
        <v>59462.0</v>
      </c>
      <c r="S20" s="5">
        <v>16.0</v>
      </c>
      <c r="T20" s="5">
        <v>1605.566031</v>
      </c>
    </row>
    <row r="21">
      <c r="A21" s="4" t="s">
        <v>1722</v>
      </c>
      <c r="B21" s="4" t="str">
        <f>IFERROR(__xludf.DUMMYFUNCTION("SPLIT(A21:A747, ""&gt;"")"),"OnAudience ")</f>
        <v>OnAudience </v>
      </c>
      <c r="C21" s="4" t="str">
        <f>IFERROR(__xludf.DUMMYFUNCTION("""COMPUTED_VALUE""")," Intent ")</f>
        <v> Intent </v>
      </c>
      <c r="D21" s="4" t="str">
        <f>IFERROR(__xludf.DUMMYFUNCTION("""COMPUTED_VALUE""")," Software ")</f>
        <v> Software </v>
      </c>
      <c r="E21" s="4" t="str">
        <f>IFERROR(__xludf.DUMMYFUNCTION("""COMPUTED_VALUE""")," Video Game Software")</f>
        <v> Video Game Software</v>
      </c>
      <c r="F21" s="4"/>
      <c r="G21" s="4"/>
      <c r="H21" s="4"/>
      <c r="I21" s="5" t="s">
        <v>15</v>
      </c>
      <c r="J21" s="5" t="s">
        <v>23</v>
      </c>
      <c r="K21" s="5" t="s">
        <v>29</v>
      </c>
      <c r="L21" s="6" t="s">
        <v>58</v>
      </c>
      <c r="M21" s="5" t="s">
        <v>19</v>
      </c>
      <c r="N21" s="5" t="s">
        <v>52</v>
      </c>
      <c r="O21" s="5">
        <v>76439.0</v>
      </c>
      <c r="P21" s="5">
        <v>100.0</v>
      </c>
      <c r="Q21" s="5">
        <v>58269.0</v>
      </c>
      <c r="R21" s="5">
        <v>66924.0</v>
      </c>
      <c r="S21" s="5">
        <v>8.0</v>
      </c>
      <c r="T21" s="5">
        <v>1524.810224</v>
      </c>
    </row>
    <row r="22">
      <c r="A22" s="4" t="s">
        <v>1723</v>
      </c>
      <c r="B22" s="4" t="str">
        <f>IFERROR(__xludf.DUMMYFUNCTION("SPLIT(A22:A748, ""&gt;"")"),"Online Behavior")</f>
        <v>Online Behavior</v>
      </c>
      <c r="C22" s="4" t="str">
        <f>IFERROR(__xludf.DUMMYFUNCTION("""COMPUTED_VALUE"""),"United States")</f>
        <v>United States</v>
      </c>
      <c r="D22" s="4" t="str">
        <f>IFERROR(__xludf.DUMMYFUNCTION("""COMPUTED_VALUE"""),"B2B ")</f>
        <v>B2B </v>
      </c>
      <c r="E22" s="4" t="str">
        <f>IFERROR(__xludf.DUMMYFUNCTION("""COMPUTED_VALUE""")," Occupation")</f>
        <v> Occupation</v>
      </c>
      <c r="F22" s="4" t="str">
        <f>IFERROR(__xludf.DUMMYFUNCTION("""COMPUTED_VALUE"""),"Musician")</f>
        <v>Musician</v>
      </c>
      <c r="G22" s="4"/>
      <c r="H22" s="4"/>
      <c r="I22" s="5" t="s">
        <v>15</v>
      </c>
      <c r="J22" s="5" t="s">
        <v>16</v>
      </c>
      <c r="K22" s="5" t="s">
        <v>35</v>
      </c>
      <c r="L22" s="6" t="s">
        <v>64</v>
      </c>
      <c r="M22" s="5" t="s">
        <v>33</v>
      </c>
      <c r="N22" s="5" t="s">
        <v>52</v>
      </c>
      <c r="O22" s="5">
        <v>17833.0</v>
      </c>
      <c r="P22" s="5">
        <v>61.0</v>
      </c>
      <c r="Q22" s="5">
        <v>8670.0</v>
      </c>
      <c r="R22" s="5">
        <v>16871.0</v>
      </c>
      <c r="S22" s="5">
        <v>10.0</v>
      </c>
      <c r="T22" s="5">
        <v>4899.155955</v>
      </c>
    </row>
    <row r="23">
      <c r="A23" s="4" t="s">
        <v>1724</v>
      </c>
      <c r="B23" s="4" t="str">
        <f>IFERROR(__xludf.DUMMYFUNCTION("SPLIT(A23:A749, ""&gt;"")"),"Lotame ")</f>
        <v>Lotame </v>
      </c>
      <c r="C23" s="4" t="str">
        <f>IFERROR(__xludf.DUMMYFUNCTION("""COMPUTED_VALUE""")," Travel ")</f>
        <v> Travel </v>
      </c>
      <c r="D23" s="4" t="str">
        <f>IFERROR(__xludf.DUMMYFUNCTION("""COMPUTED_VALUE""")," Summer Travel")</f>
        <v> Summer Travel</v>
      </c>
      <c r="E23" s="4"/>
      <c r="F23" s="4"/>
      <c r="G23" s="4"/>
      <c r="H23" s="4"/>
      <c r="I23" s="5" t="s">
        <v>15</v>
      </c>
      <c r="J23" s="5" t="s">
        <v>31</v>
      </c>
      <c r="K23" s="5" t="s">
        <v>66</v>
      </c>
      <c r="L23" s="6" t="s">
        <v>64</v>
      </c>
      <c r="M23" s="5" t="s">
        <v>19</v>
      </c>
      <c r="N23" s="5" t="s">
        <v>20</v>
      </c>
      <c r="O23" s="5">
        <v>16719.0</v>
      </c>
      <c r="P23" s="5">
        <v>35.0</v>
      </c>
      <c r="Q23" s="5">
        <v>9944.0</v>
      </c>
      <c r="R23" s="5">
        <v>15714.0</v>
      </c>
      <c r="S23" s="5">
        <v>13.0</v>
      </c>
      <c r="T23" s="5">
        <v>1588.6475</v>
      </c>
    </row>
    <row r="24">
      <c r="A24" s="4" t="s">
        <v>1725</v>
      </c>
      <c r="B24" s="4" t="str">
        <f>IFERROR(__xludf.DUMMYFUNCTION("SPLIT(A24:A750, ""&gt;"")"),"US ")</f>
        <v>US </v>
      </c>
      <c r="C24" s="4" t="str">
        <f>IFERROR(__xludf.DUMMYFUNCTION("""COMPUTED_VALUE""")," Home and Garden Interests ")</f>
        <v> Home and Garden Interests </v>
      </c>
      <c r="D24" s="4" t="str">
        <f>IFERROR(__xludf.DUMMYFUNCTION("""COMPUTED_VALUE""")," Cooking ")</f>
        <v> Cooking </v>
      </c>
      <c r="E24" s="4" t="str">
        <f>IFERROR(__xludf.DUMMYFUNCTION("""COMPUTED_VALUE""")," Food Enthusiasts")</f>
        <v> Food Enthusiasts</v>
      </c>
      <c r="F24" s="4"/>
      <c r="G24" s="4"/>
      <c r="H24" s="4"/>
      <c r="I24" s="5" t="s">
        <v>22</v>
      </c>
      <c r="J24" s="5" t="s">
        <v>16</v>
      </c>
      <c r="K24" s="5" t="s">
        <v>45</v>
      </c>
      <c r="L24" s="6" t="s">
        <v>64</v>
      </c>
      <c r="M24" s="5" t="s">
        <v>26</v>
      </c>
      <c r="N24" s="5" t="s">
        <v>27</v>
      </c>
      <c r="O24" s="5">
        <v>12592.0</v>
      </c>
      <c r="P24" s="5">
        <v>63.0</v>
      </c>
      <c r="Q24" s="5">
        <v>7472.0</v>
      </c>
      <c r="R24" s="5">
        <v>11687.0</v>
      </c>
      <c r="S24" s="5">
        <v>4.0</v>
      </c>
      <c r="T24" s="5">
        <v>1521.185189</v>
      </c>
    </row>
    <row r="25">
      <c r="A25" s="4" t="s">
        <v>1726</v>
      </c>
      <c r="B25" s="4" t="str">
        <f>IFERROR(__xludf.DUMMYFUNCTION("SPLIT(A25:A751, ""&gt;"")"),"US ")</f>
        <v>US </v>
      </c>
      <c r="C25" s="4" t="str">
        <f>IFERROR(__xludf.DUMMYFUNCTION("""COMPUTED_VALUE""")," Demo ")</f>
        <v> Demo </v>
      </c>
      <c r="D25" s="4" t="str">
        <f>IFERROR(__xludf.DUMMYFUNCTION("""COMPUTED_VALUE""")," Age ")</f>
        <v> Age </v>
      </c>
      <c r="E25" s="4" t="str">
        <f>IFERROR(__xludf.DUMMYFUNCTION("""COMPUTED_VALUE""")," 55-64")</f>
        <v> 55-64</v>
      </c>
      <c r="F25" s="4"/>
      <c r="G25" s="4"/>
      <c r="H25" s="4"/>
      <c r="I25" s="5" t="s">
        <v>15</v>
      </c>
      <c r="J25" s="5" t="s">
        <v>23</v>
      </c>
      <c r="K25" s="5" t="s">
        <v>32</v>
      </c>
      <c r="L25" s="6" t="s">
        <v>64</v>
      </c>
      <c r="M25" s="5" t="s">
        <v>36</v>
      </c>
      <c r="N25" s="5" t="s">
        <v>27</v>
      </c>
      <c r="O25" s="5">
        <v>14136.0</v>
      </c>
      <c r="P25" s="5">
        <v>88.0</v>
      </c>
      <c r="Q25" s="5">
        <v>4683.0</v>
      </c>
      <c r="R25" s="5">
        <v>13273.0</v>
      </c>
      <c r="S25" s="5">
        <v>3.0</v>
      </c>
      <c r="T25" s="5">
        <v>1476.536841</v>
      </c>
    </row>
    <row r="26">
      <c r="A26" s="4" t="s">
        <v>1727</v>
      </c>
      <c r="B26" s="4" t="str">
        <f>IFERROR(__xludf.DUMMYFUNCTION("SPLIT(A26:A752, ""&gt;"")"),"Online Behavior")</f>
        <v>Online Behavior</v>
      </c>
      <c r="C26" s="4" t="str">
        <f>IFERROR(__xludf.DUMMYFUNCTION("""COMPUTED_VALUE"""),"United States")</f>
        <v>United States</v>
      </c>
      <c r="D26" s="4" t="str">
        <f>IFERROR(__xludf.DUMMYFUNCTION("""COMPUTED_VALUE"""),"Intent ")</f>
        <v>Intent </v>
      </c>
      <c r="E26" s="4" t="str">
        <f>IFERROR(__xludf.DUMMYFUNCTION("""COMPUTED_VALUE""")," Auto Buyers ")</f>
        <v> Auto Buyers </v>
      </c>
      <c r="F26" s="4" t="str">
        <f>IFERROR(__xludf.DUMMYFUNCTION("""COMPUTED_VALUE""")," Type")</f>
        <v> Type</v>
      </c>
      <c r="G26" s="4" t="str">
        <f>IFERROR(__xludf.DUMMYFUNCTION("""COMPUTED_VALUE"""),"Luxury")</f>
        <v>Luxury</v>
      </c>
      <c r="H26" s="4"/>
      <c r="I26" s="5" t="s">
        <v>22</v>
      </c>
      <c r="J26" s="5" t="s">
        <v>31</v>
      </c>
      <c r="K26" s="5" t="s">
        <v>17</v>
      </c>
      <c r="L26" s="6" t="s">
        <v>70</v>
      </c>
      <c r="M26" s="5" t="s">
        <v>26</v>
      </c>
      <c r="N26" s="5" t="s">
        <v>27</v>
      </c>
      <c r="O26" s="5">
        <v>14489.0</v>
      </c>
      <c r="P26" s="5">
        <v>37.0</v>
      </c>
      <c r="Q26" s="5">
        <v>12453.0</v>
      </c>
      <c r="R26" s="5">
        <v>13873.0</v>
      </c>
      <c r="S26" s="5">
        <v>10.0</v>
      </c>
      <c r="T26" s="5">
        <v>6195.840734</v>
      </c>
    </row>
    <row r="27">
      <c r="A27" s="4" t="s">
        <v>1728</v>
      </c>
      <c r="B27" s="4" t="str">
        <f>IFERROR(__xludf.DUMMYFUNCTION("SPLIT(A27:A753, ""&gt;"")"),"US ")</f>
        <v>US </v>
      </c>
      <c r="C27" s="4" t="str">
        <f>IFERROR(__xludf.DUMMYFUNCTION("""COMPUTED_VALUE""")," Brand Propensities ")</f>
        <v> Brand Propensities </v>
      </c>
      <c r="D27" s="4" t="str">
        <f>IFERROR(__xludf.DUMMYFUNCTION("""COMPUTED_VALUE""")," Media and Entertainment ")</f>
        <v> Media and Entertainment </v>
      </c>
      <c r="E27" s="4" t="str">
        <f>IFERROR(__xludf.DUMMYFUNCTION("""COMPUTED_VALUE""")," wwe.com Buyer Propensity")</f>
        <v> wwe.com Buyer Propensity</v>
      </c>
      <c r="F27" s="4"/>
      <c r="G27" s="4"/>
      <c r="H27" s="4"/>
      <c r="I27" s="5" t="s">
        <v>15</v>
      </c>
      <c r="J27" s="5" t="s">
        <v>31</v>
      </c>
      <c r="K27" s="5" t="s">
        <v>45</v>
      </c>
      <c r="L27" s="6" t="s">
        <v>72</v>
      </c>
      <c r="M27" s="5" t="s">
        <v>19</v>
      </c>
      <c r="N27" s="5" t="s">
        <v>52</v>
      </c>
      <c r="O27" s="5">
        <v>20348.0</v>
      </c>
      <c r="P27" s="5">
        <v>101.0</v>
      </c>
      <c r="Q27" s="5">
        <v>14945.0</v>
      </c>
      <c r="R27" s="5">
        <v>19548.0</v>
      </c>
      <c r="S27" s="5">
        <v>6.0</v>
      </c>
      <c r="T27" s="5">
        <v>1596.552373</v>
      </c>
    </row>
    <row r="28">
      <c r="A28" s="4" t="s">
        <v>1729</v>
      </c>
      <c r="B28" s="4" t="str">
        <f>IFERROR(__xludf.DUMMYFUNCTION("SPLIT(A28:A754, ""&gt;"")"),"Online Behavior")</f>
        <v>Online Behavior</v>
      </c>
      <c r="C28" s="4" t="str">
        <f>IFERROR(__xludf.DUMMYFUNCTION("""COMPUTED_VALUE"""),"United States")</f>
        <v>United States</v>
      </c>
      <c r="D28" s="4" t="str">
        <f>IFERROR(__xludf.DUMMYFUNCTION("""COMPUTED_VALUE"""),"Sports")</f>
        <v>Sports</v>
      </c>
      <c r="E28" s="4" t="str">
        <f>IFERROR(__xludf.DUMMYFUNCTION("""COMPUTED_VALUE"""),"Sports League ")</f>
        <v>Sports League </v>
      </c>
      <c r="F28" s="4" t="str">
        <f>IFERROR(__xludf.DUMMYFUNCTION("""COMPUTED_VALUE""")," NFL")</f>
        <v> NFL</v>
      </c>
      <c r="G28" s="4"/>
      <c r="H28" s="4"/>
      <c r="I28" s="5" t="s">
        <v>22</v>
      </c>
      <c r="J28" s="5" t="s">
        <v>31</v>
      </c>
      <c r="K28" s="5" t="s">
        <v>17</v>
      </c>
      <c r="L28" s="6" t="s">
        <v>74</v>
      </c>
      <c r="M28" s="5" t="s">
        <v>48</v>
      </c>
      <c r="N28" s="5" t="s">
        <v>27</v>
      </c>
      <c r="O28" s="5">
        <v>40447.0</v>
      </c>
      <c r="P28" s="5">
        <v>177.0</v>
      </c>
      <c r="Q28" s="5">
        <v>16663.0</v>
      </c>
      <c r="R28" s="5">
        <v>29774.0</v>
      </c>
      <c r="S28" s="5">
        <v>12.0</v>
      </c>
      <c r="T28" s="5">
        <v>5083.886273</v>
      </c>
    </row>
    <row r="29">
      <c r="A29" s="4" t="s">
        <v>1069</v>
      </c>
      <c r="B29" s="4" t="str">
        <f>IFERROR(__xludf.DUMMYFUNCTION("SPLIT(A29:A755, ""&gt;"")"),"Online Behavior")</f>
        <v>Online Behavior</v>
      </c>
      <c r="C29" s="4" t="str">
        <f>IFERROR(__xludf.DUMMYFUNCTION("""COMPUTED_VALUE"""),"United States")</f>
        <v>United States</v>
      </c>
      <c r="D29" s="4" t="str">
        <f>IFERROR(__xludf.DUMMYFUNCTION("""COMPUTED_VALUE"""),"Intent ")</f>
        <v>Intent </v>
      </c>
      <c r="E29" s="4" t="str">
        <f>IFERROR(__xludf.DUMMYFUNCTION("""COMPUTED_VALUE""")," Auto Buyers ")</f>
        <v> Auto Buyers </v>
      </c>
      <c r="F29" s="4" t="str">
        <f>IFERROR(__xludf.DUMMYFUNCTION("""COMPUTED_VALUE""")," Car Make")</f>
        <v> Car Make</v>
      </c>
      <c r="G29" s="4" t="str">
        <f>IFERROR(__xludf.DUMMYFUNCTION("""COMPUTED_VALUE"""),"Volkswagen")</f>
        <v>Volkswagen</v>
      </c>
      <c r="H29" s="4"/>
      <c r="I29" s="5" t="s">
        <v>15</v>
      </c>
      <c r="J29" s="5" t="s">
        <v>23</v>
      </c>
      <c r="K29" s="5" t="s">
        <v>35</v>
      </c>
      <c r="L29" s="6" t="s">
        <v>76</v>
      </c>
      <c r="M29" s="5" t="s">
        <v>26</v>
      </c>
      <c r="N29" s="5" t="s">
        <v>27</v>
      </c>
      <c r="O29" s="5">
        <v>14451.0</v>
      </c>
      <c r="P29" s="5">
        <v>50.0</v>
      </c>
      <c r="Q29" s="5">
        <v>5606.0</v>
      </c>
      <c r="R29" s="5">
        <v>13461.0</v>
      </c>
      <c r="S29" s="5">
        <v>8.0</v>
      </c>
      <c r="T29" s="5">
        <v>6397.602518</v>
      </c>
    </row>
    <row r="30">
      <c r="A30" s="4" t="s">
        <v>1730</v>
      </c>
      <c r="B30" s="4" t="str">
        <f>IFERROR(__xludf.DUMMYFUNCTION("SPLIT(A30:A756, ""&gt;"")"),"US ")</f>
        <v>US </v>
      </c>
      <c r="C30" s="4" t="str">
        <f>IFERROR(__xludf.DUMMYFUNCTION("""COMPUTED_VALUE""")," B2B ")</f>
        <v> B2B </v>
      </c>
      <c r="D30" s="4" t="str">
        <f>IFERROR(__xludf.DUMMYFUNCTION("""COMPUTED_VALUE""")," B2B Decision Maker Responsibilities ")</f>
        <v> B2B Decision Maker Responsibilities </v>
      </c>
      <c r="E30" s="4" t="str">
        <f>IFERROR(__xludf.DUMMYFUNCTION("""COMPUTED_VALUE""")," Financial Services")</f>
        <v> Financial Services</v>
      </c>
      <c r="F30" s="4"/>
      <c r="G30" s="4"/>
      <c r="H30" s="4"/>
      <c r="I30" s="5" t="s">
        <v>15</v>
      </c>
      <c r="J30" s="5" t="s">
        <v>31</v>
      </c>
      <c r="K30" s="5" t="s">
        <v>78</v>
      </c>
      <c r="L30" s="6" t="s">
        <v>79</v>
      </c>
      <c r="M30" s="5" t="s">
        <v>80</v>
      </c>
      <c r="N30" s="5" t="s">
        <v>20</v>
      </c>
      <c r="O30" s="5">
        <v>11668.0</v>
      </c>
      <c r="P30" s="5">
        <v>110.0</v>
      </c>
      <c r="Q30" s="5">
        <v>7860.0</v>
      </c>
      <c r="R30" s="5">
        <v>11009.0</v>
      </c>
      <c r="S30" s="5">
        <v>5.0</v>
      </c>
      <c r="T30" s="5">
        <v>2653.981579</v>
      </c>
    </row>
    <row r="31">
      <c r="A31" s="4" t="s">
        <v>1071</v>
      </c>
      <c r="B31" s="4" t="str">
        <f>IFERROR(__xludf.DUMMYFUNCTION("SPLIT(A31:A757, ""&gt;"")"),"Online Behavior")</f>
        <v>Online Behavior</v>
      </c>
      <c r="C31" s="4" t="str">
        <f>IFERROR(__xludf.DUMMYFUNCTION("""COMPUTED_VALUE"""),"United States")</f>
        <v>United States</v>
      </c>
      <c r="D31" s="4" t="str">
        <f>IFERROR(__xludf.DUMMYFUNCTION("""COMPUTED_VALUE"""),"Sports")</f>
        <v>Sports</v>
      </c>
      <c r="E31" s="4" t="str">
        <f>IFERROR(__xludf.DUMMYFUNCTION("""COMPUTED_VALUE"""),"Team Sports ")</f>
        <v>Team Sports </v>
      </c>
      <c r="F31" s="4" t="str">
        <f>IFERROR(__xludf.DUMMYFUNCTION("""COMPUTED_VALUE""")," Basketball")</f>
        <v> Basketball</v>
      </c>
      <c r="G31" s="4"/>
      <c r="H31" s="4"/>
      <c r="I31" s="5" t="s">
        <v>15</v>
      </c>
      <c r="J31" s="5" t="s">
        <v>23</v>
      </c>
      <c r="K31" s="5" t="s">
        <v>78</v>
      </c>
      <c r="L31" s="6" t="s">
        <v>82</v>
      </c>
      <c r="M31" s="5" t="s">
        <v>26</v>
      </c>
      <c r="N31" s="5" t="s">
        <v>52</v>
      </c>
      <c r="O31" s="5">
        <v>19379.0</v>
      </c>
      <c r="P31" s="5">
        <v>49.0</v>
      </c>
      <c r="Q31" s="5">
        <v>12168.0</v>
      </c>
      <c r="R31" s="5">
        <v>16616.0</v>
      </c>
      <c r="S31" s="5">
        <v>97.0</v>
      </c>
      <c r="T31" s="5">
        <v>7294.100001</v>
      </c>
    </row>
    <row r="32">
      <c r="A32" s="4" t="s">
        <v>1731</v>
      </c>
      <c r="B32" s="4" t="str">
        <f>IFERROR(__xludf.DUMMYFUNCTION("SPLIT(A32:A758, ""&gt;"")"),"US ")</f>
        <v>US </v>
      </c>
      <c r="C32" s="4" t="str">
        <f>IFERROR(__xludf.DUMMYFUNCTION("""COMPUTED_VALUE""")," Interest Propensities ")</f>
        <v> Interest Propensities </v>
      </c>
      <c r="D32" s="4" t="str">
        <f>IFERROR(__xludf.DUMMYFUNCTION("""COMPUTED_VALUE""")," Music ")</f>
        <v> Music </v>
      </c>
      <c r="E32" s="4" t="str">
        <f>IFERROR(__xludf.DUMMYFUNCTION("""COMPUTED_VALUE""")," Country")</f>
        <v> Country</v>
      </c>
      <c r="F32" s="4"/>
      <c r="G32" s="4"/>
      <c r="H32" s="4"/>
      <c r="I32" s="5" t="s">
        <v>15</v>
      </c>
      <c r="J32" s="5" t="s">
        <v>42</v>
      </c>
      <c r="K32" s="5" t="s">
        <v>84</v>
      </c>
      <c r="L32" s="6" t="s">
        <v>82</v>
      </c>
      <c r="M32" s="5" t="s">
        <v>19</v>
      </c>
      <c r="N32" s="5" t="s">
        <v>27</v>
      </c>
      <c r="O32" s="5">
        <v>8716.0</v>
      </c>
      <c r="P32" s="5">
        <v>40.0</v>
      </c>
      <c r="Q32" s="5">
        <v>6490.0</v>
      </c>
      <c r="R32" s="5">
        <v>7862.0</v>
      </c>
      <c r="S32" s="5">
        <v>2.0</v>
      </c>
      <c r="T32" s="5">
        <v>2100.820137</v>
      </c>
    </row>
    <row r="33">
      <c r="A33" s="4" t="s">
        <v>1073</v>
      </c>
      <c r="B33" s="4" t="str">
        <f>IFERROR(__xludf.DUMMYFUNCTION("SPLIT(A33:A759, ""&gt;"")"),"Media and Entertainment ")</f>
        <v>Media and Entertainment </v>
      </c>
      <c r="C33" s="4" t="str">
        <f>IFERROR(__xludf.DUMMYFUNCTION("""COMPUTED_VALUE""")," Sports and Recreational Activities ")</f>
        <v> Sports and Recreational Activities </v>
      </c>
      <c r="D33" s="4" t="str">
        <f>IFERROR(__xludf.DUMMYFUNCTION("""COMPUTED_VALUE""")," Interest (Affinity) ")</f>
        <v> Interest (Affinity) </v>
      </c>
      <c r="E33" s="4" t="str">
        <f>IFERROR(__xludf.DUMMYFUNCTION("""COMPUTED_VALUE""")," Team Sports ")</f>
        <v> Team Sports </v>
      </c>
      <c r="F33" s="4" t="str">
        <f>IFERROR(__xludf.DUMMYFUNCTION("""COMPUTED_VALUE""")," Baseball ")</f>
        <v> Baseball </v>
      </c>
      <c r="G33" s="4" t="str">
        <f>IFERROR(__xludf.DUMMYFUNCTION("""COMPUTED_VALUE""")," Major League Baseball (MLB)")</f>
        <v> Major League Baseball (MLB)</v>
      </c>
      <c r="H33" s="4"/>
      <c r="I33" s="5" t="s">
        <v>15</v>
      </c>
      <c r="J33" s="5" t="s">
        <v>16</v>
      </c>
      <c r="K33" s="5" t="s">
        <v>43</v>
      </c>
      <c r="L33" s="6" t="s">
        <v>82</v>
      </c>
      <c r="M33" s="5" t="s">
        <v>48</v>
      </c>
      <c r="N33" s="5" t="s">
        <v>27</v>
      </c>
      <c r="O33" s="5">
        <v>11062.0</v>
      </c>
      <c r="P33" s="5">
        <v>78.0</v>
      </c>
      <c r="Q33" s="5">
        <v>6539.0</v>
      </c>
      <c r="R33" s="5">
        <v>9391.0</v>
      </c>
      <c r="S33" s="5">
        <v>2.0</v>
      </c>
      <c r="T33" s="5">
        <v>1500.09932</v>
      </c>
    </row>
    <row r="34">
      <c r="A34" s="4" t="s">
        <v>1074</v>
      </c>
      <c r="B34" s="4" t="str">
        <f>IFERROR(__xludf.DUMMYFUNCTION("SPLIT(A34:A760, ""&gt;"")"),"Online Behavior")</f>
        <v>Online Behavior</v>
      </c>
      <c r="C34" s="4" t="str">
        <f>IFERROR(__xludf.DUMMYFUNCTION("""COMPUTED_VALUE"""),"United States")</f>
        <v>United States</v>
      </c>
      <c r="D34" s="4" t="str">
        <f>IFERROR(__xludf.DUMMYFUNCTION("""COMPUTED_VALUE"""),"Beauty and Fitness")</f>
        <v>Beauty and Fitness</v>
      </c>
      <c r="E34" s="4" t="str">
        <f>IFERROR(__xludf.DUMMYFUNCTION("""COMPUTED_VALUE"""),"Face and Body Care ")</f>
        <v>Face and Body Care </v>
      </c>
      <c r="F34" s="4" t="str">
        <f>IFERROR(__xludf.DUMMYFUNCTION("""COMPUTED_VALUE""")," Skin and Nail Care")</f>
        <v> Skin and Nail Care</v>
      </c>
      <c r="G34" s="4"/>
      <c r="H34" s="4"/>
      <c r="I34" s="5" t="s">
        <v>61</v>
      </c>
      <c r="J34" s="5" t="s">
        <v>42</v>
      </c>
      <c r="K34" s="5" t="s">
        <v>17</v>
      </c>
      <c r="L34" s="6" t="s">
        <v>87</v>
      </c>
      <c r="M34" s="5" t="s">
        <v>46</v>
      </c>
      <c r="N34" s="5" t="s">
        <v>27</v>
      </c>
      <c r="O34" s="5">
        <v>100800.0</v>
      </c>
      <c r="P34" s="5">
        <v>185.0</v>
      </c>
      <c r="Q34" s="5">
        <v>14473.0</v>
      </c>
      <c r="R34" s="5">
        <v>85424.0</v>
      </c>
      <c r="S34" s="5">
        <v>10.0</v>
      </c>
      <c r="T34" s="5">
        <v>7004.730483</v>
      </c>
    </row>
    <row r="35">
      <c r="A35" s="4" t="s">
        <v>1732</v>
      </c>
      <c r="B35" s="4" t="str">
        <f>IFERROR(__xludf.DUMMYFUNCTION("SPLIT(A35:A761, ""&gt;"")"),"US ")</f>
        <v>US </v>
      </c>
      <c r="C35" s="4" t="str">
        <f>IFERROR(__xludf.DUMMYFUNCTION("""COMPUTED_VALUE""")," Interest Propensities ")</f>
        <v> Interest Propensities </v>
      </c>
      <c r="D35" s="4" t="str">
        <f>IFERROR(__xludf.DUMMYFUNCTION("""COMPUTED_VALUE""")," Activities and Interests ")</f>
        <v> Activities and Interests </v>
      </c>
      <c r="E35" s="4" t="str">
        <f>IFERROR(__xludf.DUMMYFUNCTION("""COMPUTED_VALUE""")," Financial Aid")</f>
        <v> Financial Aid</v>
      </c>
      <c r="F35" s="4"/>
      <c r="G35" s="4"/>
      <c r="H35" s="4"/>
      <c r="I35" s="5" t="s">
        <v>15</v>
      </c>
      <c r="J35" s="5" t="s">
        <v>42</v>
      </c>
      <c r="K35" s="5" t="s">
        <v>17</v>
      </c>
      <c r="L35" s="6" t="s">
        <v>87</v>
      </c>
      <c r="M35" s="5" t="s">
        <v>19</v>
      </c>
      <c r="N35" s="5" t="s">
        <v>27</v>
      </c>
      <c r="O35" s="5">
        <v>12864.0</v>
      </c>
      <c r="P35" s="5">
        <v>84.0</v>
      </c>
      <c r="Q35" s="5">
        <v>5549.0</v>
      </c>
      <c r="R35" s="5">
        <v>11852.0</v>
      </c>
      <c r="S35" s="5">
        <v>5.0</v>
      </c>
      <c r="T35" s="5">
        <v>1905.889693</v>
      </c>
    </row>
    <row r="36">
      <c r="A36" s="4" t="s">
        <v>1076</v>
      </c>
      <c r="B36" s="4" t="str">
        <f>IFERROR(__xludf.DUMMYFUNCTION("SPLIT(A36:A762, ""&gt;"")"),"Media and Entertainment ")</f>
        <v>Media and Entertainment </v>
      </c>
      <c r="C36" s="4" t="str">
        <f>IFERROR(__xludf.DUMMYFUNCTION("""COMPUTED_VALUE""")," Sports and Recreational Activities ")</f>
        <v> Sports and Recreational Activities </v>
      </c>
      <c r="D36" s="4" t="str">
        <f>IFERROR(__xludf.DUMMYFUNCTION("""COMPUTED_VALUE""")," Interest (Affinity) ")</f>
        <v> Interest (Affinity) </v>
      </c>
      <c r="E36" s="4" t="str">
        <f>IFERROR(__xludf.DUMMYFUNCTION("""COMPUTED_VALUE""")," Olympics ")</f>
        <v> Olympics </v>
      </c>
      <c r="F36" s="4" t="str">
        <f>IFERROR(__xludf.DUMMYFUNCTION("""COMPUTED_VALUE""")," Summer Olympics")</f>
        <v> Summer Olympics</v>
      </c>
      <c r="G36" s="4"/>
      <c r="H36" s="4"/>
      <c r="I36" s="5" t="s">
        <v>22</v>
      </c>
      <c r="J36" s="5" t="s">
        <v>23</v>
      </c>
      <c r="K36" s="5" t="s">
        <v>66</v>
      </c>
      <c r="L36" s="6" t="s">
        <v>90</v>
      </c>
      <c r="M36" s="5" t="s">
        <v>46</v>
      </c>
      <c r="N36" s="5" t="s">
        <v>27</v>
      </c>
      <c r="O36" s="5">
        <v>10992.0</v>
      </c>
      <c r="P36" s="5">
        <v>97.0</v>
      </c>
      <c r="Q36" s="5">
        <v>6677.0</v>
      </c>
      <c r="R36" s="5">
        <v>10132.0</v>
      </c>
      <c r="S36" s="5">
        <v>3.0</v>
      </c>
      <c r="T36" s="5">
        <v>1675.987427</v>
      </c>
    </row>
    <row r="37">
      <c r="A37" s="4" t="s">
        <v>1733</v>
      </c>
      <c r="B37" s="4" t="str">
        <f>IFERROR(__xludf.DUMMYFUNCTION("SPLIT(A37:A763, ""&gt;"")"),"US ")</f>
        <v>US </v>
      </c>
      <c r="C37" s="4" t="str">
        <f>IFERROR(__xludf.DUMMYFUNCTION("""COMPUTED_VALUE""")," Demographic ")</f>
        <v> Demographic </v>
      </c>
      <c r="D37" s="4" t="str">
        <f>IFERROR(__xludf.DUMMYFUNCTION("""COMPUTED_VALUE""")," Family ")</f>
        <v> Family </v>
      </c>
      <c r="E37" s="4" t="str">
        <f>IFERROR(__xludf.DUMMYFUNCTION("""COMPUTED_VALUE""")," Female Head of Household")</f>
        <v> Female Head of Household</v>
      </c>
      <c r="F37" s="4"/>
      <c r="G37" s="4"/>
      <c r="H37" s="4"/>
      <c r="I37" s="5" t="s">
        <v>15</v>
      </c>
      <c r="J37" s="5" t="s">
        <v>16</v>
      </c>
      <c r="K37" s="5" t="s">
        <v>39</v>
      </c>
      <c r="L37" s="6" t="s">
        <v>90</v>
      </c>
      <c r="M37" s="5" t="s">
        <v>19</v>
      </c>
      <c r="N37" s="5" t="s">
        <v>27</v>
      </c>
      <c r="O37" s="5">
        <v>14984.0</v>
      </c>
      <c r="P37" s="5">
        <v>63.0</v>
      </c>
      <c r="Q37" s="5">
        <v>9614.0</v>
      </c>
      <c r="R37" s="5">
        <v>14086.0</v>
      </c>
      <c r="S37" s="5">
        <v>3.0</v>
      </c>
      <c r="T37" s="5">
        <v>1505.009635</v>
      </c>
    </row>
    <row r="38">
      <c r="A38" s="4" t="s">
        <v>1078</v>
      </c>
      <c r="B38" s="4" t="str">
        <f>IFERROR(__xludf.DUMMYFUNCTION("SPLIT(A38:A764, ""&gt;"")"),"Online Behavior")</f>
        <v>Online Behavior</v>
      </c>
      <c r="C38" s="4" t="str">
        <f>IFERROR(__xludf.DUMMYFUNCTION("""COMPUTED_VALUE"""),"United States")</f>
        <v>United States</v>
      </c>
      <c r="D38" s="4" t="str">
        <f>IFERROR(__xludf.DUMMYFUNCTION("""COMPUTED_VALUE"""),"Sports")</f>
        <v>Sports</v>
      </c>
      <c r="E38" s="4" t="str">
        <f>IFERROR(__xludf.DUMMYFUNCTION("""COMPUTED_VALUE"""),"Sports League ")</f>
        <v>Sports League </v>
      </c>
      <c r="F38" s="4" t="str">
        <f>IFERROR(__xludf.DUMMYFUNCTION("""COMPUTED_VALUE""")," MLB")</f>
        <v> MLB</v>
      </c>
      <c r="G38" s="4"/>
      <c r="H38" s="4"/>
      <c r="I38" s="5" t="s">
        <v>22</v>
      </c>
      <c r="J38" s="5" t="s">
        <v>42</v>
      </c>
      <c r="K38" s="5" t="s">
        <v>78</v>
      </c>
      <c r="L38" s="6" t="s">
        <v>93</v>
      </c>
      <c r="M38" s="5" t="s">
        <v>19</v>
      </c>
      <c r="N38" s="5" t="s">
        <v>27</v>
      </c>
      <c r="O38" s="5">
        <v>19093.0</v>
      </c>
      <c r="P38" s="5">
        <v>50.0</v>
      </c>
      <c r="Q38" s="5">
        <v>9626.0</v>
      </c>
      <c r="R38" s="5">
        <v>17815.0</v>
      </c>
      <c r="S38" s="5">
        <v>10.0</v>
      </c>
      <c r="T38" s="5">
        <v>6612.14569</v>
      </c>
    </row>
    <row r="39">
      <c r="A39" s="4" t="s">
        <v>1079</v>
      </c>
      <c r="B39" s="4" t="str">
        <f>IFERROR(__xludf.DUMMYFUNCTION("SPLIT(A39:A765, ""&gt;"")"),"Online Behavior")</f>
        <v>Online Behavior</v>
      </c>
      <c r="C39" s="4" t="str">
        <f>IFERROR(__xludf.DUMMYFUNCTION("""COMPUTED_VALUE"""),"United States")</f>
        <v>United States</v>
      </c>
      <c r="D39" s="4" t="str">
        <f>IFERROR(__xludf.DUMMYFUNCTION("""COMPUTED_VALUE"""),"Autos and Vehicles ")</f>
        <v>Autos and Vehicles </v>
      </c>
      <c r="E39" s="4" t="str">
        <f>IFERROR(__xludf.DUMMYFUNCTION("""COMPUTED_VALUE""")," Brands")</f>
        <v> Brands</v>
      </c>
      <c r="F39" s="4" t="str">
        <f>IFERROR(__xludf.DUMMYFUNCTION("""COMPUTED_VALUE"""),"Dodge")</f>
        <v>Dodge</v>
      </c>
      <c r="G39" s="4"/>
      <c r="H39" s="4"/>
      <c r="I39" s="5" t="s">
        <v>15</v>
      </c>
      <c r="J39" s="5" t="s">
        <v>42</v>
      </c>
      <c r="K39" s="5" t="s">
        <v>95</v>
      </c>
      <c r="L39" s="6" t="s">
        <v>93</v>
      </c>
      <c r="M39" s="5" t="s">
        <v>46</v>
      </c>
      <c r="N39" s="5" t="s">
        <v>27</v>
      </c>
      <c r="O39" s="5">
        <v>43057.0</v>
      </c>
      <c r="P39" s="5">
        <v>122.0</v>
      </c>
      <c r="Q39" s="5">
        <v>23767.0</v>
      </c>
      <c r="R39" s="5">
        <v>41484.0</v>
      </c>
      <c r="S39" s="5">
        <v>7.0</v>
      </c>
      <c r="T39" s="5">
        <v>5884.931394</v>
      </c>
    </row>
    <row r="40">
      <c r="A40" s="4" t="s">
        <v>1734</v>
      </c>
      <c r="B40" s="4" t="str">
        <f>IFERROR(__xludf.DUMMYFUNCTION("SPLIT(A40:A766, ""&gt;"")"),"US ")</f>
        <v>US </v>
      </c>
      <c r="C40" s="4" t="str">
        <f>IFERROR(__xludf.DUMMYFUNCTION("""COMPUTED_VALUE""")," Brand Propensities ")</f>
        <v> Brand Propensities </v>
      </c>
      <c r="D40" s="4" t="str">
        <f>IFERROR(__xludf.DUMMYFUNCTION("""COMPUTED_VALUE""")," Travel ")</f>
        <v> Travel </v>
      </c>
      <c r="E40" s="4" t="str">
        <f>IFERROR(__xludf.DUMMYFUNCTION("""COMPUTED_VALUE""")," Sandals Resorts Buyer Propensity")</f>
        <v> Sandals Resorts Buyer Propensity</v>
      </c>
      <c r="F40" s="4"/>
      <c r="G40" s="4"/>
      <c r="H40" s="4"/>
      <c r="I40" s="5" t="s">
        <v>61</v>
      </c>
      <c r="J40" s="5" t="s">
        <v>23</v>
      </c>
      <c r="K40" s="5" t="s">
        <v>55</v>
      </c>
      <c r="L40" s="6" t="s">
        <v>93</v>
      </c>
      <c r="M40" s="5" t="s">
        <v>19</v>
      </c>
      <c r="N40" s="5" t="s">
        <v>27</v>
      </c>
      <c r="O40" s="5">
        <v>53561.0</v>
      </c>
      <c r="P40" s="5">
        <v>147.0</v>
      </c>
      <c r="Q40" s="5">
        <v>37063.0</v>
      </c>
      <c r="R40" s="5">
        <v>51480.0</v>
      </c>
      <c r="S40" s="5">
        <v>14.0</v>
      </c>
      <c r="T40" s="5">
        <v>2039.35506</v>
      </c>
    </row>
    <row r="41">
      <c r="A41" s="4" t="s">
        <v>1735</v>
      </c>
      <c r="B41" s="4" t="str">
        <f>IFERROR(__xludf.DUMMYFUNCTION("SPLIT(A41:A767, ""&gt;"")"),"Mobile - US ")</f>
        <v>Mobile - US </v>
      </c>
      <c r="C41" s="4" t="str">
        <f>IFERROR(__xludf.DUMMYFUNCTION("""COMPUTED_VALUE""")," Shopping ")</f>
        <v> Shopping </v>
      </c>
      <c r="D41" s="4" t="str">
        <f>IFERROR(__xludf.DUMMYFUNCTION("""COMPUTED_VALUE""")," Brand ")</f>
        <v> Brand </v>
      </c>
      <c r="E41" s="4" t="str">
        <f>IFERROR(__xludf.DUMMYFUNCTION("""COMPUTED_VALUE""")," Old Navy")</f>
        <v> Old Navy</v>
      </c>
      <c r="F41" s="4"/>
      <c r="G41" s="4"/>
      <c r="H41" s="4"/>
      <c r="I41" s="5" t="s">
        <v>15</v>
      </c>
      <c r="J41" s="5" t="s">
        <v>31</v>
      </c>
      <c r="K41" s="5" t="s">
        <v>17</v>
      </c>
      <c r="L41" s="6" t="s">
        <v>93</v>
      </c>
      <c r="M41" s="5" t="s">
        <v>26</v>
      </c>
      <c r="N41" s="5" t="s">
        <v>27</v>
      </c>
      <c r="O41" s="5">
        <v>67752.0</v>
      </c>
      <c r="P41" s="5">
        <v>174.0</v>
      </c>
      <c r="Q41" s="5">
        <v>47126.0</v>
      </c>
      <c r="R41" s="5">
        <v>65080.0</v>
      </c>
      <c r="S41" s="5">
        <v>3.0</v>
      </c>
      <c r="T41" s="5">
        <v>1557.01573</v>
      </c>
    </row>
    <row r="42">
      <c r="A42" s="4" t="s">
        <v>1082</v>
      </c>
      <c r="B42" s="4" t="str">
        <f>IFERROR(__xludf.DUMMYFUNCTION("SPLIT(A42:A768, ""&gt;"")"),"OnAudience ")</f>
        <v>OnAudience </v>
      </c>
      <c r="C42" s="4" t="str">
        <f>IFERROR(__xludf.DUMMYFUNCTION("""COMPUTED_VALUE""")," Intent ")</f>
        <v> Intent </v>
      </c>
      <c r="D42" s="4" t="str">
        <f>IFERROR(__xludf.DUMMYFUNCTION("""COMPUTED_VALUE""")," Animals &amp; Pet")</f>
        <v> Animals &amp; Pet</v>
      </c>
      <c r="E42" s="4"/>
      <c r="F42" s="4"/>
      <c r="G42" s="4"/>
      <c r="H42" s="4"/>
      <c r="I42" s="5" t="s">
        <v>15</v>
      </c>
      <c r="J42" s="5" t="s">
        <v>16</v>
      </c>
      <c r="K42" s="5" t="s">
        <v>78</v>
      </c>
      <c r="L42" s="6" t="s">
        <v>99</v>
      </c>
      <c r="M42" s="5" t="s">
        <v>48</v>
      </c>
      <c r="N42" s="5" t="s">
        <v>27</v>
      </c>
      <c r="O42" s="5">
        <v>75161.0</v>
      </c>
      <c r="P42" s="5">
        <v>280.0</v>
      </c>
      <c r="Q42" s="5">
        <v>40385.0</v>
      </c>
      <c r="R42" s="5">
        <v>70325.0</v>
      </c>
      <c r="S42" s="5">
        <v>3.0</v>
      </c>
      <c r="T42" s="5">
        <v>1506.461108</v>
      </c>
    </row>
    <row r="43">
      <c r="A43" s="4" t="s">
        <v>1736</v>
      </c>
      <c r="B43" s="4" t="str">
        <f>IFERROR(__xludf.DUMMYFUNCTION("SPLIT(A43:A769, ""&gt;"")"),"US ")</f>
        <v>US </v>
      </c>
      <c r="C43" s="4" t="str">
        <f>IFERROR(__xludf.DUMMYFUNCTION("""COMPUTED_VALUE""")," Multibuyer Behaviors ")</f>
        <v> Multibuyer Behaviors </v>
      </c>
      <c r="D43" s="4" t="str">
        <f>IFERROR(__xludf.DUMMYFUNCTION("""COMPUTED_VALUE""")," Paid with Credit Card")</f>
        <v> Paid with Credit Card</v>
      </c>
      <c r="E43" s="4"/>
      <c r="F43" s="4"/>
      <c r="G43" s="4"/>
      <c r="H43" s="4"/>
      <c r="I43" s="5" t="s">
        <v>15</v>
      </c>
      <c r="J43" s="5" t="s">
        <v>16</v>
      </c>
      <c r="K43" s="5" t="s">
        <v>78</v>
      </c>
      <c r="L43" s="6" t="s">
        <v>101</v>
      </c>
      <c r="M43" s="5" t="s">
        <v>46</v>
      </c>
      <c r="N43" s="5" t="s">
        <v>20</v>
      </c>
      <c r="O43" s="5">
        <v>12770.0</v>
      </c>
      <c r="P43" s="5">
        <v>84.0</v>
      </c>
      <c r="Q43" s="5">
        <v>6224.0</v>
      </c>
      <c r="R43" s="5">
        <v>11110.0</v>
      </c>
      <c r="S43" s="5">
        <v>21.0</v>
      </c>
      <c r="T43" s="5">
        <v>2087.509827</v>
      </c>
    </row>
    <row r="44">
      <c r="A44" s="4" t="s">
        <v>1737</v>
      </c>
      <c r="B44" s="4" t="str">
        <f>IFERROR(__xludf.DUMMYFUNCTION("SPLIT(A44:A770, ""&gt;"")"),"US ")</f>
        <v>US </v>
      </c>
      <c r="C44" s="4" t="str">
        <f>IFERROR(__xludf.DUMMYFUNCTION("""COMPUTED_VALUE""")," Response Performance ")</f>
        <v> Response Performance </v>
      </c>
      <c r="D44" s="4" t="str">
        <f>IFERROR(__xludf.DUMMYFUNCTION("""COMPUTED_VALUE""")," Direct Marketing Responders")</f>
        <v> Direct Marketing Responders</v>
      </c>
      <c r="E44" s="4"/>
      <c r="F44" s="4"/>
      <c r="G44" s="4"/>
      <c r="H44" s="4"/>
      <c r="I44" s="5" t="s">
        <v>15</v>
      </c>
      <c r="J44" s="5" t="s">
        <v>42</v>
      </c>
      <c r="K44" s="5" t="s">
        <v>35</v>
      </c>
      <c r="L44" s="6" t="s">
        <v>103</v>
      </c>
      <c r="M44" s="5" t="s">
        <v>33</v>
      </c>
      <c r="N44" s="5" t="s">
        <v>27</v>
      </c>
      <c r="O44" s="5">
        <v>117713.0</v>
      </c>
      <c r="P44" s="5">
        <v>374.0</v>
      </c>
      <c r="Q44" s="5">
        <v>16357.0</v>
      </c>
      <c r="R44" s="5">
        <v>100222.0</v>
      </c>
      <c r="S44" s="5">
        <v>5.0</v>
      </c>
      <c r="T44" s="5">
        <v>2505.403543</v>
      </c>
    </row>
    <row r="45">
      <c r="A45" s="4" t="s">
        <v>104</v>
      </c>
      <c r="B45" s="4" t="str">
        <f>IFERROR(__xludf.DUMMYFUNCTION("SPLIT(A45:A771, ""&gt;"")"),"Online Behavior")</f>
        <v>Online Behavior</v>
      </c>
      <c r="C45" s="4" t="str">
        <f>IFERROR(__xludf.DUMMYFUNCTION("""COMPUTED_VALUE"""),"United States")</f>
        <v>United States</v>
      </c>
      <c r="D45" s="4" t="str">
        <f>IFERROR(__xludf.DUMMYFUNCTION("""COMPUTED_VALUE"""),"Games")</f>
        <v>Games</v>
      </c>
      <c r="E45" s="4" t="str">
        <f>IFERROR(__xludf.DUMMYFUNCTION("""COMPUTED_VALUE"""),"Computer and Video Games")</f>
        <v>Computer and Video Games</v>
      </c>
      <c r="F45" s="4"/>
      <c r="G45" s="4"/>
      <c r="H45" s="4"/>
      <c r="I45" s="5" t="s">
        <v>15</v>
      </c>
      <c r="J45" s="5" t="s">
        <v>16</v>
      </c>
      <c r="K45" s="5" t="s">
        <v>35</v>
      </c>
      <c r="L45" s="6" t="s">
        <v>105</v>
      </c>
      <c r="M45" s="5" t="s">
        <v>26</v>
      </c>
      <c r="N45" s="5" t="s">
        <v>20</v>
      </c>
      <c r="O45" s="5">
        <v>26558.0</v>
      </c>
      <c r="P45" s="5">
        <v>111.0</v>
      </c>
      <c r="Q45" s="5">
        <v>15761.0</v>
      </c>
      <c r="R45" s="5">
        <v>23532.0</v>
      </c>
      <c r="S45" s="5">
        <v>14.0</v>
      </c>
      <c r="T45" s="5">
        <v>6751.558981</v>
      </c>
    </row>
    <row r="46">
      <c r="A46" s="4" t="s">
        <v>1085</v>
      </c>
      <c r="B46" s="4" t="str">
        <f>IFERROR(__xludf.DUMMYFUNCTION("SPLIT(A46:A772, ""&gt;"")"),"Online Behavior")</f>
        <v>Online Behavior</v>
      </c>
      <c r="C46" s="4" t="str">
        <f>IFERROR(__xludf.DUMMYFUNCTION("""COMPUTED_VALUE"""),"United States")</f>
        <v>United States</v>
      </c>
      <c r="D46" s="4" t="str">
        <f>IFERROR(__xludf.DUMMYFUNCTION("""COMPUTED_VALUE"""),"Finance ")</f>
        <v>Finance </v>
      </c>
      <c r="E46" s="4" t="str">
        <f>IFERROR(__xludf.DUMMYFUNCTION("""COMPUTED_VALUE""")," Insurance")</f>
        <v> Insurance</v>
      </c>
      <c r="F46" s="4" t="str">
        <f>IFERROR(__xludf.DUMMYFUNCTION("""COMPUTED_VALUE"""),"Home Insurance")</f>
        <v>Home Insurance</v>
      </c>
      <c r="G46" s="4"/>
      <c r="H46" s="4"/>
      <c r="I46" s="5" t="s">
        <v>15</v>
      </c>
      <c r="J46" s="5" t="s">
        <v>23</v>
      </c>
      <c r="K46" s="5" t="s">
        <v>95</v>
      </c>
      <c r="L46" s="6" t="s">
        <v>105</v>
      </c>
      <c r="M46" s="5" t="s">
        <v>19</v>
      </c>
      <c r="N46" s="5" t="s">
        <v>27</v>
      </c>
      <c r="O46" s="5">
        <v>53464.0</v>
      </c>
      <c r="P46" s="5">
        <v>212.0</v>
      </c>
      <c r="Q46" s="5">
        <v>22151.0</v>
      </c>
      <c r="R46" s="5">
        <v>49058.0</v>
      </c>
      <c r="S46" s="5">
        <v>9.0</v>
      </c>
      <c r="T46" s="5">
        <v>5741.098045</v>
      </c>
    </row>
    <row r="47">
      <c r="A47" s="4" t="s">
        <v>1738</v>
      </c>
      <c r="B47" s="4" t="str">
        <f>IFERROR(__xludf.DUMMYFUNCTION("SPLIT(A47:A773, ""&gt;"")"),"US ")</f>
        <v>US </v>
      </c>
      <c r="C47" s="4" t="str">
        <f>IFERROR(__xludf.DUMMYFUNCTION("""COMPUTED_VALUE""")," Reach ")</f>
        <v> Reach </v>
      </c>
      <c r="D47" s="4" t="str">
        <f>IFERROR(__xludf.DUMMYFUNCTION("""COMPUTED_VALUE""")," Sociodemographic ")</f>
        <v> Sociodemographic </v>
      </c>
      <c r="E47" s="4" t="str">
        <f>IFERROR(__xludf.DUMMYFUNCTION("""COMPUTED_VALUE""")," Dwelling Size ")</f>
        <v> Dwelling Size </v>
      </c>
      <c r="F47" s="4" t="str">
        <f>IFERROR(__xludf.DUMMYFUNCTION("""COMPUTED_VALUE""")," 1 Unit")</f>
        <v> 1 Unit</v>
      </c>
      <c r="G47" s="4"/>
      <c r="H47" s="4"/>
      <c r="I47" s="5" t="s">
        <v>61</v>
      </c>
      <c r="J47" s="5" t="s">
        <v>42</v>
      </c>
      <c r="K47" s="5" t="s">
        <v>29</v>
      </c>
      <c r="L47" s="6" t="s">
        <v>105</v>
      </c>
      <c r="M47" s="5" t="s">
        <v>46</v>
      </c>
      <c r="N47" s="5" t="s">
        <v>27</v>
      </c>
      <c r="O47" s="5">
        <v>13686.0</v>
      </c>
      <c r="P47" s="5">
        <v>66.0</v>
      </c>
      <c r="Q47" s="5">
        <v>7928.0</v>
      </c>
      <c r="R47" s="5">
        <v>11931.0</v>
      </c>
      <c r="S47" s="5">
        <v>11.0</v>
      </c>
      <c r="T47" s="5">
        <v>4660.560369</v>
      </c>
    </row>
    <row r="48">
      <c r="A48" s="4" t="s">
        <v>1087</v>
      </c>
      <c r="B48" s="4" t="str">
        <f>IFERROR(__xludf.DUMMYFUNCTION("SPLIT(A48:A774, ""&gt;"")"),"Online Behavior")</f>
        <v>Online Behavior</v>
      </c>
      <c r="C48" s="4" t="str">
        <f>IFERROR(__xludf.DUMMYFUNCTION("""COMPUTED_VALUE"""),"United States")</f>
        <v>United States</v>
      </c>
      <c r="D48" s="4" t="str">
        <f>IFERROR(__xludf.DUMMYFUNCTION("""COMPUTED_VALUE"""),"B2B ")</f>
        <v>B2B </v>
      </c>
      <c r="E48" s="4" t="str">
        <f>IFERROR(__xludf.DUMMYFUNCTION("""COMPUTED_VALUE""")," Occupation")</f>
        <v> Occupation</v>
      </c>
      <c r="F48" s="4" t="str">
        <f>IFERROR(__xludf.DUMMYFUNCTION("""COMPUTED_VALUE"""),"MechanicalEngineer")</f>
        <v>MechanicalEngineer</v>
      </c>
      <c r="G48" s="4"/>
      <c r="H48" s="4"/>
      <c r="I48" s="5" t="s">
        <v>22</v>
      </c>
      <c r="J48" s="5" t="s">
        <v>23</v>
      </c>
      <c r="K48" s="5" t="s">
        <v>24</v>
      </c>
      <c r="L48" s="6" t="s">
        <v>105</v>
      </c>
      <c r="M48" s="5" t="s">
        <v>19</v>
      </c>
      <c r="N48" s="5" t="s">
        <v>27</v>
      </c>
      <c r="O48" s="5">
        <v>17752.0</v>
      </c>
      <c r="P48" s="5">
        <v>98.0</v>
      </c>
      <c r="Q48" s="5">
        <v>5855.0</v>
      </c>
      <c r="R48" s="5">
        <v>15753.0</v>
      </c>
      <c r="S48" s="5">
        <v>5.0</v>
      </c>
      <c r="T48" s="5">
        <v>2200.297094</v>
      </c>
    </row>
    <row r="49">
      <c r="A49" s="4" t="s">
        <v>1739</v>
      </c>
      <c r="B49" s="4" t="str">
        <f>IFERROR(__xludf.DUMMYFUNCTION("SPLIT(A49:A775, ""&gt;"")"),"US ")</f>
        <v>US </v>
      </c>
      <c r="C49" s="4" t="str">
        <f>IFERROR(__xludf.DUMMYFUNCTION("""COMPUTED_VALUE""")," Interest Propensities ")</f>
        <v> Interest Propensities </v>
      </c>
      <c r="D49" s="4" t="str">
        <f>IFERROR(__xludf.DUMMYFUNCTION("""COMPUTED_VALUE""")," Insurance ")</f>
        <v> Insurance </v>
      </c>
      <c r="E49" s="4" t="str">
        <f>IFERROR(__xludf.DUMMYFUNCTION("""COMPUTED_VALUE""")," MassMutual")</f>
        <v> MassMutual</v>
      </c>
      <c r="F49" s="4"/>
      <c r="G49" s="4"/>
      <c r="H49" s="4"/>
      <c r="I49" s="5" t="s">
        <v>15</v>
      </c>
      <c r="J49" s="5" t="s">
        <v>42</v>
      </c>
      <c r="K49" s="5" t="s">
        <v>78</v>
      </c>
      <c r="L49" s="6" t="s">
        <v>105</v>
      </c>
      <c r="M49" s="5" t="s">
        <v>19</v>
      </c>
      <c r="N49" s="5" t="s">
        <v>52</v>
      </c>
      <c r="O49" s="5">
        <v>32845.0</v>
      </c>
      <c r="P49" s="5">
        <v>164.0</v>
      </c>
      <c r="Q49" s="5">
        <v>16163.0</v>
      </c>
      <c r="R49" s="5">
        <v>30368.0</v>
      </c>
      <c r="S49" s="5">
        <v>5.0</v>
      </c>
      <c r="T49" s="5">
        <v>1910.436686</v>
      </c>
    </row>
    <row r="50">
      <c r="A50" s="4" t="s">
        <v>1740</v>
      </c>
      <c r="B50" s="4" t="str">
        <f>IFERROR(__xludf.DUMMYFUNCTION("SPLIT(A50:A776, ""&gt;"")"),"US ")</f>
        <v>US </v>
      </c>
      <c r="C50" s="4" t="str">
        <f>IFERROR(__xludf.DUMMYFUNCTION("""COMPUTED_VALUE""")," Premium Gender ")</f>
        <v> Premium Gender </v>
      </c>
      <c r="D50" s="4" t="str">
        <f>IFERROR(__xludf.DUMMYFUNCTION("""COMPUTED_VALUE""")," Premium Gender ")</f>
        <v> Premium Gender </v>
      </c>
      <c r="E50" s="4" t="str">
        <f>IFERROR(__xludf.DUMMYFUNCTION("""COMPUTED_VALUE""")," Males")</f>
        <v> Males</v>
      </c>
      <c r="F50" s="4"/>
      <c r="G50" s="4"/>
      <c r="H50" s="4"/>
      <c r="I50" s="5" t="s">
        <v>22</v>
      </c>
      <c r="J50" s="5" t="s">
        <v>23</v>
      </c>
      <c r="K50" s="5" t="s">
        <v>35</v>
      </c>
      <c r="L50" s="6" t="s">
        <v>111</v>
      </c>
      <c r="M50" s="5" t="s">
        <v>19</v>
      </c>
      <c r="N50" s="5" t="s">
        <v>27</v>
      </c>
      <c r="O50" s="5">
        <v>15322.0</v>
      </c>
      <c r="P50" s="5">
        <v>55.0</v>
      </c>
      <c r="Q50" s="5">
        <v>6416.0</v>
      </c>
      <c r="R50" s="5">
        <v>14049.0</v>
      </c>
      <c r="S50" s="5">
        <v>5.0</v>
      </c>
      <c r="T50" s="5">
        <v>1850.464205</v>
      </c>
    </row>
    <row r="51">
      <c r="A51" s="4" t="s">
        <v>1741</v>
      </c>
      <c r="B51" s="4" t="str">
        <f>IFERROR(__xludf.DUMMYFUNCTION("SPLIT(A51:A777, ""&gt;"")"),"US ")</f>
        <v>US </v>
      </c>
      <c r="C51" s="4" t="str">
        <f>IFERROR(__xludf.DUMMYFUNCTION("""COMPUTED_VALUE""")," Reach ")</f>
        <v> Reach </v>
      </c>
      <c r="D51" s="4" t="str">
        <f>IFERROR(__xludf.DUMMYFUNCTION("""COMPUTED_VALUE""")," Propensity Models ")</f>
        <v> Propensity Models </v>
      </c>
      <c r="E51" s="4" t="str">
        <f>IFERROR(__xludf.DUMMYFUNCTION("""COMPUTED_VALUE""")," Hobbies and Interest ")</f>
        <v> Hobbies and Interest </v>
      </c>
      <c r="F51" s="4" t="str">
        <f>IFERROR(__xludf.DUMMYFUNCTION("""COMPUTED_VALUE""")," Food and Drinks ")</f>
        <v> Food and Drinks </v>
      </c>
      <c r="G51" s="4" t="str">
        <f>IFERROR(__xludf.DUMMYFUNCTION("""COMPUTED_VALUE""")," Eats at Fast Food Restaurants")</f>
        <v> Eats at Fast Food Restaurants</v>
      </c>
      <c r="H51" s="4"/>
      <c r="I51" s="5" t="s">
        <v>15</v>
      </c>
      <c r="J51" s="5" t="s">
        <v>16</v>
      </c>
      <c r="K51" s="5" t="s">
        <v>78</v>
      </c>
      <c r="L51" s="6" t="s">
        <v>113</v>
      </c>
      <c r="M51" s="5" t="s">
        <v>46</v>
      </c>
      <c r="N51" s="5" t="s">
        <v>27</v>
      </c>
      <c r="O51" s="5">
        <v>18458.0</v>
      </c>
      <c r="P51" s="5">
        <v>111.0</v>
      </c>
      <c r="Q51" s="5">
        <v>3623.0</v>
      </c>
      <c r="R51" s="5">
        <v>16934.0</v>
      </c>
      <c r="S51" s="5">
        <v>6.0</v>
      </c>
      <c r="T51" s="5">
        <v>2866.496671</v>
      </c>
    </row>
    <row r="52">
      <c r="A52" s="4" t="s">
        <v>1091</v>
      </c>
      <c r="B52" s="4" t="str">
        <f>IFERROR(__xludf.DUMMYFUNCTION("SPLIT(A52:A778, ""&gt;"")"),"Online Behavior")</f>
        <v>Online Behavior</v>
      </c>
      <c r="C52" s="4" t="str">
        <f>IFERROR(__xludf.DUMMYFUNCTION("""COMPUTED_VALUE"""),"United States")</f>
        <v>United States</v>
      </c>
      <c r="D52" s="4" t="str">
        <f>IFERROR(__xludf.DUMMYFUNCTION("""COMPUTED_VALUE"""),"Travel")</f>
        <v>Travel</v>
      </c>
      <c r="E52" s="4" t="str">
        <f>IFERROR(__xludf.DUMMYFUNCTION("""COMPUTED_VALUE"""),"Specialty Travel ")</f>
        <v>Specialty Travel </v>
      </c>
      <c r="F52" s="4" t="str">
        <f>IFERROR(__xludf.DUMMYFUNCTION("""COMPUTED_VALUE""")," Adventure Travel")</f>
        <v> Adventure Travel</v>
      </c>
      <c r="G52" s="4"/>
      <c r="H52" s="4"/>
      <c r="I52" s="5" t="s">
        <v>22</v>
      </c>
      <c r="J52" s="5" t="s">
        <v>42</v>
      </c>
      <c r="K52" s="5" t="s">
        <v>35</v>
      </c>
      <c r="L52" s="6" t="s">
        <v>115</v>
      </c>
      <c r="M52" s="5" t="s">
        <v>19</v>
      </c>
      <c r="N52" s="5" t="s">
        <v>27</v>
      </c>
      <c r="O52" s="5">
        <v>108559.0</v>
      </c>
      <c r="P52" s="5">
        <v>212.0</v>
      </c>
      <c r="Q52" s="5">
        <v>79254.0</v>
      </c>
      <c r="R52" s="5">
        <v>100563.0</v>
      </c>
      <c r="S52" s="5">
        <v>7.0</v>
      </c>
      <c r="T52" s="5">
        <v>6850.576483</v>
      </c>
    </row>
    <row r="53">
      <c r="A53" s="4" t="s">
        <v>1092</v>
      </c>
      <c r="B53" s="4" t="str">
        <f>IFERROR(__xludf.DUMMYFUNCTION("SPLIT(A53:A779, ""&gt;"")"),"Online Behavior")</f>
        <v>Online Behavior</v>
      </c>
      <c r="C53" s="4" t="str">
        <f>IFERROR(__xludf.DUMMYFUNCTION("""COMPUTED_VALUE"""),"United States")</f>
        <v>United States</v>
      </c>
      <c r="D53" s="4" t="str">
        <f>IFERROR(__xludf.DUMMYFUNCTION("""COMPUTED_VALUE"""),"Travel")</f>
        <v>Travel</v>
      </c>
      <c r="E53" s="4" t="str">
        <f>IFERROR(__xludf.DUMMYFUNCTION("""COMPUTED_VALUE"""),"Tourist Destinations ")</f>
        <v>Tourist Destinations </v>
      </c>
      <c r="F53" s="4" t="str">
        <f>IFERROR(__xludf.DUMMYFUNCTION("""COMPUTED_VALUE""")," Zoos-Aquariums-Preserves")</f>
        <v> Zoos-Aquariums-Preserves</v>
      </c>
      <c r="G53" s="4"/>
      <c r="H53" s="4"/>
      <c r="I53" s="5" t="s">
        <v>22</v>
      </c>
      <c r="J53" s="5" t="s">
        <v>42</v>
      </c>
      <c r="K53" s="5" t="s">
        <v>35</v>
      </c>
      <c r="L53" s="6" t="s">
        <v>115</v>
      </c>
      <c r="M53" s="5" t="s">
        <v>117</v>
      </c>
      <c r="N53" s="5" t="s">
        <v>27</v>
      </c>
      <c r="O53" s="5">
        <v>106151.0</v>
      </c>
      <c r="P53" s="5">
        <v>299.0</v>
      </c>
      <c r="Q53" s="5">
        <v>75304.0</v>
      </c>
      <c r="R53" s="5">
        <v>99311.0</v>
      </c>
      <c r="S53" s="5">
        <v>9.0</v>
      </c>
      <c r="T53" s="5">
        <v>6616.88066</v>
      </c>
    </row>
    <row r="54">
      <c r="A54" s="4" t="s">
        <v>1093</v>
      </c>
      <c r="B54" s="4" t="str">
        <f>IFERROR(__xludf.DUMMYFUNCTION("SPLIT(A54:A780, ""&gt;"")"),"Online Behavior")</f>
        <v>Online Behavior</v>
      </c>
      <c r="C54" s="4" t="str">
        <f>IFERROR(__xludf.DUMMYFUNCTION("""COMPUTED_VALUE"""),"United States")</f>
        <v>United States</v>
      </c>
      <c r="D54" s="4" t="str">
        <f>IFERROR(__xludf.DUMMYFUNCTION("""COMPUTED_VALUE"""),"Sports")</f>
        <v>Sports</v>
      </c>
      <c r="E54" s="4" t="str">
        <f>IFERROR(__xludf.DUMMYFUNCTION("""COMPUTED_VALUE"""),"Sports League ")</f>
        <v>Sports League </v>
      </c>
      <c r="F54" s="4" t="str">
        <f>IFERROR(__xludf.DUMMYFUNCTION("""COMPUTED_VALUE""")," NBA")</f>
        <v> NBA</v>
      </c>
      <c r="G54" s="4"/>
      <c r="H54" s="4"/>
      <c r="I54" s="5" t="s">
        <v>22</v>
      </c>
      <c r="J54" s="5" t="s">
        <v>42</v>
      </c>
      <c r="K54" s="5" t="s">
        <v>84</v>
      </c>
      <c r="L54" s="6" t="s">
        <v>115</v>
      </c>
      <c r="M54" s="5" t="s">
        <v>36</v>
      </c>
      <c r="N54" s="5" t="s">
        <v>27</v>
      </c>
      <c r="O54" s="5">
        <v>149618.0</v>
      </c>
      <c r="P54" s="5">
        <v>260.0</v>
      </c>
      <c r="Q54" s="5">
        <v>126031.0</v>
      </c>
      <c r="R54" s="5">
        <v>140596.0</v>
      </c>
      <c r="S54" s="5">
        <v>26.0</v>
      </c>
      <c r="T54" s="5">
        <v>6605.586158</v>
      </c>
    </row>
    <row r="55">
      <c r="A55" s="4" t="s">
        <v>1094</v>
      </c>
      <c r="B55" s="4" t="str">
        <f>IFERROR(__xludf.DUMMYFUNCTION("SPLIT(A55:A781, ""&gt;"")"),"Online Behavior")</f>
        <v>Online Behavior</v>
      </c>
      <c r="C55" s="4" t="str">
        <f>IFERROR(__xludf.DUMMYFUNCTION("""COMPUTED_VALUE"""),"United States")</f>
        <v>United States</v>
      </c>
      <c r="D55" s="4" t="str">
        <f>IFERROR(__xludf.DUMMYFUNCTION("""COMPUTED_VALUE"""),"Finance ")</f>
        <v>Finance </v>
      </c>
      <c r="E55" s="4" t="str">
        <f>IFERROR(__xludf.DUMMYFUNCTION("""COMPUTED_VALUE""")," Investing")</f>
        <v> Investing</v>
      </c>
      <c r="F55" s="4" t="str">
        <f>IFERROR(__xludf.DUMMYFUNCTION("""COMPUTED_VALUE"""),"Derivatives")</f>
        <v>Derivatives</v>
      </c>
      <c r="G55" s="4"/>
      <c r="H55" s="4"/>
      <c r="I55" s="5" t="s">
        <v>22</v>
      </c>
      <c r="J55" s="5" t="s">
        <v>42</v>
      </c>
      <c r="K55" s="5" t="s">
        <v>35</v>
      </c>
      <c r="L55" s="6" t="s">
        <v>115</v>
      </c>
      <c r="M55" s="5" t="s">
        <v>117</v>
      </c>
      <c r="N55" s="5" t="s">
        <v>27</v>
      </c>
      <c r="O55" s="5">
        <v>114384.0</v>
      </c>
      <c r="P55" s="5">
        <v>100.0</v>
      </c>
      <c r="Q55" s="5">
        <v>61524.0</v>
      </c>
      <c r="R55" s="5">
        <v>105104.0</v>
      </c>
      <c r="S55" s="5">
        <v>12.0</v>
      </c>
      <c r="T55" s="5">
        <v>5803.331454</v>
      </c>
    </row>
    <row r="56">
      <c r="A56" s="4" t="s">
        <v>120</v>
      </c>
      <c r="B56" s="4" t="str">
        <f>IFERROR(__xludf.DUMMYFUNCTION("SPLIT(A56:A782, ""&gt;"")"),"Online Behavior")</f>
        <v>Online Behavior</v>
      </c>
      <c r="C56" s="4" t="str">
        <f>IFERROR(__xludf.DUMMYFUNCTION("""COMPUTED_VALUE"""),"United States")</f>
        <v>United States</v>
      </c>
      <c r="D56" s="4" t="str">
        <f>IFERROR(__xludf.DUMMYFUNCTION("""COMPUTED_VALUE"""),"Law and Government")</f>
        <v>Law and Government</v>
      </c>
      <c r="E56" s="4" t="str">
        <f>IFERROR(__xludf.DUMMYFUNCTION("""COMPUTED_VALUE"""),"Public Safety")</f>
        <v>Public Safety</v>
      </c>
      <c r="F56" s="4"/>
      <c r="G56" s="4"/>
      <c r="H56" s="4"/>
      <c r="I56" s="5" t="s">
        <v>22</v>
      </c>
      <c r="J56" s="5" t="s">
        <v>16</v>
      </c>
      <c r="K56" s="5" t="s">
        <v>121</v>
      </c>
      <c r="L56" s="6" t="s">
        <v>115</v>
      </c>
      <c r="M56" s="5" t="s">
        <v>80</v>
      </c>
      <c r="N56" s="5" t="s">
        <v>27</v>
      </c>
      <c r="O56" s="5">
        <v>43367.0</v>
      </c>
      <c r="P56" s="5">
        <v>111.0</v>
      </c>
      <c r="Q56" s="5">
        <v>14306.0</v>
      </c>
      <c r="R56" s="5">
        <v>39750.0</v>
      </c>
      <c r="S56" s="5">
        <v>12.0</v>
      </c>
      <c r="T56" s="5">
        <v>5214.298693</v>
      </c>
    </row>
    <row r="57">
      <c r="A57" s="4" t="s">
        <v>122</v>
      </c>
      <c r="B57" s="4" t="str">
        <f>IFERROR(__xludf.DUMMYFUNCTION("SPLIT(A57:A783, ""&gt;"")"),"Online Behavior")</f>
        <v>Online Behavior</v>
      </c>
      <c r="C57" s="4" t="str">
        <f>IFERROR(__xludf.DUMMYFUNCTION("""COMPUTED_VALUE"""),"United States")</f>
        <v>United States</v>
      </c>
      <c r="D57" s="4" t="str">
        <f>IFERROR(__xludf.DUMMYFUNCTION("""COMPUTED_VALUE"""),"Jobs and Education")</f>
        <v>Jobs and Education</v>
      </c>
      <c r="E57" s="4" t="str">
        <f>IFERROR(__xludf.DUMMYFUNCTION("""COMPUTED_VALUE"""),"Education")</f>
        <v>Education</v>
      </c>
      <c r="F57" s="4"/>
      <c r="G57" s="4"/>
      <c r="H57" s="4"/>
      <c r="I57" s="5" t="s">
        <v>15</v>
      </c>
      <c r="J57" s="5" t="s">
        <v>31</v>
      </c>
      <c r="K57" s="5" t="s">
        <v>35</v>
      </c>
      <c r="L57" s="6" t="s">
        <v>115</v>
      </c>
      <c r="M57" s="5" t="s">
        <v>19</v>
      </c>
      <c r="N57" s="5" t="s">
        <v>52</v>
      </c>
      <c r="O57" s="5">
        <v>113420.0</v>
      </c>
      <c r="P57" s="5">
        <v>333.0</v>
      </c>
      <c r="Q57" s="5">
        <v>33557.0</v>
      </c>
      <c r="R57" s="5">
        <v>104929.0</v>
      </c>
      <c r="S57" s="5">
        <v>11.0</v>
      </c>
      <c r="T57" s="5">
        <v>5124.435934</v>
      </c>
    </row>
    <row r="58">
      <c r="A58" s="4" t="s">
        <v>1096</v>
      </c>
      <c r="B58" s="4" t="str">
        <f>IFERROR(__xludf.DUMMYFUNCTION("SPLIT(A58:A784, ""&gt;"")"),"Online Behavior")</f>
        <v>Online Behavior</v>
      </c>
      <c r="C58" s="4" t="str">
        <f>IFERROR(__xludf.DUMMYFUNCTION("""COMPUTED_VALUE"""),"United States")</f>
        <v>United States</v>
      </c>
      <c r="D58" s="4" t="str">
        <f>IFERROR(__xludf.DUMMYFUNCTION("""COMPUTED_VALUE"""),"Autos and Vehicles ")</f>
        <v>Autos and Vehicles </v>
      </c>
      <c r="E58" s="4" t="str">
        <f>IFERROR(__xludf.DUMMYFUNCTION("""COMPUTED_VALUE""")," Brands")</f>
        <v> Brands</v>
      </c>
      <c r="F58" s="4" t="str">
        <f>IFERROR(__xludf.DUMMYFUNCTION("""COMPUTED_VALUE"""),"Ferrari")</f>
        <v>Ferrari</v>
      </c>
      <c r="G58" s="4"/>
      <c r="H58" s="4"/>
      <c r="I58" s="5" t="s">
        <v>15</v>
      </c>
      <c r="J58" s="5" t="s">
        <v>23</v>
      </c>
      <c r="K58" s="5" t="s">
        <v>55</v>
      </c>
      <c r="L58" s="6" t="s">
        <v>115</v>
      </c>
      <c r="M58" s="5" t="s">
        <v>19</v>
      </c>
      <c r="N58" s="5" t="s">
        <v>52</v>
      </c>
      <c r="O58" s="5">
        <v>88293.0</v>
      </c>
      <c r="P58" s="5">
        <v>255.0</v>
      </c>
      <c r="Q58" s="5">
        <v>24101.0</v>
      </c>
      <c r="R58" s="5">
        <v>75557.0</v>
      </c>
      <c r="S58" s="5">
        <v>19.0</v>
      </c>
      <c r="T58" s="5">
        <v>5054.481581</v>
      </c>
    </row>
    <row r="59">
      <c r="A59" s="4" t="s">
        <v>124</v>
      </c>
      <c r="B59" s="4" t="str">
        <f>IFERROR(__xludf.DUMMYFUNCTION("SPLIT(A59:A785, ""&gt;"")"),"Online Behavior")</f>
        <v>Online Behavior</v>
      </c>
      <c r="C59" s="4" t="str">
        <f>IFERROR(__xludf.DUMMYFUNCTION("""COMPUTED_VALUE"""),"United States")</f>
        <v>United States</v>
      </c>
      <c r="D59" s="4" t="str">
        <f>IFERROR(__xludf.DUMMYFUNCTION("""COMPUTED_VALUE"""),"News")</f>
        <v>News</v>
      </c>
      <c r="E59" s="4" t="str">
        <f>IFERROR(__xludf.DUMMYFUNCTION("""COMPUTED_VALUE"""),"Sports News")</f>
        <v>Sports News</v>
      </c>
      <c r="F59" s="4"/>
      <c r="G59" s="4"/>
      <c r="H59" s="4"/>
      <c r="I59" s="5" t="s">
        <v>22</v>
      </c>
      <c r="J59" s="5" t="s">
        <v>16</v>
      </c>
      <c r="K59" s="5" t="s">
        <v>35</v>
      </c>
      <c r="L59" s="6" t="s">
        <v>115</v>
      </c>
      <c r="M59" s="5" t="s">
        <v>19</v>
      </c>
      <c r="N59" s="5" t="s">
        <v>27</v>
      </c>
      <c r="O59" s="5">
        <v>26715.0</v>
      </c>
      <c r="P59" s="5">
        <v>100.0</v>
      </c>
      <c r="Q59" s="5">
        <v>12287.0</v>
      </c>
      <c r="R59" s="5">
        <v>25003.0</v>
      </c>
      <c r="S59" s="5">
        <v>6.0</v>
      </c>
      <c r="T59" s="5">
        <v>4623.089672</v>
      </c>
    </row>
    <row r="60">
      <c r="A60" s="4" t="s">
        <v>125</v>
      </c>
      <c r="B60" s="4" t="str">
        <f>IFERROR(__xludf.DUMMYFUNCTION("SPLIT(A60:A786, ""&gt;"")"),"Telecommunications (Telco)")</f>
        <v>Telecommunications (Telco)</v>
      </c>
      <c r="C60" s="4"/>
      <c r="D60" s="4"/>
      <c r="E60" s="4"/>
      <c r="F60" s="4"/>
      <c r="G60" s="4"/>
      <c r="H60" s="4"/>
      <c r="I60" s="5" t="s">
        <v>22</v>
      </c>
      <c r="J60" s="5" t="s">
        <v>31</v>
      </c>
      <c r="K60" s="5" t="s">
        <v>126</v>
      </c>
      <c r="L60" s="6" t="s">
        <v>115</v>
      </c>
      <c r="M60" s="5" t="s">
        <v>19</v>
      </c>
      <c r="N60" s="5" t="s">
        <v>27</v>
      </c>
      <c r="O60" s="5">
        <v>65380.0</v>
      </c>
      <c r="P60" s="5">
        <v>208.0</v>
      </c>
      <c r="Q60" s="5">
        <v>30039.0</v>
      </c>
      <c r="R60" s="5">
        <v>60482.0</v>
      </c>
      <c r="S60" s="5">
        <v>5.0</v>
      </c>
      <c r="T60" s="5">
        <v>2905.884162</v>
      </c>
    </row>
    <row r="61">
      <c r="A61" s="4" t="s">
        <v>1742</v>
      </c>
      <c r="B61" s="4" t="str">
        <f>IFERROR(__xludf.DUMMYFUNCTION("SPLIT(A61:A787, ""&gt;"")"),"US ")</f>
        <v>US </v>
      </c>
      <c r="C61" s="4" t="str">
        <f>IFERROR(__xludf.DUMMYFUNCTION("""COMPUTED_VALUE""")," B2B ")</f>
        <v> B2B </v>
      </c>
      <c r="D61" s="4" t="str">
        <f>IFERROR(__xludf.DUMMYFUNCTION("""COMPUTED_VALUE""")," Purchase DM ")</f>
        <v> Purchase DM </v>
      </c>
      <c r="E61" s="4" t="str">
        <f>IFERROR(__xludf.DUMMYFUNCTION("""COMPUTED_VALUE""")," Technology Services, Hardware and ")</f>
        <v> Technology Services, Hardware and </v>
      </c>
      <c r="F61" s="4" t="str">
        <f>IFERROR(__xludf.DUMMYFUNCTION("""COMPUTED_VALUE""")," or Software ")</f>
        <v> or Software </v>
      </c>
      <c r="G61" s="4" t="str">
        <f>IFERROR(__xludf.DUMMYFUNCTION("""COMPUTED_VALUE""")," I have no input into the final decision")</f>
        <v> I have no input into the final decision</v>
      </c>
      <c r="H61" s="4"/>
      <c r="I61" s="5" t="s">
        <v>15</v>
      </c>
      <c r="J61" s="5" t="s">
        <v>42</v>
      </c>
      <c r="K61" s="5" t="s">
        <v>17</v>
      </c>
      <c r="L61" s="6" t="s">
        <v>115</v>
      </c>
      <c r="M61" s="5" t="s">
        <v>19</v>
      </c>
      <c r="N61" s="5" t="s">
        <v>27</v>
      </c>
      <c r="O61" s="5">
        <v>130796.0</v>
      </c>
      <c r="P61" s="5">
        <v>300.0</v>
      </c>
      <c r="Q61" s="5">
        <v>109118.0</v>
      </c>
      <c r="R61" s="5">
        <v>122937.0</v>
      </c>
      <c r="S61" s="5">
        <v>6.0</v>
      </c>
      <c r="T61" s="5">
        <v>2196.661232</v>
      </c>
    </row>
    <row r="62">
      <c r="A62" s="4" t="s">
        <v>1743</v>
      </c>
      <c r="B62" s="4" t="str">
        <f>IFERROR(__xludf.DUMMYFUNCTION("SPLIT(A62:A788, ""&gt;"")"),"US ")</f>
        <v>US </v>
      </c>
      <c r="C62" s="4" t="str">
        <f>IFERROR(__xludf.DUMMYFUNCTION("""COMPUTED_VALUE""")," Reach ")</f>
        <v> Reach </v>
      </c>
      <c r="D62" s="4" t="str">
        <f>IFERROR(__xludf.DUMMYFUNCTION("""COMPUTED_VALUE""")," Propensity Models ")</f>
        <v> Propensity Models </v>
      </c>
      <c r="E62" s="4" t="str">
        <f>IFERROR(__xludf.DUMMYFUNCTION("""COMPUTED_VALUE""")," Hobbies and Interest ")</f>
        <v> Hobbies and Interest </v>
      </c>
      <c r="F62" s="4" t="str">
        <f>IFERROR(__xludf.DUMMYFUNCTION("""COMPUTED_VALUE""")," Food and Drinks ")</f>
        <v> Food and Drinks </v>
      </c>
      <c r="G62" s="4" t="str">
        <f>IFERROR(__xludf.DUMMYFUNCTION("""COMPUTED_VALUE""")," Wine Lovers")</f>
        <v> Wine Lovers</v>
      </c>
      <c r="H62" s="4"/>
      <c r="I62" s="5" t="s">
        <v>15</v>
      </c>
      <c r="J62" s="5" t="s">
        <v>16</v>
      </c>
      <c r="K62" s="5" t="s">
        <v>39</v>
      </c>
      <c r="L62" s="6" t="s">
        <v>115</v>
      </c>
      <c r="M62" s="5" t="s">
        <v>19</v>
      </c>
      <c r="N62" s="5" t="s">
        <v>52</v>
      </c>
      <c r="O62" s="5">
        <v>64892.0</v>
      </c>
      <c r="P62" s="5">
        <v>214.0</v>
      </c>
      <c r="Q62" s="5">
        <v>34731.0</v>
      </c>
      <c r="R62" s="5">
        <v>59369.0</v>
      </c>
      <c r="S62" s="5">
        <v>24.0</v>
      </c>
      <c r="T62" s="5">
        <v>2096.285549</v>
      </c>
    </row>
    <row r="63">
      <c r="A63" s="4" t="s">
        <v>1744</v>
      </c>
      <c r="B63" s="4" t="str">
        <f>IFERROR(__xludf.DUMMYFUNCTION("SPLIT(A63:A789, ""&gt;"")"),"US ")</f>
        <v>US </v>
      </c>
      <c r="C63" s="4" t="str">
        <f>IFERROR(__xludf.DUMMYFUNCTION("""COMPUTED_VALUE""")," Brand Propensities ")</f>
        <v> Brand Propensities </v>
      </c>
      <c r="D63" s="4" t="str">
        <f>IFERROR(__xludf.DUMMYFUNCTION("""COMPUTED_VALUE""")," Travel ")</f>
        <v> Travel </v>
      </c>
      <c r="E63" s="4" t="str">
        <f>IFERROR(__xludf.DUMMYFUNCTION("""COMPUTED_VALUE""")," Choice Hotels Buyer Propensity")</f>
        <v> Choice Hotels Buyer Propensity</v>
      </c>
      <c r="F63" s="4"/>
      <c r="G63" s="4"/>
      <c r="H63" s="4"/>
      <c r="I63" s="5" t="s">
        <v>15</v>
      </c>
      <c r="J63" s="5" t="s">
        <v>42</v>
      </c>
      <c r="K63" s="5" t="s">
        <v>35</v>
      </c>
      <c r="L63" s="6" t="s">
        <v>115</v>
      </c>
      <c r="M63" s="5" t="s">
        <v>36</v>
      </c>
      <c r="N63" s="5" t="s">
        <v>27</v>
      </c>
      <c r="O63" s="5">
        <v>210096.0</v>
      </c>
      <c r="P63" s="5">
        <v>590.0</v>
      </c>
      <c r="Q63" s="5">
        <v>90928.0</v>
      </c>
      <c r="R63" s="5">
        <v>184823.0</v>
      </c>
      <c r="S63" s="5">
        <v>4.0</v>
      </c>
      <c r="T63" s="5">
        <v>2027.431388</v>
      </c>
    </row>
    <row r="64">
      <c r="A64" s="4" t="s">
        <v>1100</v>
      </c>
      <c r="B64" s="4" t="str">
        <f>IFERROR(__xludf.DUMMYFUNCTION("SPLIT(A64:A790, ""&gt;"")"),"OnAudience ")</f>
        <v>OnAudience </v>
      </c>
      <c r="C64" s="4" t="str">
        <f>IFERROR(__xludf.DUMMYFUNCTION("""COMPUTED_VALUE""")," Interest ")</f>
        <v> Interest </v>
      </c>
      <c r="D64" s="4" t="str">
        <f>IFERROR(__xludf.DUMMYFUNCTION("""COMPUTED_VALUE""")," Careers")</f>
        <v> Careers</v>
      </c>
      <c r="E64" s="4"/>
      <c r="F64" s="4"/>
      <c r="G64" s="4"/>
      <c r="H64" s="4"/>
      <c r="I64" s="5" t="s">
        <v>22</v>
      </c>
      <c r="J64" s="5" t="s">
        <v>16</v>
      </c>
      <c r="K64" s="5" t="s">
        <v>131</v>
      </c>
      <c r="L64" s="6" t="s">
        <v>115</v>
      </c>
      <c r="M64" s="5" t="s">
        <v>19</v>
      </c>
      <c r="N64" s="5" t="s">
        <v>27</v>
      </c>
      <c r="O64" s="5">
        <v>77313.0</v>
      </c>
      <c r="P64" s="5">
        <v>191.0</v>
      </c>
      <c r="Q64" s="5">
        <v>40366.0</v>
      </c>
      <c r="R64" s="5">
        <v>71128.0</v>
      </c>
      <c r="S64" s="5">
        <v>3.0</v>
      </c>
      <c r="T64" s="5">
        <v>1790.390198</v>
      </c>
    </row>
    <row r="65">
      <c r="A65" s="4" t="s">
        <v>1745</v>
      </c>
      <c r="B65" s="4" t="str">
        <f>IFERROR(__xludf.DUMMYFUNCTION("SPLIT(A65:A791, ""&gt;"")"),"US ")</f>
        <v>US </v>
      </c>
      <c r="C65" s="4" t="str">
        <f>IFERROR(__xludf.DUMMYFUNCTION("""COMPUTED_VALUE""")," Brand Propensities ")</f>
        <v> Brand Propensities </v>
      </c>
      <c r="D65" s="4" t="str">
        <f>IFERROR(__xludf.DUMMYFUNCTION("""COMPUTED_VALUE""")," Travel ")</f>
        <v> Travel </v>
      </c>
      <c r="E65" s="4" t="str">
        <f>IFERROR(__xludf.DUMMYFUNCTION("""COMPUTED_VALUE""")," Hotel Tonight Buyer Propensity")</f>
        <v> Hotel Tonight Buyer Propensity</v>
      </c>
      <c r="F65" s="4"/>
      <c r="G65" s="4"/>
      <c r="H65" s="4"/>
      <c r="I65" s="5" t="s">
        <v>15</v>
      </c>
      <c r="J65" s="5" t="s">
        <v>42</v>
      </c>
      <c r="K65" s="5" t="s">
        <v>84</v>
      </c>
      <c r="L65" s="6" t="s">
        <v>115</v>
      </c>
      <c r="M65" s="5" t="s">
        <v>36</v>
      </c>
      <c r="N65" s="5" t="s">
        <v>27</v>
      </c>
      <c r="O65" s="5">
        <v>188170.0</v>
      </c>
      <c r="P65" s="5">
        <v>490.0</v>
      </c>
      <c r="Q65" s="5">
        <v>155266.0</v>
      </c>
      <c r="R65" s="5">
        <v>176562.0</v>
      </c>
      <c r="S65" s="5">
        <v>6.0</v>
      </c>
      <c r="T65" s="5">
        <v>1599.715069</v>
      </c>
    </row>
    <row r="66">
      <c r="A66" s="4" t="s">
        <v>1102</v>
      </c>
      <c r="B66" s="4" t="str">
        <f>IFERROR(__xludf.DUMMYFUNCTION("SPLIT(A66:A792, ""&gt;"")"),"OnAudience ")</f>
        <v>OnAudience </v>
      </c>
      <c r="C66" s="4" t="str">
        <f>IFERROR(__xludf.DUMMYFUNCTION("""COMPUTED_VALUE""")," Interest ")</f>
        <v> Interest </v>
      </c>
      <c r="D66" s="4" t="str">
        <f>IFERROR(__xludf.DUMMYFUNCTION("""COMPUTED_VALUE""")," Science ")</f>
        <v> Science </v>
      </c>
      <c r="E66" s="4" t="str">
        <f>IFERROR(__xludf.DUMMYFUNCTION("""COMPUTED_VALUE""")," Weather Forecast")</f>
        <v> Weather Forecast</v>
      </c>
      <c r="F66" s="4"/>
      <c r="G66" s="4"/>
      <c r="H66" s="4"/>
      <c r="I66" s="5" t="s">
        <v>15</v>
      </c>
      <c r="J66" s="5" t="s">
        <v>23</v>
      </c>
      <c r="K66" s="5" t="s">
        <v>17</v>
      </c>
      <c r="L66" s="6" t="s">
        <v>115</v>
      </c>
      <c r="M66" s="5" t="s">
        <v>19</v>
      </c>
      <c r="N66" s="5" t="s">
        <v>52</v>
      </c>
      <c r="O66" s="5">
        <v>16808.0</v>
      </c>
      <c r="P66" s="5">
        <v>43.0</v>
      </c>
      <c r="Q66" s="5">
        <v>9211.0</v>
      </c>
      <c r="R66" s="5">
        <v>13372.0</v>
      </c>
      <c r="S66" s="5">
        <v>3.0</v>
      </c>
      <c r="T66" s="5">
        <v>1574.79128</v>
      </c>
    </row>
    <row r="67">
      <c r="A67" s="4" t="s">
        <v>1103</v>
      </c>
      <c r="B67" s="4" t="str">
        <f>IFERROR(__xludf.DUMMYFUNCTION("SPLIT(A67:A793, ""&gt;"")"),"Media and Entertainment ")</f>
        <v>Media and Entertainment </v>
      </c>
      <c r="C67" s="4" t="str">
        <f>IFERROR(__xludf.DUMMYFUNCTION("""COMPUTED_VALUE""")," Sports and Recreational Activities ")</f>
        <v> Sports and Recreational Activities </v>
      </c>
      <c r="D67" s="4" t="str">
        <f>IFERROR(__xludf.DUMMYFUNCTION("""COMPUTED_VALUE""")," Interest (Affinity) ")</f>
        <v> Interest (Affinity) </v>
      </c>
      <c r="E67" s="4" t="str">
        <f>IFERROR(__xludf.DUMMYFUNCTION("""COMPUTED_VALUE""")," Motorsports")</f>
        <v> Motorsports</v>
      </c>
      <c r="F67" s="4"/>
      <c r="G67" s="4"/>
      <c r="H67" s="4"/>
      <c r="I67" s="5" t="s">
        <v>15</v>
      </c>
      <c r="J67" s="5" t="s">
        <v>16</v>
      </c>
      <c r="K67" s="5" t="s">
        <v>39</v>
      </c>
      <c r="L67" s="6" t="s">
        <v>115</v>
      </c>
      <c r="M67" s="5" t="s">
        <v>19</v>
      </c>
      <c r="N67" s="5" t="s">
        <v>52</v>
      </c>
      <c r="O67" s="5">
        <v>21531.0</v>
      </c>
      <c r="P67" s="5">
        <v>55.0</v>
      </c>
      <c r="Q67" s="5">
        <v>15593.0</v>
      </c>
      <c r="R67" s="5">
        <v>18617.0</v>
      </c>
      <c r="S67" s="5">
        <v>6.0</v>
      </c>
      <c r="T67" s="5">
        <v>1470.971925</v>
      </c>
    </row>
    <row r="68">
      <c r="A68" s="4" t="s">
        <v>1746</v>
      </c>
      <c r="B68" s="4" t="str">
        <f>IFERROR(__xludf.DUMMYFUNCTION("SPLIT(A68:A794, ""&gt;"")"),"Mobile - US ")</f>
        <v>Mobile - US </v>
      </c>
      <c r="C68" s="4" t="str">
        <f>IFERROR(__xludf.DUMMYFUNCTION("""COMPUTED_VALUE""")," Travel ")</f>
        <v> Travel </v>
      </c>
      <c r="D68" s="4" t="str">
        <f>IFERROR(__xludf.DUMMYFUNCTION("""COMPUTED_VALUE""")," Destination ")</f>
        <v> Destination </v>
      </c>
      <c r="E68" s="4" t="str">
        <f>IFERROR(__xludf.DUMMYFUNCTION("""COMPUTED_VALUE""")," International Travelers ")</f>
        <v> International Travelers </v>
      </c>
      <c r="F68" s="4" t="str">
        <f>IFERROR(__xludf.DUMMYFUNCTION("""COMPUTED_VALUE""")," Frequent Travelers")</f>
        <v> Frequent Travelers</v>
      </c>
      <c r="G68" s="4"/>
      <c r="H68" s="4"/>
      <c r="I68" s="5" t="s">
        <v>15</v>
      </c>
      <c r="J68" s="5" t="s">
        <v>23</v>
      </c>
      <c r="K68" s="5" t="s">
        <v>78</v>
      </c>
      <c r="L68" s="6" t="s">
        <v>115</v>
      </c>
      <c r="M68" s="5" t="s">
        <v>136</v>
      </c>
      <c r="N68" s="5" t="s">
        <v>20</v>
      </c>
      <c r="O68" s="5">
        <v>18313.0</v>
      </c>
      <c r="P68" s="5">
        <v>60.0</v>
      </c>
      <c r="Q68" s="5">
        <v>9481.0</v>
      </c>
      <c r="R68" s="5">
        <v>16300.0</v>
      </c>
      <c r="S68" s="5">
        <v>4.0</v>
      </c>
      <c r="T68" s="5">
        <v>1456.934187</v>
      </c>
    </row>
    <row r="69">
      <c r="A69" s="4" t="s">
        <v>1747</v>
      </c>
      <c r="B69" s="4" t="str">
        <f>IFERROR(__xludf.DUMMYFUNCTION("SPLIT(A69:A795, ""&gt;"")"),"US Financial ")</f>
        <v>US Financial </v>
      </c>
      <c r="C69" s="4" t="str">
        <f>IFERROR(__xludf.DUMMYFUNCTION("""COMPUTED_VALUE""")," Estimated Discretionary Spending (Financial) ")</f>
        <v> Estimated Discretionary Spending (Financial) </v>
      </c>
      <c r="D69" s="4" t="str">
        <f>IFERROR(__xludf.DUMMYFUNCTION("""COMPUTED_VALUE""")," Greater than $2,499")</f>
        <v> Greater than $2,499</v>
      </c>
      <c r="E69" s="4"/>
      <c r="F69" s="4"/>
      <c r="G69" s="4"/>
      <c r="H69" s="4"/>
      <c r="I69" s="5" t="s">
        <v>22</v>
      </c>
      <c r="J69" s="5" t="s">
        <v>42</v>
      </c>
      <c r="K69" s="5" t="s">
        <v>39</v>
      </c>
      <c r="L69" s="6" t="s">
        <v>138</v>
      </c>
      <c r="M69" s="5" t="s">
        <v>19</v>
      </c>
      <c r="N69" s="5" t="s">
        <v>27</v>
      </c>
      <c r="O69" s="5">
        <v>10779.0</v>
      </c>
      <c r="P69" s="5">
        <v>86.0</v>
      </c>
      <c r="Q69" s="5">
        <v>6420.0</v>
      </c>
      <c r="R69" s="5">
        <v>10287.0</v>
      </c>
      <c r="S69" s="5">
        <v>3.0</v>
      </c>
      <c r="T69" s="5">
        <v>1759.704833</v>
      </c>
    </row>
    <row r="70">
      <c r="A70" s="4" t="s">
        <v>1748</v>
      </c>
      <c r="B70" s="4" t="str">
        <f>IFERROR(__xludf.DUMMYFUNCTION("SPLIT(A70:A796, ""&gt;"")"),"US ")</f>
        <v>US </v>
      </c>
      <c r="C70" s="4" t="str">
        <f>IFERROR(__xludf.DUMMYFUNCTION("""COMPUTED_VALUE""")," AUTO ")</f>
        <v> AUTO </v>
      </c>
      <c r="D70" s="4" t="str">
        <f>IFERROR(__xludf.DUMMYFUNCTION("""COMPUTED_VALUE""")," Primary Vehicle ")</f>
        <v> Primary Vehicle </v>
      </c>
      <c r="E70" s="4" t="str">
        <f>IFERROR(__xludf.DUMMYFUNCTION("""COMPUTED_VALUE""")," New or Used ")</f>
        <v> New or Used </v>
      </c>
      <c r="F70" s="4" t="str">
        <f>IFERROR(__xludf.DUMMYFUNCTION("""COMPUTED_VALUE""")," Pre-owned")</f>
        <v> Pre-owned</v>
      </c>
      <c r="G70" s="4"/>
      <c r="H70" s="4"/>
      <c r="I70" s="5" t="s">
        <v>22</v>
      </c>
      <c r="J70" s="5" t="s">
        <v>16</v>
      </c>
      <c r="K70" s="5" t="s">
        <v>55</v>
      </c>
      <c r="L70" s="6" t="s">
        <v>140</v>
      </c>
      <c r="M70" s="5" t="s">
        <v>19</v>
      </c>
      <c r="N70" s="5" t="s">
        <v>27</v>
      </c>
      <c r="O70" s="5">
        <v>11325.0</v>
      </c>
      <c r="P70" s="5">
        <v>88.0</v>
      </c>
      <c r="Q70" s="5">
        <v>6186.0</v>
      </c>
      <c r="R70" s="5">
        <v>10612.0</v>
      </c>
      <c r="S70" s="5">
        <v>2.0</v>
      </c>
      <c r="T70" s="5">
        <v>1573.25409</v>
      </c>
    </row>
    <row r="71">
      <c r="A71" s="4" t="s">
        <v>1107</v>
      </c>
      <c r="B71" s="4" t="str">
        <f>IFERROR(__xludf.DUMMYFUNCTION("SPLIT(A71:A797, ""&gt;"")"),"Media and Entertainment ")</f>
        <v>Media and Entertainment </v>
      </c>
      <c r="C71" s="4" t="str">
        <f>IFERROR(__xludf.DUMMYFUNCTION("""COMPUTED_VALUE""")," Gaming ")</f>
        <v> Gaming </v>
      </c>
      <c r="D71" s="4" t="str">
        <f>IFERROR(__xludf.DUMMYFUNCTION("""COMPUTED_VALUE""")," Interest (Affinity) ")</f>
        <v> Interest (Affinity) </v>
      </c>
      <c r="E71" s="4" t="str">
        <f>IFERROR(__xludf.DUMMYFUNCTION("""COMPUTED_VALUE""")," Video Games")</f>
        <v> Video Games</v>
      </c>
      <c r="F71" s="4"/>
      <c r="G71" s="4"/>
      <c r="H71" s="4"/>
      <c r="I71" s="5" t="s">
        <v>22</v>
      </c>
      <c r="J71" s="5" t="s">
        <v>16</v>
      </c>
      <c r="K71" s="5" t="s">
        <v>142</v>
      </c>
      <c r="L71" s="6" t="s">
        <v>143</v>
      </c>
      <c r="M71" s="5" t="s">
        <v>48</v>
      </c>
      <c r="N71" s="5" t="s">
        <v>27</v>
      </c>
      <c r="O71" s="5">
        <v>9078.0</v>
      </c>
      <c r="P71" s="5">
        <v>21.0</v>
      </c>
      <c r="Q71" s="5">
        <v>4051.0</v>
      </c>
      <c r="R71" s="5">
        <v>6215.0</v>
      </c>
      <c r="S71" s="5">
        <v>1.0</v>
      </c>
      <c r="T71" s="5">
        <v>1700.795736</v>
      </c>
    </row>
    <row r="72">
      <c r="A72" s="4" t="s">
        <v>144</v>
      </c>
      <c r="B72" s="4" t="str">
        <f>IFERROR(__xludf.DUMMYFUNCTION("SPLIT(A72:A798, ""&gt;"")"),"Online Behavior")</f>
        <v>Online Behavior</v>
      </c>
      <c r="C72" s="4" t="str">
        <f>IFERROR(__xludf.DUMMYFUNCTION("""COMPUTED_VALUE"""),"United States")</f>
        <v>United States</v>
      </c>
      <c r="D72" s="4" t="str">
        <f>IFERROR(__xludf.DUMMYFUNCTION("""COMPUTED_VALUE"""),"Games")</f>
        <v>Games</v>
      </c>
      <c r="E72" s="4" t="str">
        <f>IFERROR(__xludf.DUMMYFUNCTION("""COMPUTED_VALUE"""),"Card Games")</f>
        <v>Card Games</v>
      </c>
      <c r="F72" s="4"/>
      <c r="G72" s="4"/>
      <c r="H72" s="4"/>
      <c r="I72" s="5" t="s">
        <v>22</v>
      </c>
      <c r="J72" s="5" t="s">
        <v>42</v>
      </c>
      <c r="K72" s="5" t="s">
        <v>29</v>
      </c>
      <c r="L72" s="6" t="s">
        <v>145</v>
      </c>
      <c r="M72" s="5" t="s">
        <v>19</v>
      </c>
      <c r="N72" s="5" t="s">
        <v>27</v>
      </c>
      <c r="O72" s="5">
        <v>11511.0</v>
      </c>
      <c r="P72" s="5">
        <v>33.0</v>
      </c>
      <c r="Q72" s="5">
        <v>8268.0</v>
      </c>
      <c r="R72" s="5">
        <v>11042.0</v>
      </c>
      <c r="S72" s="5">
        <v>3.0</v>
      </c>
      <c r="T72" s="5">
        <v>6815.712325</v>
      </c>
    </row>
    <row r="73">
      <c r="A73" s="4" t="s">
        <v>1108</v>
      </c>
      <c r="B73" s="4" t="str">
        <f>IFERROR(__xludf.DUMMYFUNCTION("SPLIT(A73:A799, ""&gt;"")"),"Online Behavior")</f>
        <v>Online Behavior</v>
      </c>
      <c r="C73" s="4" t="str">
        <f>IFERROR(__xludf.DUMMYFUNCTION("""COMPUTED_VALUE"""),"United States")</f>
        <v>United States</v>
      </c>
      <c r="D73" s="4" t="str">
        <f>IFERROR(__xludf.DUMMYFUNCTION("""COMPUTED_VALUE"""),"Autos and Vehicles ")</f>
        <v>Autos and Vehicles </v>
      </c>
      <c r="E73" s="4" t="str">
        <f>IFERROR(__xludf.DUMMYFUNCTION("""COMPUTED_VALUE""")," Brands")</f>
        <v> Brands</v>
      </c>
      <c r="F73" s="4" t="str">
        <f>IFERROR(__xludf.DUMMYFUNCTION("""COMPUTED_VALUE"""),"Rolls-Royce")</f>
        <v>Rolls-Royce</v>
      </c>
      <c r="G73" s="4"/>
      <c r="H73" s="4"/>
      <c r="I73" s="5" t="s">
        <v>22</v>
      </c>
      <c r="J73" s="5" t="s">
        <v>23</v>
      </c>
      <c r="K73" s="5" t="s">
        <v>147</v>
      </c>
      <c r="L73" s="6" t="s">
        <v>145</v>
      </c>
      <c r="M73" s="5" t="s">
        <v>46</v>
      </c>
      <c r="N73" s="5" t="s">
        <v>27</v>
      </c>
      <c r="O73" s="5">
        <v>14047.0</v>
      </c>
      <c r="P73" s="5">
        <v>44.0</v>
      </c>
      <c r="Q73" s="5">
        <v>9934.0</v>
      </c>
      <c r="R73" s="5">
        <v>13377.0</v>
      </c>
      <c r="S73" s="5">
        <v>7.0</v>
      </c>
      <c r="T73" s="5">
        <v>5729.650755</v>
      </c>
    </row>
    <row r="74">
      <c r="A74" s="4" t="s">
        <v>1749</v>
      </c>
      <c r="B74" s="4" t="str">
        <f>IFERROR(__xludf.DUMMYFUNCTION("SPLIT(A74:A800, ""&gt;"")"),"US ")</f>
        <v>US </v>
      </c>
      <c r="C74" s="4" t="str">
        <f>IFERROR(__xludf.DUMMYFUNCTION("""COMPUTED_VALUE""")," Reach ")</f>
        <v> Reach </v>
      </c>
      <c r="D74" s="4" t="str">
        <f>IFERROR(__xludf.DUMMYFUNCTION("""COMPUTED_VALUE""")," Propensity Models ")</f>
        <v> Propensity Models </v>
      </c>
      <c r="E74" s="4" t="str">
        <f>IFERROR(__xludf.DUMMYFUNCTION("""COMPUTED_VALUE""")," Hobbies and Interest ")</f>
        <v> Hobbies and Interest </v>
      </c>
      <c r="F74" s="4" t="str">
        <f>IFERROR(__xludf.DUMMYFUNCTION("""COMPUTED_VALUE""")," Photography")</f>
        <v> Photography</v>
      </c>
      <c r="G74" s="4"/>
      <c r="H74" s="4"/>
      <c r="I74" s="5" t="s">
        <v>15</v>
      </c>
      <c r="J74" s="5" t="s">
        <v>31</v>
      </c>
      <c r="K74" s="5" t="s">
        <v>17</v>
      </c>
      <c r="L74" s="6" t="s">
        <v>145</v>
      </c>
      <c r="M74" s="5" t="s">
        <v>46</v>
      </c>
      <c r="N74" s="5" t="s">
        <v>27</v>
      </c>
      <c r="O74" s="5">
        <v>20278.0</v>
      </c>
      <c r="P74" s="5">
        <v>74.0</v>
      </c>
      <c r="Q74" s="5">
        <v>14227.0</v>
      </c>
      <c r="R74" s="5">
        <v>19480.0</v>
      </c>
      <c r="S74" s="5">
        <v>3.0</v>
      </c>
      <c r="T74" s="5">
        <v>2921.110207</v>
      </c>
    </row>
    <row r="75">
      <c r="A75" s="4" t="s">
        <v>1115</v>
      </c>
      <c r="B75" s="4" t="str">
        <f>IFERROR(__xludf.DUMMYFUNCTION("SPLIT(A75:A801, ""&gt;"")"),"Travel and Tourism ")</f>
        <v>Travel and Tourism </v>
      </c>
      <c r="C75" s="4" t="str">
        <f>IFERROR(__xludf.DUMMYFUNCTION("""COMPUTED_VALUE""")," Interest (Affinity) ")</f>
        <v> Interest (Affinity) </v>
      </c>
      <c r="D75" s="4" t="str">
        <f>IFERROR(__xludf.DUMMYFUNCTION("""COMPUTED_VALUE""")," Destinations ")</f>
        <v> Destinations </v>
      </c>
      <c r="E75" s="4" t="str">
        <f>IFERROR(__xludf.DUMMYFUNCTION("""COMPUTED_VALUE""")," North America")</f>
        <v> North America</v>
      </c>
      <c r="F75" s="4"/>
      <c r="G75" s="4"/>
      <c r="H75" s="4"/>
      <c r="I75" s="5" t="s">
        <v>22</v>
      </c>
      <c r="J75" s="5" t="s">
        <v>31</v>
      </c>
      <c r="K75" s="5" t="s">
        <v>150</v>
      </c>
      <c r="L75" s="6" t="s">
        <v>145</v>
      </c>
      <c r="M75" s="5" t="s">
        <v>36</v>
      </c>
      <c r="N75" s="5" t="s">
        <v>27</v>
      </c>
      <c r="O75" s="5">
        <v>12354.0</v>
      </c>
      <c r="P75" s="5">
        <v>10.0</v>
      </c>
      <c r="Q75" s="5">
        <v>8561.0</v>
      </c>
      <c r="R75" s="5">
        <v>11782.0</v>
      </c>
      <c r="S75" s="5">
        <v>5.0</v>
      </c>
      <c r="T75" s="5">
        <v>1808.307918</v>
      </c>
    </row>
    <row r="76">
      <c r="A76" s="4" t="s">
        <v>1750</v>
      </c>
      <c r="B76" s="4" t="str">
        <f>IFERROR(__xludf.DUMMYFUNCTION("SPLIT(A76:A802, ""&gt;"")"),"US ")</f>
        <v>US </v>
      </c>
      <c r="C76" s="4" t="str">
        <f>IFERROR(__xludf.DUMMYFUNCTION("""COMPUTED_VALUE""")," Reach ")</f>
        <v> Reach </v>
      </c>
      <c r="D76" s="4" t="str">
        <f>IFERROR(__xludf.DUMMYFUNCTION("""COMPUTED_VALUE""")," Sociodemographic ")</f>
        <v> Sociodemographic </v>
      </c>
      <c r="E76" s="4" t="str">
        <f>IFERROR(__xludf.DUMMYFUNCTION("""COMPUTED_VALUE""")," Estimated Current Home Value ")</f>
        <v> Estimated Current Home Value </v>
      </c>
      <c r="F76" s="4" t="str">
        <f>IFERROR(__xludf.DUMMYFUNCTION("""COMPUTED_VALUE""")," $160,000-$199,999")</f>
        <v> $160,000-$199,999</v>
      </c>
      <c r="G76" s="4"/>
      <c r="H76" s="4"/>
      <c r="I76" s="5" t="s">
        <v>15</v>
      </c>
      <c r="J76" s="5" t="s">
        <v>16</v>
      </c>
      <c r="K76" s="5" t="s">
        <v>35</v>
      </c>
      <c r="L76" s="6" t="s">
        <v>145</v>
      </c>
      <c r="M76" s="5" t="s">
        <v>19</v>
      </c>
      <c r="N76" s="5" t="s">
        <v>27</v>
      </c>
      <c r="O76" s="5">
        <v>13132.0</v>
      </c>
      <c r="P76" s="5">
        <v>67.0</v>
      </c>
      <c r="Q76" s="5">
        <v>6133.0</v>
      </c>
      <c r="R76" s="5">
        <v>12377.0</v>
      </c>
      <c r="S76" s="5">
        <v>4.0</v>
      </c>
      <c r="T76" s="5">
        <v>1807.693142</v>
      </c>
    </row>
    <row r="77">
      <c r="A77" s="4" t="s">
        <v>1751</v>
      </c>
      <c r="B77" s="4" t="str">
        <f>IFERROR(__xludf.DUMMYFUNCTION("SPLIT(A77:A803, ""&gt;"")"),"US ")</f>
        <v>US </v>
      </c>
      <c r="C77" s="4" t="str">
        <f>IFERROR(__xludf.DUMMYFUNCTION("""COMPUTED_VALUE"""),"Connected Impulse-Shopper Audience")</f>
        <v>Connected Impulse-Shopper Audience</v>
      </c>
      <c r="D77" s="4"/>
      <c r="E77" s="4"/>
      <c r="F77" s="4"/>
      <c r="G77" s="4"/>
      <c r="H77" s="4"/>
      <c r="I77" s="5" t="s">
        <v>15</v>
      </c>
      <c r="J77" s="5" t="s">
        <v>42</v>
      </c>
      <c r="K77" s="5" t="s">
        <v>95</v>
      </c>
      <c r="L77" s="6" t="s">
        <v>153</v>
      </c>
      <c r="M77" s="5" t="s">
        <v>136</v>
      </c>
      <c r="N77" s="5" t="s">
        <v>27</v>
      </c>
      <c r="O77" s="5">
        <v>35034.0</v>
      </c>
      <c r="P77" s="5">
        <v>145.0</v>
      </c>
      <c r="Q77" s="5">
        <v>13904.0</v>
      </c>
      <c r="R77" s="5">
        <v>34123.0</v>
      </c>
      <c r="S77" s="5">
        <v>3.0</v>
      </c>
      <c r="T77" s="5">
        <v>2141.469346</v>
      </c>
    </row>
    <row r="78">
      <c r="A78" s="4" t="s">
        <v>1752</v>
      </c>
      <c r="B78" s="4" t="str">
        <f>IFERROR(__xludf.DUMMYFUNCTION("SPLIT(A78:A804, ""&gt;"")"),"US ")</f>
        <v>US </v>
      </c>
      <c r="C78" s="4" t="str">
        <f>IFERROR(__xludf.DUMMYFUNCTION("""COMPUTED_VALUE""")," Interest Propensities ")</f>
        <v> Interest Propensities </v>
      </c>
      <c r="D78" s="4" t="str">
        <f>IFERROR(__xludf.DUMMYFUNCTION("""COMPUTED_VALUE""")," Activities and Interests ")</f>
        <v> Activities and Interests </v>
      </c>
      <c r="E78" s="4" t="str">
        <f>IFERROR(__xludf.DUMMYFUNCTION("""COMPUTED_VALUE""")," International News")</f>
        <v> International News</v>
      </c>
      <c r="F78" s="4"/>
      <c r="G78" s="4"/>
      <c r="H78" s="4"/>
      <c r="I78" s="5" t="s">
        <v>61</v>
      </c>
      <c r="J78" s="5" t="s">
        <v>16</v>
      </c>
      <c r="K78" s="5" t="s">
        <v>155</v>
      </c>
      <c r="L78" s="6" t="s">
        <v>156</v>
      </c>
      <c r="M78" s="5" t="s">
        <v>19</v>
      </c>
      <c r="N78" s="5" t="s">
        <v>27</v>
      </c>
      <c r="O78" s="5">
        <v>9946.0</v>
      </c>
      <c r="P78" s="5">
        <v>20.0</v>
      </c>
      <c r="Q78" s="5">
        <v>4818.0</v>
      </c>
      <c r="R78" s="5">
        <v>7382.0</v>
      </c>
      <c r="S78" s="5">
        <v>3.0</v>
      </c>
      <c r="T78" s="5">
        <v>1525.962329</v>
      </c>
    </row>
    <row r="79">
      <c r="A79" s="4" t="s">
        <v>1131</v>
      </c>
      <c r="B79" s="4" t="str">
        <f>IFERROR(__xludf.DUMMYFUNCTION("SPLIT(A79:A805, ""&gt;"")"),"Online Behavior")</f>
        <v>Online Behavior</v>
      </c>
      <c r="C79" s="4" t="str">
        <f>IFERROR(__xludf.DUMMYFUNCTION("""COMPUTED_VALUE"""),"United States")</f>
        <v>United States</v>
      </c>
      <c r="D79" s="4" t="str">
        <f>IFERROR(__xludf.DUMMYFUNCTION("""COMPUTED_VALUE"""),"Intent ")</f>
        <v>Intent </v>
      </c>
      <c r="E79" s="4" t="str">
        <f>IFERROR(__xludf.DUMMYFUNCTION("""COMPUTED_VALUE""")," Auto Buyers ")</f>
        <v> Auto Buyers </v>
      </c>
      <c r="F79" s="4" t="str">
        <f>IFERROR(__xludf.DUMMYFUNCTION("""COMPUTED_VALUE""")," Car Make")</f>
        <v> Car Make</v>
      </c>
      <c r="G79" s="4" t="str">
        <f>IFERROR(__xludf.DUMMYFUNCTION("""COMPUTED_VALUE"""),"Nissan")</f>
        <v>Nissan</v>
      </c>
      <c r="H79" s="4"/>
      <c r="I79" s="5" t="s">
        <v>22</v>
      </c>
      <c r="J79" s="5" t="s">
        <v>16</v>
      </c>
      <c r="K79" s="5" t="s">
        <v>55</v>
      </c>
      <c r="L79" s="6" t="s">
        <v>158</v>
      </c>
      <c r="M79" s="5" t="s">
        <v>19</v>
      </c>
      <c r="N79" s="5" t="s">
        <v>27</v>
      </c>
      <c r="O79" s="5">
        <v>8068.0</v>
      </c>
      <c r="P79" s="5">
        <v>10.0</v>
      </c>
      <c r="Q79" s="5">
        <v>5545.0</v>
      </c>
      <c r="R79" s="5">
        <v>7554.0</v>
      </c>
      <c r="S79" s="5">
        <v>1.0</v>
      </c>
      <c r="T79" s="5">
        <v>5995.041002</v>
      </c>
    </row>
    <row r="80">
      <c r="A80" s="4" t="s">
        <v>159</v>
      </c>
      <c r="B80" s="4" t="str">
        <f>IFERROR(__xludf.DUMMYFUNCTION("SPLIT(A80:A806, ""&gt;"")"),"Online Behavior")</f>
        <v>Online Behavior</v>
      </c>
      <c r="C80" s="4" t="str">
        <f>IFERROR(__xludf.DUMMYFUNCTION("""COMPUTED_VALUE"""),"United States")</f>
        <v>United States</v>
      </c>
      <c r="D80" s="4" t="str">
        <f>IFERROR(__xludf.DUMMYFUNCTION("""COMPUTED_VALUE"""),"Life Event")</f>
        <v>Life Event</v>
      </c>
      <c r="E80" s="4" t="str">
        <f>IFERROR(__xludf.DUMMYFUNCTION("""COMPUTED_VALUE"""),"Bride")</f>
        <v>Bride</v>
      </c>
      <c r="F80" s="4"/>
      <c r="G80" s="4"/>
      <c r="H80" s="4"/>
      <c r="I80" s="5" t="s">
        <v>22</v>
      </c>
      <c r="J80" s="5" t="s">
        <v>16</v>
      </c>
      <c r="K80" s="5" t="s">
        <v>39</v>
      </c>
      <c r="L80" s="6" t="s">
        <v>160</v>
      </c>
      <c r="M80" s="5" t="s">
        <v>161</v>
      </c>
      <c r="N80" s="5" t="s">
        <v>27</v>
      </c>
      <c r="O80" s="5">
        <v>11919.0</v>
      </c>
      <c r="P80" s="5">
        <v>69.0</v>
      </c>
      <c r="Q80" s="5">
        <v>8100.0</v>
      </c>
      <c r="R80" s="5">
        <v>11524.0</v>
      </c>
      <c r="S80" s="5">
        <v>2.0</v>
      </c>
      <c r="T80" s="5">
        <v>6350.916905</v>
      </c>
    </row>
    <row r="81">
      <c r="A81" s="4" t="s">
        <v>162</v>
      </c>
      <c r="B81" s="4" t="str">
        <f>IFERROR(__xludf.DUMMYFUNCTION("SPLIT(A81:A807, ""&gt;"")"),"Online Behavior")</f>
        <v>Online Behavior</v>
      </c>
      <c r="C81" s="4" t="str">
        <f>IFERROR(__xludf.DUMMYFUNCTION("""COMPUTED_VALUE"""),"United States")</f>
        <v>United States</v>
      </c>
      <c r="D81" s="4" t="str">
        <f>IFERROR(__xludf.DUMMYFUNCTION("""COMPUTED_VALUE"""),"Life Event")</f>
        <v>Life Event</v>
      </c>
      <c r="E81" s="4" t="str">
        <f>IFERROR(__xludf.DUMMYFUNCTION("""COMPUTED_VALUE"""),"Engagement")</f>
        <v>Engagement</v>
      </c>
      <c r="F81" s="4"/>
      <c r="G81" s="4"/>
      <c r="H81" s="4"/>
      <c r="I81" s="5" t="s">
        <v>22</v>
      </c>
      <c r="J81" s="5" t="s">
        <v>23</v>
      </c>
      <c r="K81" s="5" t="s">
        <v>55</v>
      </c>
      <c r="L81" s="6" t="s">
        <v>160</v>
      </c>
      <c r="M81" s="5" t="s">
        <v>19</v>
      </c>
      <c r="N81" s="5" t="s">
        <v>27</v>
      </c>
      <c r="O81" s="5">
        <v>35163.0</v>
      </c>
      <c r="P81" s="5">
        <v>250.0</v>
      </c>
      <c r="Q81" s="5">
        <v>21222.0</v>
      </c>
      <c r="R81" s="5">
        <v>33671.0</v>
      </c>
      <c r="S81" s="5">
        <v>15.0</v>
      </c>
      <c r="T81" s="5">
        <v>6336.7181</v>
      </c>
    </row>
    <row r="82">
      <c r="A82" s="4" t="s">
        <v>163</v>
      </c>
      <c r="B82" s="4" t="str">
        <f>IFERROR(__xludf.DUMMYFUNCTION("SPLIT(A82:A808, ""&gt;"")"),"Online Behavior")</f>
        <v>Online Behavior</v>
      </c>
      <c r="C82" s="4" t="str">
        <f>IFERROR(__xludf.DUMMYFUNCTION("""COMPUTED_VALUE"""),"United States")</f>
        <v>United States</v>
      </c>
      <c r="D82" s="4" t="str">
        <f>IFERROR(__xludf.DUMMYFUNCTION("""COMPUTED_VALUE"""),"The Changing Consumer")</f>
        <v>The Changing Consumer</v>
      </c>
      <c r="E82" s="4" t="str">
        <f>IFERROR(__xludf.DUMMYFUNCTION("""COMPUTED_VALUE"""),"Internet Connection")</f>
        <v>Internet Connection</v>
      </c>
      <c r="F82" s="4"/>
      <c r="G82" s="4"/>
      <c r="H82" s="4"/>
      <c r="I82" s="5" t="s">
        <v>15</v>
      </c>
      <c r="J82" s="5" t="s">
        <v>42</v>
      </c>
      <c r="K82" s="5" t="s">
        <v>35</v>
      </c>
      <c r="L82" s="6" t="s">
        <v>160</v>
      </c>
      <c r="M82" s="5" t="s">
        <v>19</v>
      </c>
      <c r="N82" s="5" t="s">
        <v>52</v>
      </c>
      <c r="O82" s="5">
        <v>27202.0</v>
      </c>
      <c r="P82" s="5">
        <v>70.0</v>
      </c>
      <c r="Q82" s="5">
        <v>5202.0</v>
      </c>
      <c r="R82" s="5">
        <v>23474.0</v>
      </c>
      <c r="S82" s="5">
        <v>11.0</v>
      </c>
      <c r="T82" s="5">
        <v>4253.979116</v>
      </c>
    </row>
    <row r="83">
      <c r="A83" s="4" t="s">
        <v>1133</v>
      </c>
      <c r="B83" s="4" t="str">
        <f>IFERROR(__xludf.DUMMYFUNCTION("SPLIT(A83:A809, ""&gt;"")"),"Lotame ")</f>
        <v>Lotame </v>
      </c>
      <c r="C83" s="4" t="str">
        <f>IFERROR(__xludf.DUMMYFUNCTION("""COMPUTED_VALUE""")," Personal Finance ")</f>
        <v> Personal Finance </v>
      </c>
      <c r="D83" s="4" t="str">
        <f>IFERROR(__xludf.DUMMYFUNCTION("""COMPUTED_VALUE""")," Estate Planning")</f>
        <v> Estate Planning</v>
      </c>
      <c r="E83" s="4"/>
      <c r="F83" s="4"/>
      <c r="G83" s="4"/>
      <c r="H83" s="4"/>
      <c r="I83" s="5" t="s">
        <v>22</v>
      </c>
      <c r="J83" s="5" t="s">
        <v>16</v>
      </c>
      <c r="K83" s="5" t="s">
        <v>17</v>
      </c>
      <c r="L83" s="6" t="s">
        <v>160</v>
      </c>
      <c r="M83" s="5" t="s">
        <v>19</v>
      </c>
      <c r="N83" s="5" t="s">
        <v>27</v>
      </c>
      <c r="O83" s="5">
        <v>59782.0</v>
      </c>
      <c r="P83" s="5">
        <v>212.0</v>
      </c>
      <c r="Q83" s="5">
        <v>28235.0</v>
      </c>
      <c r="R83" s="5">
        <v>57543.0</v>
      </c>
      <c r="S83" s="5">
        <v>13.0</v>
      </c>
      <c r="T83" s="5">
        <v>1455.703554</v>
      </c>
    </row>
    <row r="84">
      <c r="A84" s="4" t="s">
        <v>1137</v>
      </c>
      <c r="B84" s="4" t="str">
        <f>IFERROR(__xludf.DUMMYFUNCTION("SPLIT(A84:A810, ""&gt;"")"),"Online Behavior")</f>
        <v>Online Behavior</v>
      </c>
      <c r="C84" s="4" t="str">
        <f>IFERROR(__xludf.DUMMYFUNCTION("""COMPUTED_VALUE"""),"United States")</f>
        <v>United States</v>
      </c>
      <c r="D84" s="4" t="str">
        <f>IFERROR(__xludf.DUMMYFUNCTION("""COMPUTED_VALUE"""),"Sports")</f>
        <v>Sports</v>
      </c>
      <c r="E84" s="4" t="str">
        <f>IFERROR(__xludf.DUMMYFUNCTION("""COMPUTED_VALUE"""),"Team Sports ")</f>
        <v>Team Sports </v>
      </c>
      <c r="F84" s="4" t="str">
        <f>IFERROR(__xludf.DUMMYFUNCTION("""COMPUTED_VALUE""")," Volleyball")</f>
        <v> Volleyball</v>
      </c>
      <c r="G84" s="4"/>
      <c r="H84" s="4"/>
      <c r="I84" s="5" t="s">
        <v>15</v>
      </c>
      <c r="J84" s="5" t="s">
        <v>16</v>
      </c>
      <c r="K84" s="5" t="s">
        <v>39</v>
      </c>
      <c r="L84" s="6" t="s">
        <v>166</v>
      </c>
      <c r="M84" s="5" t="s">
        <v>167</v>
      </c>
      <c r="N84" s="5" t="s">
        <v>20</v>
      </c>
      <c r="O84" s="5">
        <v>10066.0</v>
      </c>
      <c r="P84" s="5">
        <v>63.0</v>
      </c>
      <c r="Q84" s="5">
        <v>6978.0</v>
      </c>
      <c r="R84" s="5">
        <v>9369.0</v>
      </c>
      <c r="S84" s="5">
        <v>19.0</v>
      </c>
      <c r="T84" s="5">
        <v>6879.587097</v>
      </c>
    </row>
    <row r="85">
      <c r="A85" s="4" t="s">
        <v>1753</v>
      </c>
      <c r="B85" s="4" t="str">
        <f>IFERROR(__xludf.DUMMYFUNCTION("SPLIT(A85:A811, ""&gt;"")"),"Mobile - US ")</f>
        <v>Mobile - US </v>
      </c>
      <c r="C85" s="4" t="str">
        <f>IFERROR(__xludf.DUMMYFUNCTION("""COMPUTED_VALUE""")," Food ")</f>
        <v> Food </v>
      </c>
      <c r="D85" s="4" t="str">
        <f>IFERROR(__xludf.DUMMYFUNCTION("""COMPUTED_VALUE""")," Restaurant ")</f>
        <v> Restaurant </v>
      </c>
      <c r="E85" s="4" t="str">
        <f>IFERROR(__xludf.DUMMYFUNCTION("""COMPUTED_VALUE""")," Brand ")</f>
        <v> Brand </v>
      </c>
      <c r="F85" s="4" t="str">
        <f>IFERROR(__xludf.DUMMYFUNCTION("""COMPUTED_VALUE""")," Outback Steakhouse")</f>
        <v> Outback Steakhouse</v>
      </c>
      <c r="G85" s="4"/>
      <c r="H85" s="4"/>
      <c r="I85" s="5" t="s">
        <v>15</v>
      </c>
      <c r="J85" s="5" t="s">
        <v>16</v>
      </c>
      <c r="K85" s="5" t="s">
        <v>35</v>
      </c>
      <c r="L85" s="6" t="s">
        <v>166</v>
      </c>
      <c r="M85" s="5" t="s">
        <v>161</v>
      </c>
      <c r="N85" s="5" t="s">
        <v>27</v>
      </c>
      <c r="O85" s="5">
        <v>11296.0</v>
      </c>
      <c r="P85" s="5">
        <v>54.0</v>
      </c>
      <c r="Q85" s="5">
        <v>6822.0</v>
      </c>
      <c r="R85" s="5">
        <v>9274.0</v>
      </c>
      <c r="S85" s="5">
        <v>4.0</v>
      </c>
      <c r="T85" s="5">
        <v>1682.338499</v>
      </c>
    </row>
    <row r="86">
      <c r="A86" s="4" t="s">
        <v>169</v>
      </c>
      <c r="B86" s="4" t="str">
        <f>IFERROR(__xludf.DUMMYFUNCTION("SPLIT(A86:A812, ""&gt;"")"),"Online Behavior")</f>
        <v>Online Behavior</v>
      </c>
      <c r="C86" s="4" t="str">
        <f>IFERROR(__xludf.DUMMYFUNCTION("""COMPUTED_VALUE"""),"United States")</f>
        <v>United States</v>
      </c>
      <c r="D86" s="4" t="str">
        <f>IFERROR(__xludf.DUMMYFUNCTION("""COMPUTED_VALUE"""),"Sports")</f>
        <v>Sports</v>
      </c>
      <c r="E86" s="4" t="str">
        <f>IFERROR(__xludf.DUMMYFUNCTION("""COMPUTED_VALUE"""),"Sporting Goods")</f>
        <v>Sporting Goods</v>
      </c>
      <c r="F86" s="4"/>
      <c r="G86" s="4"/>
      <c r="H86" s="4"/>
      <c r="I86" s="5" t="s">
        <v>22</v>
      </c>
      <c r="J86" s="5" t="s">
        <v>31</v>
      </c>
      <c r="K86" s="5" t="s">
        <v>39</v>
      </c>
      <c r="L86" s="6" t="s">
        <v>170</v>
      </c>
      <c r="M86" s="5" t="s">
        <v>19</v>
      </c>
      <c r="N86" s="5" t="s">
        <v>27</v>
      </c>
      <c r="O86" s="5">
        <v>18633.0</v>
      </c>
      <c r="P86" s="5">
        <v>60.0</v>
      </c>
      <c r="Q86" s="5">
        <v>9424.0</v>
      </c>
      <c r="R86" s="5">
        <v>18087.0</v>
      </c>
      <c r="S86" s="5">
        <v>15.0</v>
      </c>
      <c r="T86" s="5">
        <v>6785.063293</v>
      </c>
    </row>
    <row r="87">
      <c r="A87" s="4" t="s">
        <v>171</v>
      </c>
      <c r="B87" s="4" t="str">
        <f>IFERROR(__xludf.DUMMYFUNCTION("SPLIT(A87:A813, ""&gt;"")"),"Online Behavior")</f>
        <v>Online Behavior</v>
      </c>
      <c r="C87" s="4" t="str">
        <f>IFERROR(__xludf.DUMMYFUNCTION("""COMPUTED_VALUE"""),"United States")</f>
        <v>United States</v>
      </c>
      <c r="D87" s="4" t="str">
        <f>IFERROR(__xludf.DUMMYFUNCTION("""COMPUTED_VALUE"""),"News")</f>
        <v>News</v>
      </c>
      <c r="E87" s="4" t="str">
        <f>IFERROR(__xludf.DUMMYFUNCTION("""COMPUTED_VALUE"""),"Newspapers")</f>
        <v>Newspapers</v>
      </c>
      <c r="F87" s="4"/>
      <c r="G87" s="4"/>
      <c r="H87" s="4"/>
      <c r="I87" s="5" t="s">
        <v>22</v>
      </c>
      <c r="J87" s="5" t="s">
        <v>42</v>
      </c>
      <c r="K87" s="5" t="s">
        <v>78</v>
      </c>
      <c r="L87" s="6" t="s">
        <v>170</v>
      </c>
      <c r="M87" s="5" t="s">
        <v>26</v>
      </c>
      <c r="N87" s="5" t="s">
        <v>27</v>
      </c>
      <c r="O87" s="5">
        <v>37176.0</v>
      </c>
      <c r="P87" s="5">
        <v>100.0</v>
      </c>
      <c r="Q87" s="5">
        <v>31829.0</v>
      </c>
      <c r="R87" s="5">
        <v>35639.0</v>
      </c>
      <c r="S87" s="5">
        <v>21.0</v>
      </c>
      <c r="T87" s="5">
        <v>6753.595242</v>
      </c>
    </row>
    <row r="88">
      <c r="A88" s="4" t="s">
        <v>1144</v>
      </c>
      <c r="B88" s="4" t="str">
        <f>IFERROR(__xludf.DUMMYFUNCTION("SPLIT(A88:A814, ""&gt;"")"),"Online Behavior")</f>
        <v>Online Behavior</v>
      </c>
      <c r="C88" s="4" t="str">
        <f>IFERROR(__xludf.DUMMYFUNCTION("""COMPUTED_VALUE"""),"United States")</f>
        <v>United States</v>
      </c>
      <c r="D88" s="4" t="str">
        <f>IFERROR(__xludf.DUMMYFUNCTION("""COMPUTED_VALUE"""),"Sports")</f>
        <v>Sports</v>
      </c>
      <c r="E88" s="4" t="str">
        <f>IFERROR(__xludf.DUMMYFUNCTION("""COMPUTED_VALUE"""),"Winter Sports ")</f>
        <v>Winter Sports </v>
      </c>
      <c r="F88" s="4" t="str">
        <f>IFERROR(__xludf.DUMMYFUNCTION("""COMPUTED_VALUE""")," Skiing and Snowboarding")</f>
        <v> Skiing and Snowboarding</v>
      </c>
      <c r="G88" s="4"/>
      <c r="H88" s="4"/>
      <c r="I88" s="5" t="s">
        <v>22</v>
      </c>
      <c r="J88" s="5" t="s">
        <v>42</v>
      </c>
      <c r="K88" s="5" t="s">
        <v>173</v>
      </c>
      <c r="L88" s="6" t="s">
        <v>170</v>
      </c>
      <c r="M88" s="5" t="s">
        <v>19</v>
      </c>
      <c r="N88" s="5" t="s">
        <v>27</v>
      </c>
      <c r="O88" s="5">
        <v>29251.0</v>
      </c>
      <c r="P88" s="5">
        <v>95.0</v>
      </c>
      <c r="Q88" s="5">
        <v>25060.0</v>
      </c>
      <c r="R88" s="5">
        <v>28038.0</v>
      </c>
      <c r="S88" s="5">
        <v>8.0</v>
      </c>
      <c r="T88" s="5">
        <v>5994.746834</v>
      </c>
    </row>
    <row r="89">
      <c r="A89" s="4" t="s">
        <v>1754</v>
      </c>
      <c r="B89" s="4" t="str">
        <f>IFERROR(__xludf.DUMMYFUNCTION("SPLIT(A89:A815, ""&gt;"")"),"US ")</f>
        <v>US </v>
      </c>
      <c r="C89" s="4" t="str">
        <f>IFERROR(__xludf.DUMMYFUNCTION("""COMPUTED_VALUE""")," Reach ")</f>
        <v> Reach </v>
      </c>
      <c r="D89" s="4" t="str">
        <f>IFERROR(__xludf.DUMMYFUNCTION("""COMPUTED_VALUE""")," Propensity Models ")</f>
        <v> Propensity Models </v>
      </c>
      <c r="E89" s="4" t="str">
        <f>IFERROR(__xludf.DUMMYFUNCTION("""COMPUTED_VALUE""")," Household Consumer Expenditures ")</f>
        <v> Household Consumer Expenditures </v>
      </c>
      <c r="F89" s="4" t="str">
        <f>IFERROR(__xludf.DUMMYFUNCTION("""COMPUTED_VALUE""")," Home Office")</f>
        <v> Home Office</v>
      </c>
      <c r="G89" s="4"/>
      <c r="H89" s="4"/>
      <c r="I89" s="5" t="s">
        <v>22</v>
      </c>
      <c r="J89" s="5" t="s">
        <v>16</v>
      </c>
      <c r="K89" s="5" t="s">
        <v>175</v>
      </c>
      <c r="L89" s="6" t="s">
        <v>170</v>
      </c>
      <c r="M89" s="5" t="s">
        <v>117</v>
      </c>
      <c r="N89" s="5" t="s">
        <v>27</v>
      </c>
      <c r="O89" s="5">
        <v>36431.0</v>
      </c>
      <c r="P89" s="5">
        <v>108.0</v>
      </c>
      <c r="Q89" s="5">
        <v>31262.0</v>
      </c>
      <c r="R89" s="5">
        <v>35043.0</v>
      </c>
      <c r="S89" s="5">
        <v>11.0</v>
      </c>
      <c r="T89" s="5">
        <v>3285.834522</v>
      </c>
    </row>
    <row r="90">
      <c r="A90" s="4" t="s">
        <v>1148</v>
      </c>
      <c r="B90" s="4" t="str">
        <f>IFERROR(__xludf.DUMMYFUNCTION("SPLIT(A90:A816, ""&gt;"")"),"OnAudience ")</f>
        <v>OnAudience </v>
      </c>
      <c r="C90" s="4" t="str">
        <f>IFERROR(__xludf.DUMMYFUNCTION("""COMPUTED_VALUE""")," Intent ")</f>
        <v> Intent </v>
      </c>
      <c r="D90" s="4" t="str">
        <f>IFERROR(__xludf.DUMMYFUNCTION("""COMPUTED_VALUE""")," Sporting Goods")</f>
        <v> Sporting Goods</v>
      </c>
      <c r="E90" s="4"/>
      <c r="F90" s="4"/>
      <c r="G90" s="4"/>
      <c r="H90" s="4"/>
      <c r="I90" s="5" t="s">
        <v>15</v>
      </c>
      <c r="J90" s="5" t="s">
        <v>31</v>
      </c>
      <c r="K90" s="5" t="s">
        <v>35</v>
      </c>
      <c r="L90" s="6" t="s">
        <v>170</v>
      </c>
      <c r="M90" s="5" t="s">
        <v>26</v>
      </c>
      <c r="N90" s="5" t="s">
        <v>27</v>
      </c>
      <c r="O90" s="5">
        <v>22004.0</v>
      </c>
      <c r="P90" s="5">
        <v>80.0</v>
      </c>
      <c r="Q90" s="5">
        <v>18735.0</v>
      </c>
      <c r="R90" s="5">
        <v>21127.0</v>
      </c>
      <c r="S90" s="5">
        <v>4.0</v>
      </c>
      <c r="T90" s="5">
        <v>1632.472782</v>
      </c>
    </row>
    <row r="91">
      <c r="A91" s="4" t="s">
        <v>1149</v>
      </c>
      <c r="B91" s="4" t="str">
        <f>IFERROR(__xludf.DUMMYFUNCTION("SPLIT(A91:A817, ""&gt;"")"),"Online Behavior")</f>
        <v>Online Behavior</v>
      </c>
      <c r="C91" s="4" t="str">
        <f>IFERROR(__xludf.DUMMYFUNCTION("""COMPUTED_VALUE"""),"United States")</f>
        <v>United States</v>
      </c>
      <c r="D91" s="4" t="str">
        <f>IFERROR(__xludf.DUMMYFUNCTION("""COMPUTED_VALUE"""),"Intent ")</f>
        <v>Intent </v>
      </c>
      <c r="E91" s="4" t="str">
        <f>IFERROR(__xludf.DUMMYFUNCTION("""COMPUTED_VALUE""")," Shopping")</f>
        <v> Shopping</v>
      </c>
      <c r="F91" s="4" t="str">
        <f>IFERROR(__xludf.DUMMYFUNCTION("""COMPUTED_VALUE"""),"Consumer Electronics ")</f>
        <v>Consumer Electronics </v>
      </c>
      <c r="G91" s="4" t="str">
        <f>IFERROR(__xludf.DUMMYFUNCTION("""COMPUTED_VALUE""")," Computers, Laptops")</f>
        <v> Computers, Laptops</v>
      </c>
      <c r="H91" s="4"/>
      <c r="I91" s="5" t="s">
        <v>22</v>
      </c>
      <c r="J91" s="5" t="s">
        <v>23</v>
      </c>
      <c r="K91" s="5" t="s">
        <v>173</v>
      </c>
      <c r="L91" s="6" t="s">
        <v>178</v>
      </c>
      <c r="M91" s="5" t="s">
        <v>50</v>
      </c>
      <c r="N91" s="5" t="s">
        <v>27</v>
      </c>
      <c r="O91" s="5">
        <v>16644.0</v>
      </c>
      <c r="P91" s="5">
        <v>10.0</v>
      </c>
      <c r="Q91" s="5">
        <v>5055.0</v>
      </c>
      <c r="R91" s="5">
        <v>15831.0</v>
      </c>
      <c r="S91" s="5">
        <v>5.0</v>
      </c>
      <c r="T91" s="5">
        <v>6386.464232</v>
      </c>
    </row>
    <row r="92">
      <c r="A92" s="4" t="s">
        <v>179</v>
      </c>
      <c r="B92" s="4" t="str">
        <f>IFERROR(__xludf.DUMMYFUNCTION("SPLIT(A92:A818, ""&gt;"")"),"Online Behavior")</f>
        <v>Online Behavior</v>
      </c>
      <c r="C92" s="4" t="str">
        <f>IFERROR(__xludf.DUMMYFUNCTION("""COMPUTED_VALUE"""),"United States")</f>
        <v>United States</v>
      </c>
      <c r="D92" s="4" t="str">
        <f>IFERROR(__xludf.DUMMYFUNCTION("""COMPUTED_VALUE"""),"Sports")</f>
        <v>Sports</v>
      </c>
      <c r="E92" s="4" t="str">
        <f>IFERROR(__xludf.DUMMYFUNCTION("""COMPUTED_VALUE"""),"Fantasy Sports")</f>
        <v>Fantasy Sports</v>
      </c>
      <c r="F92" s="4"/>
      <c r="G92" s="4"/>
      <c r="H92" s="4"/>
      <c r="I92" s="5" t="s">
        <v>22</v>
      </c>
      <c r="J92" s="5" t="s">
        <v>31</v>
      </c>
      <c r="K92" s="5" t="s">
        <v>142</v>
      </c>
      <c r="L92" s="6" t="s">
        <v>178</v>
      </c>
      <c r="M92" s="5" t="s">
        <v>117</v>
      </c>
      <c r="N92" s="5" t="s">
        <v>27</v>
      </c>
      <c r="O92" s="5">
        <v>45285.0</v>
      </c>
      <c r="P92" s="5">
        <v>190.0</v>
      </c>
      <c r="Q92" s="5">
        <v>30225.0</v>
      </c>
      <c r="R92" s="5">
        <v>43298.0</v>
      </c>
      <c r="S92" s="5">
        <v>11.0</v>
      </c>
      <c r="T92" s="5">
        <v>4728.012406</v>
      </c>
    </row>
    <row r="93">
      <c r="A93" s="4" t="s">
        <v>1755</v>
      </c>
      <c r="B93" s="4" t="str">
        <f>IFERROR(__xludf.DUMMYFUNCTION("SPLIT(A93:A819, ""&gt;"")"),"US ")</f>
        <v>US </v>
      </c>
      <c r="C93" s="4" t="str">
        <f>IFERROR(__xludf.DUMMYFUNCTION("""COMPUTED_VALUE""")," Interest Propensities ")</f>
        <v> Interest Propensities </v>
      </c>
      <c r="D93" s="4" t="str">
        <f>IFERROR(__xludf.DUMMYFUNCTION("""COMPUTED_VALUE""")," Oil &amp; Gas ")</f>
        <v> Oil &amp; Gas </v>
      </c>
      <c r="E93" s="4" t="str">
        <f>IFERROR(__xludf.DUMMYFUNCTION("""COMPUTED_VALUE""")," QuickTrip")</f>
        <v> QuickTrip</v>
      </c>
      <c r="F93" s="4"/>
      <c r="G93" s="4"/>
      <c r="H93" s="4"/>
      <c r="I93" s="5" t="s">
        <v>22</v>
      </c>
      <c r="J93" s="5" t="s">
        <v>16</v>
      </c>
      <c r="K93" s="5" t="s">
        <v>181</v>
      </c>
      <c r="L93" s="6" t="s">
        <v>178</v>
      </c>
      <c r="M93" s="5" t="s">
        <v>117</v>
      </c>
      <c r="N93" s="5" t="s">
        <v>27</v>
      </c>
      <c r="O93" s="5">
        <v>16227.0</v>
      </c>
      <c r="P93" s="5">
        <v>40.0</v>
      </c>
      <c r="Q93" s="5">
        <v>9438.0</v>
      </c>
      <c r="R93" s="5">
        <v>15611.0</v>
      </c>
      <c r="S93" s="5">
        <v>3.0</v>
      </c>
      <c r="T93" s="5">
        <v>1991.94384</v>
      </c>
    </row>
    <row r="94">
      <c r="A94" s="4" t="s">
        <v>1154</v>
      </c>
      <c r="B94" s="4" t="str">
        <f>IFERROR(__xludf.DUMMYFUNCTION("SPLIT(A94:A820, ""&gt;"")"),"OnAudience ")</f>
        <v>OnAudience </v>
      </c>
      <c r="C94" s="4" t="str">
        <f>IFERROR(__xludf.DUMMYFUNCTION("""COMPUTED_VALUE""")," Interest ")</f>
        <v> Interest </v>
      </c>
      <c r="D94" s="4" t="str">
        <f>IFERROR(__xludf.DUMMYFUNCTION("""COMPUTED_VALUE""")," Shopping ")</f>
        <v> Shopping </v>
      </c>
      <c r="E94" s="4" t="str">
        <f>IFERROR(__xludf.DUMMYFUNCTION("""COMPUTED_VALUE""")," Shopping Mall Buyers")</f>
        <v> Shopping Mall Buyers</v>
      </c>
      <c r="F94" s="4"/>
      <c r="G94" s="4"/>
      <c r="H94" s="4"/>
      <c r="I94" s="5" t="s">
        <v>15</v>
      </c>
      <c r="J94" s="5" t="s">
        <v>31</v>
      </c>
      <c r="K94" s="5" t="s">
        <v>183</v>
      </c>
      <c r="L94" s="6" t="s">
        <v>178</v>
      </c>
      <c r="M94" s="5" t="s">
        <v>184</v>
      </c>
      <c r="N94" s="5" t="s">
        <v>27</v>
      </c>
      <c r="O94" s="5">
        <v>7409.0</v>
      </c>
      <c r="P94" s="5">
        <v>10.0</v>
      </c>
      <c r="Q94" s="5">
        <v>5009.0</v>
      </c>
      <c r="R94" s="5">
        <v>7160.0</v>
      </c>
      <c r="S94" s="5">
        <v>12.0</v>
      </c>
      <c r="T94" s="5">
        <v>1472.110115</v>
      </c>
    </row>
    <row r="95">
      <c r="A95" s="4" t="s">
        <v>185</v>
      </c>
      <c r="B95" s="4" t="str">
        <f>IFERROR(__xludf.DUMMYFUNCTION("SPLIT(A95:A821, ""&gt;"")"),"Online Behavior")</f>
        <v>Online Behavior</v>
      </c>
      <c r="C95" s="4" t="str">
        <f>IFERROR(__xludf.DUMMYFUNCTION("""COMPUTED_VALUE"""),"United States")</f>
        <v>United States</v>
      </c>
      <c r="D95" s="4" t="str">
        <f>IFERROR(__xludf.DUMMYFUNCTION("""COMPUTED_VALUE"""),"Law and Government")</f>
        <v>Law and Government</v>
      </c>
      <c r="E95" s="4" t="str">
        <f>IFERROR(__xludf.DUMMYFUNCTION("""COMPUTED_VALUE"""),"Military")</f>
        <v>Military</v>
      </c>
      <c r="F95" s="4"/>
      <c r="G95" s="4"/>
      <c r="H95" s="4"/>
      <c r="I95" s="5" t="s">
        <v>22</v>
      </c>
      <c r="J95" s="5" t="s">
        <v>23</v>
      </c>
      <c r="K95" s="5" t="s">
        <v>32</v>
      </c>
      <c r="L95" s="6" t="s">
        <v>186</v>
      </c>
      <c r="M95" s="5" t="s">
        <v>19</v>
      </c>
      <c r="N95" s="5" t="s">
        <v>27</v>
      </c>
      <c r="O95" s="5">
        <v>17582.0</v>
      </c>
      <c r="P95" s="5">
        <v>56.0</v>
      </c>
      <c r="Q95" s="5">
        <v>9848.0</v>
      </c>
      <c r="R95" s="5">
        <v>16558.0</v>
      </c>
      <c r="S95" s="5">
        <v>12.0</v>
      </c>
      <c r="T95" s="5">
        <v>6846.447915</v>
      </c>
    </row>
    <row r="96">
      <c r="A96" s="4" t="s">
        <v>187</v>
      </c>
      <c r="B96" s="4" t="str">
        <f>IFERROR(__xludf.DUMMYFUNCTION("SPLIT(A96:A822, ""&gt;"")"),"Online Behavior")</f>
        <v>Online Behavior</v>
      </c>
      <c r="C96" s="4" t="str">
        <f>IFERROR(__xludf.DUMMYFUNCTION("""COMPUTED_VALUE"""),"United States")</f>
        <v>United States</v>
      </c>
      <c r="D96" s="4" t="str">
        <f>IFERROR(__xludf.DUMMYFUNCTION("""COMPUTED_VALUE"""),"Travel")</f>
        <v>Travel</v>
      </c>
      <c r="E96" s="4" t="str">
        <f>IFERROR(__xludf.DUMMYFUNCTION("""COMPUTED_VALUE"""),"Bus and Rail")</f>
        <v>Bus and Rail</v>
      </c>
      <c r="F96" s="4"/>
      <c r="G96" s="4"/>
      <c r="H96" s="4"/>
      <c r="I96" s="5" t="s">
        <v>15</v>
      </c>
      <c r="J96" s="5" t="s">
        <v>31</v>
      </c>
      <c r="K96" s="5" t="s">
        <v>78</v>
      </c>
      <c r="L96" s="6" t="s">
        <v>186</v>
      </c>
      <c r="M96" s="5" t="s">
        <v>46</v>
      </c>
      <c r="N96" s="5" t="s">
        <v>52</v>
      </c>
      <c r="O96" s="5">
        <v>45711.0</v>
      </c>
      <c r="P96" s="5">
        <v>130.0</v>
      </c>
      <c r="Q96" s="5">
        <v>23052.0</v>
      </c>
      <c r="R96" s="5">
        <v>42375.0</v>
      </c>
      <c r="S96" s="5">
        <v>11.0</v>
      </c>
      <c r="T96" s="5">
        <v>6417.876169</v>
      </c>
    </row>
    <row r="97">
      <c r="A97" s="4" t="s">
        <v>1156</v>
      </c>
      <c r="B97" s="4" t="str">
        <f>IFERROR(__xludf.DUMMYFUNCTION("SPLIT(A97:A823, ""&gt;"")"),"Online Behavior")</f>
        <v>Online Behavior</v>
      </c>
      <c r="C97" s="4" t="str">
        <f>IFERROR(__xludf.DUMMYFUNCTION("""COMPUTED_VALUE"""),"United States")</f>
        <v>United States</v>
      </c>
      <c r="D97" s="4" t="str">
        <f>IFERROR(__xludf.DUMMYFUNCTION("""COMPUTED_VALUE"""),"Validated Demographic ")</f>
        <v>Validated Demographic </v>
      </c>
      <c r="E97" s="4" t="str">
        <f>IFERROR(__xludf.DUMMYFUNCTION("""COMPUTED_VALUE""")," Age")</f>
        <v> Age</v>
      </c>
      <c r="F97" s="4" t="str">
        <f>IFERROR(__xludf.DUMMYFUNCTION("""COMPUTED_VALUE"""),"18-64")</f>
        <v>18-64</v>
      </c>
      <c r="G97" s="4"/>
      <c r="H97" s="4"/>
      <c r="I97" s="5" t="s">
        <v>15</v>
      </c>
      <c r="J97" s="5" t="s">
        <v>42</v>
      </c>
      <c r="K97" s="5" t="s">
        <v>32</v>
      </c>
      <c r="L97" s="6" t="s">
        <v>186</v>
      </c>
      <c r="M97" s="5" t="s">
        <v>26</v>
      </c>
      <c r="N97" s="5" t="s">
        <v>52</v>
      </c>
      <c r="O97" s="5">
        <v>48562.0</v>
      </c>
      <c r="P97" s="5">
        <v>150.0</v>
      </c>
      <c r="Q97" s="5">
        <v>29108.0</v>
      </c>
      <c r="R97" s="5">
        <v>45570.0</v>
      </c>
      <c r="S97" s="5">
        <v>11.0</v>
      </c>
      <c r="T97" s="5">
        <v>6346.633024</v>
      </c>
    </row>
    <row r="98">
      <c r="A98" s="4" t="s">
        <v>1157</v>
      </c>
      <c r="B98" s="4" t="str">
        <f>IFERROR(__xludf.DUMMYFUNCTION("SPLIT(A98:A824, ""&gt;"")"),"Online Behavior")</f>
        <v>Online Behavior</v>
      </c>
      <c r="C98" s="4" t="str">
        <f>IFERROR(__xludf.DUMMYFUNCTION("""COMPUTED_VALUE"""),"United States")</f>
        <v>United States</v>
      </c>
      <c r="D98" s="4" t="str">
        <f>IFERROR(__xludf.DUMMYFUNCTION("""COMPUTED_VALUE"""),"Validated Demographic ")</f>
        <v>Validated Demographic </v>
      </c>
      <c r="E98" s="4" t="str">
        <f>IFERROR(__xludf.DUMMYFUNCTION("""COMPUTED_VALUE""")," Gender and Age Combined")</f>
        <v> Gender and Age Combined</v>
      </c>
      <c r="F98" s="4" t="str">
        <f>IFERROR(__xludf.DUMMYFUNCTION("""COMPUTED_VALUE"""),"Males 25-44")</f>
        <v>Males 25-44</v>
      </c>
      <c r="G98" s="4"/>
      <c r="H98" s="4"/>
      <c r="I98" s="5" t="s">
        <v>15</v>
      </c>
      <c r="J98" s="5" t="s">
        <v>31</v>
      </c>
      <c r="K98" s="5" t="s">
        <v>39</v>
      </c>
      <c r="L98" s="6" t="s">
        <v>186</v>
      </c>
      <c r="M98" s="5" t="s">
        <v>19</v>
      </c>
      <c r="N98" s="5" t="s">
        <v>20</v>
      </c>
      <c r="O98" s="5">
        <v>47394.0</v>
      </c>
      <c r="P98" s="5">
        <v>184.0</v>
      </c>
      <c r="Q98" s="5">
        <v>22712.0</v>
      </c>
      <c r="R98" s="5">
        <v>41918.0</v>
      </c>
      <c r="S98" s="5">
        <v>24.0</v>
      </c>
      <c r="T98" s="5">
        <v>4701.496237</v>
      </c>
    </row>
    <row r="99">
      <c r="A99" s="4" t="s">
        <v>1158</v>
      </c>
      <c r="B99" s="4" t="str">
        <f>IFERROR(__xludf.DUMMYFUNCTION("SPLIT(A99:A825, ""&gt;"")"),"Purchase Behaviors ")</f>
        <v>Purchase Behaviors </v>
      </c>
      <c r="C99" s="4" t="str">
        <f>IFERROR(__xludf.DUMMYFUNCTION("""COMPUTED_VALUE""")," Q2 Environmentally Concerned Shoppers")</f>
        <v> Q2 Environmentally Concerned Shoppers</v>
      </c>
      <c r="D99" s="4"/>
      <c r="E99" s="4"/>
      <c r="F99" s="4"/>
      <c r="G99" s="4"/>
      <c r="H99" s="4"/>
      <c r="I99" s="5" t="s">
        <v>22</v>
      </c>
      <c r="J99" s="5" t="s">
        <v>31</v>
      </c>
      <c r="K99" s="5" t="s">
        <v>39</v>
      </c>
      <c r="L99" s="6" t="s">
        <v>186</v>
      </c>
      <c r="M99" s="5" t="s">
        <v>191</v>
      </c>
      <c r="N99" s="5" t="s">
        <v>27</v>
      </c>
      <c r="O99" s="5">
        <v>66554.0</v>
      </c>
      <c r="P99" s="5">
        <v>169.0</v>
      </c>
      <c r="Q99" s="5">
        <v>39206.0</v>
      </c>
      <c r="R99" s="5">
        <v>62109.0</v>
      </c>
      <c r="S99" s="5">
        <v>6.0</v>
      </c>
      <c r="T99" s="5">
        <v>1890.885935</v>
      </c>
    </row>
    <row r="100">
      <c r="A100" s="4" t="s">
        <v>1161</v>
      </c>
      <c r="B100" s="4" t="str">
        <f>IFERROR(__xludf.DUMMYFUNCTION("SPLIT(A100:A826, ""&gt;"")"),"Travel and Tourism ")</f>
        <v>Travel and Tourism </v>
      </c>
      <c r="C100" s="4" t="str">
        <f>IFERROR(__xludf.DUMMYFUNCTION("""COMPUTED_VALUE""")," Interest (Affinity) ")</f>
        <v> Interest (Affinity) </v>
      </c>
      <c r="D100" s="4" t="str">
        <f>IFERROR(__xludf.DUMMYFUNCTION("""COMPUTED_VALUE""")," Destinations ")</f>
        <v> Destinations </v>
      </c>
      <c r="E100" s="4" t="str">
        <f>IFERROR(__xludf.DUMMYFUNCTION("""COMPUTED_VALUE""")," North America ")</f>
        <v> North America </v>
      </c>
      <c r="F100" s="4" t="str">
        <f>IFERROR(__xludf.DUMMYFUNCTION("""COMPUTED_VALUE""")," United States")</f>
        <v> United States</v>
      </c>
      <c r="G100" s="4"/>
      <c r="H100" s="4"/>
      <c r="I100" s="5" t="s">
        <v>61</v>
      </c>
      <c r="J100" s="5" t="s">
        <v>16</v>
      </c>
      <c r="K100" s="5" t="s">
        <v>17</v>
      </c>
      <c r="L100" s="6" t="s">
        <v>186</v>
      </c>
      <c r="M100" s="5" t="s">
        <v>19</v>
      </c>
      <c r="N100" s="5" t="s">
        <v>27</v>
      </c>
      <c r="O100" s="5">
        <v>9730.0</v>
      </c>
      <c r="P100" s="5">
        <v>45.0</v>
      </c>
      <c r="Q100" s="5">
        <v>2971.0</v>
      </c>
      <c r="R100" s="5">
        <v>5102.0</v>
      </c>
      <c r="S100" s="5">
        <v>3.0</v>
      </c>
      <c r="T100" s="5">
        <v>1778.937935</v>
      </c>
    </row>
    <row r="101">
      <c r="A101" s="4" t="s">
        <v>1164</v>
      </c>
      <c r="B101" s="4" t="str">
        <f>IFERROR(__xludf.DUMMYFUNCTION("SPLIT(A101:A827, ""&gt;"")"),"Media and Entertainment ")</f>
        <v>Media and Entertainment </v>
      </c>
      <c r="C101" s="4" t="str">
        <f>IFERROR(__xludf.DUMMYFUNCTION("""COMPUTED_VALUE""")," Connected TV and Over-the-Top (CTV and OTT) ")</f>
        <v> Connected TV and Over-the-Top (CTV and OTT) </v>
      </c>
      <c r="D101" s="4" t="str">
        <f>IFERROR(__xludf.DUMMYFUNCTION("""COMPUTED_VALUE""")," Streaming Television and Film Viewership ")</f>
        <v> Streaming Television and Film Viewership </v>
      </c>
      <c r="E101" s="4" t="str">
        <f>IFERROR(__xludf.DUMMYFUNCTION("""COMPUTED_VALUE""")," OTT Movie Viewers ")</f>
        <v> OTT Movie Viewers </v>
      </c>
      <c r="F101" s="4" t="str">
        <f>IFERROR(__xludf.DUMMYFUNCTION("""COMPUTED_VALUE""")," Genre ")</f>
        <v> Genre </v>
      </c>
      <c r="G101" s="4" t="str">
        <f>IFERROR(__xludf.DUMMYFUNCTION("""COMPUTED_VALUE""")," Crime Movie Streamers")</f>
        <v> Crime Movie Streamers</v>
      </c>
      <c r="H101" s="4"/>
      <c r="I101" s="5" t="s">
        <v>15</v>
      </c>
      <c r="J101" s="5" t="s">
        <v>31</v>
      </c>
      <c r="K101" s="5" t="s">
        <v>35</v>
      </c>
      <c r="L101" s="6" t="s">
        <v>186</v>
      </c>
      <c r="M101" s="5" t="s">
        <v>46</v>
      </c>
      <c r="N101" s="5" t="s">
        <v>52</v>
      </c>
      <c r="O101" s="5">
        <v>69757.0</v>
      </c>
      <c r="P101" s="5">
        <v>199.0</v>
      </c>
      <c r="Q101" s="5">
        <v>41258.0</v>
      </c>
      <c r="R101" s="5">
        <v>65374.0</v>
      </c>
      <c r="S101" s="5">
        <v>20.0</v>
      </c>
      <c r="T101" s="5">
        <v>1510.61532</v>
      </c>
    </row>
    <row r="102">
      <c r="A102" s="4" t="s">
        <v>1756</v>
      </c>
      <c r="B102" s="4" t="str">
        <f>IFERROR(__xludf.DUMMYFUNCTION("SPLIT(A102:A828, ""&gt;"")"),"US Financial ")</f>
        <v>US Financial </v>
      </c>
      <c r="C102" s="4" t="str">
        <f>IFERROR(__xludf.DUMMYFUNCTION("""COMPUTED_VALUE""")," Likely Attitude and Behavior ")</f>
        <v> Likely Attitude and Behavior </v>
      </c>
      <c r="D102" s="4" t="str">
        <f>IFERROR(__xludf.DUMMYFUNCTION("""COMPUTED_VALUE""")," Bank Selection ")</f>
        <v> Bank Selection </v>
      </c>
      <c r="E102" s="4" t="str">
        <f>IFERROR(__xludf.DUMMYFUNCTION("""COMPUTED_VALUE""")," Customer Service Very Important (Financial)")</f>
        <v> Customer Service Very Important (Financial)</v>
      </c>
      <c r="F102" s="4"/>
      <c r="G102" s="4"/>
      <c r="H102" s="4"/>
      <c r="I102" s="5" t="s">
        <v>61</v>
      </c>
      <c r="J102" s="5" t="s">
        <v>23</v>
      </c>
      <c r="K102" s="5" t="s">
        <v>24</v>
      </c>
      <c r="L102" s="6" t="s">
        <v>195</v>
      </c>
      <c r="M102" s="5" t="s">
        <v>26</v>
      </c>
      <c r="N102" s="5" t="s">
        <v>27</v>
      </c>
      <c r="O102" s="5">
        <v>8862.0</v>
      </c>
      <c r="P102" s="5">
        <v>30.0</v>
      </c>
      <c r="Q102" s="5">
        <v>1359.0</v>
      </c>
      <c r="R102" s="5">
        <v>7114.0</v>
      </c>
      <c r="S102" s="5">
        <v>1.0</v>
      </c>
      <c r="T102" s="5">
        <v>1481.945157</v>
      </c>
    </row>
    <row r="103">
      <c r="A103" s="4" t="s">
        <v>1166</v>
      </c>
      <c r="B103" s="4" t="str">
        <f>IFERROR(__xludf.DUMMYFUNCTION("SPLIT(A103:A829, ""&gt;"")"),"Online Behavior")</f>
        <v>Online Behavior</v>
      </c>
      <c r="C103" s="4" t="str">
        <f>IFERROR(__xludf.DUMMYFUNCTION("""COMPUTED_VALUE"""),"United States")</f>
        <v>United States</v>
      </c>
      <c r="D103" s="4" t="str">
        <f>IFERROR(__xludf.DUMMYFUNCTION("""COMPUTED_VALUE"""),"Sports")</f>
        <v>Sports</v>
      </c>
      <c r="E103" s="4" t="str">
        <f>IFERROR(__xludf.DUMMYFUNCTION("""COMPUTED_VALUE"""),"Individual Sports ")</f>
        <v>Individual Sports </v>
      </c>
      <c r="F103" s="4" t="str">
        <f>IFERROR(__xludf.DUMMYFUNCTION("""COMPUTED_VALUE""")," Running and Walking")</f>
        <v> Running and Walking</v>
      </c>
      <c r="G103" s="4"/>
      <c r="H103" s="4"/>
      <c r="I103" s="5" t="s">
        <v>15</v>
      </c>
      <c r="J103" s="5" t="s">
        <v>42</v>
      </c>
      <c r="K103" s="5" t="s">
        <v>39</v>
      </c>
      <c r="L103" s="6" t="s">
        <v>197</v>
      </c>
      <c r="M103" s="5" t="s">
        <v>46</v>
      </c>
      <c r="N103" s="5" t="s">
        <v>27</v>
      </c>
      <c r="O103" s="5">
        <v>7229.0</v>
      </c>
      <c r="P103" s="5">
        <v>20.0</v>
      </c>
      <c r="Q103" s="5">
        <v>5668.0</v>
      </c>
      <c r="R103" s="5">
        <v>6760.0</v>
      </c>
      <c r="S103" s="5">
        <v>3.0</v>
      </c>
      <c r="T103" s="5">
        <v>6812.588702</v>
      </c>
    </row>
    <row r="104">
      <c r="A104" s="4" t="s">
        <v>1167</v>
      </c>
      <c r="B104" s="4" t="str">
        <f>IFERROR(__xludf.DUMMYFUNCTION("SPLIT(A104:A830, ""&gt;"")"),"Online Behavior")</f>
        <v>Online Behavior</v>
      </c>
      <c r="C104" s="4" t="str">
        <f>IFERROR(__xludf.DUMMYFUNCTION("""COMPUTED_VALUE"""),"United States")</f>
        <v>United States</v>
      </c>
      <c r="D104" s="4" t="str">
        <f>IFERROR(__xludf.DUMMYFUNCTION("""COMPUTED_VALUE"""),"People and Society")</f>
        <v>People and Society</v>
      </c>
      <c r="E104" s="4" t="str">
        <f>IFERROR(__xludf.DUMMYFUNCTION("""COMPUTED_VALUE"""),"Family and Relationships ")</f>
        <v>Family and Relationships </v>
      </c>
      <c r="F104" s="4" t="str">
        <f>IFERROR(__xludf.DUMMYFUNCTION("""COMPUTED_VALUE""")," Parents")</f>
        <v> Parents</v>
      </c>
      <c r="G104" s="4"/>
      <c r="H104" s="4"/>
      <c r="I104" s="5" t="s">
        <v>22</v>
      </c>
      <c r="J104" s="5" t="s">
        <v>16</v>
      </c>
      <c r="K104" s="5" t="s">
        <v>95</v>
      </c>
      <c r="L104" s="6" t="s">
        <v>197</v>
      </c>
      <c r="M104" s="5" t="s">
        <v>46</v>
      </c>
      <c r="N104" s="5" t="s">
        <v>27</v>
      </c>
      <c r="O104" s="5">
        <v>115544.0</v>
      </c>
      <c r="P104" s="5">
        <v>412.0</v>
      </c>
      <c r="Q104" s="5">
        <v>79182.0</v>
      </c>
      <c r="R104" s="5">
        <v>109463.0</v>
      </c>
      <c r="S104" s="5">
        <v>56.0</v>
      </c>
      <c r="T104" s="5">
        <v>6721.094453</v>
      </c>
    </row>
    <row r="105">
      <c r="A105" s="4" t="s">
        <v>1168</v>
      </c>
      <c r="B105" s="4" t="str">
        <f>IFERROR(__xludf.DUMMYFUNCTION("SPLIT(A105:A831, ""&gt;"")"),"Online Behavior")</f>
        <v>Online Behavior</v>
      </c>
      <c r="C105" s="4" t="str">
        <f>IFERROR(__xludf.DUMMYFUNCTION("""COMPUTED_VALUE"""),"United States")</f>
        <v>United States</v>
      </c>
      <c r="D105" s="4" t="str">
        <f>IFERROR(__xludf.DUMMYFUNCTION("""COMPUTED_VALUE"""),"Travel")</f>
        <v>Travel</v>
      </c>
      <c r="E105" s="4" t="str">
        <f>IFERROR(__xludf.DUMMYFUNCTION("""COMPUTED_VALUE"""),"Tourist Destinations ")</f>
        <v>Tourist Destinations </v>
      </c>
      <c r="F105" s="4" t="str">
        <f>IFERROR(__xludf.DUMMYFUNCTION("""COMPUTED_VALUE""")," Regional Parks and Gardens")</f>
        <v> Regional Parks and Gardens</v>
      </c>
      <c r="G105" s="4"/>
      <c r="H105" s="4"/>
      <c r="I105" s="5" t="s">
        <v>15</v>
      </c>
      <c r="J105" s="5" t="s">
        <v>16</v>
      </c>
      <c r="K105" s="5" t="s">
        <v>17</v>
      </c>
      <c r="L105" s="6" t="s">
        <v>197</v>
      </c>
      <c r="M105" s="5" t="s">
        <v>19</v>
      </c>
      <c r="N105" s="5" t="s">
        <v>52</v>
      </c>
      <c r="O105" s="5">
        <v>48211.0</v>
      </c>
      <c r="P105" s="5">
        <v>160.0</v>
      </c>
      <c r="Q105" s="5">
        <v>30157.0</v>
      </c>
      <c r="R105" s="5">
        <v>43810.0</v>
      </c>
      <c r="S105" s="5">
        <v>14.0</v>
      </c>
      <c r="T105" s="5">
        <v>6708.463351</v>
      </c>
    </row>
    <row r="106">
      <c r="A106" s="4" t="s">
        <v>1169</v>
      </c>
      <c r="B106" s="4" t="str">
        <f>IFERROR(__xludf.DUMMYFUNCTION("SPLIT(A106:A832, ""&gt;"")"),"Online Behavior")</f>
        <v>Online Behavior</v>
      </c>
      <c r="C106" s="4" t="str">
        <f>IFERROR(__xludf.DUMMYFUNCTION("""COMPUTED_VALUE"""),"United States")</f>
        <v>United States</v>
      </c>
      <c r="D106" s="4" t="str">
        <f>IFERROR(__xludf.DUMMYFUNCTION("""COMPUTED_VALUE"""),"Autos and Vehicles ")</f>
        <v>Autos and Vehicles </v>
      </c>
      <c r="E106" s="4" t="str">
        <f>IFERROR(__xludf.DUMMYFUNCTION("""COMPUTED_VALUE""")," Brands")</f>
        <v> Brands</v>
      </c>
      <c r="F106" s="4" t="str">
        <f>IFERROR(__xludf.DUMMYFUNCTION("""COMPUTED_VALUE"""),"Mazda")</f>
        <v>Mazda</v>
      </c>
      <c r="G106" s="4"/>
      <c r="H106" s="4"/>
      <c r="I106" s="5" t="s">
        <v>22</v>
      </c>
      <c r="J106" s="5" t="s">
        <v>16</v>
      </c>
      <c r="K106" s="5" t="s">
        <v>78</v>
      </c>
      <c r="L106" s="6" t="s">
        <v>197</v>
      </c>
      <c r="M106" s="5" t="s">
        <v>161</v>
      </c>
      <c r="N106" s="5" t="s">
        <v>27</v>
      </c>
      <c r="O106" s="5">
        <v>134847.0</v>
      </c>
      <c r="P106" s="5">
        <v>450.0</v>
      </c>
      <c r="Q106" s="5">
        <v>104268.0</v>
      </c>
      <c r="R106" s="5">
        <v>128470.0</v>
      </c>
      <c r="S106" s="5">
        <v>125.0</v>
      </c>
      <c r="T106" s="5">
        <v>6040.595578</v>
      </c>
    </row>
    <row r="107">
      <c r="A107" s="4" t="s">
        <v>1170</v>
      </c>
      <c r="B107" s="4" t="str">
        <f>IFERROR(__xludf.DUMMYFUNCTION("SPLIT(A107:A833, ""&gt;"")"),"Online Behavior")</f>
        <v>Online Behavior</v>
      </c>
      <c r="C107" s="4" t="str">
        <f>IFERROR(__xludf.DUMMYFUNCTION("""COMPUTED_VALUE"""),"United States")</f>
        <v>United States</v>
      </c>
      <c r="D107" s="4" t="str">
        <f>IFERROR(__xludf.DUMMYFUNCTION("""COMPUTED_VALUE"""),"Travel")</f>
        <v>Travel</v>
      </c>
      <c r="E107" s="4" t="str">
        <f>IFERROR(__xludf.DUMMYFUNCTION("""COMPUTED_VALUE"""),"Tourist Destinations ")</f>
        <v>Tourist Destinations </v>
      </c>
      <c r="F107" s="4" t="str">
        <f>IFERROR(__xludf.DUMMYFUNCTION("""COMPUTED_VALUE""")," Mountain and Ski Resorts")</f>
        <v> Mountain and Ski Resorts</v>
      </c>
      <c r="G107" s="4"/>
      <c r="H107" s="4"/>
      <c r="I107" s="5" t="s">
        <v>22</v>
      </c>
      <c r="J107" s="5" t="s">
        <v>16</v>
      </c>
      <c r="K107" s="5" t="s">
        <v>95</v>
      </c>
      <c r="L107" s="6" t="s">
        <v>197</v>
      </c>
      <c r="M107" s="5" t="s">
        <v>46</v>
      </c>
      <c r="N107" s="5" t="s">
        <v>27</v>
      </c>
      <c r="O107" s="5">
        <v>35178.0</v>
      </c>
      <c r="P107" s="5">
        <v>155.0</v>
      </c>
      <c r="Q107" s="5">
        <v>23374.0</v>
      </c>
      <c r="R107" s="5">
        <v>33779.0</v>
      </c>
      <c r="S107" s="5">
        <v>8.0</v>
      </c>
      <c r="T107" s="5">
        <v>5738.809089</v>
      </c>
    </row>
    <row r="108">
      <c r="A108" s="4" t="s">
        <v>1171</v>
      </c>
      <c r="B108" s="4" t="str">
        <f>IFERROR(__xludf.DUMMYFUNCTION("SPLIT(A108:A834, ""&gt;"")"),"Online Behavior")</f>
        <v>Online Behavior</v>
      </c>
      <c r="C108" s="4" t="str">
        <f>IFERROR(__xludf.DUMMYFUNCTION("""COMPUTED_VALUE"""),"United States")</f>
        <v>United States</v>
      </c>
      <c r="D108" s="4" t="str">
        <f>IFERROR(__xludf.DUMMYFUNCTION("""COMPUTED_VALUE"""),"Validated Demographic ")</f>
        <v>Validated Demographic </v>
      </c>
      <c r="E108" s="4" t="str">
        <f>IFERROR(__xludf.DUMMYFUNCTION("""COMPUTED_VALUE""")," Gender and Age Combined")</f>
        <v> Gender and Age Combined</v>
      </c>
      <c r="F108" s="4" t="str">
        <f>IFERROR(__xludf.DUMMYFUNCTION("""COMPUTED_VALUE"""),"Females 45-54")</f>
        <v>Females 45-54</v>
      </c>
      <c r="G108" s="4"/>
      <c r="H108" s="4"/>
      <c r="I108" s="5" t="s">
        <v>22</v>
      </c>
      <c r="J108" s="5" t="s">
        <v>16</v>
      </c>
      <c r="K108" s="5" t="s">
        <v>17</v>
      </c>
      <c r="L108" s="6" t="s">
        <v>197</v>
      </c>
      <c r="M108" s="5" t="s">
        <v>19</v>
      </c>
      <c r="N108" s="5" t="s">
        <v>27</v>
      </c>
      <c r="O108" s="5">
        <v>43117.0</v>
      </c>
      <c r="P108" s="5">
        <v>100.0</v>
      </c>
      <c r="Q108" s="5">
        <v>6478.0</v>
      </c>
      <c r="R108" s="5">
        <v>27405.0</v>
      </c>
      <c r="S108" s="5">
        <v>8.0</v>
      </c>
      <c r="T108" s="5">
        <v>4250.430439</v>
      </c>
    </row>
    <row r="109">
      <c r="A109" s="4" t="s">
        <v>1757</v>
      </c>
      <c r="B109" s="4" t="str">
        <f>IFERROR(__xludf.DUMMYFUNCTION("SPLIT(A109:A835, ""&gt;"")"),"US ")</f>
        <v>US </v>
      </c>
      <c r="C109" s="4" t="str">
        <f>IFERROR(__xludf.DUMMYFUNCTION("""COMPUTED_VALUE""")," Reach ")</f>
        <v> Reach </v>
      </c>
      <c r="D109" s="4" t="str">
        <f>IFERROR(__xludf.DUMMYFUNCTION("""COMPUTED_VALUE""")," Propensity Models ")</f>
        <v> Propensity Models </v>
      </c>
      <c r="E109" s="4" t="str">
        <f>IFERROR(__xludf.DUMMYFUNCTION("""COMPUTED_VALUE""")," Hobbies and Interest ")</f>
        <v> Hobbies and Interest </v>
      </c>
      <c r="F109" s="4" t="str">
        <f>IFERROR(__xludf.DUMMYFUNCTION("""COMPUTED_VALUE""")," Sports ")</f>
        <v> Sports </v>
      </c>
      <c r="G109" s="4" t="str">
        <f>IFERROR(__xludf.DUMMYFUNCTION("""COMPUTED_VALUE""")," Avid Runners")</f>
        <v> Avid Runners</v>
      </c>
      <c r="H109" s="4"/>
      <c r="I109" s="5" t="s">
        <v>15</v>
      </c>
      <c r="J109" s="5" t="s">
        <v>42</v>
      </c>
      <c r="K109" s="5" t="s">
        <v>204</v>
      </c>
      <c r="L109" s="6" t="s">
        <v>197</v>
      </c>
      <c r="M109" s="5" t="s">
        <v>46</v>
      </c>
      <c r="N109" s="5" t="s">
        <v>27</v>
      </c>
      <c r="O109" s="5">
        <v>510778.0</v>
      </c>
      <c r="P109" s="5">
        <v>1290.0</v>
      </c>
      <c r="Q109" s="5">
        <v>70777.0</v>
      </c>
      <c r="R109" s="5">
        <v>436133.0</v>
      </c>
      <c r="S109" s="5">
        <v>6.0</v>
      </c>
      <c r="T109" s="5">
        <v>3870.253867</v>
      </c>
    </row>
    <row r="110">
      <c r="A110" s="4" t="s">
        <v>1758</v>
      </c>
      <c r="B110" s="4" t="str">
        <f>IFERROR(__xludf.DUMMYFUNCTION("SPLIT(A110:A836, ""&gt;"")"),"OnAudience ")</f>
        <v>OnAudience </v>
      </c>
      <c r="C110" s="4" t="str">
        <f>IFERROR(__xludf.DUMMYFUNCTION("""COMPUTED_VALUE""")," Interest ")</f>
        <v> Interest </v>
      </c>
      <c r="D110" s="4" t="str">
        <f>IFERROR(__xludf.DUMMYFUNCTION("""COMPUTED_VALUE""")," Business")</f>
        <v> Business</v>
      </c>
      <c r="E110" s="4"/>
      <c r="F110" s="4"/>
      <c r="G110" s="4"/>
      <c r="H110" s="4"/>
      <c r="I110" s="5" t="s">
        <v>15</v>
      </c>
      <c r="J110" s="5" t="s">
        <v>23</v>
      </c>
      <c r="K110" s="5" t="s">
        <v>29</v>
      </c>
      <c r="L110" s="6" t="s">
        <v>197</v>
      </c>
      <c r="M110" s="5" t="s">
        <v>26</v>
      </c>
      <c r="N110" s="5" t="s">
        <v>27</v>
      </c>
      <c r="O110" s="5">
        <v>13700.0</v>
      </c>
      <c r="P110" s="5">
        <v>63.0</v>
      </c>
      <c r="Q110" s="5">
        <v>3609.0</v>
      </c>
      <c r="R110" s="5">
        <v>12644.0</v>
      </c>
      <c r="S110" s="5">
        <v>4.0</v>
      </c>
      <c r="T110" s="5">
        <v>2032.700147</v>
      </c>
    </row>
    <row r="111">
      <c r="A111" s="4" t="s">
        <v>1759</v>
      </c>
      <c r="B111" s="4" t="str">
        <f>IFERROR(__xludf.DUMMYFUNCTION("SPLIT(A111:A837, ""&gt;"")"),"US ")</f>
        <v>US </v>
      </c>
      <c r="C111" s="4" t="str">
        <f>IFERROR(__xludf.DUMMYFUNCTION("""COMPUTED_VALUE""")," Reach ")</f>
        <v> Reach </v>
      </c>
      <c r="D111" s="4" t="str">
        <f>IFERROR(__xludf.DUMMYFUNCTION("""COMPUTED_VALUE""")," Propensity Models ")</f>
        <v> Propensity Models </v>
      </c>
      <c r="E111" s="4" t="str">
        <f>IFERROR(__xludf.DUMMYFUNCTION("""COMPUTED_VALUE""")," Real Estate ")</f>
        <v> Real Estate </v>
      </c>
      <c r="F111" s="4" t="str">
        <f>IFERROR(__xludf.DUMMYFUNCTION("""COMPUTED_VALUE""")," Monthly Mortgage Payment ")</f>
        <v> Monthly Mortgage Payment </v>
      </c>
      <c r="G111" s="4" t="str">
        <f>IFERROR(__xludf.DUMMYFUNCTION("""COMPUTED_VALUE""")," $800-$999")</f>
        <v> $800-$999</v>
      </c>
      <c r="H111" s="4"/>
      <c r="I111" s="5" t="s">
        <v>15</v>
      </c>
      <c r="J111" s="5" t="s">
        <v>31</v>
      </c>
      <c r="K111" s="5" t="s">
        <v>55</v>
      </c>
      <c r="L111" s="6" t="s">
        <v>197</v>
      </c>
      <c r="M111" s="5" t="s">
        <v>117</v>
      </c>
      <c r="N111" s="5" t="s">
        <v>20</v>
      </c>
      <c r="O111" s="5">
        <v>13075.0</v>
      </c>
      <c r="P111" s="5">
        <v>74.0</v>
      </c>
      <c r="Q111" s="5">
        <v>5980.0</v>
      </c>
      <c r="R111" s="5">
        <v>12114.0</v>
      </c>
      <c r="S111" s="5">
        <v>15.0</v>
      </c>
      <c r="T111" s="5">
        <v>1936.130798</v>
      </c>
    </row>
    <row r="112">
      <c r="A112" s="4" t="s">
        <v>1760</v>
      </c>
      <c r="B112" s="4" t="str">
        <f>IFERROR(__xludf.DUMMYFUNCTION("SPLIT(A112:A838, ""&gt;"")"),"US ")</f>
        <v>US </v>
      </c>
      <c r="C112" s="4" t="str">
        <f>IFERROR(__xludf.DUMMYFUNCTION("""COMPUTED_VALUE"""),"Green Consumer Audience")</f>
        <v>Green Consumer Audience</v>
      </c>
      <c r="D112" s="4"/>
      <c r="E112" s="4"/>
      <c r="F112" s="4"/>
      <c r="G112" s="4"/>
      <c r="H112" s="4"/>
      <c r="I112" s="5" t="s">
        <v>22</v>
      </c>
      <c r="J112" s="5" t="s">
        <v>16</v>
      </c>
      <c r="K112" s="5" t="s">
        <v>55</v>
      </c>
      <c r="L112" s="6" t="s">
        <v>197</v>
      </c>
      <c r="M112" s="5" t="s">
        <v>136</v>
      </c>
      <c r="N112" s="5" t="s">
        <v>27</v>
      </c>
      <c r="O112" s="5">
        <v>69540.0</v>
      </c>
      <c r="P112" s="5">
        <v>204.0</v>
      </c>
      <c r="Q112" s="5">
        <v>28713.0</v>
      </c>
      <c r="R112" s="5">
        <v>62829.0</v>
      </c>
      <c r="S112" s="5">
        <v>15.0</v>
      </c>
      <c r="T112" s="5">
        <v>1838.98773</v>
      </c>
    </row>
    <row r="113">
      <c r="A113" s="4" t="s">
        <v>1761</v>
      </c>
      <c r="B113" s="4" t="str">
        <f>IFERROR(__xludf.DUMMYFUNCTION("SPLIT(A113:A839, ""&gt;"")"),"US ")</f>
        <v>US </v>
      </c>
      <c r="C113" s="4" t="str">
        <f>IFERROR(__xludf.DUMMYFUNCTION("""COMPUTED_VALUE""")," Reach ")</f>
        <v> Reach </v>
      </c>
      <c r="D113" s="4" t="str">
        <f>IFERROR(__xludf.DUMMYFUNCTION("""COMPUTED_VALUE""")," Propensity Models ")</f>
        <v> Propensity Models </v>
      </c>
      <c r="E113" s="4" t="str">
        <f>IFERROR(__xludf.DUMMYFUNCTION("""COMPUTED_VALUE""")," Household Consumer Expenditures ")</f>
        <v> Household Consumer Expenditures </v>
      </c>
      <c r="F113" s="4" t="str">
        <f>IFERROR(__xludf.DUMMYFUNCTION("""COMPUTED_VALUE""")," Lawn and Garden")</f>
        <v> Lawn and Garden</v>
      </c>
      <c r="G113" s="4"/>
      <c r="H113" s="4"/>
      <c r="I113" s="5" t="s">
        <v>15</v>
      </c>
      <c r="J113" s="5" t="s">
        <v>23</v>
      </c>
      <c r="K113" s="5" t="s">
        <v>78</v>
      </c>
      <c r="L113" s="6" t="s">
        <v>197</v>
      </c>
      <c r="M113" s="5" t="s">
        <v>19</v>
      </c>
      <c r="N113" s="5" t="s">
        <v>52</v>
      </c>
      <c r="O113" s="5">
        <v>65983.0</v>
      </c>
      <c r="P113" s="5">
        <v>212.0</v>
      </c>
      <c r="Q113" s="5">
        <v>8536.0</v>
      </c>
      <c r="R113" s="5">
        <v>57434.0</v>
      </c>
      <c r="S113" s="5">
        <v>3.0</v>
      </c>
      <c r="T113" s="5">
        <v>1599.076249</v>
      </c>
    </row>
    <row r="114">
      <c r="A114" s="4" t="s">
        <v>1762</v>
      </c>
      <c r="B114" s="4" t="str">
        <f>IFERROR(__xludf.DUMMYFUNCTION("SPLIT(A114:A840, ""&gt;"")"),"US Interest ")</f>
        <v>US Interest </v>
      </c>
      <c r="C114" s="4" t="str">
        <f>IFERROR(__xludf.DUMMYFUNCTION("""COMPUTED_VALUE""")," Home ")</f>
        <v> Home </v>
      </c>
      <c r="D114" s="4" t="str">
        <f>IFERROR(__xludf.DUMMYFUNCTION("""COMPUTED_VALUE""")," Home Improvement ")</f>
        <v> Home Improvement </v>
      </c>
      <c r="E114" s="4" t="str">
        <f>IFERROR(__xludf.DUMMYFUNCTION("""COMPUTED_VALUE""")," Home Improvement Grouping")</f>
        <v> Home Improvement Grouping</v>
      </c>
      <c r="F114" s="4"/>
      <c r="G114" s="4"/>
      <c r="H114" s="4"/>
      <c r="I114" s="5" t="s">
        <v>22</v>
      </c>
      <c r="J114" s="5" t="s">
        <v>16</v>
      </c>
      <c r="K114" s="5" t="s">
        <v>35</v>
      </c>
      <c r="L114" s="6" t="s">
        <v>197</v>
      </c>
      <c r="M114" s="5" t="s">
        <v>19</v>
      </c>
      <c r="N114" s="5" t="s">
        <v>27</v>
      </c>
      <c r="O114" s="5">
        <v>21478.0</v>
      </c>
      <c r="P114" s="5">
        <v>50.0</v>
      </c>
      <c r="Q114" s="5">
        <v>15548.0</v>
      </c>
      <c r="R114" s="5">
        <v>20651.0</v>
      </c>
      <c r="S114" s="5">
        <v>24.0</v>
      </c>
      <c r="T114" s="5">
        <v>1541.214047</v>
      </c>
    </row>
    <row r="115">
      <c r="A115" s="4" t="s">
        <v>210</v>
      </c>
      <c r="B115" s="4" t="str">
        <f>IFERROR(__xludf.DUMMYFUNCTION("SPLIT(A115:A841, ""&gt;"")"),"Online Behavior")</f>
        <v>Online Behavior</v>
      </c>
      <c r="C115" s="4" t="str">
        <f>IFERROR(__xludf.DUMMYFUNCTION("""COMPUTED_VALUE"""),"United States")</f>
        <v>United States</v>
      </c>
      <c r="D115" s="4" t="str">
        <f>IFERROR(__xludf.DUMMYFUNCTION("""COMPUTED_VALUE"""),"Real Estate")</f>
        <v>Real Estate</v>
      </c>
      <c r="E115" s="4" t="str">
        <f>IFERROR(__xludf.DUMMYFUNCTION("""COMPUTED_VALUE"""),"Apartments and Residential Rentals")</f>
        <v>Apartments and Residential Rentals</v>
      </c>
      <c r="F115" s="4"/>
      <c r="G115" s="4"/>
      <c r="H115" s="4"/>
      <c r="I115" s="5" t="s">
        <v>22</v>
      </c>
      <c r="J115" s="5" t="s">
        <v>31</v>
      </c>
      <c r="K115" s="5" t="s">
        <v>78</v>
      </c>
      <c r="L115" s="6" t="s">
        <v>211</v>
      </c>
      <c r="M115" s="5" t="s">
        <v>19</v>
      </c>
      <c r="N115" s="5" t="s">
        <v>27</v>
      </c>
      <c r="O115" s="5">
        <v>9515.0</v>
      </c>
      <c r="P115" s="5">
        <v>30.0</v>
      </c>
      <c r="Q115" s="5">
        <v>6169.0</v>
      </c>
      <c r="R115" s="5">
        <v>9138.0</v>
      </c>
      <c r="S115" s="5">
        <v>3.0</v>
      </c>
      <c r="T115" s="5">
        <v>5776.508186</v>
      </c>
    </row>
    <row r="116">
      <c r="A116" s="4" t="s">
        <v>1763</v>
      </c>
      <c r="B116" s="4" t="str">
        <f>IFERROR(__xludf.DUMMYFUNCTION("SPLIT(A116:A842, ""&gt;"")"),"US ")</f>
        <v>US </v>
      </c>
      <c r="C116" s="4" t="str">
        <f>IFERROR(__xludf.DUMMYFUNCTION("""COMPUTED_VALUE""")," Reach ")</f>
        <v> Reach </v>
      </c>
      <c r="D116" s="4" t="str">
        <f>IFERROR(__xludf.DUMMYFUNCTION("""COMPUTED_VALUE""")," Propensity Models ")</f>
        <v> Propensity Models </v>
      </c>
      <c r="E116" s="4" t="str">
        <f>IFERROR(__xludf.DUMMYFUNCTION("""COMPUTED_VALUE""")," Hobbies and Interest ")</f>
        <v> Hobbies and Interest </v>
      </c>
      <c r="F116" s="4" t="str">
        <f>IFERROR(__xludf.DUMMYFUNCTION("""COMPUTED_VALUE""")," Food and Drinks ")</f>
        <v> Food and Drinks </v>
      </c>
      <c r="G116" s="4" t="str">
        <f>IFERROR(__xludf.DUMMYFUNCTION("""COMPUTED_VALUE""")," High-end Spirit Drinkers")</f>
        <v> High-end Spirit Drinkers</v>
      </c>
      <c r="H116" s="4"/>
      <c r="I116" s="5" t="s">
        <v>22</v>
      </c>
      <c r="J116" s="5" t="s">
        <v>23</v>
      </c>
      <c r="K116" s="5" t="s">
        <v>35</v>
      </c>
      <c r="L116" s="6" t="s">
        <v>211</v>
      </c>
      <c r="M116" s="5" t="s">
        <v>48</v>
      </c>
      <c r="N116" s="5" t="s">
        <v>27</v>
      </c>
      <c r="O116" s="5">
        <v>20548.0</v>
      </c>
      <c r="P116" s="5">
        <v>40.0</v>
      </c>
      <c r="Q116" s="5">
        <v>14259.0</v>
      </c>
      <c r="R116" s="5">
        <v>19654.0</v>
      </c>
      <c r="S116" s="5">
        <v>13.0</v>
      </c>
      <c r="T116" s="5">
        <v>3060.424769</v>
      </c>
    </row>
    <row r="117">
      <c r="A117" s="4" t="s">
        <v>1179</v>
      </c>
      <c r="B117" s="4" t="str">
        <f>IFERROR(__xludf.DUMMYFUNCTION("SPLIT(A117:A843, ""&gt;"")"),"OnAudience ")</f>
        <v>OnAudience </v>
      </c>
      <c r="C117" s="4" t="str">
        <f>IFERROR(__xludf.DUMMYFUNCTION("""COMPUTED_VALUE""")," Intent ")</f>
        <v> Intent </v>
      </c>
      <c r="D117" s="4" t="str">
        <f>IFERROR(__xludf.DUMMYFUNCTION("""COMPUTED_VALUE""")," Sporting Goods ")</f>
        <v> Sporting Goods </v>
      </c>
      <c r="E117" s="4" t="str">
        <f>IFERROR(__xludf.DUMMYFUNCTION("""COMPUTED_VALUE""")," Team Sports")</f>
        <v> Team Sports</v>
      </c>
      <c r="F117" s="4"/>
      <c r="G117" s="4"/>
      <c r="H117" s="4"/>
      <c r="I117" s="5" t="s">
        <v>15</v>
      </c>
      <c r="J117" s="5" t="s">
        <v>42</v>
      </c>
      <c r="K117" s="5" t="s">
        <v>214</v>
      </c>
      <c r="L117" s="6" t="s">
        <v>211</v>
      </c>
      <c r="M117" s="5" t="s">
        <v>36</v>
      </c>
      <c r="N117" s="5" t="s">
        <v>20</v>
      </c>
      <c r="O117" s="5">
        <v>94340.0</v>
      </c>
      <c r="P117" s="5">
        <v>250.0</v>
      </c>
      <c r="Q117" s="5">
        <v>16955.0</v>
      </c>
      <c r="R117" s="5">
        <v>76971.0</v>
      </c>
      <c r="S117" s="5">
        <v>13.0</v>
      </c>
      <c r="T117" s="5">
        <v>1517.244377</v>
      </c>
    </row>
    <row r="118">
      <c r="A118" s="4" t="s">
        <v>1180</v>
      </c>
      <c r="B118" s="4" t="str">
        <f>IFERROR(__xludf.DUMMYFUNCTION("SPLIT(A118:A844, ""&gt;"")"),"Online Behavior")</f>
        <v>Online Behavior</v>
      </c>
      <c r="C118" s="4" t="str">
        <f>IFERROR(__xludf.DUMMYFUNCTION("""COMPUTED_VALUE"""),"United States")</f>
        <v>United States</v>
      </c>
      <c r="D118" s="4" t="str">
        <f>IFERROR(__xludf.DUMMYFUNCTION("""COMPUTED_VALUE"""),"Validated Demographic ")</f>
        <v>Validated Demographic </v>
      </c>
      <c r="E118" s="4" t="str">
        <f>IFERROR(__xludf.DUMMYFUNCTION("""COMPUTED_VALUE""")," Age")</f>
        <v> Age</v>
      </c>
      <c r="F118" s="4" t="str">
        <f>IFERROR(__xludf.DUMMYFUNCTION("""COMPUTED_VALUE"""),"25-44")</f>
        <v>25-44</v>
      </c>
      <c r="G118" s="4"/>
      <c r="H118" s="4"/>
      <c r="I118" s="5" t="s">
        <v>61</v>
      </c>
      <c r="J118" s="5" t="s">
        <v>23</v>
      </c>
      <c r="K118" s="5" t="s">
        <v>32</v>
      </c>
      <c r="L118" s="6" t="s">
        <v>216</v>
      </c>
      <c r="M118" s="5" t="s">
        <v>26</v>
      </c>
      <c r="N118" s="5" t="s">
        <v>27</v>
      </c>
      <c r="O118" s="5">
        <v>114723.0</v>
      </c>
      <c r="P118" s="5">
        <v>350.0</v>
      </c>
      <c r="Q118" s="5">
        <v>14623.0</v>
      </c>
      <c r="R118" s="5">
        <v>92063.0</v>
      </c>
      <c r="S118" s="5">
        <v>6.0</v>
      </c>
      <c r="T118" s="5">
        <v>4742.008637</v>
      </c>
    </row>
    <row r="119">
      <c r="A119" s="4" t="s">
        <v>1181</v>
      </c>
      <c r="B119" s="4" t="str">
        <f>IFERROR(__xludf.DUMMYFUNCTION("SPLIT(A119:A845, ""&gt;"")"),"Media and Entertainment ")</f>
        <v>Media and Entertainment </v>
      </c>
      <c r="C119" s="4" t="str">
        <f>IFERROR(__xludf.DUMMYFUNCTION("""COMPUTED_VALUE""")," Sports and Recreational Activities ")</f>
        <v> Sports and Recreational Activities </v>
      </c>
      <c r="D119" s="4" t="str">
        <f>IFERROR(__xludf.DUMMYFUNCTION("""COMPUTED_VALUE""")," Interest (Affinity)")</f>
        <v> Interest (Affinity)</v>
      </c>
      <c r="E119" s="4"/>
      <c r="F119" s="4"/>
      <c r="G119" s="4"/>
      <c r="H119" s="4"/>
      <c r="I119" s="5" t="s">
        <v>15</v>
      </c>
      <c r="J119" s="5" t="s">
        <v>31</v>
      </c>
      <c r="K119" s="5" t="s">
        <v>35</v>
      </c>
      <c r="L119" s="6" t="s">
        <v>216</v>
      </c>
      <c r="M119" s="5" t="s">
        <v>19</v>
      </c>
      <c r="N119" s="5" t="s">
        <v>27</v>
      </c>
      <c r="O119" s="5">
        <v>14581.0</v>
      </c>
      <c r="P119" s="5">
        <v>85.0</v>
      </c>
      <c r="Q119" s="5">
        <v>6970.0</v>
      </c>
      <c r="R119" s="5">
        <v>8882.0</v>
      </c>
      <c r="S119" s="5">
        <v>4.0</v>
      </c>
      <c r="T119" s="5">
        <v>2636.202124</v>
      </c>
    </row>
    <row r="120">
      <c r="A120" s="4" t="s">
        <v>1182</v>
      </c>
      <c r="B120" s="4" t="str">
        <f>IFERROR(__xludf.DUMMYFUNCTION("SPLIT(A120:A846, ""&gt;"")"),"Online Behavior")</f>
        <v>Online Behavior</v>
      </c>
      <c r="C120" s="4" t="str">
        <f>IFERROR(__xludf.DUMMYFUNCTION("""COMPUTED_VALUE"""),"United States")</f>
        <v>United States</v>
      </c>
      <c r="D120" s="4" t="str">
        <f>IFERROR(__xludf.DUMMYFUNCTION("""COMPUTED_VALUE"""),"Travel")</f>
        <v>Travel</v>
      </c>
      <c r="E120" s="4" t="str">
        <f>IFERROR(__xludf.DUMMYFUNCTION("""COMPUTED_VALUE"""),"Tourist Destinations ")</f>
        <v>Tourist Destinations </v>
      </c>
      <c r="F120" s="4" t="str">
        <f>IFERROR(__xludf.DUMMYFUNCTION("""COMPUTED_VALUE""")," Beaches and Islands")</f>
        <v> Beaches and Islands</v>
      </c>
      <c r="G120" s="4"/>
      <c r="H120" s="4"/>
      <c r="I120" s="5" t="s">
        <v>61</v>
      </c>
      <c r="J120" s="5" t="s">
        <v>42</v>
      </c>
      <c r="K120" s="5" t="s">
        <v>35</v>
      </c>
      <c r="L120" s="6" t="s">
        <v>219</v>
      </c>
      <c r="M120" s="5" t="s">
        <v>19</v>
      </c>
      <c r="N120" s="5" t="s">
        <v>27</v>
      </c>
      <c r="O120" s="5">
        <v>19461.0</v>
      </c>
      <c r="P120" s="5">
        <v>74.0</v>
      </c>
      <c r="Q120" s="5">
        <v>14647.0</v>
      </c>
      <c r="R120" s="5">
        <v>18731.0</v>
      </c>
      <c r="S120" s="5">
        <v>9.0</v>
      </c>
      <c r="T120" s="5">
        <v>7311.99875</v>
      </c>
    </row>
    <row r="121">
      <c r="A121" s="4" t="s">
        <v>220</v>
      </c>
      <c r="B121" s="4" t="str">
        <f>IFERROR(__xludf.DUMMYFUNCTION("SPLIT(A121:A847, ""&gt;"")"),"Online Behavior")</f>
        <v>Online Behavior</v>
      </c>
      <c r="C121" s="4" t="str">
        <f>IFERROR(__xludf.DUMMYFUNCTION("""COMPUTED_VALUE"""),"United States")</f>
        <v>United States</v>
      </c>
      <c r="D121" s="4" t="str">
        <f>IFERROR(__xludf.DUMMYFUNCTION("""COMPUTED_VALUE"""),"The Changing Consumer")</f>
        <v>The Changing Consumer</v>
      </c>
      <c r="E121" s="4" t="str">
        <f>IFERROR(__xludf.DUMMYFUNCTION("""COMPUTED_VALUE"""),"Direct to Consumer")</f>
        <v>Direct to Consumer</v>
      </c>
      <c r="F121" s="4"/>
      <c r="G121" s="4"/>
      <c r="H121" s="4"/>
      <c r="I121" s="5" t="s">
        <v>22</v>
      </c>
      <c r="J121" s="5" t="s">
        <v>23</v>
      </c>
      <c r="K121" s="5" t="s">
        <v>35</v>
      </c>
      <c r="L121" s="6" t="s">
        <v>219</v>
      </c>
      <c r="M121" s="5" t="s">
        <v>26</v>
      </c>
      <c r="N121" s="5" t="s">
        <v>27</v>
      </c>
      <c r="O121" s="5">
        <v>27032.0</v>
      </c>
      <c r="P121" s="5">
        <v>110.0</v>
      </c>
      <c r="Q121" s="5">
        <v>21893.0</v>
      </c>
      <c r="R121" s="5">
        <v>26127.0</v>
      </c>
      <c r="S121" s="5">
        <v>5.0</v>
      </c>
      <c r="T121" s="5">
        <v>5292.896913</v>
      </c>
    </row>
    <row r="122">
      <c r="A122" s="4" t="s">
        <v>221</v>
      </c>
      <c r="B122" s="4" t="str">
        <f>IFERROR(__xludf.DUMMYFUNCTION("SPLIT(A122:A848, ""&gt;"")"),"Online Behavior")</f>
        <v>Online Behavior</v>
      </c>
      <c r="C122" s="4" t="str">
        <f>IFERROR(__xludf.DUMMYFUNCTION("""COMPUTED_VALUE"""),"United States")</f>
        <v>United States</v>
      </c>
      <c r="D122" s="4" t="str">
        <f>IFERROR(__xludf.DUMMYFUNCTION("""COMPUTED_VALUE"""),"Arts and Entertainment")</f>
        <v>Arts and Entertainment</v>
      </c>
      <c r="E122" s="4" t="str">
        <f>IFERROR(__xludf.DUMMYFUNCTION("""COMPUTED_VALUE"""),"Music and Audio")</f>
        <v>Music and Audio</v>
      </c>
      <c r="F122" s="4"/>
      <c r="G122" s="4"/>
      <c r="H122" s="4"/>
      <c r="I122" s="5" t="s">
        <v>15</v>
      </c>
      <c r="J122" s="5" t="s">
        <v>23</v>
      </c>
      <c r="K122" s="5" t="s">
        <v>84</v>
      </c>
      <c r="L122" s="6" t="s">
        <v>222</v>
      </c>
      <c r="M122" s="5" t="s">
        <v>19</v>
      </c>
      <c r="N122" s="5" t="s">
        <v>27</v>
      </c>
      <c r="O122" s="5">
        <v>7628.0</v>
      </c>
      <c r="P122" s="5">
        <v>19.0</v>
      </c>
      <c r="Q122" s="5">
        <v>5048.0</v>
      </c>
      <c r="R122" s="5">
        <v>7154.0</v>
      </c>
      <c r="S122" s="5">
        <v>5.0</v>
      </c>
      <c r="T122" s="5">
        <v>6684.062804</v>
      </c>
    </row>
    <row r="123">
      <c r="A123" s="4" t="s">
        <v>1184</v>
      </c>
      <c r="B123" s="4" t="str">
        <f>IFERROR(__xludf.DUMMYFUNCTION("SPLIT(A123:A849, ""&gt;"")"),"Online Behavior")</f>
        <v>Online Behavior</v>
      </c>
      <c r="C123" s="4" t="str">
        <f>IFERROR(__xludf.DUMMYFUNCTION("""COMPUTED_VALUE"""),"United States")</f>
        <v>United States</v>
      </c>
      <c r="D123" s="4" t="str">
        <f>IFERROR(__xludf.DUMMYFUNCTION("""COMPUTED_VALUE"""),"Autos and Vehicles ")</f>
        <v>Autos and Vehicles </v>
      </c>
      <c r="E123" s="4" t="str">
        <f>IFERROR(__xludf.DUMMYFUNCTION("""COMPUTED_VALUE""")," Brands")</f>
        <v> Brands</v>
      </c>
      <c r="F123" s="4" t="str">
        <f>IFERROR(__xludf.DUMMYFUNCTION("""COMPUTED_VALUE"""),"Volvo")</f>
        <v>Volvo</v>
      </c>
      <c r="G123" s="4"/>
      <c r="H123" s="4"/>
      <c r="I123" s="5" t="s">
        <v>22</v>
      </c>
      <c r="J123" s="5" t="s">
        <v>16</v>
      </c>
      <c r="K123" s="5" t="s">
        <v>78</v>
      </c>
      <c r="L123" s="6" t="s">
        <v>224</v>
      </c>
      <c r="M123" s="5" t="s">
        <v>19</v>
      </c>
      <c r="N123" s="5" t="s">
        <v>27</v>
      </c>
      <c r="O123" s="5">
        <v>7806.0</v>
      </c>
      <c r="P123" s="5">
        <v>20.0</v>
      </c>
      <c r="Q123" s="5">
        <v>3150.0</v>
      </c>
      <c r="R123" s="5">
        <v>7247.0</v>
      </c>
      <c r="S123" s="5">
        <v>1.0</v>
      </c>
      <c r="T123" s="5">
        <v>6162.320833</v>
      </c>
    </row>
    <row r="124">
      <c r="A124" s="4" t="s">
        <v>1764</v>
      </c>
      <c r="B124" s="4" t="str">
        <f>IFERROR(__xludf.DUMMYFUNCTION("SPLIT(A124:A850, ""&gt;"")"),"US ")</f>
        <v>US </v>
      </c>
      <c r="C124" s="4" t="str">
        <f>IFERROR(__xludf.DUMMYFUNCTION("""COMPUTED_VALUE""")," B2B ")</f>
        <v> B2B </v>
      </c>
      <c r="D124" s="4" t="str">
        <f>IFERROR(__xludf.DUMMYFUNCTION("""COMPUTED_VALUE""")," B2B Decision Maker Responsibilities ")</f>
        <v> B2B Decision Maker Responsibilities </v>
      </c>
      <c r="E124" s="4" t="str">
        <f>IFERROR(__xludf.DUMMYFUNCTION("""COMPUTED_VALUE""")," Company Liability or Insurance")</f>
        <v> Company Liability or Insurance</v>
      </c>
      <c r="F124" s="4"/>
      <c r="G124" s="4"/>
      <c r="H124" s="4"/>
      <c r="I124" s="5" t="s">
        <v>15</v>
      </c>
      <c r="J124" s="5" t="s">
        <v>42</v>
      </c>
      <c r="K124" s="5" t="s">
        <v>55</v>
      </c>
      <c r="L124" s="6" t="s">
        <v>226</v>
      </c>
      <c r="M124" s="5" t="s">
        <v>19</v>
      </c>
      <c r="N124" s="5" t="s">
        <v>52</v>
      </c>
      <c r="O124" s="5">
        <v>31443.0</v>
      </c>
      <c r="P124" s="5">
        <v>70.0</v>
      </c>
      <c r="Q124" s="5">
        <v>19134.0</v>
      </c>
      <c r="R124" s="5">
        <v>28059.0</v>
      </c>
      <c r="S124" s="5">
        <v>9.0</v>
      </c>
      <c r="T124" s="5">
        <v>2122.765888</v>
      </c>
    </row>
    <row r="125">
      <c r="A125" s="4" t="s">
        <v>1765</v>
      </c>
      <c r="B125" s="4" t="str">
        <f>IFERROR(__xludf.DUMMYFUNCTION("SPLIT(A125:A851, ""&gt;"")"),"US ")</f>
        <v>US </v>
      </c>
      <c r="C125" s="4" t="str">
        <f>IFERROR(__xludf.DUMMYFUNCTION("""COMPUTED_VALUE""")," Reach ")</f>
        <v> Reach </v>
      </c>
      <c r="D125" s="4" t="str">
        <f>IFERROR(__xludf.DUMMYFUNCTION("""COMPUTED_VALUE""")," Propensity Models ")</f>
        <v> Propensity Models </v>
      </c>
      <c r="E125" s="4" t="str">
        <f>IFERROR(__xludf.DUMMYFUNCTION("""COMPUTED_VALUE""")," Luxury Home Goods Store Shopper")</f>
        <v> Luxury Home Goods Store Shopper</v>
      </c>
      <c r="F125" s="4"/>
      <c r="G125" s="4"/>
      <c r="H125" s="4"/>
      <c r="I125" s="5" t="s">
        <v>22</v>
      </c>
      <c r="J125" s="5" t="s">
        <v>23</v>
      </c>
      <c r="K125" s="5" t="s">
        <v>29</v>
      </c>
      <c r="L125" s="6" t="s">
        <v>228</v>
      </c>
      <c r="M125" s="5" t="s">
        <v>19</v>
      </c>
      <c r="N125" s="5" t="s">
        <v>27</v>
      </c>
      <c r="O125" s="5">
        <v>29107.0</v>
      </c>
      <c r="P125" s="5">
        <v>64.0</v>
      </c>
      <c r="Q125" s="5">
        <v>4047.0</v>
      </c>
      <c r="R125" s="5">
        <v>27357.0</v>
      </c>
      <c r="S125" s="5">
        <v>9.0</v>
      </c>
      <c r="T125" s="5">
        <v>3339.454322</v>
      </c>
    </row>
    <row r="126">
      <c r="A126" s="4" t="s">
        <v>1766</v>
      </c>
      <c r="B126" s="4" t="str">
        <f>IFERROR(__xludf.DUMMYFUNCTION("SPLIT(A126:A852, ""&gt;"")"),"US ")</f>
        <v>US </v>
      </c>
      <c r="C126" s="4" t="str">
        <f>IFERROR(__xludf.DUMMYFUNCTION("""COMPUTED_VALUE""")," B2B ")</f>
        <v> B2B </v>
      </c>
      <c r="D126" s="4" t="str">
        <f>IFERROR(__xludf.DUMMYFUNCTION("""COMPUTED_VALUE""")," B2B Decision Maker Responsibilities ")</f>
        <v> B2B Decision Maker Responsibilities </v>
      </c>
      <c r="E126" s="4" t="str">
        <f>IFERROR(__xludf.DUMMYFUNCTION("""COMPUTED_VALUE""")," Employee Benefits")</f>
        <v> Employee Benefits</v>
      </c>
      <c r="F126" s="4"/>
      <c r="G126" s="4"/>
      <c r="H126" s="4"/>
      <c r="I126" s="5" t="s">
        <v>22</v>
      </c>
      <c r="J126" s="5" t="s">
        <v>16</v>
      </c>
      <c r="K126" s="5" t="s">
        <v>84</v>
      </c>
      <c r="L126" s="6" t="s">
        <v>228</v>
      </c>
      <c r="M126" s="5" t="s">
        <v>36</v>
      </c>
      <c r="N126" s="5" t="s">
        <v>27</v>
      </c>
      <c r="O126" s="5">
        <v>12451.0</v>
      </c>
      <c r="P126" s="5">
        <v>30.0</v>
      </c>
      <c r="Q126" s="5">
        <v>2987.0</v>
      </c>
      <c r="R126" s="5">
        <v>11295.0</v>
      </c>
      <c r="S126" s="5">
        <v>4.0</v>
      </c>
      <c r="T126" s="5">
        <v>2127.323828</v>
      </c>
    </row>
    <row r="127">
      <c r="A127" s="4" t="s">
        <v>1767</v>
      </c>
      <c r="B127" s="4" t="str">
        <f>IFERROR(__xludf.DUMMYFUNCTION("SPLIT(A127:A853, ""&gt;"")"),"US ")</f>
        <v>US </v>
      </c>
      <c r="C127" s="4" t="str">
        <f>IFERROR(__xludf.DUMMYFUNCTION("""COMPUTED_VALUE""")," Brand Propensities ")</f>
        <v> Brand Propensities </v>
      </c>
      <c r="D127" s="4" t="str">
        <f>IFERROR(__xludf.DUMMYFUNCTION("""COMPUTED_VALUE""")," Travel ")</f>
        <v> Travel </v>
      </c>
      <c r="E127" s="4" t="str">
        <f>IFERROR(__xludf.DUMMYFUNCTION("""COMPUTED_VALUE""")," American Airlines Buyer Propensity")</f>
        <v> American Airlines Buyer Propensity</v>
      </c>
      <c r="F127" s="4"/>
      <c r="G127" s="4"/>
      <c r="H127" s="4"/>
      <c r="I127" s="5" t="s">
        <v>15</v>
      </c>
      <c r="J127" s="5" t="s">
        <v>16</v>
      </c>
      <c r="K127" s="5" t="s">
        <v>78</v>
      </c>
      <c r="L127" s="6" t="s">
        <v>228</v>
      </c>
      <c r="M127" s="5" t="s">
        <v>231</v>
      </c>
      <c r="N127" s="5" t="s">
        <v>20</v>
      </c>
      <c r="O127" s="5">
        <v>12176.0</v>
      </c>
      <c r="P127" s="5">
        <v>10.0</v>
      </c>
      <c r="Q127" s="5">
        <v>5460.0</v>
      </c>
      <c r="R127" s="5">
        <v>11154.0</v>
      </c>
      <c r="S127" s="5">
        <v>10.0</v>
      </c>
      <c r="T127" s="5">
        <v>1816.030806</v>
      </c>
    </row>
    <row r="128">
      <c r="A128" s="4" t="s">
        <v>232</v>
      </c>
      <c r="B128" s="4" t="str">
        <f>IFERROR(__xludf.DUMMYFUNCTION("SPLIT(A128:A854, ""&gt;"")"),"OnAudience")</f>
        <v>OnAudience</v>
      </c>
      <c r="C128" s="4"/>
      <c r="D128" s="4"/>
      <c r="E128" s="4"/>
      <c r="F128" s="4"/>
      <c r="G128" s="4"/>
      <c r="H128" s="4"/>
      <c r="I128" s="5" t="s">
        <v>15</v>
      </c>
      <c r="J128" s="5" t="s">
        <v>23</v>
      </c>
      <c r="K128" s="5" t="s">
        <v>29</v>
      </c>
      <c r="L128" s="6" t="s">
        <v>233</v>
      </c>
      <c r="M128" s="5" t="s">
        <v>19</v>
      </c>
      <c r="N128" s="5" t="s">
        <v>27</v>
      </c>
      <c r="O128" s="5">
        <v>7472.0</v>
      </c>
      <c r="P128" s="5">
        <v>10.0</v>
      </c>
      <c r="Q128" s="5">
        <v>1191.0</v>
      </c>
      <c r="R128" s="5">
        <v>5883.0</v>
      </c>
      <c r="S128" s="5">
        <v>1.0</v>
      </c>
      <c r="T128" s="5">
        <v>2183.952037</v>
      </c>
    </row>
    <row r="129">
      <c r="A129" s="4" t="s">
        <v>1189</v>
      </c>
      <c r="B129" s="4" t="str">
        <f>IFERROR(__xludf.DUMMYFUNCTION("SPLIT(A129:A855, ""&gt;"")"),"Media and Entertainment ")</f>
        <v>Media and Entertainment </v>
      </c>
      <c r="C129" s="4" t="str">
        <f>IFERROR(__xludf.DUMMYFUNCTION("""COMPUTED_VALUE""")," Audio and Video Streaming ")</f>
        <v> Audio and Video Streaming </v>
      </c>
      <c r="D129" s="4" t="str">
        <f>IFERROR(__xludf.DUMMYFUNCTION("""COMPUTED_VALUE""")," Streaming Audio")</f>
        <v> Streaming Audio</v>
      </c>
      <c r="E129" s="4"/>
      <c r="F129" s="4"/>
      <c r="G129" s="4"/>
      <c r="H129" s="4"/>
      <c r="I129" s="5" t="s">
        <v>15</v>
      </c>
      <c r="J129" s="5" t="s">
        <v>31</v>
      </c>
      <c r="K129" s="5" t="s">
        <v>35</v>
      </c>
      <c r="L129" s="6" t="s">
        <v>235</v>
      </c>
      <c r="M129" s="5" t="s">
        <v>19</v>
      </c>
      <c r="N129" s="5" t="s">
        <v>27</v>
      </c>
      <c r="O129" s="5">
        <v>42451.0</v>
      </c>
      <c r="P129" s="5">
        <v>122.0</v>
      </c>
      <c r="Q129" s="5">
        <v>29142.0</v>
      </c>
      <c r="R129" s="5">
        <v>41093.0</v>
      </c>
      <c r="S129" s="5">
        <v>7.0</v>
      </c>
      <c r="T129" s="5">
        <v>1530.553686</v>
      </c>
    </row>
    <row r="130">
      <c r="A130" s="4" t="s">
        <v>1768</v>
      </c>
      <c r="B130" s="4" t="str">
        <f>IFERROR(__xludf.DUMMYFUNCTION("SPLIT(A130:A856, ""&gt;"")"),"US ")</f>
        <v>US </v>
      </c>
      <c r="C130" s="4" t="str">
        <f>IFERROR(__xludf.DUMMYFUNCTION("""COMPUTED_VALUE"""),"Rural Improvement Fanatic")</f>
        <v>Rural Improvement Fanatic</v>
      </c>
      <c r="D130" s="4"/>
      <c r="E130" s="4"/>
      <c r="F130" s="4"/>
      <c r="G130" s="4"/>
      <c r="H130" s="4"/>
      <c r="I130" s="5" t="s">
        <v>22</v>
      </c>
      <c r="J130" s="5" t="s">
        <v>16</v>
      </c>
      <c r="K130" s="5" t="s">
        <v>78</v>
      </c>
      <c r="L130" s="6" t="s">
        <v>235</v>
      </c>
      <c r="M130" s="5" t="s">
        <v>117</v>
      </c>
      <c r="N130" s="5" t="s">
        <v>27</v>
      </c>
      <c r="O130" s="5">
        <v>10677.0</v>
      </c>
      <c r="P130" s="5">
        <v>88.0</v>
      </c>
      <c r="Q130" s="5">
        <v>7247.0</v>
      </c>
      <c r="R130" s="5">
        <v>10338.0</v>
      </c>
      <c r="S130" s="5">
        <v>3.0</v>
      </c>
      <c r="T130" s="5">
        <v>1483.452706</v>
      </c>
    </row>
    <row r="131">
      <c r="A131" s="4" t="s">
        <v>1191</v>
      </c>
      <c r="B131" s="4" t="str">
        <f>IFERROR(__xludf.DUMMYFUNCTION("SPLIT(A131:A857, ""&gt;"")"),"Online Behavior")</f>
        <v>Online Behavior</v>
      </c>
      <c r="C131" s="4" t="str">
        <f>IFERROR(__xludf.DUMMYFUNCTION("""COMPUTED_VALUE"""),"United States")</f>
        <v>United States</v>
      </c>
      <c r="D131" s="4" t="str">
        <f>IFERROR(__xludf.DUMMYFUNCTION("""COMPUTED_VALUE"""),"Sports")</f>
        <v>Sports</v>
      </c>
      <c r="E131" s="4" t="str">
        <f>IFERROR(__xludf.DUMMYFUNCTION("""COMPUTED_VALUE"""),"Sports League ")</f>
        <v>Sports League </v>
      </c>
      <c r="F131" s="4" t="str">
        <f>IFERROR(__xludf.DUMMYFUNCTION("""COMPUTED_VALUE""")," Premier League")</f>
        <v> Premier League</v>
      </c>
      <c r="G131" s="4"/>
      <c r="H131" s="4"/>
      <c r="I131" s="5" t="s">
        <v>15</v>
      </c>
      <c r="J131" s="5" t="s">
        <v>23</v>
      </c>
      <c r="K131" s="5" t="s">
        <v>35</v>
      </c>
      <c r="L131" s="6" t="s">
        <v>238</v>
      </c>
      <c r="M131" s="5" t="s">
        <v>46</v>
      </c>
      <c r="N131" s="5" t="s">
        <v>27</v>
      </c>
      <c r="O131" s="5">
        <v>8217.0</v>
      </c>
      <c r="P131" s="5">
        <v>25.0</v>
      </c>
      <c r="Q131" s="5">
        <v>5740.0</v>
      </c>
      <c r="R131" s="5">
        <v>8009.0</v>
      </c>
      <c r="S131" s="5">
        <v>11.0</v>
      </c>
      <c r="T131" s="5">
        <v>6051.334623</v>
      </c>
    </row>
    <row r="132">
      <c r="A132" s="4" t="s">
        <v>239</v>
      </c>
      <c r="B132" s="4" t="str">
        <f>IFERROR(__xludf.DUMMYFUNCTION("SPLIT(A132:A858, ""&gt;"")"),"Online Behavior")</f>
        <v>Online Behavior</v>
      </c>
      <c r="C132" s="4" t="str">
        <f>IFERROR(__xludf.DUMMYFUNCTION("""COMPUTED_VALUE"""),"United States")</f>
        <v>United States</v>
      </c>
      <c r="D132" s="4" t="str">
        <f>IFERROR(__xludf.DUMMYFUNCTION("""COMPUTED_VALUE"""),"The Changing Consumer")</f>
        <v>The Changing Consumer</v>
      </c>
      <c r="E132" s="4" t="str">
        <f>IFERROR(__xludf.DUMMYFUNCTION("""COMPUTED_VALUE"""),"Gaming Equipment")</f>
        <v>Gaming Equipment</v>
      </c>
      <c r="F132" s="4"/>
      <c r="G132" s="4"/>
      <c r="H132" s="4"/>
      <c r="I132" s="5" t="s">
        <v>22</v>
      </c>
      <c r="J132" s="5" t="s">
        <v>23</v>
      </c>
      <c r="K132" s="5" t="s">
        <v>240</v>
      </c>
      <c r="L132" s="6" t="s">
        <v>238</v>
      </c>
      <c r="M132" s="5" t="s">
        <v>161</v>
      </c>
      <c r="N132" s="5" t="s">
        <v>27</v>
      </c>
      <c r="O132" s="5">
        <v>7530.0</v>
      </c>
      <c r="P132" s="5">
        <v>20.0</v>
      </c>
      <c r="Q132" s="5">
        <v>5468.0</v>
      </c>
      <c r="R132" s="5">
        <v>7298.0</v>
      </c>
      <c r="S132" s="5">
        <v>3.0</v>
      </c>
      <c r="T132" s="5">
        <v>5038.714067</v>
      </c>
    </row>
    <row r="133">
      <c r="A133" s="4" t="s">
        <v>241</v>
      </c>
      <c r="B133" s="4" t="str">
        <f>IFERROR(__xludf.DUMMYFUNCTION("SPLIT(A133:A859, ""&gt;"")"),"Online Behavior")</f>
        <v>Online Behavior</v>
      </c>
      <c r="C133" s="4" t="str">
        <f>IFERROR(__xludf.DUMMYFUNCTION("""COMPUTED_VALUE"""),"United States")</f>
        <v>United States</v>
      </c>
      <c r="D133" s="4" t="str">
        <f>IFERROR(__xludf.DUMMYFUNCTION("""COMPUTED_VALUE"""),"Travel")</f>
        <v>Travel</v>
      </c>
      <c r="E133" s="4" t="str">
        <f>IFERROR(__xludf.DUMMYFUNCTION("""COMPUTED_VALUE"""),"Travel")</f>
        <v>Travel</v>
      </c>
      <c r="F133" s="4"/>
      <c r="G133" s="4"/>
      <c r="H133" s="4"/>
      <c r="I133" s="5" t="s">
        <v>22</v>
      </c>
      <c r="J133" s="5" t="s">
        <v>16</v>
      </c>
      <c r="K133" s="5" t="s">
        <v>78</v>
      </c>
      <c r="L133" s="6" t="s">
        <v>242</v>
      </c>
      <c r="M133" s="5" t="s">
        <v>19</v>
      </c>
      <c r="N133" s="5" t="s">
        <v>27</v>
      </c>
      <c r="O133" s="5">
        <v>272509.0</v>
      </c>
      <c r="P133" s="5">
        <v>736.0</v>
      </c>
      <c r="Q133" s="5">
        <v>89526.0</v>
      </c>
      <c r="R133" s="5">
        <v>237859.0</v>
      </c>
      <c r="S133" s="5">
        <v>69.0</v>
      </c>
      <c r="T133" s="5">
        <v>8168.347077</v>
      </c>
    </row>
    <row r="134">
      <c r="A134" s="4" t="s">
        <v>1192</v>
      </c>
      <c r="B134" s="4" t="str">
        <f>IFERROR(__xludf.DUMMYFUNCTION("SPLIT(A134:A860, ""&gt;"")"),"Online Behavior")</f>
        <v>Online Behavior</v>
      </c>
      <c r="C134" s="4" t="str">
        <f>IFERROR(__xludf.DUMMYFUNCTION("""COMPUTED_VALUE"""),"United States")</f>
        <v>United States</v>
      </c>
      <c r="D134" s="4" t="str">
        <f>IFERROR(__xludf.DUMMYFUNCTION("""COMPUTED_VALUE"""),"Beauty and Fitness")</f>
        <v>Beauty and Fitness</v>
      </c>
      <c r="E134" s="4" t="str">
        <f>IFERROR(__xludf.DUMMYFUNCTION("""COMPUTED_VALUE"""),"Face and Body Care ")</f>
        <v>Face and Body Care </v>
      </c>
      <c r="F134" s="4" t="str">
        <f>IFERROR(__xludf.DUMMYFUNCTION("""COMPUTED_VALUE""")," Unwanted Body and Facial Hair Removal")</f>
        <v> Unwanted Body and Facial Hair Removal</v>
      </c>
      <c r="G134" s="4"/>
      <c r="H134" s="4"/>
      <c r="I134" s="5" t="s">
        <v>15</v>
      </c>
      <c r="J134" s="5" t="s">
        <v>16</v>
      </c>
      <c r="K134" s="5" t="s">
        <v>78</v>
      </c>
      <c r="L134" s="6" t="s">
        <v>242</v>
      </c>
      <c r="M134" s="5" t="s">
        <v>19</v>
      </c>
      <c r="N134" s="5" t="s">
        <v>27</v>
      </c>
      <c r="O134" s="5">
        <v>106392.0</v>
      </c>
      <c r="P134" s="5">
        <v>299.0</v>
      </c>
      <c r="Q134" s="5">
        <v>39599.0</v>
      </c>
      <c r="R134" s="5">
        <v>94941.0</v>
      </c>
      <c r="S134" s="5">
        <v>3.0</v>
      </c>
      <c r="T134" s="5">
        <v>6542.612428</v>
      </c>
    </row>
    <row r="135">
      <c r="A135" s="4" t="s">
        <v>1193</v>
      </c>
      <c r="B135" s="4" t="str">
        <f>IFERROR(__xludf.DUMMYFUNCTION("SPLIT(A135:A861, ""&gt;"")"),"Online Behavior")</f>
        <v>Online Behavior</v>
      </c>
      <c r="C135" s="4" t="str">
        <f>IFERROR(__xludf.DUMMYFUNCTION("""COMPUTED_VALUE"""),"United States")</f>
        <v>United States</v>
      </c>
      <c r="D135" s="4" t="str">
        <f>IFERROR(__xludf.DUMMYFUNCTION("""COMPUTED_VALUE"""),"Intent ")</f>
        <v>Intent </v>
      </c>
      <c r="E135" s="4" t="str">
        <f>IFERROR(__xludf.DUMMYFUNCTION("""COMPUTED_VALUE""")," Auto Buyers ")</f>
        <v> Auto Buyers </v>
      </c>
      <c r="F135" s="4" t="str">
        <f>IFERROR(__xludf.DUMMYFUNCTION("""COMPUTED_VALUE""")," Car Make")</f>
        <v> Car Make</v>
      </c>
      <c r="G135" s="4" t="str">
        <f>IFERROR(__xludf.DUMMYFUNCTION("""COMPUTED_VALUE"""),"Toyota")</f>
        <v>Toyota</v>
      </c>
      <c r="H135" s="4"/>
      <c r="I135" s="5" t="s">
        <v>22</v>
      </c>
      <c r="J135" s="5" t="s">
        <v>31</v>
      </c>
      <c r="K135" s="5" t="s">
        <v>17</v>
      </c>
      <c r="L135" s="6" t="s">
        <v>242</v>
      </c>
      <c r="M135" s="5" t="s">
        <v>26</v>
      </c>
      <c r="N135" s="5" t="s">
        <v>27</v>
      </c>
      <c r="O135" s="5">
        <v>9060.0</v>
      </c>
      <c r="P135" s="5">
        <v>30.0</v>
      </c>
      <c r="Q135" s="5">
        <v>5190.0</v>
      </c>
      <c r="R135" s="5">
        <v>8621.0</v>
      </c>
      <c r="S135" s="5">
        <v>14.0</v>
      </c>
      <c r="T135" s="5">
        <v>4934.851563</v>
      </c>
    </row>
    <row r="136">
      <c r="A136" s="4" t="s">
        <v>1194</v>
      </c>
      <c r="B136" s="4" t="str">
        <f>IFERROR(__xludf.DUMMYFUNCTION("SPLIT(A136:A862, ""&gt;"")"),"Online Behavior")</f>
        <v>Online Behavior</v>
      </c>
      <c r="C136" s="4" t="str">
        <f>IFERROR(__xludf.DUMMYFUNCTION("""COMPUTED_VALUE"""),"United States")</f>
        <v>United States</v>
      </c>
      <c r="D136" s="4" t="str">
        <f>IFERROR(__xludf.DUMMYFUNCTION("""COMPUTED_VALUE"""),"Food and Drink")</f>
        <v>Food and Drink</v>
      </c>
      <c r="E136" s="4" t="str">
        <f>IFERROR(__xludf.DUMMYFUNCTION("""COMPUTED_VALUE"""),"Restaurants ")</f>
        <v>Restaurants </v>
      </c>
      <c r="F136" s="4" t="str">
        <f>IFERROR(__xludf.DUMMYFUNCTION("""COMPUTED_VALUE""")," Dining Guides")</f>
        <v> Dining Guides</v>
      </c>
      <c r="G136" s="4"/>
      <c r="H136" s="4"/>
      <c r="I136" s="5" t="s">
        <v>22</v>
      </c>
      <c r="J136" s="5" t="s">
        <v>31</v>
      </c>
      <c r="K136" s="5" t="s">
        <v>35</v>
      </c>
      <c r="L136" s="6" t="s">
        <v>242</v>
      </c>
      <c r="M136" s="5" t="s">
        <v>117</v>
      </c>
      <c r="N136" s="5" t="s">
        <v>27</v>
      </c>
      <c r="O136" s="5">
        <v>116926.0</v>
      </c>
      <c r="P136" s="5">
        <v>321.0</v>
      </c>
      <c r="Q136" s="5">
        <v>69132.0</v>
      </c>
      <c r="R136" s="5">
        <v>111957.0</v>
      </c>
      <c r="S136" s="5">
        <v>22.0</v>
      </c>
      <c r="T136" s="5">
        <v>4918.040982</v>
      </c>
    </row>
    <row r="137">
      <c r="A137" s="4" t="s">
        <v>1769</v>
      </c>
      <c r="B137" s="4" t="str">
        <f>IFERROR(__xludf.DUMMYFUNCTION("SPLIT(A137:A863, ""&gt;"")"),"Media and Entertainment ")</f>
        <v>Media and Entertainment </v>
      </c>
      <c r="C137" s="4" t="str">
        <f>IFERROR(__xludf.DUMMYFUNCTION("""COMPUTED_VALUE""")," Music")</f>
        <v> Music</v>
      </c>
      <c r="D137" s="4"/>
      <c r="E137" s="4"/>
      <c r="F137" s="4"/>
      <c r="G137" s="4"/>
      <c r="H137" s="4"/>
      <c r="I137" s="5" t="s">
        <v>15</v>
      </c>
      <c r="J137" s="5" t="s">
        <v>42</v>
      </c>
      <c r="K137" s="5" t="s">
        <v>78</v>
      </c>
      <c r="L137" s="6" t="s">
        <v>242</v>
      </c>
      <c r="M137" s="5" t="s">
        <v>50</v>
      </c>
      <c r="N137" s="5" t="s">
        <v>27</v>
      </c>
      <c r="O137" s="5">
        <v>45402.0</v>
      </c>
      <c r="P137" s="5">
        <v>122.0</v>
      </c>
      <c r="Q137" s="5">
        <v>17284.0</v>
      </c>
      <c r="R137" s="5">
        <v>27542.0</v>
      </c>
      <c r="S137" s="5">
        <v>5.0</v>
      </c>
      <c r="T137" s="5">
        <v>2163.265346</v>
      </c>
    </row>
    <row r="138">
      <c r="A138" s="4" t="s">
        <v>1196</v>
      </c>
      <c r="B138" s="4" t="str">
        <f>IFERROR(__xludf.DUMMYFUNCTION("SPLIT(A138:A864, ""&gt;"")"),"OnAudience ")</f>
        <v>OnAudience </v>
      </c>
      <c r="C138" s="4" t="str">
        <f>IFERROR(__xludf.DUMMYFUNCTION("""COMPUTED_VALUE""")," Interest ")</f>
        <v> Interest </v>
      </c>
      <c r="D138" s="4" t="str">
        <f>IFERROR(__xludf.DUMMYFUNCTION("""COMPUTED_VALUE""")," Technology")</f>
        <v> Technology</v>
      </c>
      <c r="E138" s="4"/>
      <c r="F138" s="4"/>
      <c r="G138" s="4"/>
      <c r="H138" s="4"/>
      <c r="I138" s="5" t="s">
        <v>61</v>
      </c>
      <c r="J138" s="5" t="s">
        <v>31</v>
      </c>
      <c r="K138" s="5" t="s">
        <v>35</v>
      </c>
      <c r="L138" s="6" t="s">
        <v>242</v>
      </c>
      <c r="M138" s="5" t="s">
        <v>19</v>
      </c>
      <c r="N138" s="5" t="s">
        <v>27</v>
      </c>
      <c r="O138" s="5">
        <v>84306.0</v>
      </c>
      <c r="P138" s="5">
        <v>185.0</v>
      </c>
      <c r="Q138" s="5">
        <v>45376.0</v>
      </c>
      <c r="R138" s="5">
        <v>79935.0</v>
      </c>
      <c r="S138" s="5">
        <v>3.0</v>
      </c>
      <c r="T138" s="5">
        <v>1809.590961</v>
      </c>
    </row>
    <row r="139">
      <c r="A139" s="4" t="s">
        <v>1770</v>
      </c>
      <c r="B139" s="4" t="str">
        <f>IFERROR(__xludf.DUMMYFUNCTION("SPLIT(A139:A865, ""&gt;"")"),"US ")</f>
        <v>US </v>
      </c>
      <c r="C139" s="4" t="str">
        <f>IFERROR(__xludf.DUMMYFUNCTION("""COMPUTED_VALUE""")," Interest Propensities ")</f>
        <v> Interest Propensities </v>
      </c>
      <c r="D139" s="4" t="str">
        <f>IFERROR(__xludf.DUMMYFUNCTION("""COMPUTED_VALUE""")," Social ")</f>
        <v> Social </v>
      </c>
      <c r="E139" s="4" t="str">
        <f>IFERROR(__xludf.DUMMYFUNCTION("""COMPUTED_VALUE""")," Premium User Generated Content")</f>
        <v> Premium User Generated Content</v>
      </c>
      <c r="F139" s="4"/>
      <c r="G139" s="4"/>
      <c r="H139" s="4"/>
      <c r="I139" s="5" t="s">
        <v>15</v>
      </c>
      <c r="J139" s="5" t="s">
        <v>16</v>
      </c>
      <c r="K139" s="5" t="s">
        <v>17</v>
      </c>
      <c r="L139" s="6" t="s">
        <v>242</v>
      </c>
      <c r="M139" s="5" t="s">
        <v>19</v>
      </c>
      <c r="N139" s="5" t="s">
        <v>27</v>
      </c>
      <c r="O139" s="5">
        <v>88499.0</v>
      </c>
      <c r="P139" s="5">
        <v>186.0</v>
      </c>
      <c r="Q139" s="5">
        <v>18950.0</v>
      </c>
      <c r="R139" s="5">
        <v>71458.0</v>
      </c>
      <c r="S139" s="5">
        <v>5.0</v>
      </c>
      <c r="T139" s="5">
        <v>1803.139812</v>
      </c>
    </row>
    <row r="140">
      <c r="A140" s="4" t="s">
        <v>1771</v>
      </c>
      <c r="B140" s="4" t="str">
        <f>IFERROR(__xludf.DUMMYFUNCTION("SPLIT(A140:A866, ""&gt;"")"),"OnAudience ")</f>
        <v>OnAudience </v>
      </c>
      <c r="C140" s="4" t="str">
        <f>IFERROR(__xludf.DUMMYFUNCTION("""COMPUTED_VALUE""")," Interest ")</f>
        <v> Interest </v>
      </c>
      <c r="D140" s="4" t="str">
        <f>IFERROR(__xludf.DUMMYFUNCTION("""COMPUTED_VALUE""")," Business ")</f>
        <v> Business </v>
      </c>
      <c r="E140" s="4" t="str">
        <f>IFERROR(__xludf.DUMMYFUNCTION("""COMPUTED_VALUE""")," Economy")</f>
        <v> Economy</v>
      </c>
      <c r="F140" s="4"/>
      <c r="G140" s="4"/>
      <c r="H140" s="4"/>
      <c r="I140" s="5" t="s">
        <v>15</v>
      </c>
      <c r="J140" s="5" t="s">
        <v>16</v>
      </c>
      <c r="K140" s="5" t="s">
        <v>150</v>
      </c>
      <c r="L140" s="6" t="s">
        <v>242</v>
      </c>
      <c r="M140" s="5" t="s">
        <v>19</v>
      </c>
      <c r="N140" s="5" t="s">
        <v>27</v>
      </c>
      <c r="O140" s="5">
        <v>77748.0</v>
      </c>
      <c r="P140" s="5">
        <v>227.0</v>
      </c>
      <c r="Q140" s="5">
        <v>6170.0</v>
      </c>
      <c r="R140" s="5">
        <v>53603.0</v>
      </c>
      <c r="S140" s="5">
        <v>3.0</v>
      </c>
      <c r="T140" s="5">
        <v>1498.3009</v>
      </c>
    </row>
    <row r="141">
      <c r="A141" s="4" t="s">
        <v>1772</v>
      </c>
      <c r="B141" s="4" t="str">
        <f>IFERROR(__xludf.DUMMYFUNCTION("SPLIT(A141:A867, ""&gt;"")"),"US ")</f>
        <v>US </v>
      </c>
      <c r="C141" s="4" t="str">
        <f>IFERROR(__xludf.DUMMYFUNCTION("""COMPUTED_VALUE""")," Reach ")</f>
        <v> Reach </v>
      </c>
      <c r="D141" s="4" t="str">
        <f>IFERROR(__xludf.DUMMYFUNCTION("""COMPUTED_VALUE""")," Propensity Models ")</f>
        <v> Propensity Models </v>
      </c>
      <c r="E141" s="4" t="str">
        <f>IFERROR(__xludf.DUMMYFUNCTION("""COMPUTED_VALUE""")," Lifestyle ")</f>
        <v> Lifestyle </v>
      </c>
      <c r="F141" s="4" t="str">
        <f>IFERROR(__xludf.DUMMYFUNCTION("""COMPUTED_VALUE""")," Charities ")</f>
        <v> Charities </v>
      </c>
      <c r="G141" s="4" t="str">
        <f>IFERROR(__xludf.DUMMYFUNCTION("""COMPUTED_VALUE""")," Contributes to Charities")</f>
        <v> Contributes to Charities</v>
      </c>
      <c r="H141" s="4"/>
      <c r="I141" s="5" t="s">
        <v>22</v>
      </c>
      <c r="J141" s="5" t="s">
        <v>42</v>
      </c>
      <c r="K141" s="5" t="s">
        <v>35</v>
      </c>
      <c r="L141" s="6" t="s">
        <v>251</v>
      </c>
      <c r="M141" s="5" t="s">
        <v>19</v>
      </c>
      <c r="N141" s="5" t="s">
        <v>27</v>
      </c>
      <c r="O141" s="5">
        <v>10191.0</v>
      </c>
      <c r="P141" s="5">
        <v>75.0</v>
      </c>
      <c r="Q141" s="5">
        <v>1243.0</v>
      </c>
      <c r="R141" s="5">
        <v>8897.0</v>
      </c>
      <c r="S141" s="5">
        <v>3.0</v>
      </c>
      <c r="T141" s="5">
        <v>2365.914372</v>
      </c>
    </row>
    <row r="142">
      <c r="A142" s="4" t="s">
        <v>1773</v>
      </c>
      <c r="B142" s="4" t="str">
        <f>IFERROR(__xludf.DUMMYFUNCTION("SPLIT(A142:A868, ""&gt;"")"),"US ")</f>
        <v>US </v>
      </c>
      <c r="C142" s="4" t="str">
        <f>IFERROR(__xludf.DUMMYFUNCTION("""COMPUTED_VALUE""")," Reach ")</f>
        <v> Reach </v>
      </c>
      <c r="D142" s="4" t="str">
        <f>IFERROR(__xludf.DUMMYFUNCTION("""COMPUTED_VALUE""")," Propensity Models ")</f>
        <v> Propensity Models </v>
      </c>
      <c r="E142" s="4" t="str">
        <f>IFERROR(__xludf.DUMMYFUNCTION("""COMPUTED_VALUE""")," Household Consumer Expenditures ")</f>
        <v> Household Consumer Expenditures </v>
      </c>
      <c r="F142" s="4" t="str">
        <f>IFERROR(__xludf.DUMMYFUNCTION("""COMPUTED_VALUE""")," Kitchen")</f>
        <v> Kitchen</v>
      </c>
      <c r="G142" s="4"/>
      <c r="H142" s="4"/>
      <c r="I142" s="5" t="s">
        <v>22</v>
      </c>
      <c r="J142" s="5" t="s">
        <v>31</v>
      </c>
      <c r="K142" s="5" t="s">
        <v>29</v>
      </c>
      <c r="L142" s="6" t="s">
        <v>253</v>
      </c>
      <c r="M142" s="5" t="s">
        <v>19</v>
      </c>
      <c r="N142" s="5" t="s">
        <v>27</v>
      </c>
      <c r="O142" s="5">
        <v>10093.0</v>
      </c>
      <c r="P142" s="5">
        <v>65.0</v>
      </c>
      <c r="Q142" s="5">
        <v>3901.0</v>
      </c>
      <c r="R142" s="5">
        <v>9645.0</v>
      </c>
      <c r="S142" s="5">
        <v>2.0</v>
      </c>
      <c r="T142" s="5">
        <v>3105.283004</v>
      </c>
    </row>
    <row r="143">
      <c r="A143" s="4" t="s">
        <v>1201</v>
      </c>
      <c r="B143" s="4" t="str">
        <f>IFERROR(__xludf.DUMMYFUNCTION("SPLIT(A143:A869, ""&gt;"")"),"Online Behavior")</f>
        <v>Online Behavior</v>
      </c>
      <c r="C143" s="4" t="str">
        <f>IFERROR(__xludf.DUMMYFUNCTION("""COMPUTED_VALUE"""),"United States")</f>
        <v>United States</v>
      </c>
      <c r="D143" s="4" t="str">
        <f>IFERROR(__xludf.DUMMYFUNCTION("""COMPUTED_VALUE"""),"Finance ")</f>
        <v>Finance </v>
      </c>
      <c r="E143" s="4" t="str">
        <f>IFERROR(__xludf.DUMMYFUNCTION("""COMPUTED_VALUE""")," Financial Planning and Management")</f>
        <v> Financial Planning and Management</v>
      </c>
      <c r="F143" s="4" t="str">
        <f>IFERROR(__xludf.DUMMYFUNCTION("""COMPUTED_VALUE"""),"Asset and Portfolio Management")</f>
        <v>Asset and Portfolio Management</v>
      </c>
      <c r="G143" s="4"/>
      <c r="H143" s="4"/>
      <c r="I143" s="5" t="s">
        <v>15</v>
      </c>
      <c r="J143" s="5" t="s">
        <v>16</v>
      </c>
      <c r="K143" s="5" t="s">
        <v>35</v>
      </c>
      <c r="L143" s="6" t="s">
        <v>255</v>
      </c>
      <c r="M143" s="5" t="s">
        <v>19</v>
      </c>
      <c r="N143" s="5" t="s">
        <v>27</v>
      </c>
      <c r="O143" s="5">
        <v>9328.0</v>
      </c>
      <c r="P143" s="5">
        <v>56.0</v>
      </c>
      <c r="Q143" s="5">
        <v>7102.0</v>
      </c>
      <c r="R143" s="5">
        <v>8925.0</v>
      </c>
      <c r="S143" s="5">
        <v>5.0</v>
      </c>
      <c r="T143" s="5">
        <v>3408.076049</v>
      </c>
    </row>
    <row r="144">
      <c r="A144" s="4" t="s">
        <v>1202</v>
      </c>
      <c r="B144" s="4" t="str">
        <f>IFERROR(__xludf.DUMMYFUNCTION("SPLIT(A144:A870, ""&gt;"")"),"Online Behavior")</f>
        <v>Online Behavior</v>
      </c>
      <c r="C144" s="4" t="str">
        <f>IFERROR(__xludf.DUMMYFUNCTION("""COMPUTED_VALUE"""),"United States")</f>
        <v>United States</v>
      </c>
      <c r="D144" s="4" t="str">
        <f>IFERROR(__xludf.DUMMYFUNCTION("""COMPUTED_VALUE"""),"B2B ")</f>
        <v>B2B </v>
      </c>
      <c r="E144" s="4" t="str">
        <f>IFERROR(__xludf.DUMMYFUNCTION("""COMPUTED_VALUE""")," Occupation")</f>
        <v> Occupation</v>
      </c>
      <c r="F144" s="4" t="str">
        <f>IFERROR(__xludf.DUMMYFUNCTION("""COMPUTED_VALUE"""),"OfficeManager")</f>
        <v>OfficeManager</v>
      </c>
      <c r="G144" s="4"/>
      <c r="H144" s="4"/>
      <c r="I144" s="5" t="s">
        <v>15</v>
      </c>
      <c r="J144" s="5" t="s">
        <v>16</v>
      </c>
      <c r="K144" s="5" t="s">
        <v>55</v>
      </c>
      <c r="L144" s="6" t="s">
        <v>257</v>
      </c>
      <c r="M144" s="5" t="s">
        <v>46</v>
      </c>
      <c r="N144" s="5" t="s">
        <v>52</v>
      </c>
      <c r="O144" s="5">
        <v>24464.0</v>
      </c>
      <c r="P144" s="5">
        <v>0.0</v>
      </c>
      <c r="Q144" s="5">
        <v>3275.0</v>
      </c>
      <c r="R144" s="5">
        <v>21993.0</v>
      </c>
      <c r="S144" s="5">
        <v>6.0</v>
      </c>
      <c r="T144" s="5">
        <v>2959.114973</v>
      </c>
    </row>
    <row r="145">
      <c r="A145" s="4" t="s">
        <v>1774</v>
      </c>
      <c r="B145" s="4" t="str">
        <f>IFERROR(__xludf.DUMMYFUNCTION("SPLIT(A145:A871, ""&gt;"")"),"Online Behavior")</f>
        <v>Online Behavior</v>
      </c>
      <c r="C145" s="4" t="str">
        <f>IFERROR(__xludf.DUMMYFUNCTION("""COMPUTED_VALUE"""),"United States")</f>
        <v>United States</v>
      </c>
      <c r="D145" s="4" t="str">
        <f>IFERROR(__xludf.DUMMYFUNCTION("""COMPUTED_VALUE"""),"Intent ")</f>
        <v>Intent </v>
      </c>
      <c r="E145" s="4" t="str">
        <f>IFERROR(__xludf.DUMMYFUNCTION("""COMPUTED_VALUE""")," Shopping")</f>
        <v> Shopping</v>
      </c>
      <c r="F145" s="4" t="str">
        <f>IFERROR(__xludf.DUMMYFUNCTION("""COMPUTED_VALUE"""),"CPG� Grocery")</f>
        <v>CPG� Grocery</v>
      </c>
      <c r="G145" s="4"/>
      <c r="H145" s="4"/>
      <c r="I145" s="5" t="s">
        <v>15</v>
      </c>
      <c r="J145" s="5" t="s">
        <v>16</v>
      </c>
      <c r="K145" s="5" t="s">
        <v>78</v>
      </c>
      <c r="L145" s="6" t="s">
        <v>259</v>
      </c>
      <c r="M145" s="5" t="s">
        <v>19</v>
      </c>
      <c r="N145" s="5" t="s">
        <v>27</v>
      </c>
      <c r="O145" s="5">
        <v>8111.0</v>
      </c>
      <c r="P145" s="5">
        <v>0.0</v>
      </c>
      <c r="Q145" s="5">
        <v>4346.0</v>
      </c>
      <c r="R145" s="5">
        <v>6163.0</v>
      </c>
      <c r="S145" s="5">
        <v>1.0</v>
      </c>
      <c r="T145" s="5">
        <v>5000.761206</v>
      </c>
    </row>
    <row r="146">
      <c r="A146" s="4" t="s">
        <v>1204</v>
      </c>
      <c r="B146" s="4" t="str">
        <f>IFERROR(__xludf.DUMMYFUNCTION("SPLIT(A146:A872, ""&gt;"")"),"Online Behavior")</f>
        <v>Online Behavior</v>
      </c>
      <c r="C146" s="4" t="str">
        <f>IFERROR(__xludf.DUMMYFUNCTION("""COMPUTED_VALUE"""),"United States")</f>
        <v>United States</v>
      </c>
      <c r="D146" s="4" t="str">
        <f>IFERROR(__xludf.DUMMYFUNCTION("""COMPUTED_VALUE"""),"Intent ")</f>
        <v>Intent </v>
      </c>
      <c r="E146" s="4" t="str">
        <f>IFERROR(__xludf.DUMMYFUNCTION("""COMPUTED_VALUE""")," Auto Buyers ")</f>
        <v> Auto Buyers </v>
      </c>
      <c r="F146" s="4" t="str">
        <f>IFERROR(__xludf.DUMMYFUNCTION("""COMPUTED_VALUE""")," Car Make")</f>
        <v> Car Make</v>
      </c>
      <c r="G146" s="4" t="str">
        <f>IFERROR(__xludf.DUMMYFUNCTION("""COMPUTED_VALUE"""),"Hyundai")</f>
        <v>Hyundai</v>
      </c>
      <c r="H146" s="4"/>
      <c r="I146" s="5" t="s">
        <v>22</v>
      </c>
      <c r="J146" s="5" t="s">
        <v>42</v>
      </c>
      <c r="K146" s="5" t="s">
        <v>78</v>
      </c>
      <c r="L146" s="6" t="s">
        <v>261</v>
      </c>
      <c r="M146" s="5" t="s">
        <v>48</v>
      </c>
      <c r="N146" s="5" t="s">
        <v>27</v>
      </c>
      <c r="O146" s="5">
        <v>25532.0</v>
      </c>
      <c r="P146" s="5">
        <v>140.0</v>
      </c>
      <c r="Q146" s="5">
        <v>15219.0</v>
      </c>
      <c r="R146" s="5">
        <v>21497.0</v>
      </c>
      <c r="S146" s="5">
        <v>9.0</v>
      </c>
      <c r="T146" s="5">
        <v>6047.174109</v>
      </c>
    </row>
    <row r="147">
      <c r="A147" s="4" t="s">
        <v>1205</v>
      </c>
      <c r="B147" s="4" t="str">
        <f>IFERROR(__xludf.DUMMYFUNCTION("SPLIT(A147:A873, ""&gt;"")"),"Online Behavior")</f>
        <v>Online Behavior</v>
      </c>
      <c r="C147" s="4" t="str">
        <f>IFERROR(__xludf.DUMMYFUNCTION("""COMPUTED_VALUE"""),"United States")</f>
        <v>United States</v>
      </c>
      <c r="D147" s="4" t="str">
        <f>IFERROR(__xludf.DUMMYFUNCTION("""COMPUTED_VALUE"""),"Validated Demographic ")</f>
        <v>Validated Demographic </v>
      </c>
      <c r="E147" s="4" t="str">
        <f>IFERROR(__xludf.DUMMYFUNCTION("""COMPUTED_VALUE""")," Gender and Age Combined")</f>
        <v> Gender and Age Combined</v>
      </c>
      <c r="F147" s="4" t="str">
        <f>IFERROR(__xludf.DUMMYFUNCTION("""COMPUTED_VALUE"""),"Females 18-54")</f>
        <v>Females 18-54</v>
      </c>
      <c r="G147" s="4"/>
      <c r="H147" s="4"/>
      <c r="I147" s="5" t="s">
        <v>22</v>
      </c>
      <c r="J147" s="5" t="s">
        <v>31</v>
      </c>
      <c r="K147" s="5" t="s">
        <v>35</v>
      </c>
      <c r="L147" s="6" t="s">
        <v>261</v>
      </c>
      <c r="M147" s="5" t="s">
        <v>26</v>
      </c>
      <c r="N147" s="5" t="s">
        <v>27</v>
      </c>
      <c r="O147" s="5">
        <v>28553.0</v>
      </c>
      <c r="P147" s="5">
        <v>90.0</v>
      </c>
      <c r="Q147" s="5">
        <v>11390.0</v>
      </c>
      <c r="R147" s="5">
        <v>23355.0</v>
      </c>
      <c r="S147" s="5">
        <v>13.0</v>
      </c>
      <c r="T147" s="5">
        <v>5573.112396</v>
      </c>
    </row>
    <row r="148">
      <c r="A148" s="4" t="s">
        <v>1206</v>
      </c>
      <c r="B148" s="4" t="str">
        <f>IFERROR(__xludf.DUMMYFUNCTION("SPLIT(A148:A874, ""&gt;"")"),"Telecommunications (Telco) ")</f>
        <v>Telecommunications (Telco) </v>
      </c>
      <c r="C148" s="4" t="str">
        <f>IFERROR(__xludf.DUMMYFUNCTION("""COMPUTED_VALUE""")," Subscribers")</f>
        <v> Subscribers</v>
      </c>
      <c r="D148" s="4"/>
      <c r="E148" s="4"/>
      <c r="F148" s="4"/>
      <c r="G148" s="4"/>
      <c r="H148" s="4"/>
      <c r="I148" s="5" t="s">
        <v>22</v>
      </c>
      <c r="J148" s="5" t="s">
        <v>23</v>
      </c>
      <c r="K148" s="5" t="s">
        <v>142</v>
      </c>
      <c r="L148" s="6" t="s">
        <v>264</v>
      </c>
      <c r="M148" s="5" t="s">
        <v>19</v>
      </c>
      <c r="N148" s="5" t="s">
        <v>27</v>
      </c>
      <c r="O148" s="5">
        <v>29393.0</v>
      </c>
      <c r="P148" s="5">
        <v>70.0</v>
      </c>
      <c r="Q148" s="5">
        <v>3277.0</v>
      </c>
      <c r="R148" s="5">
        <v>25959.0</v>
      </c>
      <c r="S148" s="5">
        <v>19.0</v>
      </c>
      <c r="T148" s="5">
        <v>2120.757698</v>
      </c>
    </row>
    <row r="149">
      <c r="A149" s="4" t="s">
        <v>1207</v>
      </c>
      <c r="B149" s="4" t="str">
        <f>IFERROR(__xludf.DUMMYFUNCTION("SPLIT(A149:A875, ""&gt;"")"),"Online Behavior")</f>
        <v>Online Behavior</v>
      </c>
      <c r="C149" s="4" t="str">
        <f>IFERROR(__xludf.DUMMYFUNCTION("""COMPUTED_VALUE"""),"United States")</f>
        <v>United States</v>
      </c>
      <c r="D149" s="4" t="str">
        <f>IFERROR(__xludf.DUMMYFUNCTION("""COMPUTED_VALUE"""),"Finance ")</f>
        <v>Finance </v>
      </c>
      <c r="E149" s="4" t="str">
        <f>IFERROR(__xludf.DUMMYFUNCTION("""COMPUTED_VALUE""")," Banking")</f>
        <v> Banking</v>
      </c>
      <c r="F149" s="4" t="str">
        <f>IFERROR(__xludf.DUMMYFUNCTION("""COMPUTED_VALUE"""),"ATMs and Branch Locations")</f>
        <v>ATMs and Branch Locations</v>
      </c>
      <c r="G149" s="4"/>
      <c r="H149" s="4"/>
      <c r="I149" s="5" t="s">
        <v>22</v>
      </c>
      <c r="J149" s="5" t="s">
        <v>16</v>
      </c>
      <c r="K149" s="5" t="s">
        <v>17</v>
      </c>
      <c r="L149" s="6" t="s">
        <v>266</v>
      </c>
      <c r="M149" s="5" t="s">
        <v>33</v>
      </c>
      <c r="N149" s="5" t="s">
        <v>27</v>
      </c>
      <c r="O149" s="5">
        <v>39212.0</v>
      </c>
      <c r="P149" s="5">
        <v>260.0</v>
      </c>
      <c r="Q149" s="5">
        <v>31317.0</v>
      </c>
      <c r="R149" s="5">
        <v>37660.0</v>
      </c>
      <c r="S149" s="5">
        <v>1.0</v>
      </c>
      <c r="T149" s="5">
        <v>3621.417703</v>
      </c>
    </row>
    <row r="150">
      <c r="A150" s="4" t="s">
        <v>1208</v>
      </c>
      <c r="B150" s="4" t="str">
        <f>IFERROR(__xludf.DUMMYFUNCTION("SPLIT(A150:A876, ""&gt;"")"),"Online Behavior")</f>
        <v>Online Behavior</v>
      </c>
      <c r="C150" s="4" t="str">
        <f>IFERROR(__xludf.DUMMYFUNCTION("""COMPUTED_VALUE"""),"United States")</f>
        <v>United States</v>
      </c>
      <c r="D150" s="4" t="str">
        <f>IFERROR(__xludf.DUMMYFUNCTION("""COMPUTED_VALUE"""),"Intent ")</f>
        <v>Intent </v>
      </c>
      <c r="E150" s="4" t="str">
        <f>IFERROR(__xludf.DUMMYFUNCTION("""COMPUTED_VALUE""")," Travel")</f>
        <v> Travel</v>
      </c>
      <c r="F150" s="4" t="str">
        <f>IFERROR(__xludf.DUMMYFUNCTION("""COMPUTED_VALUE"""),"Accommodation ")</f>
        <v>Accommodation </v>
      </c>
      <c r="G150" s="4" t="str">
        <f>IFERROR(__xludf.DUMMYFUNCTION("""COMPUTED_VALUE""")," Hotels")</f>
        <v> Hotels</v>
      </c>
      <c r="H150" s="4"/>
      <c r="I150" s="5" t="s">
        <v>61</v>
      </c>
      <c r="J150" s="5" t="s">
        <v>42</v>
      </c>
      <c r="K150" s="5" t="s">
        <v>39</v>
      </c>
      <c r="L150" s="6" t="s">
        <v>268</v>
      </c>
      <c r="M150" s="5" t="s">
        <v>19</v>
      </c>
      <c r="N150" s="5" t="s">
        <v>27</v>
      </c>
      <c r="O150" s="5">
        <v>14137.0</v>
      </c>
      <c r="P150" s="5">
        <v>44.0</v>
      </c>
      <c r="Q150" s="5">
        <v>9300.0</v>
      </c>
      <c r="R150" s="5">
        <v>13110.0</v>
      </c>
      <c r="S150" s="5">
        <v>8.0</v>
      </c>
      <c r="T150" s="5">
        <v>6345.460338</v>
      </c>
    </row>
    <row r="151">
      <c r="A151" s="4" t="s">
        <v>269</v>
      </c>
      <c r="B151" s="4" t="str">
        <f>IFERROR(__xludf.DUMMYFUNCTION("SPLIT(A151:A877, ""&gt;"")"),"Online Behavior")</f>
        <v>Online Behavior</v>
      </c>
      <c r="C151" s="4" t="str">
        <f>IFERROR(__xludf.DUMMYFUNCTION("""COMPUTED_VALUE"""),"United States")</f>
        <v>United States</v>
      </c>
      <c r="D151" s="4" t="str">
        <f>IFERROR(__xludf.DUMMYFUNCTION("""COMPUTED_VALUE"""),"Home and Garden")</f>
        <v>Home and Garden</v>
      </c>
      <c r="E151" s="4" t="str">
        <f>IFERROR(__xludf.DUMMYFUNCTION("""COMPUTED_VALUE"""),"Homemaking and Interior Decor")</f>
        <v>Homemaking and Interior Decor</v>
      </c>
      <c r="F151" s="4"/>
      <c r="G151" s="4"/>
      <c r="H151" s="4"/>
      <c r="I151" s="5" t="s">
        <v>15</v>
      </c>
      <c r="J151" s="5" t="s">
        <v>42</v>
      </c>
      <c r="K151" s="5" t="s">
        <v>17</v>
      </c>
      <c r="L151" s="6" t="s">
        <v>268</v>
      </c>
      <c r="M151" s="5" t="s">
        <v>19</v>
      </c>
      <c r="N151" s="5" t="s">
        <v>27</v>
      </c>
      <c r="O151" s="5">
        <v>7921.0</v>
      </c>
      <c r="P151" s="5">
        <v>50.0</v>
      </c>
      <c r="Q151" s="5">
        <v>4727.0</v>
      </c>
      <c r="R151" s="5">
        <v>6513.0</v>
      </c>
      <c r="S151" s="5">
        <v>11.0</v>
      </c>
      <c r="T151" s="5">
        <v>5379.00144</v>
      </c>
    </row>
    <row r="152">
      <c r="A152" s="4" t="s">
        <v>1775</v>
      </c>
      <c r="B152" s="4" t="str">
        <f>IFERROR(__xludf.DUMMYFUNCTION("SPLIT(A152:A878, ""&gt;"")"),"US ")</f>
        <v>US </v>
      </c>
      <c r="C152" s="4" t="str">
        <f>IFERROR(__xludf.DUMMYFUNCTION("""COMPUTED_VALUE""")," Sociodemographic ")</f>
        <v> Sociodemographic </v>
      </c>
      <c r="D152" s="4" t="str">
        <f>IFERROR(__xludf.DUMMYFUNCTION("""COMPUTED_VALUE""")," P$YCLE Premier Lifestage ")</f>
        <v> P$YCLE Premier Lifestage </v>
      </c>
      <c r="E152" s="4" t="str">
        <f>IFERROR(__xludf.DUMMYFUNCTION("""COMPUTED_VALUE""")," M2 Wealthy Achievers")</f>
        <v> M2 Wealthy Achievers</v>
      </c>
      <c r="F152" s="4"/>
      <c r="G152" s="4"/>
      <c r="H152" s="4"/>
      <c r="I152" s="5" t="s">
        <v>22</v>
      </c>
      <c r="J152" s="5" t="s">
        <v>42</v>
      </c>
      <c r="K152" s="5" t="s">
        <v>29</v>
      </c>
      <c r="L152" s="6" t="s">
        <v>271</v>
      </c>
      <c r="M152" s="5" t="s">
        <v>19</v>
      </c>
      <c r="N152" s="5" t="s">
        <v>27</v>
      </c>
      <c r="O152" s="5">
        <v>11025.0</v>
      </c>
      <c r="P152" s="5">
        <v>50.0</v>
      </c>
      <c r="Q152" s="5">
        <v>7974.0</v>
      </c>
      <c r="R152" s="5">
        <v>10311.0</v>
      </c>
      <c r="S152" s="5">
        <v>4.0</v>
      </c>
      <c r="T152" s="5">
        <v>1657.159766</v>
      </c>
    </row>
    <row r="153">
      <c r="A153" s="4" t="s">
        <v>1776</v>
      </c>
      <c r="B153" s="4" t="str">
        <f>IFERROR(__xludf.DUMMYFUNCTION("SPLIT(A153:A879, ""&gt;"")"),"US ")</f>
        <v>US </v>
      </c>
      <c r="C153" s="4" t="str">
        <f>IFERROR(__xludf.DUMMYFUNCTION("""COMPUTED_VALUE""")," Brand Propensities ")</f>
        <v> Brand Propensities </v>
      </c>
      <c r="D153" s="4" t="str">
        <f>IFERROR(__xludf.DUMMYFUNCTION("""COMPUTED_VALUE""")," Health ")</f>
        <v> Health </v>
      </c>
      <c r="E153" s="4" t="str">
        <f>IFERROR(__xludf.DUMMYFUNCTION("""COMPUTED_VALUE""")," Beauty and Cosmetics ")</f>
        <v> Beauty and Cosmetics </v>
      </c>
      <c r="F153" s="4" t="str">
        <f>IFERROR(__xludf.DUMMYFUNCTION("""COMPUTED_VALUE""")," Bare Escentuals Buyer Propensity")</f>
        <v> Bare Escentuals Buyer Propensity</v>
      </c>
      <c r="G153" s="4"/>
      <c r="H153" s="4"/>
      <c r="I153" s="5" t="s">
        <v>15</v>
      </c>
      <c r="J153" s="5" t="s">
        <v>42</v>
      </c>
      <c r="K153" s="5" t="s">
        <v>273</v>
      </c>
      <c r="L153" s="6" t="s">
        <v>271</v>
      </c>
      <c r="M153" s="5" t="s">
        <v>26</v>
      </c>
      <c r="N153" s="5" t="s">
        <v>27</v>
      </c>
      <c r="O153" s="5">
        <v>14922.0</v>
      </c>
      <c r="P153" s="5">
        <v>99.0</v>
      </c>
      <c r="Q153" s="5">
        <v>10713.0</v>
      </c>
      <c r="R153" s="5">
        <v>13992.0</v>
      </c>
      <c r="S153" s="5">
        <v>5.0</v>
      </c>
      <c r="T153" s="5">
        <v>1578.876432</v>
      </c>
    </row>
    <row r="154">
      <c r="A154" s="4" t="s">
        <v>1777</v>
      </c>
      <c r="B154" s="4" t="str">
        <f>IFERROR(__xludf.DUMMYFUNCTION("SPLIT(A154:A880, ""&gt;"")"),"Mobile - US ")</f>
        <v>Mobile - US </v>
      </c>
      <c r="C154" s="4" t="str">
        <f>IFERROR(__xludf.DUMMYFUNCTION("""COMPUTED_VALUE""")," Device Ownership ")</f>
        <v> Device Ownership </v>
      </c>
      <c r="D154" s="4" t="str">
        <f>IFERROR(__xludf.DUMMYFUNCTION("""COMPUTED_VALUE""")," Smartphones ")</f>
        <v> Smartphones </v>
      </c>
      <c r="E154" s="4" t="str">
        <f>IFERROR(__xludf.DUMMYFUNCTION("""COMPUTED_VALUE""")," Huawei")</f>
        <v> Huawei</v>
      </c>
      <c r="F154" s="4"/>
      <c r="G154" s="4"/>
      <c r="H154" s="4"/>
      <c r="I154" s="5" t="s">
        <v>15</v>
      </c>
      <c r="J154" s="5" t="s">
        <v>31</v>
      </c>
      <c r="K154" s="5" t="s">
        <v>66</v>
      </c>
      <c r="L154" s="6" t="s">
        <v>271</v>
      </c>
      <c r="M154" s="5" t="s">
        <v>19</v>
      </c>
      <c r="N154" s="5" t="s">
        <v>27</v>
      </c>
      <c r="O154" s="5">
        <v>7427.0</v>
      </c>
      <c r="P154" s="5">
        <v>0.0</v>
      </c>
      <c r="Q154" s="5">
        <v>4752.0</v>
      </c>
      <c r="R154" s="5">
        <v>6566.0</v>
      </c>
      <c r="S154" s="5">
        <v>1.0</v>
      </c>
      <c r="T154" s="5">
        <v>1504.784161</v>
      </c>
    </row>
    <row r="155">
      <c r="A155" s="4" t="s">
        <v>275</v>
      </c>
      <c r="B155" s="4" t="str">
        <f>IFERROR(__xludf.DUMMYFUNCTION("SPLIT(A155:A881, ""&gt;"")"),"Online Behavior")</f>
        <v>Online Behavior</v>
      </c>
      <c r="C155" s="4" t="str">
        <f>IFERROR(__xludf.DUMMYFUNCTION("""COMPUTED_VALUE"""),"United States")</f>
        <v>United States</v>
      </c>
      <c r="D155" s="4" t="str">
        <f>IFERROR(__xludf.DUMMYFUNCTION("""COMPUTED_VALUE"""),"Internet and Telecom")</f>
        <v>Internet and Telecom</v>
      </c>
      <c r="E155" s="4" t="str">
        <f>IFERROR(__xludf.DUMMYFUNCTION("""COMPUTED_VALUE"""),"Email and Messaging")</f>
        <v>Email and Messaging</v>
      </c>
      <c r="F155" s="4"/>
      <c r="G155" s="4"/>
      <c r="H155" s="4"/>
      <c r="I155" s="5" t="s">
        <v>22</v>
      </c>
      <c r="J155" s="5" t="s">
        <v>16</v>
      </c>
      <c r="K155" s="5" t="s">
        <v>55</v>
      </c>
      <c r="L155" s="6" t="s">
        <v>276</v>
      </c>
      <c r="M155" s="5" t="s">
        <v>48</v>
      </c>
      <c r="N155" s="5" t="s">
        <v>27</v>
      </c>
      <c r="O155" s="5">
        <v>14553.0</v>
      </c>
      <c r="P155" s="5">
        <v>47.0</v>
      </c>
      <c r="Q155" s="5">
        <v>6119.0</v>
      </c>
      <c r="R155" s="5">
        <v>12505.0</v>
      </c>
      <c r="S155" s="5">
        <v>11.0</v>
      </c>
      <c r="T155" s="5">
        <v>6968.00047</v>
      </c>
    </row>
    <row r="156">
      <c r="A156" s="4" t="s">
        <v>277</v>
      </c>
      <c r="B156" s="4" t="str">
        <f>IFERROR(__xludf.DUMMYFUNCTION("SPLIT(A156:A882, ""&gt;"")"),"Online Behavior")</f>
        <v>Online Behavior</v>
      </c>
      <c r="C156" s="4" t="str">
        <f>IFERROR(__xludf.DUMMYFUNCTION("""COMPUTED_VALUE"""),"United States")</f>
        <v>United States</v>
      </c>
      <c r="D156" s="4" t="str">
        <f>IFERROR(__xludf.DUMMYFUNCTION("""COMPUTED_VALUE"""),"Travel")</f>
        <v>Travel</v>
      </c>
      <c r="E156" s="4" t="str">
        <f>IFERROR(__xludf.DUMMYFUNCTION("""COMPUTED_VALUE"""),"Car Rental and Taxi Services")</f>
        <v>Car Rental and Taxi Services</v>
      </c>
      <c r="F156" s="4"/>
      <c r="G156" s="4"/>
      <c r="H156" s="4"/>
      <c r="I156" s="5" t="s">
        <v>61</v>
      </c>
      <c r="J156" s="5" t="s">
        <v>16</v>
      </c>
      <c r="K156" s="5" t="s">
        <v>17</v>
      </c>
      <c r="L156" s="6" t="s">
        <v>278</v>
      </c>
      <c r="M156" s="5" t="s">
        <v>26</v>
      </c>
      <c r="N156" s="5" t="s">
        <v>27</v>
      </c>
      <c r="O156" s="5">
        <v>10350.0</v>
      </c>
      <c r="P156" s="5">
        <v>66.0</v>
      </c>
      <c r="Q156" s="5">
        <v>723.0</v>
      </c>
      <c r="R156" s="5">
        <v>8720.0</v>
      </c>
      <c r="S156" s="5">
        <v>14.0</v>
      </c>
      <c r="T156" s="5">
        <v>6774.202636</v>
      </c>
    </row>
    <row r="157">
      <c r="A157" s="4" t="s">
        <v>1778</v>
      </c>
      <c r="B157" s="4" t="str">
        <f>IFERROR(__xludf.DUMMYFUNCTION("SPLIT(A157:A883, ""&gt;"")"),"Mobile - US ")</f>
        <v>Mobile - US </v>
      </c>
      <c r="C157" s="4" t="str">
        <f>IFERROR(__xludf.DUMMYFUNCTION("""COMPUTED_VALUE""")," Food ")</f>
        <v> Food </v>
      </c>
      <c r="D157" s="4" t="str">
        <f>IFERROR(__xludf.DUMMYFUNCTION("""COMPUTED_VALUE""")," Restaurant ")</f>
        <v> Restaurant </v>
      </c>
      <c r="E157" s="4" t="str">
        <f>IFERROR(__xludf.DUMMYFUNCTION("""COMPUTED_VALUE""")," Style ")</f>
        <v> Style </v>
      </c>
      <c r="F157" s="4" t="str">
        <f>IFERROR(__xludf.DUMMYFUNCTION("""COMPUTED_VALUE""")," Desserts")</f>
        <v> Desserts</v>
      </c>
      <c r="G157" s="4"/>
      <c r="H157" s="4"/>
      <c r="I157" s="5" t="s">
        <v>15</v>
      </c>
      <c r="J157" s="5" t="s">
        <v>23</v>
      </c>
      <c r="K157" s="5" t="s">
        <v>78</v>
      </c>
      <c r="L157" s="6" t="s">
        <v>278</v>
      </c>
      <c r="M157" s="5" t="s">
        <v>46</v>
      </c>
      <c r="N157" s="5" t="s">
        <v>20</v>
      </c>
      <c r="O157" s="5">
        <v>18028.0</v>
      </c>
      <c r="P157" s="5">
        <v>89.0</v>
      </c>
      <c r="Q157" s="5">
        <v>1851.0</v>
      </c>
      <c r="R157" s="5">
        <v>14926.0</v>
      </c>
      <c r="S157" s="5">
        <v>24.0</v>
      </c>
      <c r="T157" s="5">
        <v>1572.24171</v>
      </c>
    </row>
    <row r="158">
      <c r="A158" s="4" t="s">
        <v>1779</v>
      </c>
      <c r="B158" s="4" t="str">
        <f>IFERROR(__xludf.DUMMYFUNCTION("SPLIT(A158:A884, ""&gt;"")"),"US ")</f>
        <v>US </v>
      </c>
      <c r="C158" s="4" t="str">
        <f>IFERROR(__xludf.DUMMYFUNCTION("""COMPUTED_VALUE""")," AUTO ")</f>
        <v> AUTO </v>
      </c>
      <c r="D158" s="4" t="str">
        <f>IFERROR(__xludf.DUMMYFUNCTION("""COMPUTED_VALUE""")," Primary Vehicle ")</f>
        <v> Primary Vehicle </v>
      </c>
      <c r="E158" s="4" t="str">
        <f>IFERROR(__xludf.DUMMYFUNCTION("""COMPUTED_VALUE""")," New or Used ")</f>
        <v> New or Used </v>
      </c>
      <c r="F158" s="4" t="str">
        <f>IFERROR(__xludf.DUMMYFUNCTION("""COMPUTED_VALUE""")," New")</f>
        <v> New</v>
      </c>
      <c r="G158" s="4"/>
      <c r="H158" s="4"/>
      <c r="I158" s="5" t="s">
        <v>15</v>
      </c>
      <c r="J158" s="5" t="s">
        <v>23</v>
      </c>
      <c r="K158" s="5" t="s">
        <v>17</v>
      </c>
      <c r="L158" s="6" t="s">
        <v>281</v>
      </c>
      <c r="M158" s="5" t="s">
        <v>19</v>
      </c>
      <c r="N158" s="5" t="s">
        <v>27</v>
      </c>
      <c r="O158" s="5">
        <v>12391.0</v>
      </c>
      <c r="P158" s="5">
        <v>40.0</v>
      </c>
      <c r="Q158" s="5">
        <v>5756.0</v>
      </c>
      <c r="R158" s="5">
        <v>11636.0</v>
      </c>
      <c r="S158" s="5">
        <v>4.0</v>
      </c>
      <c r="T158" s="5">
        <v>3069.123483</v>
      </c>
    </row>
    <row r="159">
      <c r="A159" s="4" t="s">
        <v>1780</v>
      </c>
      <c r="B159" s="4" t="str">
        <f>IFERROR(__xludf.DUMMYFUNCTION("SPLIT(A159:A885, ""&gt;"")"),"US ")</f>
        <v>US </v>
      </c>
      <c r="C159" s="4" t="str">
        <f>IFERROR(__xludf.DUMMYFUNCTION("""COMPUTED_VALUE""")," B2B ")</f>
        <v> B2B </v>
      </c>
      <c r="D159" s="4" t="str">
        <f>IFERROR(__xludf.DUMMYFUNCTION("""COMPUTED_VALUE""")," B2B Decision Maker Responsibilities ")</f>
        <v> B2B Decision Maker Responsibilities </v>
      </c>
      <c r="E159" s="4" t="str">
        <f>IFERROR(__xludf.DUMMYFUNCTION("""COMPUTED_VALUE""")," Advertising Services")</f>
        <v> Advertising Services</v>
      </c>
      <c r="F159" s="4"/>
      <c r="G159" s="4"/>
      <c r="H159" s="4"/>
      <c r="I159" s="5" t="s">
        <v>22</v>
      </c>
      <c r="J159" s="5" t="s">
        <v>31</v>
      </c>
      <c r="K159" s="5" t="s">
        <v>32</v>
      </c>
      <c r="L159" s="6" t="s">
        <v>283</v>
      </c>
      <c r="M159" s="5" t="s">
        <v>46</v>
      </c>
      <c r="N159" s="5" t="s">
        <v>27</v>
      </c>
      <c r="O159" s="5">
        <v>14917.0</v>
      </c>
      <c r="P159" s="5">
        <v>10.0</v>
      </c>
      <c r="Q159" s="5">
        <v>3065.0</v>
      </c>
      <c r="R159" s="5">
        <v>13109.0</v>
      </c>
      <c r="S159" s="5">
        <v>3.0</v>
      </c>
      <c r="T159" s="5">
        <v>1583.537104</v>
      </c>
    </row>
    <row r="160">
      <c r="A160" s="4" t="s">
        <v>1215</v>
      </c>
      <c r="B160" s="4" t="str">
        <f>IFERROR(__xludf.DUMMYFUNCTION("SPLIT(A160:A886, ""&gt;"")"),"Online Behavior")</f>
        <v>Online Behavior</v>
      </c>
      <c r="C160" s="4" t="str">
        <f>IFERROR(__xludf.DUMMYFUNCTION("""COMPUTED_VALUE"""),"United States")</f>
        <v>United States</v>
      </c>
      <c r="D160" s="4" t="str">
        <f>IFERROR(__xludf.DUMMYFUNCTION("""COMPUTED_VALUE"""),"Intent ")</f>
        <v>Intent </v>
      </c>
      <c r="E160" s="4" t="str">
        <f>IFERROR(__xludf.DUMMYFUNCTION("""COMPUTED_VALUE""")," Travel")</f>
        <v> Travel</v>
      </c>
      <c r="F160" s="4" t="str">
        <f>IFERROR(__xludf.DUMMYFUNCTION("""COMPUTED_VALUE"""),"Cruises")</f>
        <v>Cruises</v>
      </c>
      <c r="G160" s="4"/>
      <c r="H160" s="4"/>
      <c r="I160" s="5" t="s">
        <v>61</v>
      </c>
      <c r="J160" s="5" t="s">
        <v>16</v>
      </c>
      <c r="K160" s="5" t="s">
        <v>29</v>
      </c>
      <c r="L160" s="6" t="s">
        <v>285</v>
      </c>
      <c r="M160" s="5" t="s">
        <v>117</v>
      </c>
      <c r="N160" s="5" t="s">
        <v>27</v>
      </c>
      <c r="O160" s="5">
        <v>9560.0</v>
      </c>
      <c r="P160" s="5">
        <v>98.0</v>
      </c>
      <c r="Q160" s="5">
        <v>3076.0</v>
      </c>
      <c r="R160" s="5">
        <v>6252.0</v>
      </c>
      <c r="S160" s="5">
        <v>17.0</v>
      </c>
      <c r="T160" s="5">
        <v>6420.218123</v>
      </c>
    </row>
    <row r="161">
      <c r="A161" s="4" t="s">
        <v>1781</v>
      </c>
      <c r="B161" s="4" t="str">
        <f>IFERROR(__xludf.DUMMYFUNCTION("SPLIT(A161:A887, ""&gt;"")"),"US ")</f>
        <v>US </v>
      </c>
      <c r="C161" s="4" t="str">
        <f>IFERROR(__xludf.DUMMYFUNCTION("""COMPUTED_VALUE""")," B2B ")</f>
        <v> B2B </v>
      </c>
      <c r="D161" s="4" t="str">
        <f>IFERROR(__xludf.DUMMYFUNCTION("""COMPUTED_VALUE""")," B2B Decision Maker Responsibilities ")</f>
        <v> B2B Decision Maker Responsibilities </v>
      </c>
      <c r="E161" s="4" t="str">
        <f>IFERROR(__xludf.DUMMYFUNCTION("""COMPUTED_VALUE""")," Accounting or Tax Services")</f>
        <v> Accounting or Tax Services</v>
      </c>
      <c r="F161" s="4"/>
      <c r="G161" s="4"/>
      <c r="H161" s="4"/>
      <c r="I161" s="5" t="s">
        <v>22</v>
      </c>
      <c r="J161" s="5" t="s">
        <v>23</v>
      </c>
      <c r="K161" s="5" t="s">
        <v>55</v>
      </c>
      <c r="L161" s="6" t="s">
        <v>287</v>
      </c>
      <c r="M161" s="5" t="s">
        <v>19</v>
      </c>
      <c r="N161" s="5" t="s">
        <v>27</v>
      </c>
      <c r="O161" s="5">
        <v>12606.0</v>
      </c>
      <c r="P161" s="5">
        <v>74.0</v>
      </c>
      <c r="Q161" s="5">
        <v>8332.0</v>
      </c>
      <c r="R161" s="5">
        <v>11170.0</v>
      </c>
      <c r="S161" s="5">
        <v>5.0</v>
      </c>
      <c r="T161" s="5">
        <v>2002.537989</v>
      </c>
    </row>
    <row r="162">
      <c r="A162" s="4" t="s">
        <v>288</v>
      </c>
      <c r="B162" s="4" t="str">
        <f>IFERROR(__xludf.DUMMYFUNCTION("SPLIT(A162:A888, ""&gt;"")"),"Online Behavior")</f>
        <v>Online Behavior</v>
      </c>
      <c r="C162" s="4" t="str">
        <f>IFERROR(__xludf.DUMMYFUNCTION("""COMPUTED_VALUE"""),"United States")</f>
        <v>United States</v>
      </c>
      <c r="D162" s="4" t="str">
        <f>IFERROR(__xludf.DUMMYFUNCTION("""COMPUTED_VALUE"""),"Beauty and Fitness")</f>
        <v>Beauty and Fitness</v>
      </c>
      <c r="E162" s="4" t="str">
        <f>IFERROR(__xludf.DUMMYFUNCTION("""COMPUTED_VALUE"""),"Cosmetology and Beauty Professionals")</f>
        <v>Cosmetology and Beauty Professionals</v>
      </c>
      <c r="F162" s="4"/>
      <c r="G162" s="4"/>
      <c r="H162" s="4"/>
      <c r="I162" s="5" t="s">
        <v>22</v>
      </c>
      <c r="J162" s="5" t="s">
        <v>16</v>
      </c>
      <c r="K162" s="5" t="s">
        <v>78</v>
      </c>
      <c r="L162" s="6" t="s">
        <v>289</v>
      </c>
      <c r="M162" s="5" t="s">
        <v>33</v>
      </c>
      <c r="N162" s="5" t="s">
        <v>27</v>
      </c>
      <c r="O162" s="5">
        <v>18022.0</v>
      </c>
      <c r="P162" s="5">
        <v>30.0</v>
      </c>
      <c r="Q162" s="5">
        <v>10618.0</v>
      </c>
      <c r="R162" s="5">
        <v>16643.0</v>
      </c>
      <c r="S162" s="5">
        <v>15.0</v>
      </c>
      <c r="T162" s="5">
        <v>4051.158749</v>
      </c>
    </row>
    <row r="163">
      <c r="A163" s="4" t="s">
        <v>1217</v>
      </c>
      <c r="B163" s="4" t="str">
        <f>IFERROR(__xludf.DUMMYFUNCTION("SPLIT(A163:A889, ""&gt;"")"),"Online Behavior")</f>
        <v>Online Behavior</v>
      </c>
      <c r="C163" s="4" t="str">
        <f>IFERROR(__xludf.DUMMYFUNCTION("""COMPUTED_VALUE"""),"United States")</f>
        <v>United States</v>
      </c>
      <c r="D163" s="4" t="str">
        <f>IFERROR(__xludf.DUMMYFUNCTION("""COMPUTED_VALUE"""),"Finance ")</f>
        <v>Finance </v>
      </c>
      <c r="E163" s="4" t="str">
        <f>IFERROR(__xludf.DUMMYFUNCTION("""COMPUTED_VALUE""")," Insurance")</f>
        <v> Insurance</v>
      </c>
      <c r="F163" s="4" t="str">
        <f>IFERROR(__xludf.DUMMYFUNCTION("""COMPUTED_VALUE"""),"Life Insurance")</f>
        <v>Life Insurance</v>
      </c>
      <c r="G163" s="4"/>
      <c r="H163" s="4"/>
      <c r="I163" s="5" t="s">
        <v>22</v>
      </c>
      <c r="J163" s="5" t="s">
        <v>16</v>
      </c>
      <c r="K163" s="5" t="s">
        <v>17</v>
      </c>
      <c r="L163" s="6" t="s">
        <v>291</v>
      </c>
      <c r="M163" s="5" t="s">
        <v>36</v>
      </c>
      <c r="N163" s="5" t="s">
        <v>27</v>
      </c>
      <c r="O163" s="5">
        <v>18401.0</v>
      </c>
      <c r="P163" s="5">
        <v>66.0</v>
      </c>
      <c r="Q163" s="5">
        <v>11051.0</v>
      </c>
      <c r="R163" s="5">
        <v>17202.0</v>
      </c>
      <c r="S163" s="5">
        <v>26.0</v>
      </c>
      <c r="T163" s="5">
        <v>6571.491552</v>
      </c>
    </row>
    <row r="164">
      <c r="A164" s="4" t="s">
        <v>292</v>
      </c>
      <c r="B164" s="4" t="str">
        <f>IFERROR(__xludf.DUMMYFUNCTION("SPLIT(A164:A890, ""&gt;"")"),"Online Behavior")</f>
        <v>Online Behavior</v>
      </c>
      <c r="C164" s="4" t="str">
        <f>IFERROR(__xludf.DUMMYFUNCTION("""COMPUTED_VALUE"""),"United States")</f>
        <v>United States</v>
      </c>
      <c r="D164" s="4" t="str">
        <f>IFERROR(__xludf.DUMMYFUNCTION("""COMPUTED_VALUE"""),"Food and Drink")</f>
        <v>Food and Drink</v>
      </c>
      <c r="E164" s="4" t="str">
        <f>IFERROR(__xludf.DUMMYFUNCTION("""COMPUTED_VALUE"""),"Food and Grocery Retailers")</f>
        <v>Food and Grocery Retailers</v>
      </c>
      <c r="F164" s="4"/>
      <c r="G164" s="4"/>
      <c r="H164" s="4"/>
      <c r="I164" s="5" t="s">
        <v>22</v>
      </c>
      <c r="J164" s="5" t="s">
        <v>16</v>
      </c>
      <c r="K164" s="5" t="s">
        <v>273</v>
      </c>
      <c r="L164" s="6" t="s">
        <v>291</v>
      </c>
      <c r="M164" s="5" t="s">
        <v>19</v>
      </c>
      <c r="N164" s="5" t="s">
        <v>27</v>
      </c>
      <c r="O164" s="5">
        <v>18412.0</v>
      </c>
      <c r="P164" s="5">
        <v>140.0</v>
      </c>
      <c r="Q164" s="5">
        <v>5668.0</v>
      </c>
      <c r="R164" s="5">
        <v>16711.0</v>
      </c>
      <c r="S164" s="5">
        <v>12.0</v>
      </c>
      <c r="T164" s="5">
        <v>5244.34174</v>
      </c>
    </row>
    <row r="165">
      <c r="A165" s="4" t="s">
        <v>1218</v>
      </c>
      <c r="B165" s="4" t="str">
        <f>IFERROR(__xludf.DUMMYFUNCTION("SPLIT(A165:A891, ""&gt;"")"),"Online Behavior")</f>
        <v>Online Behavior</v>
      </c>
      <c r="C165" s="4" t="str">
        <f>IFERROR(__xludf.DUMMYFUNCTION("""COMPUTED_VALUE"""),"United States")</f>
        <v>United States</v>
      </c>
      <c r="D165" s="4" t="str">
        <f>IFERROR(__xludf.DUMMYFUNCTION("""COMPUTED_VALUE"""),"Intent ")</f>
        <v>Intent </v>
      </c>
      <c r="E165" s="4" t="str">
        <f>IFERROR(__xludf.DUMMYFUNCTION("""COMPUTED_VALUE""")," Shopping")</f>
        <v> Shopping</v>
      </c>
      <c r="F165" s="4" t="str">
        <f>IFERROR(__xludf.DUMMYFUNCTION("""COMPUTED_VALUE"""),"Drug Stores ")</f>
        <v>Drug Stores </v>
      </c>
      <c r="G165" s="4" t="str">
        <f>IFERROR(__xludf.DUMMYFUNCTION("""COMPUTED_VALUE""")," CVS")</f>
        <v> CVS</v>
      </c>
      <c r="H165" s="4"/>
      <c r="I165" s="5" t="s">
        <v>15</v>
      </c>
      <c r="J165" s="5" t="s">
        <v>31</v>
      </c>
      <c r="K165" s="5" t="s">
        <v>29</v>
      </c>
      <c r="L165" s="6" t="s">
        <v>291</v>
      </c>
      <c r="M165" s="5" t="s">
        <v>46</v>
      </c>
      <c r="N165" s="5" t="s">
        <v>27</v>
      </c>
      <c r="O165" s="5">
        <v>11697.0</v>
      </c>
      <c r="P165" s="5">
        <v>64.0</v>
      </c>
      <c r="Q165" s="5">
        <v>6761.0</v>
      </c>
      <c r="R165" s="5">
        <v>10783.0</v>
      </c>
      <c r="S165" s="5">
        <v>3.0</v>
      </c>
      <c r="T165" s="5">
        <v>5218.070231</v>
      </c>
    </row>
    <row r="166">
      <c r="A166" s="4" t="s">
        <v>1782</v>
      </c>
      <c r="B166" s="4" t="str">
        <f>IFERROR(__xludf.DUMMYFUNCTION("SPLIT(A166:A892, ""&gt;"")"),"US ")</f>
        <v>US </v>
      </c>
      <c r="C166" s="4" t="str">
        <f>IFERROR(__xludf.DUMMYFUNCTION("""COMPUTED_VALUE""")," Composite Segment ")</f>
        <v> Composite Segment </v>
      </c>
      <c r="D166" s="4" t="str">
        <f>IFERROR(__xludf.DUMMYFUNCTION("""COMPUTED_VALUE""")," Women Born to Shop")</f>
        <v> Women Born to Shop</v>
      </c>
      <c r="E166" s="4"/>
      <c r="F166" s="4"/>
      <c r="G166" s="4"/>
      <c r="H166" s="4"/>
      <c r="I166" s="5" t="s">
        <v>22</v>
      </c>
      <c r="J166" s="5" t="s">
        <v>16</v>
      </c>
      <c r="K166" s="5" t="s">
        <v>29</v>
      </c>
      <c r="L166" s="6" t="s">
        <v>291</v>
      </c>
      <c r="M166" s="5" t="s">
        <v>36</v>
      </c>
      <c r="N166" s="5" t="s">
        <v>27</v>
      </c>
      <c r="O166" s="5">
        <v>12220.0</v>
      </c>
      <c r="P166" s="5">
        <v>54.0</v>
      </c>
      <c r="Q166" s="5">
        <v>7133.0</v>
      </c>
      <c r="R166" s="5">
        <v>11331.0</v>
      </c>
      <c r="S166" s="5">
        <v>3.0</v>
      </c>
      <c r="T166" s="5">
        <v>1478.392247</v>
      </c>
    </row>
    <row r="167">
      <c r="A167" s="4" t="s">
        <v>1220</v>
      </c>
      <c r="B167" s="4" t="str">
        <f>IFERROR(__xludf.DUMMYFUNCTION("SPLIT(A167:A893, ""&gt;"")"),"Real Estate ")</f>
        <v>Real Estate </v>
      </c>
      <c r="C167" s="4" t="str">
        <f>IFERROR(__xludf.DUMMYFUNCTION("""COMPUTED_VALUE""")," Rent Amount ")</f>
        <v> Rent Amount </v>
      </c>
      <c r="D167" s="4" t="str">
        <f>IFERROR(__xludf.DUMMYFUNCTION("""COMPUTED_VALUE""")," Sensible  Rentals ($1000-$3000)")</f>
        <v> Sensible  Rentals ($1000-$3000)</v>
      </c>
      <c r="E167" s="4"/>
      <c r="F167" s="4"/>
      <c r="G167" s="4"/>
      <c r="H167" s="4"/>
      <c r="I167" s="5" t="s">
        <v>15</v>
      </c>
      <c r="J167" s="5" t="s">
        <v>42</v>
      </c>
      <c r="K167" s="5" t="s">
        <v>17</v>
      </c>
      <c r="L167" s="6" t="s">
        <v>291</v>
      </c>
      <c r="M167" s="5" t="s">
        <v>136</v>
      </c>
      <c r="N167" s="5" t="s">
        <v>52</v>
      </c>
      <c r="O167" s="5">
        <v>49415.0</v>
      </c>
      <c r="P167" s="5">
        <v>144.0</v>
      </c>
      <c r="Q167" s="5">
        <v>24692.0</v>
      </c>
      <c r="R167" s="5">
        <v>45565.0</v>
      </c>
      <c r="S167" s="5">
        <v>3.0</v>
      </c>
      <c r="T167" s="5">
        <v>1471.175728</v>
      </c>
    </row>
    <row r="168">
      <c r="A168" s="4" t="s">
        <v>1221</v>
      </c>
      <c r="B168" s="4" t="str">
        <f>IFERROR(__xludf.DUMMYFUNCTION("SPLIT(A168:A894, ""&gt;"")"),"Online Behavior")</f>
        <v>Online Behavior</v>
      </c>
      <c r="C168" s="4" t="str">
        <f>IFERROR(__xludf.DUMMYFUNCTION("""COMPUTED_VALUE"""),"United States")</f>
        <v>United States</v>
      </c>
      <c r="D168" s="4" t="str">
        <f>IFERROR(__xludf.DUMMYFUNCTION("""COMPUTED_VALUE"""),"Finance ")</f>
        <v>Finance </v>
      </c>
      <c r="E168" s="4" t="str">
        <f>IFERROR(__xludf.DUMMYFUNCTION("""COMPUTED_VALUE""")," Credit and Lending")</f>
        <v> Credit and Lending</v>
      </c>
      <c r="F168" s="4" t="str">
        <f>IFERROR(__xludf.DUMMYFUNCTION("""COMPUTED_VALUE"""),"Loans")</f>
        <v>Loans</v>
      </c>
      <c r="G168" s="4"/>
      <c r="H168" s="4"/>
      <c r="I168" s="5" t="s">
        <v>15</v>
      </c>
      <c r="J168" s="5" t="s">
        <v>16</v>
      </c>
      <c r="K168" s="5" t="s">
        <v>35</v>
      </c>
      <c r="L168" s="6" t="s">
        <v>297</v>
      </c>
      <c r="M168" s="5" t="s">
        <v>19</v>
      </c>
      <c r="N168" s="5" t="s">
        <v>27</v>
      </c>
      <c r="O168" s="5">
        <v>1100942.0</v>
      </c>
      <c r="P168" s="5">
        <v>2984.0</v>
      </c>
      <c r="Q168" s="5">
        <v>629973.0</v>
      </c>
      <c r="R168" s="5">
        <v>1041225.0</v>
      </c>
      <c r="S168" s="5">
        <v>147.0</v>
      </c>
      <c r="T168" s="5">
        <v>7979.348589</v>
      </c>
    </row>
    <row r="169">
      <c r="A169" s="4" t="s">
        <v>1222</v>
      </c>
      <c r="B169" s="4" t="str">
        <f>IFERROR(__xludf.DUMMYFUNCTION("SPLIT(A169:A895, ""&gt;"")"),"Online Behavior")</f>
        <v>Online Behavior</v>
      </c>
      <c r="C169" s="4" t="str">
        <f>IFERROR(__xludf.DUMMYFUNCTION("""COMPUTED_VALUE"""),"United States")</f>
        <v>United States</v>
      </c>
      <c r="D169" s="4" t="str">
        <f>IFERROR(__xludf.DUMMYFUNCTION("""COMPUTED_VALUE"""),"Finance ")</f>
        <v>Finance </v>
      </c>
      <c r="E169" s="4" t="str">
        <f>IFERROR(__xludf.DUMMYFUNCTION("""COMPUTED_VALUE""")," Banking")</f>
        <v> Banking</v>
      </c>
      <c r="F169" s="4" t="str">
        <f>IFERROR(__xludf.DUMMYFUNCTION("""COMPUTED_VALUE"""),"Money Transfer and Wire Services")</f>
        <v>Money Transfer and Wire Services</v>
      </c>
      <c r="G169" s="4"/>
      <c r="H169" s="4"/>
      <c r="I169" s="5" t="s">
        <v>22</v>
      </c>
      <c r="J169" s="5" t="s">
        <v>16</v>
      </c>
      <c r="K169" s="5" t="s">
        <v>78</v>
      </c>
      <c r="L169" s="6" t="s">
        <v>297</v>
      </c>
      <c r="M169" s="5" t="s">
        <v>19</v>
      </c>
      <c r="N169" s="5" t="s">
        <v>27</v>
      </c>
      <c r="O169" s="5">
        <v>221720.0</v>
      </c>
      <c r="P169" s="5">
        <v>499.0</v>
      </c>
      <c r="Q169" s="5">
        <v>35178.0</v>
      </c>
      <c r="R169" s="5">
        <v>196583.0</v>
      </c>
      <c r="S169" s="5">
        <v>69.0</v>
      </c>
      <c r="T169" s="5">
        <v>7890.221963</v>
      </c>
    </row>
    <row r="170">
      <c r="A170" s="4" t="s">
        <v>299</v>
      </c>
      <c r="B170" s="4" t="str">
        <f>IFERROR(__xludf.DUMMYFUNCTION("SPLIT(A170:A896, ""&gt;"")"),"Online Behavior")</f>
        <v>Online Behavior</v>
      </c>
      <c r="C170" s="4" t="str">
        <f>IFERROR(__xludf.DUMMYFUNCTION("""COMPUTED_VALUE"""),"United States")</f>
        <v>United States</v>
      </c>
      <c r="D170" s="4" t="str">
        <f>IFERROR(__xludf.DUMMYFUNCTION("""COMPUTED_VALUE"""),"Travel")</f>
        <v>Travel</v>
      </c>
      <c r="E170" s="4" t="str">
        <f>IFERROR(__xludf.DUMMYFUNCTION("""COMPUTED_VALUE"""),"Tourist Destinations")</f>
        <v>Tourist Destinations</v>
      </c>
      <c r="F170" s="4"/>
      <c r="G170" s="4"/>
      <c r="H170" s="4"/>
      <c r="I170" s="5" t="s">
        <v>15</v>
      </c>
      <c r="J170" s="5" t="s">
        <v>31</v>
      </c>
      <c r="K170" s="5" t="s">
        <v>78</v>
      </c>
      <c r="L170" s="6" t="s">
        <v>297</v>
      </c>
      <c r="M170" s="5" t="s">
        <v>19</v>
      </c>
      <c r="N170" s="5" t="s">
        <v>27</v>
      </c>
      <c r="O170" s="5">
        <v>325152.0</v>
      </c>
      <c r="P170" s="5">
        <v>854.0</v>
      </c>
      <c r="Q170" s="5">
        <v>138319.0</v>
      </c>
      <c r="R170" s="5">
        <v>300133.0</v>
      </c>
      <c r="S170" s="5">
        <v>55.0</v>
      </c>
      <c r="T170" s="5">
        <v>7887.612662</v>
      </c>
    </row>
    <row r="171">
      <c r="A171" s="4" t="s">
        <v>1223</v>
      </c>
      <c r="B171" s="4" t="str">
        <f>IFERROR(__xludf.DUMMYFUNCTION("SPLIT(A171:A897, ""&gt;"")"),"Online Behavior")</f>
        <v>Online Behavior</v>
      </c>
      <c r="C171" s="4" t="str">
        <f>IFERROR(__xludf.DUMMYFUNCTION("""COMPUTED_VALUE"""),"United States")</f>
        <v>United States</v>
      </c>
      <c r="D171" s="4" t="str">
        <f>IFERROR(__xludf.DUMMYFUNCTION("""COMPUTED_VALUE"""),"Finance ")</f>
        <v>Finance </v>
      </c>
      <c r="E171" s="4" t="str">
        <f>IFERROR(__xludf.DUMMYFUNCTION("""COMPUTED_VALUE""")," Investing")</f>
        <v> Investing</v>
      </c>
      <c r="F171" s="4" t="str">
        <f>IFERROR(__xludf.DUMMYFUNCTION("""COMPUTED_VALUE"""),"Stocks and Bonds")</f>
        <v>Stocks and Bonds</v>
      </c>
      <c r="G171" s="4"/>
      <c r="H171" s="4"/>
      <c r="I171" s="5" t="s">
        <v>22</v>
      </c>
      <c r="J171" s="5" t="s">
        <v>16</v>
      </c>
      <c r="K171" s="5" t="s">
        <v>55</v>
      </c>
      <c r="L171" s="6" t="s">
        <v>297</v>
      </c>
      <c r="M171" s="5" t="s">
        <v>50</v>
      </c>
      <c r="N171" s="5" t="s">
        <v>27</v>
      </c>
      <c r="O171" s="5">
        <v>680912.0</v>
      </c>
      <c r="P171" s="5">
        <v>2000.0</v>
      </c>
      <c r="Q171" s="5">
        <v>388915.0</v>
      </c>
      <c r="R171" s="5">
        <v>648524.0</v>
      </c>
      <c r="S171" s="5">
        <v>39.0</v>
      </c>
      <c r="T171" s="5">
        <v>7814.262494</v>
      </c>
    </row>
    <row r="172">
      <c r="A172" s="4" t="s">
        <v>301</v>
      </c>
      <c r="B172" s="4" t="str">
        <f>IFERROR(__xludf.DUMMYFUNCTION("SPLIT(A172:A898, ""&gt;"")"),"Online Behavior")</f>
        <v>Online Behavior</v>
      </c>
      <c r="C172" s="4" t="str">
        <f>IFERROR(__xludf.DUMMYFUNCTION("""COMPUTED_VALUE"""),"United States")</f>
        <v>United States</v>
      </c>
      <c r="D172" s="4" t="str">
        <f>IFERROR(__xludf.DUMMYFUNCTION("""COMPUTED_VALUE"""),"Life Event")</f>
        <v>Life Event</v>
      </c>
      <c r="E172" s="4" t="str">
        <f>IFERROR(__xludf.DUMMYFUNCTION("""COMPUTED_VALUE"""),"New Parent")</f>
        <v>New Parent</v>
      </c>
      <c r="F172" s="4"/>
      <c r="G172" s="4"/>
      <c r="H172" s="4"/>
      <c r="I172" s="5" t="s">
        <v>15</v>
      </c>
      <c r="J172" s="5" t="s">
        <v>42</v>
      </c>
      <c r="K172" s="5" t="s">
        <v>39</v>
      </c>
      <c r="L172" s="6" t="s">
        <v>297</v>
      </c>
      <c r="M172" s="5" t="s">
        <v>33</v>
      </c>
      <c r="N172" s="5" t="s">
        <v>27</v>
      </c>
      <c r="O172" s="5">
        <v>569171.0</v>
      </c>
      <c r="P172" s="5">
        <v>1354.0</v>
      </c>
      <c r="Q172" s="5">
        <v>343050.0</v>
      </c>
      <c r="R172" s="5">
        <v>541133.0</v>
      </c>
      <c r="S172" s="5">
        <v>78.0</v>
      </c>
      <c r="T172" s="5">
        <v>7129.633287</v>
      </c>
    </row>
    <row r="173">
      <c r="A173" s="4" t="s">
        <v>1224</v>
      </c>
      <c r="B173" s="4" t="str">
        <f>IFERROR(__xludf.DUMMYFUNCTION("SPLIT(A173:A899, ""&gt;"")"),"Online Behavior")</f>
        <v>Online Behavior</v>
      </c>
      <c r="C173" s="4" t="str">
        <f>IFERROR(__xludf.DUMMYFUNCTION("""COMPUTED_VALUE"""),"United States")</f>
        <v>United States</v>
      </c>
      <c r="D173" s="4" t="str">
        <f>IFERROR(__xludf.DUMMYFUNCTION("""COMPUTED_VALUE"""),"Hobbies and Leisure")</f>
        <v>Hobbies and Leisure</v>
      </c>
      <c r="E173" s="4" t="str">
        <f>IFERROR(__xludf.DUMMYFUNCTION("""COMPUTED_VALUE"""),"Outdoors ")</f>
        <v>Outdoors </v>
      </c>
      <c r="F173" s="4" t="str">
        <f>IFERROR(__xludf.DUMMYFUNCTION("""COMPUTED_VALUE""")," Hiking and Camping")</f>
        <v> Hiking and Camping</v>
      </c>
      <c r="G173" s="4"/>
      <c r="H173" s="4"/>
      <c r="I173" s="5" t="s">
        <v>15</v>
      </c>
      <c r="J173" s="5" t="s">
        <v>42</v>
      </c>
      <c r="K173" s="5" t="s">
        <v>35</v>
      </c>
      <c r="L173" s="6" t="s">
        <v>297</v>
      </c>
      <c r="M173" s="5" t="s">
        <v>36</v>
      </c>
      <c r="N173" s="5" t="s">
        <v>20</v>
      </c>
      <c r="O173" s="5">
        <v>27592.0</v>
      </c>
      <c r="P173" s="5">
        <v>80.0</v>
      </c>
      <c r="Q173" s="5">
        <v>10901.0</v>
      </c>
      <c r="R173" s="5">
        <v>24980.0</v>
      </c>
      <c r="S173" s="5">
        <v>17.0</v>
      </c>
      <c r="T173" s="5">
        <v>6809.356022</v>
      </c>
    </row>
    <row r="174">
      <c r="A174" s="4" t="s">
        <v>1225</v>
      </c>
      <c r="B174" s="4" t="str">
        <f>IFERROR(__xludf.DUMMYFUNCTION("SPLIT(A174:A900, ""&gt;"")"),"Online Behavior")</f>
        <v>Online Behavior</v>
      </c>
      <c r="C174" s="4" t="str">
        <f>IFERROR(__xludf.DUMMYFUNCTION("""COMPUTED_VALUE"""),"United States")</f>
        <v>United States</v>
      </c>
      <c r="D174" s="4" t="str">
        <f>IFERROR(__xludf.DUMMYFUNCTION("""COMPUTED_VALUE"""),"Intent ")</f>
        <v>Intent </v>
      </c>
      <c r="E174" s="4" t="str">
        <f>IFERROR(__xludf.DUMMYFUNCTION("""COMPUTED_VALUE""")," Financial Intent")</f>
        <v> Financial Intent</v>
      </c>
      <c r="F174" s="4" t="str">
        <f>IFERROR(__xludf.DUMMYFUNCTION("""COMPUTED_VALUE"""),"Loans and Credit")</f>
        <v>Loans and Credit</v>
      </c>
      <c r="G174" s="4"/>
      <c r="H174" s="4"/>
      <c r="I174" s="5" t="s">
        <v>22</v>
      </c>
      <c r="J174" s="5" t="s">
        <v>31</v>
      </c>
      <c r="K174" s="5" t="s">
        <v>304</v>
      </c>
      <c r="L174" s="6" t="s">
        <v>297</v>
      </c>
      <c r="M174" s="5" t="s">
        <v>167</v>
      </c>
      <c r="N174" s="5" t="s">
        <v>27</v>
      </c>
      <c r="O174" s="5">
        <v>83957.0</v>
      </c>
      <c r="P174" s="5">
        <v>185.0</v>
      </c>
      <c r="Q174" s="5">
        <v>1420.0</v>
      </c>
      <c r="R174" s="5">
        <v>69246.0</v>
      </c>
      <c r="S174" s="5">
        <v>19.0</v>
      </c>
      <c r="T174" s="5">
        <v>6651.51451</v>
      </c>
    </row>
    <row r="175">
      <c r="A175" s="4" t="s">
        <v>305</v>
      </c>
      <c r="B175" s="4" t="str">
        <f>IFERROR(__xludf.DUMMYFUNCTION("SPLIT(A175:A901, ""&gt;"")"),"Online Behavior")</f>
        <v>Online Behavior</v>
      </c>
      <c r="C175" s="4" t="str">
        <f>IFERROR(__xludf.DUMMYFUNCTION("""COMPUTED_VALUE"""),"United States")</f>
        <v>United States</v>
      </c>
      <c r="D175" s="4" t="str">
        <f>IFERROR(__xludf.DUMMYFUNCTION("""COMPUTED_VALUE"""),"Real Estate")</f>
        <v>Real Estate</v>
      </c>
      <c r="E175" s="4" t="str">
        <f>IFERROR(__xludf.DUMMYFUNCTION("""COMPUTED_VALUE"""),"Homeowner")</f>
        <v>Homeowner</v>
      </c>
      <c r="F175" s="4"/>
      <c r="G175" s="4"/>
      <c r="H175" s="4"/>
      <c r="I175" s="5" t="s">
        <v>15</v>
      </c>
      <c r="J175" s="5" t="s">
        <v>42</v>
      </c>
      <c r="K175" s="5" t="s">
        <v>78</v>
      </c>
      <c r="L175" s="6" t="s">
        <v>297</v>
      </c>
      <c r="M175" s="5" t="s">
        <v>19</v>
      </c>
      <c r="N175" s="5" t="s">
        <v>27</v>
      </c>
      <c r="O175" s="5">
        <v>161178.0</v>
      </c>
      <c r="P175" s="5">
        <v>492.0</v>
      </c>
      <c r="Q175" s="5">
        <v>70181.0</v>
      </c>
      <c r="R175" s="5">
        <v>150003.0</v>
      </c>
      <c r="S175" s="5">
        <v>11.0</v>
      </c>
      <c r="T175" s="5">
        <v>5892.48218</v>
      </c>
    </row>
    <row r="176">
      <c r="A176" s="4" t="s">
        <v>1226</v>
      </c>
      <c r="B176" s="4" t="str">
        <f>IFERROR(__xludf.DUMMYFUNCTION("SPLIT(A176:A902, ""&gt;"")"),"Online Behavior")</f>
        <v>Online Behavior</v>
      </c>
      <c r="C176" s="4" t="str">
        <f>IFERROR(__xludf.DUMMYFUNCTION("""COMPUTED_VALUE"""),"United States")</f>
        <v>United States</v>
      </c>
      <c r="D176" s="4" t="str">
        <f>IFERROR(__xludf.DUMMYFUNCTION("""COMPUTED_VALUE"""),"Arts and Entertainment")</f>
        <v>Arts and Entertainment</v>
      </c>
      <c r="E176" s="4" t="str">
        <f>IFERROR(__xludf.DUMMYFUNCTION("""COMPUTED_VALUE"""),"Events and Listings ")</f>
        <v>Events and Listings </v>
      </c>
      <c r="F176" s="4" t="str">
        <f>IFERROR(__xludf.DUMMYFUNCTION("""COMPUTED_VALUE""")," Film Festivals")</f>
        <v> Film Festivals</v>
      </c>
      <c r="G176" s="4"/>
      <c r="H176" s="4"/>
      <c r="I176" s="5" t="s">
        <v>22</v>
      </c>
      <c r="J176" s="5" t="s">
        <v>31</v>
      </c>
      <c r="K176" s="5" t="s">
        <v>17</v>
      </c>
      <c r="L176" s="6" t="s">
        <v>297</v>
      </c>
      <c r="M176" s="5" t="s">
        <v>19</v>
      </c>
      <c r="N176" s="5" t="s">
        <v>27</v>
      </c>
      <c r="O176" s="5">
        <v>405957.0</v>
      </c>
      <c r="P176" s="5">
        <v>874.0</v>
      </c>
      <c r="Q176" s="5">
        <v>204189.0</v>
      </c>
      <c r="R176" s="5">
        <v>385654.0</v>
      </c>
      <c r="S176" s="5">
        <v>16.0</v>
      </c>
      <c r="T176" s="5">
        <v>5864.126493</v>
      </c>
    </row>
    <row r="177">
      <c r="A177" s="4" t="s">
        <v>307</v>
      </c>
      <c r="B177" s="4" t="str">
        <f>IFERROR(__xludf.DUMMYFUNCTION("SPLIT(A177:A903, ""&gt;"")"),"Online Behavior")</f>
        <v>Online Behavior</v>
      </c>
      <c r="C177" s="4" t="str">
        <f>IFERROR(__xludf.DUMMYFUNCTION("""COMPUTED_VALUE"""),"United States")</f>
        <v>United States</v>
      </c>
      <c r="D177" s="4" t="str">
        <f>IFERROR(__xludf.DUMMYFUNCTION("""COMPUTED_VALUE"""),"Travel")</f>
        <v>Travel</v>
      </c>
      <c r="E177" s="4" t="str">
        <f>IFERROR(__xludf.DUMMYFUNCTION("""COMPUTED_VALUE"""),"Cruises and Charters")</f>
        <v>Cruises and Charters</v>
      </c>
      <c r="F177" s="4"/>
      <c r="G177" s="4"/>
      <c r="H177" s="4"/>
      <c r="I177" s="5" t="s">
        <v>15</v>
      </c>
      <c r="J177" s="5" t="s">
        <v>31</v>
      </c>
      <c r="K177" s="5" t="s">
        <v>17</v>
      </c>
      <c r="L177" s="6" t="s">
        <v>297</v>
      </c>
      <c r="M177" s="5" t="s">
        <v>36</v>
      </c>
      <c r="N177" s="5" t="s">
        <v>20</v>
      </c>
      <c r="O177" s="5">
        <v>161222.0</v>
      </c>
      <c r="P177" s="5">
        <v>500.0</v>
      </c>
      <c r="Q177" s="5">
        <v>66740.0</v>
      </c>
      <c r="R177" s="5">
        <v>149743.0</v>
      </c>
      <c r="S177" s="5">
        <v>19.0</v>
      </c>
      <c r="T177" s="5">
        <v>5767.797381</v>
      </c>
    </row>
    <row r="178">
      <c r="A178" s="4" t="s">
        <v>1227</v>
      </c>
      <c r="B178" s="4" t="str">
        <f>IFERROR(__xludf.DUMMYFUNCTION("SPLIT(A178:A904, ""&gt;"")"),"Online Behavior")</f>
        <v>Online Behavior</v>
      </c>
      <c r="C178" s="4" t="str">
        <f>IFERROR(__xludf.DUMMYFUNCTION("""COMPUTED_VALUE"""),"United States")</f>
        <v>United States</v>
      </c>
      <c r="D178" s="4" t="str">
        <f>IFERROR(__xludf.DUMMYFUNCTION("""COMPUTED_VALUE"""),"B2B ")</f>
        <v>B2B </v>
      </c>
      <c r="E178" s="4" t="str">
        <f>IFERROR(__xludf.DUMMYFUNCTION("""COMPUTED_VALUE""")," Occupation")</f>
        <v> Occupation</v>
      </c>
      <c r="F178" s="4" t="str">
        <f>IFERROR(__xludf.DUMMYFUNCTION("""COMPUTED_VALUE"""),"Student")</f>
        <v>Student</v>
      </c>
      <c r="G178" s="4"/>
      <c r="H178" s="4"/>
      <c r="I178" s="5" t="s">
        <v>15</v>
      </c>
      <c r="J178" s="5" t="s">
        <v>42</v>
      </c>
      <c r="K178" s="5" t="s">
        <v>29</v>
      </c>
      <c r="L178" s="6" t="s">
        <v>297</v>
      </c>
      <c r="M178" s="5" t="s">
        <v>19</v>
      </c>
      <c r="N178" s="5" t="s">
        <v>52</v>
      </c>
      <c r="O178" s="5">
        <v>39163.0</v>
      </c>
      <c r="P178" s="5">
        <v>113.0</v>
      </c>
      <c r="Q178" s="5">
        <v>16254.0</v>
      </c>
      <c r="R178" s="5">
        <v>36526.0</v>
      </c>
      <c r="S178" s="5">
        <v>15.0</v>
      </c>
      <c r="T178" s="5">
        <v>5692.765813</v>
      </c>
    </row>
    <row r="179">
      <c r="A179" s="4" t="s">
        <v>309</v>
      </c>
      <c r="B179" s="4" t="str">
        <f>IFERROR(__xludf.DUMMYFUNCTION("SPLIT(A179:A905, ""&gt;"")"),"Online Behavior")</f>
        <v>Online Behavior</v>
      </c>
      <c r="C179" s="4" t="str">
        <f>IFERROR(__xludf.DUMMYFUNCTION("""COMPUTED_VALUE"""),"United States")</f>
        <v>United States</v>
      </c>
      <c r="D179" s="4" t="str">
        <f>IFERROR(__xludf.DUMMYFUNCTION("""COMPUTED_VALUE"""),"Online Communities")</f>
        <v>Online Communities</v>
      </c>
      <c r="E179" s="4" t="str">
        <f>IFERROR(__xludf.DUMMYFUNCTION("""COMPUTED_VALUE"""),"File Sharing and Hosting")</f>
        <v>File Sharing and Hosting</v>
      </c>
      <c r="F179" s="4"/>
      <c r="G179" s="4"/>
      <c r="H179" s="4"/>
      <c r="I179" s="5" t="s">
        <v>22</v>
      </c>
      <c r="J179" s="5" t="s">
        <v>23</v>
      </c>
      <c r="K179" s="5" t="s">
        <v>29</v>
      </c>
      <c r="L179" s="6" t="s">
        <v>297</v>
      </c>
      <c r="M179" s="5" t="s">
        <v>117</v>
      </c>
      <c r="N179" s="5" t="s">
        <v>27</v>
      </c>
      <c r="O179" s="5">
        <v>39794.0</v>
      </c>
      <c r="P179" s="5">
        <v>101.0</v>
      </c>
      <c r="Q179" s="5">
        <v>17539.0</v>
      </c>
      <c r="R179" s="5">
        <v>37664.0</v>
      </c>
      <c r="S179" s="5">
        <v>12.0</v>
      </c>
      <c r="T179" s="5">
        <v>5328.524514</v>
      </c>
    </row>
    <row r="180">
      <c r="A180" s="4" t="s">
        <v>1228</v>
      </c>
      <c r="B180" s="4" t="str">
        <f>IFERROR(__xludf.DUMMYFUNCTION("SPLIT(A180:A906, ""&gt;"")"),"Online Behavior")</f>
        <v>Online Behavior</v>
      </c>
      <c r="C180" s="4" t="str">
        <f>IFERROR(__xludf.DUMMYFUNCTION("""COMPUTED_VALUE"""),"United States")</f>
        <v>United States</v>
      </c>
      <c r="D180" s="4" t="str">
        <f>IFERROR(__xludf.DUMMYFUNCTION("""COMPUTED_VALUE"""),"Autos and Vehicles ")</f>
        <v>Autos and Vehicles </v>
      </c>
      <c r="E180" s="4" t="str">
        <f>IFERROR(__xludf.DUMMYFUNCTION("""COMPUTED_VALUE""")," Brands")</f>
        <v> Brands</v>
      </c>
      <c r="F180" s="4" t="str">
        <f>IFERROR(__xludf.DUMMYFUNCTION("""COMPUTED_VALUE"""),"LandRover")</f>
        <v>LandRover</v>
      </c>
      <c r="G180" s="4"/>
      <c r="H180" s="4"/>
      <c r="I180" s="5" t="s">
        <v>15</v>
      </c>
      <c r="J180" s="5" t="s">
        <v>31</v>
      </c>
      <c r="K180" s="5" t="s">
        <v>84</v>
      </c>
      <c r="L180" s="6" t="s">
        <v>297</v>
      </c>
      <c r="M180" s="5" t="s">
        <v>19</v>
      </c>
      <c r="N180" s="5" t="s">
        <v>20</v>
      </c>
      <c r="O180" s="5">
        <v>104538.0</v>
      </c>
      <c r="P180" s="5">
        <v>347.0</v>
      </c>
      <c r="Q180" s="5">
        <v>49049.0</v>
      </c>
      <c r="R180" s="5">
        <v>97093.0</v>
      </c>
      <c r="S180" s="5">
        <v>2.0</v>
      </c>
      <c r="T180" s="5">
        <v>5266.424233</v>
      </c>
    </row>
    <row r="181">
      <c r="A181" s="4" t="s">
        <v>311</v>
      </c>
      <c r="B181" s="4" t="str">
        <f>IFERROR(__xludf.DUMMYFUNCTION("SPLIT(A181:A907, ""&gt;"")"),"Online Behavior")</f>
        <v>Online Behavior</v>
      </c>
      <c r="C181" s="4" t="str">
        <f>IFERROR(__xludf.DUMMYFUNCTION("""COMPUTED_VALUE"""),"United States")</f>
        <v>United States</v>
      </c>
      <c r="D181" s="4" t="str">
        <f>IFERROR(__xludf.DUMMYFUNCTION("""COMPUTED_VALUE"""),"Food and Drink")</f>
        <v>Food and Drink</v>
      </c>
      <c r="E181" s="4" t="str">
        <f>IFERROR(__xludf.DUMMYFUNCTION("""COMPUTED_VALUE"""),"Food and Grocery Delivery")</f>
        <v>Food and Grocery Delivery</v>
      </c>
      <c r="F181" s="4"/>
      <c r="G181" s="4"/>
      <c r="H181" s="4"/>
      <c r="I181" s="5" t="s">
        <v>15</v>
      </c>
      <c r="J181" s="5" t="s">
        <v>31</v>
      </c>
      <c r="K181" s="5" t="s">
        <v>35</v>
      </c>
      <c r="L181" s="6" t="s">
        <v>297</v>
      </c>
      <c r="M181" s="5" t="s">
        <v>19</v>
      </c>
      <c r="N181" s="5" t="s">
        <v>27</v>
      </c>
      <c r="O181" s="5">
        <v>262807.0</v>
      </c>
      <c r="P181" s="5">
        <v>684.0</v>
      </c>
      <c r="Q181" s="5">
        <v>109871.0</v>
      </c>
      <c r="R181" s="5">
        <v>236426.0</v>
      </c>
      <c r="S181" s="5">
        <v>12.0</v>
      </c>
      <c r="T181" s="5">
        <v>5150.468923</v>
      </c>
    </row>
    <row r="182">
      <c r="A182" s="4" t="s">
        <v>1229</v>
      </c>
      <c r="B182" s="4" t="str">
        <f>IFERROR(__xludf.DUMMYFUNCTION("SPLIT(A182:A908, ""&gt;"")"),"Online Behavior")</f>
        <v>Online Behavior</v>
      </c>
      <c r="C182" s="4" t="str">
        <f>IFERROR(__xludf.DUMMYFUNCTION("""COMPUTED_VALUE"""),"United States")</f>
        <v>United States</v>
      </c>
      <c r="D182" s="4" t="str">
        <f>IFERROR(__xludf.DUMMYFUNCTION("""COMPUTED_VALUE"""),"Sports")</f>
        <v>Sports</v>
      </c>
      <c r="E182" s="4" t="str">
        <f>IFERROR(__xludf.DUMMYFUNCTION("""COMPUTED_VALUE"""),"Sports League ")</f>
        <v>Sports League </v>
      </c>
      <c r="F182" s="4" t="str">
        <f>IFERROR(__xludf.DUMMYFUNCTION("""COMPUTED_VALUE""")," NHL")</f>
        <v> NHL</v>
      </c>
      <c r="G182" s="4"/>
      <c r="H182" s="4"/>
      <c r="I182" s="5" t="s">
        <v>15</v>
      </c>
      <c r="J182" s="5" t="s">
        <v>31</v>
      </c>
      <c r="K182" s="5" t="s">
        <v>35</v>
      </c>
      <c r="L182" s="6" t="s">
        <v>297</v>
      </c>
      <c r="M182" s="5" t="s">
        <v>117</v>
      </c>
      <c r="N182" s="5" t="s">
        <v>27</v>
      </c>
      <c r="O182" s="5">
        <v>56945.0</v>
      </c>
      <c r="P182" s="5">
        <v>152.0</v>
      </c>
      <c r="Q182" s="5">
        <v>20750.0</v>
      </c>
      <c r="R182" s="5">
        <v>50714.0</v>
      </c>
      <c r="S182" s="5">
        <v>9.0</v>
      </c>
      <c r="T182" s="5">
        <v>5144.474371</v>
      </c>
    </row>
    <row r="183">
      <c r="A183" s="4" t="s">
        <v>1230</v>
      </c>
      <c r="B183" s="4" t="str">
        <f>IFERROR(__xludf.DUMMYFUNCTION("SPLIT(A183:A909, ""&gt;"")"),"Online Behavior")</f>
        <v>Online Behavior</v>
      </c>
      <c r="C183" s="4" t="str">
        <f>IFERROR(__xludf.DUMMYFUNCTION("""COMPUTED_VALUE"""),"United States")</f>
        <v>United States</v>
      </c>
      <c r="D183" s="4" t="str">
        <f>IFERROR(__xludf.DUMMYFUNCTION("""COMPUTED_VALUE"""),"Sports")</f>
        <v>Sports</v>
      </c>
      <c r="E183" s="4" t="str">
        <f>IFERROR(__xludf.DUMMYFUNCTION("""COMPUTED_VALUE"""),"Water Sports ")</f>
        <v>Water Sports </v>
      </c>
      <c r="F183" s="4" t="str">
        <f>IFERROR(__xludf.DUMMYFUNCTION("""COMPUTED_VALUE""")," Surfing")</f>
        <v> Surfing</v>
      </c>
      <c r="G183" s="4"/>
      <c r="H183" s="4"/>
      <c r="I183" s="5" t="s">
        <v>15</v>
      </c>
      <c r="J183" s="5" t="s">
        <v>23</v>
      </c>
      <c r="K183" s="5" t="s">
        <v>39</v>
      </c>
      <c r="L183" s="6" t="s">
        <v>297</v>
      </c>
      <c r="M183" s="5" t="s">
        <v>19</v>
      </c>
      <c r="N183" s="5" t="s">
        <v>27</v>
      </c>
      <c r="O183" s="5">
        <v>23983.0</v>
      </c>
      <c r="P183" s="5">
        <v>0.0</v>
      </c>
      <c r="Q183" s="5">
        <v>464.0</v>
      </c>
      <c r="R183" s="5">
        <v>19802.0</v>
      </c>
      <c r="S183" s="5">
        <v>9.0</v>
      </c>
      <c r="T183" s="5">
        <v>4574.34827</v>
      </c>
    </row>
    <row r="184">
      <c r="A184" s="4" t="s">
        <v>1783</v>
      </c>
      <c r="B184" s="4" t="str">
        <f>IFERROR(__xludf.DUMMYFUNCTION("SPLIT(A184:A910, ""&gt;"")"),"US ")</f>
        <v>US </v>
      </c>
      <c r="C184" s="4" t="str">
        <f>IFERROR(__xludf.DUMMYFUNCTION("""COMPUTED_VALUE""")," AUTO ")</f>
        <v> AUTO </v>
      </c>
      <c r="D184" s="4" t="str">
        <f>IFERROR(__xludf.DUMMYFUNCTION("""COMPUTED_VALUE""")," Decision Maker for Auto Purchase ")</f>
        <v> Decision Maker for Auto Purchase </v>
      </c>
      <c r="E184" s="4" t="str">
        <f>IFERROR(__xludf.DUMMYFUNCTION("""COMPUTED_VALUE""")," I shared equally in the decision")</f>
        <v> I shared equally in the decision</v>
      </c>
      <c r="F184" s="4"/>
      <c r="G184" s="4"/>
      <c r="H184" s="4"/>
      <c r="I184" s="5" t="s">
        <v>22</v>
      </c>
      <c r="J184" s="5" t="s">
        <v>23</v>
      </c>
      <c r="K184" s="5" t="s">
        <v>35</v>
      </c>
      <c r="L184" s="6" t="s">
        <v>297</v>
      </c>
      <c r="M184" s="5" t="s">
        <v>19</v>
      </c>
      <c r="N184" s="5" t="s">
        <v>27</v>
      </c>
      <c r="O184" s="5">
        <v>102884.0</v>
      </c>
      <c r="P184" s="5">
        <v>299.0</v>
      </c>
      <c r="Q184" s="5">
        <v>42841.0</v>
      </c>
      <c r="R184" s="5">
        <v>96539.0</v>
      </c>
      <c r="S184" s="5">
        <v>6.0</v>
      </c>
      <c r="T184" s="5">
        <v>2015.448331</v>
      </c>
    </row>
    <row r="185">
      <c r="A185" s="4" t="s">
        <v>1784</v>
      </c>
      <c r="B185" s="4" t="str">
        <f>IFERROR(__xludf.DUMMYFUNCTION("SPLIT(A185:A911, ""&gt;"")"),"US ")</f>
        <v>US </v>
      </c>
      <c r="C185" s="4" t="str">
        <f>IFERROR(__xludf.DUMMYFUNCTION("""COMPUTED_VALUE""")," B2B ")</f>
        <v> B2B </v>
      </c>
      <c r="D185" s="4" t="str">
        <f>IFERROR(__xludf.DUMMYFUNCTION("""COMPUTED_VALUE""")," B2B Decision Maker Responsibilities ")</f>
        <v> B2B Decision Maker Responsibilities </v>
      </c>
      <c r="E185" s="4" t="str">
        <f>IFERROR(__xludf.DUMMYFUNCTION("""COMPUTED_VALUE""")," Office Supplies or Equipment")</f>
        <v> Office Supplies or Equipment</v>
      </c>
      <c r="F185" s="4"/>
      <c r="G185" s="4"/>
      <c r="H185" s="4"/>
      <c r="I185" s="5" t="s">
        <v>15</v>
      </c>
      <c r="J185" s="5" t="s">
        <v>23</v>
      </c>
      <c r="K185" s="5" t="s">
        <v>17</v>
      </c>
      <c r="L185" s="6" t="s">
        <v>297</v>
      </c>
      <c r="M185" s="5" t="s">
        <v>19</v>
      </c>
      <c r="N185" s="5" t="s">
        <v>52</v>
      </c>
      <c r="O185" s="5">
        <v>55692.0</v>
      </c>
      <c r="P185" s="5">
        <v>184.0</v>
      </c>
      <c r="Q185" s="5">
        <v>3596.0</v>
      </c>
      <c r="R185" s="5">
        <v>51209.0</v>
      </c>
      <c r="S185" s="5">
        <v>9.0</v>
      </c>
      <c r="T185" s="5">
        <v>1981.050288</v>
      </c>
    </row>
    <row r="186">
      <c r="A186" s="4" t="s">
        <v>1785</v>
      </c>
      <c r="B186" s="4" t="str">
        <f>IFERROR(__xludf.DUMMYFUNCTION("SPLIT(A186:A912, ""&gt;"")"),"US ")</f>
        <v>US </v>
      </c>
      <c r="C186" s="4" t="str">
        <f>IFERROR(__xludf.DUMMYFUNCTION("""COMPUTED_VALUE""")," Reach ")</f>
        <v> Reach </v>
      </c>
      <c r="D186" s="4" t="str">
        <f>IFERROR(__xludf.DUMMYFUNCTION("""COMPUTED_VALUE""")," Propensity Models ")</f>
        <v> Propensity Models </v>
      </c>
      <c r="E186" s="4" t="str">
        <f>IFERROR(__xludf.DUMMYFUNCTION("""COMPUTED_VALUE""")," Hobbies and Interest ")</f>
        <v> Hobbies and Interest </v>
      </c>
      <c r="F186" s="4" t="str">
        <f>IFERROR(__xludf.DUMMYFUNCTION("""COMPUTED_VALUE""")," Pets ")</f>
        <v> Pets </v>
      </c>
      <c r="G186" s="4" t="str">
        <f>IFERROR(__xludf.DUMMYFUNCTION("""COMPUTED_VALUE""")," Cat Owners")</f>
        <v> Cat Owners</v>
      </c>
      <c r="H186" s="4"/>
      <c r="I186" s="5" t="s">
        <v>15</v>
      </c>
      <c r="J186" s="5" t="s">
        <v>23</v>
      </c>
      <c r="K186" s="5" t="s">
        <v>17</v>
      </c>
      <c r="L186" s="6" t="s">
        <v>297</v>
      </c>
      <c r="M186" s="5" t="s">
        <v>46</v>
      </c>
      <c r="N186" s="5" t="s">
        <v>20</v>
      </c>
      <c r="O186" s="5">
        <v>63460.0</v>
      </c>
      <c r="P186" s="5">
        <v>212.0</v>
      </c>
      <c r="Q186" s="5">
        <v>26978.0</v>
      </c>
      <c r="R186" s="5">
        <v>59516.0</v>
      </c>
      <c r="S186" s="5">
        <v>4.0</v>
      </c>
      <c r="T186" s="5">
        <v>1945.433188</v>
      </c>
    </row>
    <row r="187">
      <c r="A187" s="4" t="s">
        <v>1234</v>
      </c>
      <c r="B187" s="4" t="str">
        <f>IFERROR(__xludf.DUMMYFUNCTION("SPLIT(A187:A913, ""&gt;"")"),"OnAudience ")</f>
        <v>OnAudience </v>
      </c>
      <c r="C187" s="4" t="str">
        <f>IFERROR(__xludf.DUMMYFUNCTION("""COMPUTED_VALUE""")," Interest ")</f>
        <v> Interest </v>
      </c>
      <c r="D187" s="4" t="str">
        <f>IFERROR(__xludf.DUMMYFUNCTION("""COMPUTED_VALUE""")," Life Stage")</f>
        <v> Life Stage</v>
      </c>
      <c r="E187" s="4"/>
      <c r="F187" s="4"/>
      <c r="G187" s="4"/>
      <c r="H187" s="4"/>
      <c r="I187" s="5" t="s">
        <v>15</v>
      </c>
      <c r="J187" s="5" t="s">
        <v>42</v>
      </c>
      <c r="K187" s="5" t="s">
        <v>142</v>
      </c>
      <c r="L187" s="6" t="s">
        <v>297</v>
      </c>
      <c r="M187" s="5" t="s">
        <v>19</v>
      </c>
      <c r="N187" s="5" t="s">
        <v>27</v>
      </c>
      <c r="O187" s="5">
        <v>189462.0</v>
      </c>
      <c r="P187" s="5">
        <v>478.0</v>
      </c>
      <c r="Q187" s="5">
        <v>53431.0</v>
      </c>
      <c r="R187" s="5">
        <v>163634.0</v>
      </c>
      <c r="S187" s="5">
        <v>5.0</v>
      </c>
      <c r="T187" s="5">
        <v>1625.17488</v>
      </c>
    </row>
    <row r="188">
      <c r="A188" s="4" t="s">
        <v>1786</v>
      </c>
      <c r="B188" s="4" t="str">
        <f>IFERROR(__xludf.DUMMYFUNCTION("SPLIT(A188:A914, ""&gt;"")"),"US ")</f>
        <v>US </v>
      </c>
      <c r="C188" s="4" t="str">
        <f>IFERROR(__xludf.DUMMYFUNCTION("""COMPUTED_VALUE""")," Interest Propensities ")</f>
        <v> Interest Propensities </v>
      </c>
      <c r="D188" s="4" t="str">
        <f>IFERROR(__xludf.DUMMYFUNCTION("""COMPUTED_VALUE""")," Activities and Interests ")</f>
        <v> Activities and Interests </v>
      </c>
      <c r="E188" s="4" t="str">
        <f>IFERROR(__xludf.DUMMYFUNCTION("""COMPUTED_VALUE""")," Fashion")</f>
        <v> Fashion</v>
      </c>
      <c r="F188" s="4"/>
      <c r="G188" s="4"/>
      <c r="H188" s="4"/>
      <c r="I188" s="5" t="s">
        <v>15</v>
      </c>
      <c r="J188" s="5" t="s">
        <v>31</v>
      </c>
      <c r="K188" s="5" t="s">
        <v>95</v>
      </c>
      <c r="L188" s="6" t="s">
        <v>297</v>
      </c>
      <c r="M188" s="5" t="s">
        <v>26</v>
      </c>
      <c r="N188" s="5" t="s">
        <v>52</v>
      </c>
      <c r="O188" s="5">
        <v>61442.0</v>
      </c>
      <c r="P188" s="5">
        <v>190.0</v>
      </c>
      <c r="Q188" s="5">
        <v>17048.0</v>
      </c>
      <c r="R188" s="5">
        <v>54166.0</v>
      </c>
      <c r="S188" s="5">
        <v>1.0</v>
      </c>
      <c r="T188" s="5">
        <v>1609.149933</v>
      </c>
    </row>
    <row r="189">
      <c r="A189" s="4" t="s">
        <v>1787</v>
      </c>
      <c r="B189" s="4" t="str">
        <f>IFERROR(__xludf.DUMMYFUNCTION("SPLIT(A189:A915, ""&gt;"")"),"Mobile - US ")</f>
        <v>Mobile - US </v>
      </c>
      <c r="C189" s="4" t="str">
        <f>IFERROR(__xludf.DUMMYFUNCTION("""COMPUTED_VALUE""")," Travel ")</f>
        <v> Travel </v>
      </c>
      <c r="D189" s="4" t="str">
        <f>IFERROR(__xludf.DUMMYFUNCTION("""COMPUTED_VALUE""")," Car Rentals ")</f>
        <v> Car Rentals </v>
      </c>
      <c r="E189" s="4" t="str">
        <f>IFERROR(__xludf.DUMMYFUNCTION("""COMPUTED_VALUE""")," Hertz")</f>
        <v> Hertz</v>
      </c>
      <c r="F189" s="4"/>
      <c r="G189" s="4"/>
      <c r="H189" s="4"/>
      <c r="I189" s="5" t="s">
        <v>22</v>
      </c>
      <c r="J189" s="5" t="s">
        <v>23</v>
      </c>
      <c r="K189" s="5" t="s">
        <v>35</v>
      </c>
      <c r="L189" s="6" t="s">
        <v>297</v>
      </c>
      <c r="M189" s="5" t="s">
        <v>46</v>
      </c>
      <c r="N189" s="5" t="s">
        <v>27</v>
      </c>
      <c r="O189" s="5">
        <v>87287.0</v>
      </c>
      <c r="P189" s="5">
        <v>203.0</v>
      </c>
      <c r="Q189" s="5">
        <v>40039.0</v>
      </c>
      <c r="R189" s="5">
        <v>80040.0</v>
      </c>
      <c r="S189" s="5">
        <v>18.0</v>
      </c>
      <c r="T189" s="5">
        <v>1579.367346</v>
      </c>
    </row>
    <row r="190">
      <c r="A190" s="4" t="s">
        <v>1237</v>
      </c>
      <c r="B190" s="4" t="str">
        <f>IFERROR(__xludf.DUMMYFUNCTION("SPLIT(A190:A916, ""&gt;"")"),"OnAudience ")</f>
        <v>OnAudience </v>
      </c>
      <c r="C190" s="4" t="str">
        <f>IFERROR(__xludf.DUMMYFUNCTION("""COMPUTED_VALUE""")," Interest ")</f>
        <v> Interest </v>
      </c>
      <c r="D190" s="4" t="str">
        <f>IFERROR(__xludf.DUMMYFUNCTION("""COMPUTED_VALUE""")," Arts &amp; Entertainment ")</f>
        <v> Arts &amp; Entertainment </v>
      </c>
      <c r="E190" s="4" t="str">
        <f>IFERROR(__xludf.DUMMYFUNCTION("""COMPUTED_VALUE""")," Celebrity Fan ")</f>
        <v> Celebrity Fan </v>
      </c>
      <c r="F190" s="4" t="str">
        <f>IFERROR(__xludf.DUMMYFUNCTION("""COMPUTED_VALUE""")," Gossip")</f>
        <v> Gossip</v>
      </c>
      <c r="G190" s="4"/>
      <c r="H190" s="4"/>
      <c r="I190" s="5" t="s">
        <v>15</v>
      </c>
      <c r="J190" s="5" t="s">
        <v>16</v>
      </c>
      <c r="K190" s="5" t="s">
        <v>17</v>
      </c>
      <c r="L190" s="6" t="s">
        <v>297</v>
      </c>
      <c r="M190" s="5" t="s">
        <v>46</v>
      </c>
      <c r="N190" s="5" t="s">
        <v>27</v>
      </c>
      <c r="O190" s="5">
        <v>77703.0</v>
      </c>
      <c r="P190" s="5">
        <v>204.0</v>
      </c>
      <c r="Q190" s="5">
        <v>33478.0</v>
      </c>
      <c r="R190" s="5">
        <v>72874.0</v>
      </c>
      <c r="S190" s="5">
        <v>3.0</v>
      </c>
      <c r="T190" s="5">
        <v>1566.912406</v>
      </c>
    </row>
    <row r="191">
      <c r="A191" s="4" t="s">
        <v>1788</v>
      </c>
      <c r="B191" s="4" t="str">
        <f>IFERROR(__xludf.DUMMYFUNCTION("SPLIT(A191:A917, ""&gt;"")"),"Mobile - US ")</f>
        <v>Mobile - US </v>
      </c>
      <c r="C191" s="4" t="str">
        <f>IFERROR(__xludf.DUMMYFUNCTION("""COMPUTED_VALUE""")," Device Ownership ")</f>
        <v> Device Ownership </v>
      </c>
      <c r="D191" s="4" t="str">
        <f>IFERROR(__xludf.DUMMYFUNCTION("""COMPUTED_VALUE""")," Smartphones ")</f>
        <v> Smartphones </v>
      </c>
      <c r="E191" s="4" t="str">
        <f>IFERROR(__xludf.DUMMYFUNCTION("""COMPUTED_VALUE""")," ZTE")</f>
        <v> ZTE</v>
      </c>
      <c r="F191" s="4"/>
      <c r="G191" s="4"/>
      <c r="H191" s="4"/>
      <c r="I191" s="5" t="s">
        <v>15</v>
      </c>
      <c r="J191" s="5" t="s">
        <v>42</v>
      </c>
      <c r="K191" s="5" t="s">
        <v>84</v>
      </c>
      <c r="L191" s="6" t="s">
        <v>297</v>
      </c>
      <c r="M191" s="5" t="s">
        <v>46</v>
      </c>
      <c r="N191" s="5" t="s">
        <v>52</v>
      </c>
      <c r="O191" s="5">
        <v>74436.0</v>
      </c>
      <c r="P191" s="5">
        <v>175.0</v>
      </c>
      <c r="Q191" s="5">
        <v>30158.0</v>
      </c>
      <c r="R191" s="5">
        <v>69150.0</v>
      </c>
      <c r="S191" s="5">
        <v>21.0</v>
      </c>
      <c r="T191" s="5">
        <v>1558.549138</v>
      </c>
    </row>
    <row r="192">
      <c r="A192" s="4" t="s">
        <v>1789</v>
      </c>
      <c r="B192" s="4" t="str">
        <f>IFERROR(__xludf.DUMMYFUNCTION("SPLIT(A192:A918, ""&gt;"")"),"US ")</f>
        <v>US </v>
      </c>
      <c r="C192" s="4" t="str">
        <f>IFERROR(__xludf.DUMMYFUNCTION("""COMPUTED_VALUE""")," Brand Propensities ")</f>
        <v> Brand Propensities </v>
      </c>
      <c r="D192" s="4" t="str">
        <f>IFERROR(__xludf.DUMMYFUNCTION("""COMPUTED_VALUE""")," Health ")</f>
        <v> Health </v>
      </c>
      <c r="E192" s="4" t="str">
        <f>IFERROR(__xludf.DUMMYFUNCTION("""COMPUTED_VALUE""")," Beauty and Cosmetics ")</f>
        <v> Beauty and Cosmetics </v>
      </c>
      <c r="F192" s="4" t="str">
        <f>IFERROR(__xludf.DUMMYFUNCTION("""COMPUTED_VALUE""")," SkinCareRx Buyer Propensity")</f>
        <v> SkinCareRx Buyer Propensity</v>
      </c>
      <c r="G192" s="4"/>
      <c r="H192" s="4"/>
      <c r="I192" s="5" t="s">
        <v>15</v>
      </c>
      <c r="J192" s="5" t="s">
        <v>42</v>
      </c>
      <c r="K192" s="5" t="s">
        <v>39</v>
      </c>
      <c r="L192" s="6" t="s">
        <v>297</v>
      </c>
      <c r="M192" s="5" t="s">
        <v>50</v>
      </c>
      <c r="N192" s="5" t="s">
        <v>27</v>
      </c>
      <c r="O192" s="5">
        <v>435848.0</v>
      </c>
      <c r="P192" s="5">
        <v>1058.0</v>
      </c>
      <c r="Q192" s="5">
        <v>274912.0</v>
      </c>
      <c r="R192" s="5">
        <v>415601.0</v>
      </c>
      <c r="S192" s="5">
        <v>15.0</v>
      </c>
      <c r="T192" s="5">
        <v>1554.439959</v>
      </c>
    </row>
    <row r="193">
      <c r="A193" s="4" t="s">
        <v>1790</v>
      </c>
      <c r="B193" s="4" t="str">
        <f>IFERROR(__xludf.DUMMYFUNCTION("SPLIT(A193:A919, ""&gt;"")"),"Mobile - US ")</f>
        <v>Mobile - US </v>
      </c>
      <c r="C193" s="4" t="str">
        <f>IFERROR(__xludf.DUMMYFUNCTION("""COMPUTED_VALUE""")," Food ")</f>
        <v> Food </v>
      </c>
      <c r="D193" s="4" t="str">
        <f>IFERROR(__xludf.DUMMYFUNCTION("""COMPUTED_VALUE""")," Restaurant ")</f>
        <v> Restaurant </v>
      </c>
      <c r="E193" s="4" t="str">
        <f>IFERROR(__xludf.DUMMYFUNCTION("""COMPUTED_VALUE""")," Brand ")</f>
        <v> Brand </v>
      </c>
      <c r="F193" s="4" t="str">
        <f>IFERROR(__xludf.DUMMYFUNCTION("""COMPUTED_VALUE""")," Five Guys")</f>
        <v> Five Guys</v>
      </c>
      <c r="G193" s="4"/>
      <c r="H193" s="4"/>
      <c r="I193" s="5" t="s">
        <v>15</v>
      </c>
      <c r="J193" s="5" t="s">
        <v>42</v>
      </c>
      <c r="K193" s="5" t="s">
        <v>35</v>
      </c>
      <c r="L193" s="6" t="s">
        <v>297</v>
      </c>
      <c r="M193" s="5" t="s">
        <v>46</v>
      </c>
      <c r="N193" s="5" t="s">
        <v>27</v>
      </c>
      <c r="O193" s="5">
        <v>9210.0</v>
      </c>
      <c r="P193" s="5">
        <v>80.0</v>
      </c>
      <c r="Q193" s="5">
        <v>3798.0</v>
      </c>
      <c r="R193" s="5">
        <v>8619.0</v>
      </c>
      <c r="S193" s="5">
        <v>2.0</v>
      </c>
      <c r="T193" s="5">
        <v>1536.629068</v>
      </c>
    </row>
    <row r="194">
      <c r="A194" s="4" t="s">
        <v>1791</v>
      </c>
      <c r="B194" s="4" t="str">
        <f>IFERROR(__xludf.DUMMYFUNCTION("SPLIT(A194:A920, ""&gt;"")"),"US ")</f>
        <v>US </v>
      </c>
      <c r="C194" s="4" t="str">
        <f>IFERROR(__xludf.DUMMYFUNCTION("""COMPUTED_VALUE""")," Brand Propensities ")</f>
        <v> Brand Propensities </v>
      </c>
      <c r="D194" s="4" t="str">
        <f>IFERROR(__xludf.DUMMYFUNCTION("""COMPUTED_VALUE""")," Health ")</f>
        <v> Health </v>
      </c>
      <c r="E194" s="4" t="str">
        <f>IFERROR(__xludf.DUMMYFUNCTION("""COMPUTED_VALUE""")," Beauty and Cosmetics ")</f>
        <v> Beauty and Cosmetics </v>
      </c>
      <c r="F194" s="4" t="str">
        <f>IFERROR(__xludf.DUMMYFUNCTION("""COMPUTED_VALUE""")," Mary Kay Buyer Propensity")</f>
        <v> Mary Kay Buyer Propensity</v>
      </c>
      <c r="G194" s="4"/>
      <c r="H194" s="4"/>
      <c r="I194" s="5" t="s">
        <v>22</v>
      </c>
      <c r="J194" s="5" t="s">
        <v>31</v>
      </c>
      <c r="K194" s="5" t="s">
        <v>35</v>
      </c>
      <c r="L194" s="6" t="s">
        <v>297</v>
      </c>
      <c r="M194" s="5" t="s">
        <v>36</v>
      </c>
      <c r="N194" s="5" t="s">
        <v>27</v>
      </c>
      <c r="O194" s="5">
        <v>12088.0</v>
      </c>
      <c r="P194" s="5">
        <v>88.0</v>
      </c>
      <c r="Q194" s="5">
        <v>1124.0</v>
      </c>
      <c r="R194" s="5">
        <v>10003.0</v>
      </c>
      <c r="S194" s="5">
        <v>2.0</v>
      </c>
      <c r="T194" s="5">
        <v>1500.026152</v>
      </c>
    </row>
    <row r="195">
      <c r="A195" s="4" t="s">
        <v>1792</v>
      </c>
      <c r="B195" s="4" t="str">
        <f>IFERROR(__xludf.DUMMYFUNCTION("SPLIT(A195:A921, ""&gt;"")"),"US Financial ")</f>
        <v>US Financial </v>
      </c>
      <c r="C195" s="4" t="str">
        <f>IFERROR(__xludf.DUMMYFUNCTION("""COMPUTED_VALUE""")," Estimated Discretionary Spending ")</f>
        <v> Estimated Discretionary Spending </v>
      </c>
      <c r="D195" s="4" t="str">
        <f>IFERROR(__xludf.DUMMYFUNCTION("""COMPUTED_VALUE""")," Greater than $2,500")</f>
        <v> Greater than $2,500</v>
      </c>
      <c r="E195" s="4"/>
      <c r="F195" s="4"/>
      <c r="G195" s="4"/>
      <c r="H195" s="4"/>
      <c r="I195" s="5" t="s">
        <v>22</v>
      </c>
      <c r="J195" s="5" t="s">
        <v>31</v>
      </c>
      <c r="K195" s="5" t="s">
        <v>35</v>
      </c>
      <c r="L195" s="6" t="s">
        <v>297</v>
      </c>
      <c r="M195" s="5" t="s">
        <v>19</v>
      </c>
      <c r="N195" s="5" t="s">
        <v>27</v>
      </c>
      <c r="O195" s="5">
        <v>126337.0</v>
      </c>
      <c r="P195" s="5">
        <v>325.0</v>
      </c>
      <c r="Q195" s="5">
        <v>51394.0</v>
      </c>
      <c r="R195" s="5">
        <v>117635.0</v>
      </c>
      <c r="S195" s="5">
        <v>5.0</v>
      </c>
      <c r="T195" s="5">
        <v>1487.088288</v>
      </c>
    </row>
    <row r="196">
      <c r="A196" s="4" t="s">
        <v>1793</v>
      </c>
      <c r="B196" s="4" t="str">
        <f>IFERROR(__xludf.DUMMYFUNCTION("SPLIT(A196:A922, ""&gt;"")"),"US ")</f>
        <v>US </v>
      </c>
      <c r="C196" s="4" t="str">
        <f>IFERROR(__xludf.DUMMYFUNCTION("""COMPUTED_VALUE""")," Interest Propensities ")</f>
        <v> Interest Propensities </v>
      </c>
      <c r="D196" s="4" t="str">
        <f>IFERROR(__xludf.DUMMYFUNCTION("""COMPUTED_VALUE""")," Insurance ")</f>
        <v> Insurance </v>
      </c>
      <c r="E196" s="4" t="str">
        <f>IFERROR(__xludf.DUMMYFUNCTION("""COMPUTED_VALUE""")," Northwestern Mutual")</f>
        <v> Northwestern Mutual</v>
      </c>
      <c r="F196" s="4"/>
      <c r="G196" s="4"/>
      <c r="H196" s="4"/>
      <c r="I196" s="5" t="s">
        <v>15</v>
      </c>
      <c r="J196" s="5" t="s">
        <v>23</v>
      </c>
      <c r="K196" s="5" t="s">
        <v>35</v>
      </c>
      <c r="L196" s="6" t="s">
        <v>297</v>
      </c>
      <c r="M196" s="5" t="s">
        <v>327</v>
      </c>
      <c r="N196" s="5" t="s">
        <v>27</v>
      </c>
      <c r="O196" s="5">
        <v>229908.0</v>
      </c>
      <c r="P196" s="5">
        <v>489.0</v>
      </c>
      <c r="Q196" s="5">
        <v>98259.0</v>
      </c>
      <c r="R196" s="5">
        <v>212073.0</v>
      </c>
      <c r="S196" s="5">
        <v>4.0</v>
      </c>
      <c r="T196" s="5">
        <v>1464.348944</v>
      </c>
    </row>
    <row r="197">
      <c r="A197" s="4" t="s">
        <v>1244</v>
      </c>
      <c r="B197" s="4" t="str">
        <f>IFERROR(__xludf.DUMMYFUNCTION("SPLIT(A197:A923, ""&gt;"")"),"Transactional ")</f>
        <v>Transactional </v>
      </c>
      <c r="C197" s="4" t="str">
        <f>IFERROR(__xludf.DUMMYFUNCTION("""COMPUTED_VALUE""")," Q2 Graduation Gift Shoppers")</f>
        <v> Q2 Graduation Gift Shoppers</v>
      </c>
      <c r="D197" s="4"/>
      <c r="E197" s="4"/>
      <c r="F197" s="4"/>
      <c r="G197" s="4"/>
      <c r="H197" s="4"/>
      <c r="I197" s="5" t="s">
        <v>15</v>
      </c>
      <c r="J197" s="5" t="s">
        <v>23</v>
      </c>
      <c r="K197" s="5" t="s">
        <v>17</v>
      </c>
      <c r="L197" s="6" t="s">
        <v>297</v>
      </c>
      <c r="M197" s="5" t="s">
        <v>117</v>
      </c>
      <c r="N197" s="5" t="s">
        <v>27</v>
      </c>
      <c r="O197" s="5">
        <v>144088.0</v>
      </c>
      <c r="P197" s="5">
        <v>490.0</v>
      </c>
      <c r="Q197" s="5">
        <v>26416.0</v>
      </c>
      <c r="R197" s="5">
        <v>137369.0</v>
      </c>
      <c r="S197" s="5">
        <v>7.0</v>
      </c>
      <c r="T197" s="5">
        <v>1464.064235</v>
      </c>
    </row>
    <row r="198">
      <c r="A198" s="4" t="s">
        <v>1245</v>
      </c>
      <c r="B198" s="4" t="str">
        <f>IFERROR(__xludf.DUMMYFUNCTION("SPLIT(A198:A924, ""&gt;"")"),"OnAudience ")</f>
        <v>OnAudience </v>
      </c>
      <c r="C198" s="4" t="str">
        <f>IFERROR(__xludf.DUMMYFUNCTION("""COMPUTED_VALUE""")," Intent ")</f>
        <v> Intent </v>
      </c>
      <c r="D198" s="4" t="str">
        <f>IFERROR(__xludf.DUMMYFUNCTION("""COMPUTED_VALUE""")," Auto ")</f>
        <v> Auto </v>
      </c>
      <c r="E198" s="4" t="str">
        <f>IFERROR(__xludf.DUMMYFUNCTION("""COMPUTED_VALUE""")," Vehicle Parts &amp; Accessories")</f>
        <v> Vehicle Parts &amp; Accessories</v>
      </c>
      <c r="F198" s="4"/>
      <c r="G198" s="4"/>
      <c r="H198" s="4"/>
      <c r="I198" s="5" t="s">
        <v>22</v>
      </c>
      <c r="J198" s="5" t="s">
        <v>16</v>
      </c>
      <c r="K198" s="5" t="s">
        <v>32</v>
      </c>
      <c r="L198" s="6" t="s">
        <v>297</v>
      </c>
      <c r="M198" s="5" t="s">
        <v>46</v>
      </c>
      <c r="N198" s="5" t="s">
        <v>27</v>
      </c>
      <c r="O198" s="5">
        <v>37269.0</v>
      </c>
      <c r="P198" s="5">
        <v>106.0</v>
      </c>
      <c r="Q198" s="5">
        <v>11667.0</v>
      </c>
      <c r="R198" s="5">
        <v>33260.0</v>
      </c>
      <c r="S198" s="5">
        <v>6.0</v>
      </c>
      <c r="T198" s="5">
        <v>1453.075462</v>
      </c>
    </row>
    <row r="199">
      <c r="A199" s="4" t="s">
        <v>1246</v>
      </c>
      <c r="B199" s="4" t="str">
        <f>IFERROR(__xludf.DUMMYFUNCTION("SPLIT(A199:A925, ""&gt;"")"),"Lotame ")</f>
        <v>Lotame </v>
      </c>
      <c r="C199" s="4" t="str">
        <f>IFERROR(__xludf.DUMMYFUNCTION("""COMPUTED_VALUE""")," Offline CPG Purchasers ")</f>
        <v> Offline CPG Purchasers </v>
      </c>
      <c r="D199" s="4" t="str">
        <f>IFERROR(__xludf.DUMMYFUNCTION("""COMPUTED_VALUE""")," Product Segment ")</f>
        <v> Product Segment </v>
      </c>
      <c r="E199" s="4" t="str">
        <f>IFERROR(__xludf.DUMMYFUNCTION("""COMPUTED_VALUE""")," Home Supplies")</f>
        <v> Home Supplies</v>
      </c>
      <c r="F199" s="4"/>
      <c r="G199" s="4"/>
      <c r="H199" s="4"/>
      <c r="I199" s="5" t="s">
        <v>15</v>
      </c>
      <c r="J199" s="5" t="s">
        <v>23</v>
      </c>
      <c r="K199" s="5" t="s">
        <v>17</v>
      </c>
      <c r="L199" s="6" t="s">
        <v>297</v>
      </c>
      <c r="M199" s="5" t="s">
        <v>26</v>
      </c>
      <c r="N199" s="5" t="s">
        <v>27</v>
      </c>
      <c r="O199" s="5">
        <v>13326.0</v>
      </c>
      <c r="P199" s="5">
        <v>98.0</v>
      </c>
      <c r="Q199" s="5">
        <v>3568.0</v>
      </c>
      <c r="R199" s="5">
        <v>11388.0</v>
      </c>
      <c r="S199" s="5">
        <v>2.0</v>
      </c>
      <c r="T199" s="5">
        <v>1442.032183</v>
      </c>
    </row>
    <row r="200">
      <c r="A200" s="4" t="s">
        <v>1247</v>
      </c>
      <c r="B200" s="4" t="str">
        <f>IFERROR(__xludf.DUMMYFUNCTION("SPLIT(A200:A926, ""&gt;"")"),"Media and Entertainment ")</f>
        <v>Media and Entertainment </v>
      </c>
      <c r="C200" s="4" t="str">
        <f>IFERROR(__xludf.DUMMYFUNCTION("""COMPUTED_VALUE""")," Consumer Entertainment Technology")</f>
        <v> Consumer Entertainment Technology</v>
      </c>
      <c r="D200" s="4"/>
      <c r="E200" s="4"/>
      <c r="F200" s="4"/>
      <c r="G200" s="4"/>
      <c r="H200" s="4"/>
      <c r="I200" s="5" t="s">
        <v>15</v>
      </c>
      <c r="J200" s="5" t="s">
        <v>31</v>
      </c>
      <c r="K200" s="5" t="s">
        <v>78</v>
      </c>
      <c r="L200" s="6" t="s">
        <v>332</v>
      </c>
      <c r="M200" s="5" t="s">
        <v>19</v>
      </c>
      <c r="N200" s="5" t="s">
        <v>27</v>
      </c>
      <c r="O200" s="5">
        <v>10942.0</v>
      </c>
      <c r="P200" s="5">
        <v>66.0</v>
      </c>
      <c r="Q200" s="5">
        <v>4578.0</v>
      </c>
      <c r="R200" s="5">
        <v>9155.0</v>
      </c>
      <c r="S200" s="5">
        <v>3.0</v>
      </c>
      <c r="T200" s="5">
        <v>1595.752624</v>
      </c>
    </row>
    <row r="201">
      <c r="A201" s="4" t="s">
        <v>1248</v>
      </c>
      <c r="B201" s="4" t="str">
        <f>IFERROR(__xludf.DUMMYFUNCTION("SPLIT(A201:A927, ""&gt;"")"),"Online Behavior")</f>
        <v>Online Behavior</v>
      </c>
      <c r="C201" s="4" t="str">
        <f>IFERROR(__xludf.DUMMYFUNCTION("""COMPUTED_VALUE"""),"United States")</f>
        <v>United States</v>
      </c>
      <c r="D201" s="4" t="str">
        <f>IFERROR(__xludf.DUMMYFUNCTION("""COMPUTED_VALUE"""),"Autos and Vehicles ")</f>
        <v>Autos and Vehicles </v>
      </c>
      <c r="E201" s="4" t="str">
        <f>IFERROR(__xludf.DUMMYFUNCTION("""COMPUTED_VALUE""")," Brands")</f>
        <v> Brands</v>
      </c>
      <c r="F201" s="4" t="str">
        <f>IFERROR(__xludf.DUMMYFUNCTION("""COMPUTED_VALUE"""),"Cadillac")</f>
        <v>Cadillac</v>
      </c>
      <c r="G201" s="4"/>
      <c r="H201" s="4"/>
      <c r="I201" s="5" t="s">
        <v>22</v>
      </c>
      <c r="J201" s="5" t="s">
        <v>16</v>
      </c>
      <c r="K201" s="5" t="s">
        <v>150</v>
      </c>
      <c r="L201" s="6" t="s">
        <v>334</v>
      </c>
      <c r="M201" s="5" t="s">
        <v>19</v>
      </c>
      <c r="N201" s="5" t="s">
        <v>27</v>
      </c>
      <c r="O201" s="5">
        <v>14011.0</v>
      </c>
      <c r="P201" s="5">
        <v>40.0</v>
      </c>
      <c r="Q201" s="5">
        <v>5060.0</v>
      </c>
      <c r="R201" s="5">
        <v>12459.0</v>
      </c>
      <c r="S201" s="5">
        <v>5.0</v>
      </c>
      <c r="T201" s="5">
        <v>5632.087973</v>
      </c>
    </row>
    <row r="202">
      <c r="A202" s="4" t="s">
        <v>1249</v>
      </c>
      <c r="B202" s="4" t="str">
        <f>IFERROR(__xludf.DUMMYFUNCTION("SPLIT(A202:A928, ""&gt;"")"),"Lotame ")</f>
        <v>Lotame </v>
      </c>
      <c r="C202" s="4" t="str">
        <f>IFERROR(__xludf.DUMMYFUNCTION("""COMPUTED_VALUE""")," Travel ")</f>
        <v> Travel </v>
      </c>
      <c r="D202" s="4" t="str">
        <f>IFERROR(__xludf.DUMMYFUNCTION("""COMPUTED_VALUE""")," International Travel")</f>
        <v> International Travel</v>
      </c>
      <c r="E202" s="4"/>
      <c r="F202" s="4"/>
      <c r="G202" s="4"/>
      <c r="H202" s="4"/>
      <c r="I202" s="5" t="s">
        <v>15</v>
      </c>
      <c r="J202" s="5" t="s">
        <v>42</v>
      </c>
      <c r="K202" s="5" t="s">
        <v>29</v>
      </c>
      <c r="L202" s="6" t="s">
        <v>336</v>
      </c>
      <c r="M202" s="5" t="s">
        <v>19</v>
      </c>
      <c r="N202" s="5" t="s">
        <v>27</v>
      </c>
      <c r="O202" s="5">
        <v>13464.0</v>
      </c>
      <c r="P202" s="5">
        <v>84.0</v>
      </c>
      <c r="Q202" s="5">
        <v>1698.0</v>
      </c>
      <c r="R202" s="5">
        <v>11234.0</v>
      </c>
      <c r="S202" s="5">
        <v>1.0</v>
      </c>
      <c r="T202" s="5">
        <v>1466.285104</v>
      </c>
    </row>
    <row r="203">
      <c r="A203" s="4" t="s">
        <v>1250</v>
      </c>
      <c r="B203" s="4" t="str">
        <f>IFERROR(__xludf.DUMMYFUNCTION("SPLIT(A203:A929, ""&gt;"")"),"Online Behavior")</f>
        <v>Online Behavior</v>
      </c>
      <c r="C203" s="4" t="str">
        <f>IFERROR(__xludf.DUMMYFUNCTION("""COMPUTED_VALUE"""),"United States")</f>
        <v>United States</v>
      </c>
      <c r="D203" s="4" t="str">
        <f>IFERROR(__xludf.DUMMYFUNCTION("""COMPUTED_VALUE"""),"Validated Demographic ")</f>
        <v>Validated Demographic </v>
      </c>
      <c r="E203" s="4" t="str">
        <f>IFERROR(__xludf.DUMMYFUNCTION("""COMPUTED_VALUE""")," Gender and Age Combined")</f>
        <v> Gender and Age Combined</v>
      </c>
      <c r="F203" s="4" t="str">
        <f>IFERROR(__xludf.DUMMYFUNCTION("""COMPUTED_VALUE"""),"Females 35-44")</f>
        <v>Females 35-44</v>
      </c>
      <c r="G203" s="4"/>
      <c r="H203" s="4"/>
      <c r="I203" s="5" t="s">
        <v>15</v>
      </c>
      <c r="J203" s="5" t="s">
        <v>31</v>
      </c>
      <c r="K203" s="5" t="s">
        <v>84</v>
      </c>
      <c r="L203" s="6" t="s">
        <v>338</v>
      </c>
      <c r="M203" s="5" t="s">
        <v>26</v>
      </c>
      <c r="N203" s="5" t="s">
        <v>27</v>
      </c>
      <c r="O203" s="5">
        <v>121991.0</v>
      </c>
      <c r="P203" s="5">
        <v>369.0</v>
      </c>
      <c r="Q203" s="5">
        <v>43079.0</v>
      </c>
      <c r="R203" s="5">
        <v>99312.0</v>
      </c>
      <c r="S203" s="5">
        <v>4.0</v>
      </c>
      <c r="T203" s="5">
        <v>3993.214585</v>
      </c>
    </row>
    <row r="204">
      <c r="A204" s="4" t="s">
        <v>1251</v>
      </c>
      <c r="B204" s="4" t="str">
        <f>IFERROR(__xludf.DUMMYFUNCTION("SPLIT(A204:A930, ""&gt;"")"),"Online Behavior")</f>
        <v>Online Behavior</v>
      </c>
      <c r="C204" s="4" t="str">
        <f>IFERROR(__xludf.DUMMYFUNCTION("""COMPUTED_VALUE"""),"United States")</f>
        <v>United States</v>
      </c>
      <c r="D204" s="4" t="str">
        <f>IFERROR(__xludf.DUMMYFUNCTION("""COMPUTED_VALUE"""),"B2B ")</f>
        <v>B2B </v>
      </c>
      <c r="E204" s="4" t="str">
        <f>IFERROR(__xludf.DUMMYFUNCTION("""COMPUTED_VALUE""")," Occupation")</f>
        <v> Occupation</v>
      </c>
      <c r="F204" s="4" t="str">
        <f>IFERROR(__xludf.DUMMYFUNCTION("""COMPUTED_VALUE"""),"SystemsAnalyst")</f>
        <v>SystemsAnalyst</v>
      </c>
      <c r="G204" s="4"/>
      <c r="H204" s="4"/>
      <c r="I204" s="5" t="s">
        <v>22</v>
      </c>
      <c r="J204" s="5" t="s">
        <v>31</v>
      </c>
      <c r="K204" s="5" t="s">
        <v>35</v>
      </c>
      <c r="L204" s="6" t="s">
        <v>338</v>
      </c>
      <c r="M204" s="5" t="s">
        <v>19</v>
      </c>
      <c r="N204" s="5" t="s">
        <v>27</v>
      </c>
      <c r="O204" s="5">
        <v>95289.0</v>
      </c>
      <c r="P204" s="5">
        <v>199.0</v>
      </c>
      <c r="Q204" s="5">
        <v>19527.0</v>
      </c>
      <c r="R204" s="5">
        <v>82800.0</v>
      </c>
      <c r="S204" s="5">
        <v>5.0</v>
      </c>
      <c r="T204" s="5">
        <v>3223.535948</v>
      </c>
    </row>
    <row r="205">
      <c r="A205" s="4" t="s">
        <v>1252</v>
      </c>
      <c r="B205" s="4" t="str">
        <f>IFERROR(__xludf.DUMMYFUNCTION("SPLIT(A205:A931, ""&gt;"")"),"OnAudience ")</f>
        <v>OnAudience </v>
      </c>
      <c r="C205" s="4" t="str">
        <f>IFERROR(__xludf.DUMMYFUNCTION("""COMPUTED_VALUE""")," Interest ")</f>
        <v> Interest </v>
      </c>
      <c r="D205" s="4" t="str">
        <f>IFERROR(__xludf.DUMMYFUNCTION("""COMPUTED_VALUE""")," Personal Finance")</f>
        <v> Personal Finance</v>
      </c>
      <c r="E205" s="4"/>
      <c r="F205" s="4"/>
      <c r="G205" s="4"/>
      <c r="H205" s="4"/>
      <c r="I205" s="5" t="s">
        <v>22</v>
      </c>
      <c r="J205" s="5" t="s">
        <v>16</v>
      </c>
      <c r="K205" s="5" t="s">
        <v>35</v>
      </c>
      <c r="L205" s="6" t="s">
        <v>341</v>
      </c>
      <c r="M205" s="5" t="s">
        <v>19</v>
      </c>
      <c r="N205" s="5" t="s">
        <v>27</v>
      </c>
      <c r="O205" s="5">
        <v>80408.0</v>
      </c>
      <c r="P205" s="5">
        <v>199.0</v>
      </c>
      <c r="Q205" s="5">
        <v>13127.0</v>
      </c>
      <c r="R205" s="5">
        <v>67027.0</v>
      </c>
      <c r="S205" s="5">
        <v>9.0</v>
      </c>
      <c r="T205" s="5">
        <v>1788.111618</v>
      </c>
    </row>
    <row r="206">
      <c r="A206" s="4" t="s">
        <v>1794</v>
      </c>
      <c r="B206" s="4" t="str">
        <f>IFERROR(__xludf.DUMMYFUNCTION("SPLIT(A206:A932, ""&gt;"")"),"Mobile - US ")</f>
        <v>Mobile - US </v>
      </c>
      <c r="C206" s="4" t="str">
        <f>IFERROR(__xludf.DUMMYFUNCTION("""COMPUTED_VALUE""")," Demographics ")</f>
        <v> Demographics </v>
      </c>
      <c r="D206" s="4" t="str">
        <f>IFERROR(__xludf.DUMMYFUNCTION("""COMPUTED_VALUE""")," Education ")</f>
        <v> Education </v>
      </c>
      <c r="E206" s="4" t="str">
        <f>IFERROR(__xludf.DUMMYFUNCTION("""COMPUTED_VALUE""")," Lowest Education Achievement")</f>
        <v> Lowest Education Achievement</v>
      </c>
      <c r="F206" s="4"/>
      <c r="G206" s="4"/>
      <c r="H206" s="4"/>
      <c r="I206" s="5" t="s">
        <v>22</v>
      </c>
      <c r="J206" s="5" t="s">
        <v>42</v>
      </c>
      <c r="K206" s="5" t="s">
        <v>55</v>
      </c>
      <c r="L206" s="6" t="s">
        <v>341</v>
      </c>
      <c r="M206" s="5" t="s">
        <v>46</v>
      </c>
      <c r="N206" s="5" t="s">
        <v>27</v>
      </c>
      <c r="O206" s="5">
        <v>82916.0</v>
      </c>
      <c r="P206" s="5">
        <v>199.0</v>
      </c>
      <c r="Q206" s="5">
        <v>24951.0</v>
      </c>
      <c r="R206" s="5">
        <v>77333.0</v>
      </c>
      <c r="S206" s="5">
        <v>12.0</v>
      </c>
      <c r="T206" s="5">
        <v>1584.821247</v>
      </c>
    </row>
    <row r="207">
      <c r="A207" s="4" t="s">
        <v>1795</v>
      </c>
      <c r="B207" s="4" t="str">
        <f>IFERROR(__xludf.DUMMYFUNCTION("SPLIT(A207:A933, ""&gt;"")"),"Mobile - US ")</f>
        <v>Mobile - US </v>
      </c>
      <c r="C207" s="4" t="str">
        <f>IFERROR(__xludf.DUMMYFUNCTION("""COMPUTED_VALUE""")," Food ")</f>
        <v> Food </v>
      </c>
      <c r="D207" s="4" t="str">
        <f>IFERROR(__xludf.DUMMYFUNCTION("""COMPUTED_VALUE""")," Restaurant ")</f>
        <v> Restaurant </v>
      </c>
      <c r="E207" s="4" t="str">
        <f>IFERROR(__xludf.DUMMYFUNCTION("""COMPUTED_VALUE""")," Brand ")</f>
        <v> Brand </v>
      </c>
      <c r="F207" s="4" t="str">
        <f>IFERROR(__xludf.DUMMYFUNCTION("""COMPUTED_VALUE""")," Buffalo Wild Wings")</f>
        <v> Buffalo Wild Wings</v>
      </c>
      <c r="G207" s="4"/>
      <c r="H207" s="4"/>
      <c r="I207" s="5" t="s">
        <v>15</v>
      </c>
      <c r="J207" s="5" t="s">
        <v>16</v>
      </c>
      <c r="K207" s="5" t="s">
        <v>29</v>
      </c>
      <c r="L207" s="6" t="s">
        <v>344</v>
      </c>
      <c r="M207" s="5" t="s">
        <v>19</v>
      </c>
      <c r="N207" s="5" t="s">
        <v>52</v>
      </c>
      <c r="O207" s="5">
        <v>16354.0</v>
      </c>
      <c r="P207" s="5">
        <v>40.0</v>
      </c>
      <c r="Q207" s="5">
        <v>8061.0</v>
      </c>
      <c r="R207" s="5">
        <v>15667.0</v>
      </c>
      <c r="S207" s="5">
        <v>4.0</v>
      </c>
      <c r="T207" s="5">
        <v>1610.319977</v>
      </c>
    </row>
    <row r="208">
      <c r="A208" s="4" t="s">
        <v>1796</v>
      </c>
      <c r="B208" s="4" t="str">
        <f>IFERROR(__xludf.DUMMYFUNCTION("SPLIT(A208:A934, ""&gt;"")"),"US Interest ")</f>
        <v>US Interest </v>
      </c>
      <c r="C208" s="4" t="str">
        <f>IFERROR(__xludf.DUMMYFUNCTION("""COMPUTED_VALUE""")," Cooking ")</f>
        <v> Cooking </v>
      </c>
      <c r="D208" s="4" t="str">
        <f>IFERROR(__xludf.DUMMYFUNCTION("""COMPUTED_VALUE""")," General")</f>
        <v> General</v>
      </c>
      <c r="E208" s="4"/>
      <c r="F208" s="4"/>
      <c r="G208" s="4"/>
      <c r="H208" s="4"/>
      <c r="I208" s="5" t="s">
        <v>22</v>
      </c>
      <c r="J208" s="5" t="s">
        <v>31</v>
      </c>
      <c r="K208" s="5" t="s">
        <v>35</v>
      </c>
      <c r="L208" s="6" t="s">
        <v>346</v>
      </c>
      <c r="M208" s="5" t="s">
        <v>33</v>
      </c>
      <c r="N208" s="5" t="s">
        <v>27</v>
      </c>
      <c r="O208" s="5">
        <v>9920.0</v>
      </c>
      <c r="P208" s="5">
        <v>20.0</v>
      </c>
      <c r="Q208" s="5">
        <v>6702.0</v>
      </c>
      <c r="R208" s="5">
        <v>9096.0</v>
      </c>
      <c r="S208" s="5">
        <v>10.0</v>
      </c>
      <c r="T208" s="5">
        <v>1453.11439</v>
      </c>
    </row>
    <row r="209">
      <c r="A209" s="4" t="s">
        <v>1256</v>
      </c>
      <c r="B209" s="4" t="str">
        <f>IFERROR(__xludf.DUMMYFUNCTION("SPLIT(A209:A935, ""&gt;"")"),"Travel and Tourism ")</f>
        <v>Travel and Tourism </v>
      </c>
      <c r="C209" s="4" t="str">
        <f>IFERROR(__xludf.DUMMYFUNCTION("""COMPUTED_VALUE""")," Interest (Affinity) ")</f>
        <v> Interest (Affinity) </v>
      </c>
      <c r="D209" s="4" t="str">
        <f>IFERROR(__xludf.DUMMYFUNCTION("""COMPUTED_VALUE""")," Destinations ")</f>
        <v> Destinations </v>
      </c>
      <c r="E209" s="4" t="str">
        <f>IFERROR(__xludf.DUMMYFUNCTION("""COMPUTED_VALUE""")," Latin America")</f>
        <v> Latin America</v>
      </c>
      <c r="F209" s="4"/>
      <c r="G209" s="4"/>
      <c r="H209" s="4"/>
      <c r="I209" s="5" t="s">
        <v>22</v>
      </c>
      <c r="J209" s="5" t="s">
        <v>42</v>
      </c>
      <c r="K209" s="5" t="s">
        <v>24</v>
      </c>
      <c r="L209" s="6" t="s">
        <v>348</v>
      </c>
      <c r="M209" s="5" t="s">
        <v>36</v>
      </c>
      <c r="N209" s="5" t="s">
        <v>27</v>
      </c>
      <c r="O209" s="5">
        <v>31243.0</v>
      </c>
      <c r="P209" s="5">
        <v>100.0</v>
      </c>
      <c r="Q209" s="5">
        <v>16326.0</v>
      </c>
      <c r="R209" s="5">
        <v>25991.0</v>
      </c>
      <c r="S209" s="5">
        <v>21.0</v>
      </c>
      <c r="T209" s="5">
        <v>1452.59056</v>
      </c>
    </row>
    <row r="210">
      <c r="A210" s="4" t="s">
        <v>1257</v>
      </c>
      <c r="B210" s="4" t="str">
        <f>IFERROR(__xludf.DUMMYFUNCTION("SPLIT(A210:A936, ""&gt;"")"),"Online Behavior")</f>
        <v>Online Behavior</v>
      </c>
      <c r="C210" s="4" t="str">
        <f>IFERROR(__xludf.DUMMYFUNCTION("""COMPUTED_VALUE"""),"United States")</f>
        <v>United States</v>
      </c>
      <c r="D210" s="4" t="str">
        <f>IFERROR(__xludf.DUMMYFUNCTION("""COMPUTED_VALUE"""),"Intent ")</f>
        <v>Intent </v>
      </c>
      <c r="E210" s="4" t="str">
        <f>IFERROR(__xludf.DUMMYFUNCTION("""COMPUTED_VALUE""")," Shopping")</f>
        <v> Shopping</v>
      </c>
      <c r="F210" s="4" t="str">
        <f>IFERROR(__xludf.DUMMYFUNCTION("""COMPUTED_VALUE"""),"Consumer Electronics ")</f>
        <v>Consumer Electronics </v>
      </c>
      <c r="G210" s="4" t="str">
        <f>IFERROR(__xludf.DUMMYFUNCTION("""COMPUTED_VALUE""")," Video Game Consoles")</f>
        <v> Video Game Consoles</v>
      </c>
      <c r="H210" s="4"/>
      <c r="I210" s="5" t="s">
        <v>15</v>
      </c>
      <c r="J210" s="5" t="s">
        <v>42</v>
      </c>
      <c r="K210" s="5" t="s">
        <v>35</v>
      </c>
      <c r="L210" s="6" t="s">
        <v>350</v>
      </c>
      <c r="M210" s="5" t="s">
        <v>36</v>
      </c>
      <c r="N210" s="5" t="s">
        <v>20</v>
      </c>
      <c r="O210" s="5">
        <v>39314.0</v>
      </c>
      <c r="P210" s="5">
        <v>100.0</v>
      </c>
      <c r="Q210" s="5">
        <v>27671.0</v>
      </c>
      <c r="R210" s="5">
        <v>35488.0</v>
      </c>
      <c r="S210" s="5">
        <v>8.0</v>
      </c>
      <c r="T210" s="5">
        <v>5530.800458</v>
      </c>
    </row>
    <row r="211">
      <c r="A211" s="4" t="s">
        <v>1258</v>
      </c>
      <c r="B211" s="4" t="str">
        <f>IFERROR(__xludf.DUMMYFUNCTION("SPLIT(A211:A937, ""&gt;"")"),"Online Behavior")</f>
        <v>Online Behavior</v>
      </c>
      <c r="C211" s="4" t="str">
        <f>IFERROR(__xludf.DUMMYFUNCTION("""COMPUTED_VALUE"""),"United States")</f>
        <v>United States</v>
      </c>
      <c r="D211" s="4" t="str">
        <f>IFERROR(__xludf.DUMMYFUNCTION("""COMPUTED_VALUE"""),"Intent ")</f>
        <v>Intent </v>
      </c>
      <c r="E211" s="4" t="str">
        <f>IFERROR(__xludf.DUMMYFUNCTION("""COMPUTED_VALUE""")," Auto Buyers ")</f>
        <v> Auto Buyers </v>
      </c>
      <c r="F211" s="4" t="str">
        <f>IFERROR(__xludf.DUMMYFUNCTION("""COMPUTED_VALUE""")," Category")</f>
        <v> Category</v>
      </c>
      <c r="G211" s="4" t="str">
        <f>IFERROR(__xludf.DUMMYFUNCTION("""COMPUTED_VALUE"""),"Motorcycle")</f>
        <v>Motorcycle</v>
      </c>
      <c r="H211" s="4"/>
      <c r="I211" s="5" t="s">
        <v>22</v>
      </c>
      <c r="J211" s="5" t="s">
        <v>42</v>
      </c>
      <c r="K211" s="5" t="s">
        <v>17</v>
      </c>
      <c r="L211" s="6" t="s">
        <v>352</v>
      </c>
      <c r="M211" s="5" t="s">
        <v>33</v>
      </c>
      <c r="N211" s="5" t="s">
        <v>27</v>
      </c>
      <c r="O211" s="5">
        <v>15252.0</v>
      </c>
      <c r="P211" s="5">
        <v>55.0</v>
      </c>
      <c r="Q211" s="5">
        <v>2152.0</v>
      </c>
      <c r="R211" s="5">
        <v>3482.0</v>
      </c>
      <c r="S211" s="5">
        <v>7.0</v>
      </c>
      <c r="T211" s="5">
        <v>6211.200147</v>
      </c>
    </row>
    <row r="212">
      <c r="A212" s="4" t="s">
        <v>1797</v>
      </c>
      <c r="B212" s="4" t="str">
        <f>IFERROR(__xludf.DUMMYFUNCTION("SPLIT(A212:A938, ""&gt;"")"),"US Financial ")</f>
        <v>US Financial </v>
      </c>
      <c r="C212" s="4" t="str">
        <f>IFERROR(__xludf.DUMMYFUNCTION("""COMPUTED_VALUE""")," Credit Card Type ")</f>
        <v> Credit Card Type </v>
      </c>
      <c r="D212" s="4" t="str">
        <f>IFERROR(__xludf.DUMMYFUNCTION("""COMPUTED_VALUE""")," Credit Card Holder - Unknown Type")</f>
        <v> Credit Card Holder - Unknown Type</v>
      </c>
      <c r="E212" s="4"/>
      <c r="F212" s="4"/>
      <c r="G212" s="4"/>
      <c r="H212" s="4"/>
      <c r="I212" s="5" t="s">
        <v>61</v>
      </c>
      <c r="J212" s="5" t="s">
        <v>42</v>
      </c>
      <c r="K212" s="5" t="s">
        <v>304</v>
      </c>
      <c r="L212" s="6" t="s">
        <v>352</v>
      </c>
      <c r="M212" s="5" t="s">
        <v>19</v>
      </c>
      <c r="N212" s="5" t="s">
        <v>27</v>
      </c>
      <c r="O212" s="5">
        <v>7394.0</v>
      </c>
      <c r="P212" s="5">
        <v>20.0</v>
      </c>
      <c r="Q212" s="5">
        <v>3441.0</v>
      </c>
      <c r="R212" s="5">
        <v>6663.0</v>
      </c>
      <c r="S212" s="5">
        <v>1.0</v>
      </c>
      <c r="T212" s="5">
        <v>1624.840774</v>
      </c>
    </row>
    <row r="213">
      <c r="A213" s="4" t="s">
        <v>1798</v>
      </c>
      <c r="B213" s="4" t="str">
        <f>IFERROR(__xludf.DUMMYFUNCTION("SPLIT(A213:A939, ""&gt;"")"),"US ")</f>
        <v>US </v>
      </c>
      <c r="C213" s="4" t="str">
        <f>IFERROR(__xludf.DUMMYFUNCTION("""COMPUTED_VALUE""")," Brand Propensities ")</f>
        <v> Brand Propensities </v>
      </c>
      <c r="D213" s="4" t="str">
        <f>IFERROR(__xludf.DUMMYFUNCTION("""COMPUTED_VALUE""")," Travel ")</f>
        <v> Travel </v>
      </c>
      <c r="E213" s="4" t="str">
        <f>IFERROR(__xludf.DUMMYFUNCTION("""COMPUTED_VALUE""")," Booking.com Buyer Propensity")</f>
        <v> Booking.com Buyer Propensity</v>
      </c>
      <c r="F213" s="4"/>
      <c r="G213" s="4"/>
      <c r="H213" s="4"/>
      <c r="I213" s="5" t="s">
        <v>22</v>
      </c>
      <c r="J213" s="5" t="s">
        <v>16</v>
      </c>
      <c r="K213" s="5" t="s">
        <v>55</v>
      </c>
      <c r="L213" s="6" t="s">
        <v>352</v>
      </c>
      <c r="M213" s="5" t="s">
        <v>19</v>
      </c>
      <c r="N213" s="5" t="s">
        <v>27</v>
      </c>
      <c r="O213" s="5">
        <v>22259.0</v>
      </c>
      <c r="P213" s="5">
        <v>120.0</v>
      </c>
      <c r="Q213" s="5">
        <v>12405.0</v>
      </c>
      <c r="R213" s="5">
        <v>17609.0</v>
      </c>
      <c r="S213" s="5">
        <v>14.0</v>
      </c>
      <c r="T213" s="5">
        <v>1611.340211</v>
      </c>
    </row>
    <row r="214">
      <c r="A214" s="4" t="s">
        <v>1799</v>
      </c>
      <c r="B214" s="4" t="str">
        <f>IFERROR(__xludf.DUMMYFUNCTION("SPLIT(A214:A940, ""&gt;"")"),"US Financial ")</f>
        <v>US Financial </v>
      </c>
      <c r="C214" s="4" t="str">
        <f>IFERROR(__xludf.DUMMYFUNCTION("""COMPUTED_VALUE""")," Estimated Disposable Income ")</f>
        <v> Estimated Disposable Income </v>
      </c>
      <c r="D214" s="4" t="str">
        <f>IFERROR(__xludf.DUMMYFUNCTION("""COMPUTED_VALUE""")," $0 - $99,999")</f>
        <v> $0 - $99,999</v>
      </c>
      <c r="E214" s="4"/>
      <c r="F214" s="4"/>
      <c r="G214" s="4"/>
      <c r="H214" s="4"/>
      <c r="I214" s="5" t="s">
        <v>15</v>
      </c>
      <c r="J214" s="5" t="s">
        <v>16</v>
      </c>
      <c r="K214" s="5" t="s">
        <v>356</v>
      </c>
      <c r="L214" s="6" t="s">
        <v>352</v>
      </c>
      <c r="M214" s="5" t="s">
        <v>48</v>
      </c>
      <c r="N214" s="5" t="s">
        <v>52</v>
      </c>
      <c r="O214" s="5">
        <v>21143.0</v>
      </c>
      <c r="P214" s="5">
        <v>56.0</v>
      </c>
      <c r="Q214" s="5">
        <v>3798.0</v>
      </c>
      <c r="R214" s="5">
        <v>19588.0</v>
      </c>
      <c r="S214" s="5">
        <v>3.0</v>
      </c>
      <c r="T214" s="5">
        <v>1500.41822</v>
      </c>
    </row>
    <row r="215">
      <c r="A215" s="4" t="s">
        <v>357</v>
      </c>
      <c r="B215" s="4" t="str">
        <f>IFERROR(__xludf.DUMMYFUNCTION("SPLIT(A215:A941, ""&gt;"")"),"Online Behavior")</f>
        <v>Online Behavior</v>
      </c>
      <c r="C215" s="4" t="str">
        <f>IFERROR(__xludf.DUMMYFUNCTION("""COMPUTED_VALUE"""),"United States")</f>
        <v>United States</v>
      </c>
      <c r="D215" s="4" t="str">
        <f>IFERROR(__xludf.DUMMYFUNCTION("""COMPUTED_VALUE"""),"Autos and Vehicles")</f>
        <v>Autos and Vehicles</v>
      </c>
      <c r="E215" s="4" t="str">
        <f>IFERROR(__xludf.DUMMYFUNCTION("""COMPUTED_VALUE"""),"Boats and Watercraft")</f>
        <v>Boats and Watercraft</v>
      </c>
      <c r="F215" s="4"/>
      <c r="G215" s="4"/>
      <c r="H215" s="4"/>
      <c r="I215" s="5" t="s">
        <v>22</v>
      </c>
      <c r="J215" s="5" t="s">
        <v>16</v>
      </c>
      <c r="K215" s="5" t="s">
        <v>35</v>
      </c>
      <c r="L215" s="6" t="s">
        <v>358</v>
      </c>
      <c r="M215" s="5" t="s">
        <v>48</v>
      </c>
      <c r="N215" s="5" t="s">
        <v>27</v>
      </c>
      <c r="O215" s="5">
        <v>111624.0</v>
      </c>
      <c r="P215" s="5">
        <v>590.0</v>
      </c>
      <c r="Q215" s="5">
        <v>40343.0</v>
      </c>
      <c r="R215" s="5">
        <v>101306.0</v>
      </c>
      <c r="S215" s="5">
        <v>21.0</v>
      </c>
      <c r="T215" s="5">
        <v>6510.446656</v>
      </c>
    </row>
    <row r="216">
      <c r="A216" s="4" t="s">
        <v>1262</v>
      </c>
      <c r="B216" s="4" t="str">
        <f>IFERROR(__xludf.DUMMYFUNCTION("SPLIT(A216:A942, ""&gt;"")"),"Online Behavior")</f>
        <v>Online Behavior</v>
      </c>
      <c r="C216" s="4" t="str">
        <f>IFERROR(__xludf.DUMMYFUNCTION("""COMPUTED_VALUE"""),"United States")</f>
        <v>United States</v>
      </c>
      <c r="D216" s="4" t="str">
        <f>IFERROR(__xludf.DUMMYFUNCTION("""COMPUTED_VALUE"""),"Beauty and Fitness")</f>
        <v>Beauty and Fitness</v>
      </c>
      <c r="E216" s="4" t="str">
        <f>IFERROR(__xludf.DUMMYFUNCTION("""COMPUTED_VALUE"""),"Fitness ")</f>
        <v>Fitness </v>
      </c>
      <c r="F216" s="4" t="str">
        <f>IFERROR(__xludf.DUMMYFUNCTION("""COMPUTED_VALUE""")," Yoga and Pilates")</f>
        <v> Yoga and Pilates</v>
      </c>
      <c r="G216" s="4"/>
      <c r="H216" s="4"/>
      <c r="I216" s="5" t="s">
        <v>15</v>
      </c>
      <c r="J216" s="5" t="s">
        <v>42</v>
      </c>
      <c r="K216" s="5" t="s">
        <v>78</v>
      </c>
      <c r="L216" s="6" t="s">
        <v>358</v>
      </c>
      <c r="M216" s="5" t="s">
        <v>26</v>
      </c>
      <c r="N216" s="5" t="s">
        <v>52</v>
      </c>
      <c r="O216" s="5">
        <v>95644.0</v>
      </c>
      <c r="P216" s="5">
        <v>240.0</v>
      </c>
      <c r="Q216" s="5">
        <v>13294.0</v>
      </c>
      <c r="R216" s="5">
        <v>86775.0</v>
      </c>
      <c r="S216" s="5">
        <v>9.0</v>
      </c>
      <c r="T216" s="5">
        <v>5587.763675</v>
      </c>
    </row>
    <row r="217">
      <c r="A217" s="4" t="s">
        <v>1800</v>
      </c>
      <c r="B217" s="4" t="str">
        <f>IFERROR(__xludf.DUMMYFUNCTION("SPLIT(A217:A943, ""&gt;"")"),"US ")</f>
        <v>US </v>
      </c>
      <c r="C217" s="4" t="str">
        <f>IFERROR(__xludf.DUMMYFUNCTION("""COMPUTED_VALUE""")," Reach ")</f>
        <v> Reach </v>
      </c>
      <c r="D217" s="4" t="str">
        <f>IFERROR(__xludf.DUMMYFUNCTION("""COMPUTED_VALUE""")," Propensity Models ")</f>
        <v> Propensity Models </v>
      </c>
      <c r="E217" s="4" t="str">
        <f>IFERROR(__xludf.DUMMYFUNCTION("""COMPUTED_VALUE""")," Hobbies and Interest ")</f>
        <v> Hobbies and Interest </v>
      </c>
      <c r="F217" s="4" t="str">
        <f>IFERROR(__xludf.DUMMYFUNCTION("""COMPUTED_VALUE""")," Sports ")</f>
        <v> Sports </v>
      </c>
      <c r="G217" s="4" t="str">
        <f>IFERROR(__xludf.DUMMYFUNCTION("""COMPUTED_VALUE""")," Fitness Enthusiasts")</f>
        <v> Fitness Enthusiasts</v>
      </c>
      <c r="H217" s="4"/>
      <c r="I217" s="5" t="s">
        <v>15</v>
      </c>
      <c r="J217" s="5" t="s">
        <v>42</v>
      </c>
      <c r="K217" s="5" t="s">
        <v>35</v>
      </c>
      <c r="L217" s="6" t="s">
        <v>358</v>
      </c>
      <c r="M217" s="5" t="s">
        <v>19</v>
      </c>
      <c r="N217" s="5" t="s">
        <v>52</v>
      </c>
      <c r="O217" s="5">
        <v>65238.0</v>
      </c>
      <c r="P217" s="5">
        <v>240.0</v>
      </c>
      <c r="Q217" s="5">
        <v>23741.0</v>
      </c>
      <c r="R217" s="5">
        <v>59893.0</v>
      </c>
      <c r="S217" s="5">
        <v>15.0</v>
      </c>
      <c r="T217" s="5">
        <v>3132.519209</v>
      </c>
    </row>
    <row r="218">
      <c r="A218" s="4" t="s">
        <v>361</v>
      </c>
      <c r="B218" s="4" t="str">
        <f>IFERROR(__xludf.DUMMYFUNCTION("SPLIT(A218:A944, ""&gt;"")"),"Online Behavior")</f>
        <v>Online Behavior</v>
      </c>
      <c r="C218" s="4" t="str">
        <f>IFERROR(__xludf.DUMMYFUNCTION("""COMPUTED_VALUE"""),"United States")</f>
        <v>United States</v>
      </c>
      <c r="D218" s="4" t="str">
        <f>IFERROR(__xludf.DUMMYFUNCTION("""COMPUTED_VALUE"""),"News")</f>
        <v>News</v>
      </c>
      <c r="E218" s="4" t="str">
        <f>IFERROR(__xludf.DUMMYFUNCTION("""COMPUTED_VALUE"""),"Technology News")</f>
        <v>Technology News</v>
      </c>
      <c r="F218" s="4"/>
      <c r="G218" s="4"/>
      <c r="H218" s="4"/>
      <c r="I218" s="5" t="s">
        <v>61</v>
      </c>
      <c r="J218" s="5" t="s">
        <v>42</v>
      </c>
      <c r="K218" s="5" t="s">
        <v>55</v>
      </c>
      <c r="L218" s="6" t="s">
        <v>362</v>
      </c>
      <c r="M218" s="5" t="s">
        <v>46</v>
      </c>
      <c r="N218" s="5" t="s">
        <v>27</v>
      </c>
      <c r="O218" s="5">
        <v>115412.0</v>
      </c>
      <c r="P218" s="5">
        <v>490.0</v>
      </c>
      <c r="Q218" s="5">
        <v>71564.0</v>
      </c>
      <c r="R218" s="5">
        <v>81785.0</v>
      </c>
      <c r="S218" s="5">
        <v>21.0</v>
      </c>
      <c r="T218" s="5">
        <v>6861.53638</v>
      </c>
    </row>
    <row r="219">
      <c r="A219" s="4" t="s">
        <v>1264</v>
      </c>
      <c r="B219" s="4" t="str">
        <f>IFERROR(__xludf.DUMMYFUNCTION("SPLIT(A219:A945, ""&gt;"")"),"OnAudience ")</f>
        <v>OnAudience </v>
      </c>
      <c r="C219" s="4" t="str">
        <f>IFERROR(__xludf.DUMMYFUNCTION("""COMPUTED_VALUE""")," Interest ")</f>
        <v> Interest </v>
      </c>
      <c r="D219" s="4" t="str">
        <f>IFERROR(__xludf.DUMMYFUNCTION("""COMPUTED_VALUE""")," Sports")</f>
        <v> Sports</v>
      </c>
      <c r="E219" s="4"/>
      <c r="F219" s="4"/>
      <c r="G219" s="4"/>
      <c r="H219" s="4"/>
      <c r="I219" s="5" t="s">
        <v>15</v>
      </c>
      <c r="J219" s="5" t="s">
        <v>31</v>
      </c>
      <c r="K219" s="5" t="s">
        <v>35</v>
      </c>
      <c r="L219" s="6" t="s">
        <v>362</v>
      </c>
      <c r="M219" s="5" t="s">
        <v>19</v>
      </c>
      <c r="N219" s="5" t="s">
        <v>27</v>
      </c>
      <c r="O219" s="5">
        <v>11375.0</v>
      </c>
      <c r="P219" s="5">
        <v>87.0</v>
      </c>
      <c r="Q219" s="5">
        <v>7171.0</v>
      </c>
      <c r="R219" s="5">
        <v>8151.0</v>
      </c>
      <c r="S219" s="5">
        <v>4.0</v>
      </c>
      <c r="T219" s="5">
        <v>1763.784061</v>
      </c>
    </row>
    <row r="220">
      <c r="A220" s="4" t="s">
        <v>364</v>
      </c>
      <c r="B220" s="4" t="str">
        <f>IFERROR(__xludf.DUMMYFUNCTION("SPLIT(A220:A946, ""&gt;"")"),"Online Behavior")</f>
        <v>Online Behavior</v>
      </c>
      <c r="C220" s="4" t="str">
        <f>IFERROR(__xludf.DUMMYFUNCTION("""COMPUTED_VALUE"""),"United States")</f>
        <v>United States</v>
      </c>
      <c r="D220" s="4" t="str">
        <f>IFERROR(__xludf.DUMMYFUNCTION("""COMPUTED_VALUE"""),"Travel")</f>
        <v>Travel</v>
      </c>
      <c r="E220" s="4" t="str">
        <f>IFERROR(__xludf.DUMMYFUNCTION("""COMPUTED_VALUE"""),"Air Travel")</f>
        <v>Air Travel</v>
      </c>
      <c r="F220" s="4"/>
      <c r="G220" s="4"/>
      <c r="H220" s="4"/>
      <c r="I220" s="5" t="s">
        <v>15</v>
      </c>
      <c r="J220" s="5" t="s">
        <v>31</v>
      </c>
      <c r="K220" s="5" t="s">
        <v>35</v>
      </c>
      <c r="L220" s="6" t="s">
        <v>365</v>
      </c>
      <c r="M220" s="5" t="s">
        <v>19</v>
      </c>
      <c r="N220" s="5" t="s">
        <v>52</v>
      </c>
      <c r="O220" s="5">
        <v>27394.0</v>
      </c>
      <c r="P220" s="5">
        <v>74.0</v>
      </c>
      <c r="Q220" s="5">
        <v>16144.0</v>
      </c>
      <c r="R220" s="5">
        <v>24752.0</v>
      </c>
      <c r="S220" s="5">
        <v>78.0</v>
      </c>
      <c r="T220" s="5">
        <v>7264.58761</v>
      </c>
    </row>
    <row r="221">
      <c r="A221" s="4" t="s">
        <v>366</v>
      </c>
      <c r="B221" s="4" t="str">
        <f>IFERROR(__xludf.DUMMYFUNCTION("SPLIT(A221:A947, ""&gt;"")"),"Online Behavior")</f>
        <v>Online Behavior</v>
      </c>
      <c r="C221" s="4" t="str">
        <f>IFERROR(__xludf.DUMMYFUNCTION("""COMPUTED_VALUE"""),"United States")</f>
        <v>United States</v>
      </c>
      <c r="D221" s="4" t="str">
        <f>IFERROR(__xludf.DUMMYFUNCTION("""COMPUTED_VALUE"""),"Beauty and Fitness")</f>
        <v>Beauty and Fitness</v>
      </c>
      <c r="E221" s="4" t="str">
        <f>IFERROR(__xludf.DUMMYFUNCTION("""COMPUTED_VALUE"""),"Body Art")</f>
        <v>Body Art</v>
      </c>
      <c r="F221" s="4"/>
      <c r="G221" s="4"/>
      <c r="H221" s="4"/>
      <c r="I221" s="5" t="s">
        <v>22</v>
      </c>
      <c r="J221" s="5" t="s">
        <v>42</v>
      </c>
      <c r="K221" s="5" t="s">
        <v>39</v>
      </c>
      <c r="L221" s="6" t="s">
        <v>365</v>
      </c>
      <c r="M221" s="5" t="s">
        <v>19</v>
      </c>
      <c r="N221" s="5" t="s">
        <v>27</v>
      </c>
      <c r="O221" s="5">
        <v>22690.0</v>
      </c>
      <c r="P221" s="5">
        <v>68.0</v>
      </c>
      <c r="Q221" s="5">
        <v>10212.0</v>
      </c>
      <c r="R221" s="5">
        <v>19934.0</v>
      </c>
      <c r="S221" s="5">
        <v>19.0</v>
      </c>
      <c r="T221" s="5">
        <v>7210.686506</v>
      </c>
    </row>
    <row r="222">
      <c r="A222" s="4" t="s">
        <v>367</v>
      </c>
      <c r="B222" s="4" t="str">
        <f>IFERROR(__xludf.DUMMYFUNCTION("SPLIT(A222:A948, ""&gt;"")"),"Online Behavior")</f>
        <v>Online Behavior</v>
      </c>
      <c r="C222" s="4" t="str">
        <f>IFERROR(__xludf.DUMMYFUNCTION("""COMPUTED_VALUE"""),"United States")</f>
        <v>United States</v>
      </c>
      <c r="D222" s="4" t="str">
        <f>IFERROR(__xludf.DUMMYFUNCTION("""COMPUTED_VALUE"""),"Home and Garden")</f>
        <v>Home and Garden</v>
      </c>
      <c r="E222" s="4" t="str">
        <f>IFERROR(__xludf.DUMMYFUNCTION("""COMPUTED_VALUE"""),"Home Improvement")</f>
        <v>Home Improvement</v>
      </c>
      <c r="F222" s="4"/>
      <c r="G222" s="4"/>
      <c r="H222" s="4"/>
      <c r="I222" s="5" t="s">
        <v>22</v>
      </c>
      <c r="J222" s="5" t="s">
        <v>42</v>
      </c>
      <c r="K222" s="5" t="s">
        <v>78</v>
      </c>
      <c r="L222" s="6" t="s">
        <v>365</v>
      </c>
      <c r="M222" s="5" t="s">
        <v>36</v>
      </c>
      <c r="N222" s="5" t="s">
        <v>27</v>
      </c>
      <c r="O222" s="5">
        <v>76049.0</v>
      </c>
      <c r="P222" s="5">
        <v>199.0</v>
      </c>
      <c r="Q222" s="5">
        <v>34921.0</v>
      </c>
      <c r="R222" s="5">
        <v>69138.0</v>
      </c>
      <c r="S222" s="5">
        <v>8.0</v>
      </c>
      <c r="T222" s="5">
        <v>6942.800458</v>
      </c>
    </row>
    <row r="223">
      <c r="A223" s="4" t="s">
        <v>368</v>
      </c>
      <c r="B223" s="4" t="str">
        <f>IFERROR(__xludf.DUMMYFUNCTION("SPLIT(A223:A949, ""&gt;"")"),"Online Behavior")</f>
        <v>Online Behavior</v>
      </c>
      <c r="C223" s="4" t="str">
        <f>IFERROR(__xludf.DUMMYFUNCTION("""COMPUTED_VALUE"""),"United States")</f>
        <v>United States</v>
      </c>
      <c r="D223" s="4" t="str">
        <f>IFERROR(__xludf.DUMMYFUNCTION("""COMPUTED_VALUE"""),"News")</f>
        <v>News</v>
      </c>
      <c r="E223" s="4" t="str">
        <f>IFERROR(__xludf.DUMMYFUNCTION("""COMPUTED_VALUE"""),"Business News")</f>
        <v>Business News</v>
      </c>
      <c r="F223" s="4"/>
      <c r="G223" s="4"/>
      <c r="H223" s="4"/>
      <c r="I223" s="5" t="s">
        <v>22</v>
      </c>
      <c r="J223" s="5" t="s">
        <v>16</v>
      </c>
      <c r="K223" s="5" t="s">
        <v>173</v>
      </c>
      <c r="L223" s="6" t="s">
        <v>365</v>
      </c>
      <c r="M223" s="5" t="s">
        <v>48</v>
      </c>
      <c r="N223" s="5" t="s">
        <v>27</v>
      </c>
      <c r="O223" s="5">
        <v>44505.0</v>
      </c>
      <c r="P223" s="5">
        <v>125.0</v>
      </c>
      <c r="Q223" s="5">
        <v>18993.0</v>
      </c>
      <c r="R223" s="5">
        <v>39522.0</v>
      </c>
      <c r="S223" s="5">
        <v>16.0</v>
      </c>
      <c r="T223" s="5">
        <v>6766.475368</v>
      </c>
    </row>
    <row r="224">
      <c r="A224" s="4" t="s">
        <v>1266</v>
      </c>
      <c r="B224" s="4" t="str">
        <f>IFERROR(__xludf.DUMMYFUNCTION("SPLIT(A224:A950, ""&gt;"")"),"Online Behavior")</f>
        <v>Online Behavior</v>
      </c>
      <c r="C224" s="4" t="str">
        <f>IFERROR(__xludf.DUMMYFUNCTION("""COMPUTED_VALUE"""),"United States")</f>
        <v>United States</v>
      </c>
      <c r="D224" s="4" t="str">
        <f>IFERROR(__xludf.DUMMYFUNCTION("""COMPUTED_VALUE"""),"Intent ")</f>
        <v>Intent </v>
      </c>
      <c r="E224" s="4" t="str">
        <f>IFERROR(__xludf.DUMMYFUNCTION("""COMPUTED_VALUE""")," Auto Buyers ")</f>
        <v> Auto Buyers </v>
      </c>
      <c r="F224" s="4" t="str">
        <f>IFERROR(__xludf.DUMMYFUNCTION("""COMPUTED_VALUE""")," Car Make")</f>
        <v> Car Make</v>
      </c>
      <c r="G224" s="4" t="str">
        <f>IFERROR(__xludf.DUMMYFUNCTION("""COMPUTED_VALUE"""),"Opel")</f>
        <v>Opel</v>
      </c>
      <c r="H224" s="4"/>
      <c r="I224" s="5" t="s">
        <v>15</v>
      </c>
      <c r="J224" s="5" t="s">
        <v>16</v>
      </c>
      <c r="K224" s="5" t="s">
        <v>78</v>
      </c>
      <c r="L224" s="6" t="s">
        <v>365</v>
      </c>
      <c r="M224" s="5" t="s">
        <v>19</v>
      </c>
      <c r="N224" s="5" t="s">
        <v>27</v>
      </c>
      <c r="O224" s="5">
        <v>286998.0</v>
      </c>
      <c r="P224" s="5">
        <v>815.0</v>
      </c>
      <c r="Q224" s="5">
        <v>61586.0</v>
      </c>
      <c r="R224" s="5">
        <v>247500.0</v>
      </c>
      <c r="S224" s="5">
        <v>13.0</v>
      </c>
      <c r="T224" s="5">
        <v>6395.550624</v>
      </c>
    </row>
    <row r="225">
      <c r="A225" s="4" t="s">
        <v>370</v>
      </c>
      <c r="B225" s="4" t="str">
        <f>IFERROR(__xludf.DUMMYFUNCTION("SPLIT(A225:A951, ""&gt;"")"),"Online Behavior")</f>
        <v>Online Behavior</v>
      </c>
      <c r="C225" s="4" t="str">
        <f>IFERROR(__xludf.DUMMYFUNCTION("""COMPUTED_VALUE"""),"United States")</f>
        <v>United States</v>
      </c>
      <c r="D225" s="4" t="str">
        <f>IFERROR(__xludf.DUMMYFUNCTION("""COMPUTED_VALUE"""),"The Changing Consumer")</f>
        <v>The Changing Consumer</v>
      </c>
      <c r="E225" s="4" t="str">
        <f>IFERROR(__xludf.DUMMYFUNCTION("""COMPUTED_VALUE"""),"Active Facebook Users")</f>
        <v>Active Facebook Users</v>
      </c>
      <c r="F225" s="4"/>
      <c r="G225" s="4"/>
      <c r="H225" s="4"/>
      <c r="I225" s="5" t="s">
        <v>15</v>
      </c>
      <c r="J225" s="5" t="s">
        <v>23</v>
      </c>
      <c r="K225" s="5" t="s">
        <v>29</v>
      </c>
      <c r="L225" s="6" t="s">
        <v>365</v>
      </c>
      <c r="M225" s="5" t="s">
        <v>19</v>
      </c>
      <c r="N225" s="5" t="s">
        <v>52</v>
      </c>
      <c r="O225" s="5">
        <v>127090.0</v>
      </c>
      <c r="P225" s="5">
        <v>299.0</v>
      </c>
      <c r="Q225" s="5">
        <v>30178.0</v>
      </c>
      <c r="R225" s="5">
        <v>113438.0</v>
      </c>
      <c r="S225" s="5">
        <v>24.0</v>
      </c>
      <c r="T225" s="5">
        <v>5808.911254</v>
      </c>
    </row>
    <row r="226">
      <c r="A226" s="4" t="s">
        <v>1268</v>
      </c>
      <c r="B226" s="4" t="str">
        <f>IFERROR(__xludf.DUMMYFUNCTION("SPLIT(A226:A952, ""&gt;"")"),"Online Behavior")</f>
        <v>Online Behavior</v>
      </c>
      <c r="C226" s="4" t="str">
        <f>IFERROR(__xludf.DUMMYFUNCTION("""COMPUTED_VALUE"""),"United States")</f>
        <v>United States</v>
      </c>
      <c r="D226" s="4" t="str">
        <f>IFERROR(__xludf.DUMMYFUNCTION("""COMPUTED_VALUE"""),"Validated Demographic ")</f>
        <v>Validated Demographic </v>
      </c>
      <c r="E226" s="4" t="str">
        <f>IFERROR(__xludf.DUMMYFUNCTION("""COMPUTED_VALUE""")," Gender and Age Combined")</f>
        <v> Gender and Age Combined</v>
      </c>
      <c r="F226" s="4" t="str">
        <f>IFERROR(__xludf.DUMMYFUNCTION("""COMPUTED_VALUE"""),"Females 65 or older")</f>
        <v>Females 65 or older</v>
      </c>
      <c r="G226" s="4"/>
      <c r="H226" s="4"/>
      <c r="I226" s="5" t="s">
        <v>22</v>
      </c>
      <c r="J226" s="5" t="s">
        <v>23</v>
      </c>
      <c r="K226" s="5" t="s">
        <v>35</v>
      </c>
      <c r="L226" s="6" t="s">
        <v>365</v>
      </c>
      <c r="M226" s="5" t="s">
        <v>19</v>
      </c>
      <c r="N226" s="5" t="s">
        <v>27</v>
      </c>
      <c r="O226" s="5">
        <v>232470.0</v>
      </c>
      <c r="P226" s="5">
        <v>504.0</v>
      </c>
      <c r="Q226" s="5">
        <v>40870.0</v>
      </c>
      <c r="R226" s="5">
        <v>195447.0</v>
      </c>
      <c r="S226" s="5">
        <v>36.0</v>
      </c>
      <c r="T226" s="5">
        <v>5401.365085</v>
      </c>
    </row>
    <row r="227">
      <c r="A227" s="4" t="s">
        <v>1801</v>
      </c>
      <c r="B227" s="4" t="str">
        <f>IFERROR(__xludf.DUMMYFUNCTION("SPLIT(A227:A953, ""&gt;"")"),"US ")</f>
        <v>US </v>
      </c>
      <c r="C227" s="4" t="str">
        <f>IFERROR(__xludf.DUMMYFUNCTION("""COMPUTED_VALUE""")," B2B ")</f>
        <v> B2B </v>
      </c>
      <c r="D227" s="4" t="str">
        <f>IFERROR(__xludf.DUMMYFUNCTION("""COMPUTED_VALUE""")," B2B Decision Maker Responsibilities ")</f>
        <v> B2B Decision Maker Responsibilities </v>
      </c>
      <c r="E227" s="4" t="str">
        <f>IFERROR(__xludf.DUMMYFUNCTION("""COMPUTED_VALUE""")," Computer Hardware")</f>
        <v> Computer Hardware</v>
      </c>
      <c r="F227" s="4"/>
      <c r="G227" s="4"/>
      <c r="H227" s="4"/>
      <c r="I227" s="5" t="s">
        <v>22</v>
      </c>
      <c r="J227" s="5" t="s">
        <v>42</v>
      </c>
      <c r="K227" s="5" t="s">
        <v>29</v>
      </c>
      <c r="L227" s="6" t="s">
        <v>365</v>
      </c>
      <c r="M227" s="5" t="s">
        <v>191</v>
      </c>
      <c r="N227" s="5" t="s">
        <v>27</v>
      </c>
      <c r="O227" s="5">
        <v>51056.0</v>
      </c>
      <c r="P227" s="5">
        <v>120.0</v>
      </c>
      <c r="Q227" s="5">
        <v>24672.0</v>
      </c>
      <c r="R227" s="5">
        <v>45563.0</v>
      </c>
      <c r="S227" s="5">
        <v>4.0</v>
      </c>
      <c r="T227" s="5">
        <v>2215.631845</v>
      </c>
    </row>
    <row r="228">
      <c r="A228" s="4" t="s">
        <v>1802</v>
      </c>
      <c r="B228" s="4" t="str">
        <f>IFERROR(__xludf.DUMMYFUNCTION("SPLIT(A228:A954, ""&gt;"")"),"US ")</f>
        <v>US </v>
      </c>
      <c r="C228" s="4" t="str">
        <f>IFERROR(__xludf.DUMMYFUNCTION("""COMPUTED_VALUE""")," Brand Propensities ")</f>
        <v> Brand Propensities </v>
      </c>
      <c r="D228" s="4" t="str">
        <f>IFERROR(__xludf.DUMMYFUNCTION("""COMPUTED_VALUE""")," Media and Entertainment ")</f>
        <v> Media and Entertainment </v>
      </c>
      <c r="E228" s="4" t="str">
        <f>IFERROR(__xludf.DUMMYFUNCTION("""COMPUTED_VALUE""")," Regal Cinemas Buyer Propensity")</f>
        <v> Regal Cinemas Buyer Propensity</v>
      </c>
      <c r="F228" s="4"/>
      <c r="G228" s="4"/>
      <c r="H228" s="4"/>
      <c r="I228" s="5" t="s">
        <v>22</v>
      </c>
      <c r="J228" s="5" t="s">
        <v>42</v>
      </c>
      <c r="K228" s="5" t="s">
        <v>84</v>
      </c>
      <c r="L228" s="6" t="s">
        <v>365</v>
      </c>
      <c r="M228" s="5" t="s">
        <v>19</v>
      </c>
      <c r="N228" s="5" t="s">
        <v>27</v>
      </c>
      <c r="O228" s="5">
        <v>52582.0</v>
      </c>
      <c r="P228" s="5">
        <v>140.0</v>
      </c>
      <c r="Q228" s="5">
        <v>22065.0</v>
      </c>
      <c r="R228" s="5">
        <v>46126.0</v>
      </c>
      <c r="S228" s="5">
        <v>10.0</v>
      </c>
      <c r="T228" s="5">
        <v>1631.741712</v>
      </c>
    </row>
    <row r="229">
      <c r="A229" s="4" t="s">
        <v>1803</v>
      </c>
      <c r="B229" s="4" t="str">
        <f>IFERROR(__xludf.DUMMYFUNCTION("SPLIT(A229:A955, ""&gt;"")"),"US ")</f>
        <v>US </v>
      </c>
      <c r="C229" s="4" t="str">
        <f>IFERROR(__xludf.DUMMYFUNCTION("""COMPUTED_VALUE""")," Premium Entertainment and Pastimes ")</f>
        <v> Premium Entertainment and Pastimes </v>
      </c>
      <c r="D229" s="4" t="str">
        <f>IFERROR(__xludf.DUMMYFUNCTION("""COMPUTED_VALUE""")," Premium Magazine Enthusiasts")</f>
        <v> Premium Magazine Enthusiasts</v>
      </c>
      <c r="E229" s="4"/>
      <c r="F229" s="4"/>
      <c r="G229" s="4"/>
      <c r="H229" s="4"/>
      <c r="I229" s="5" t="s">
        <v>15</v>
      </c>
      <c r="J229" s="5" t="s">
        <v>16</v>
      </c>
      <c r="K229" s="5" t="s">
        <v>35</v>
      </c>
      <c r="L229" s="6" t="s">
        <v>365</v>
      </c>
      <c r="M229" s="5" t="s">
        <v>26</v>
      </c>
      <c r="N229" s="5" t="s">
        <v>27</v>
      </c>
      <c r="O229" s="5">
        <v>109567.0</v>
      </c>
      <c r="P229" s="5">
        <v>345.0</v>
      </c>
      <c r="Q229" s="5">
        <v>57620.0</v>
      </c>
      <c r="R229" s="5">
        <v>97903.0</v>
      </c>
      <c r="S229" s="5">
        <v>5.0</v>
      </c>
      <c r="T229" s="5">
        <v>1616.714722</v>
      </c>
    </row>
    <row r="230">
      <c r="A230" s="4" t="s">
        <v>1804</v>
      </c>
      <c r="B230" s="4" t="str">
        <f>IFERROR(__xludf.DUMMYFUNCTION("SPLIT(A230:A956, ""&gt;"")"),"Mobile - US ")</f>
        <v>Mobile - US </v>
      </c>
      <c r="C230" s="4" t="str">
        <f>IFERROR(__xludf.DUMMYFUNCTION("""COMPUTED_VALUE""")," Device Ownership ")</f>
        <v> Device Ownership </v>
      </c>
      <c r="D230" s="4" t="str">
        <f>IFERROR(__xludf.DUMMYFUNCTION("""COMPUTED_VALUE""")," Smartphones ")</f>
        <v> Smartphones </v>
      </c>
      <c r="E230" s="4" t="str">
        <f>IFERROR(__xludf.DUMMYFUNCTION("""COMPUTED_VALUE""")," iOS (Apple) ")</f>
        <v> iOS (Apple) </v>
      </c>
      <c r="F230" s="4" t="str">
        <f>IFERROR(__xludf.DUMMYFUNCTION("""COMPUTED_VALUE""")," iPhone X")</f>
        <v> iPhone X</v>
      </c>
      <c r="G230" s="4"/>
      <c r="H230" s="4"/>
      <c r="I230" s="5" t="s">
        <v>15</v>
      </c>
      <c r="J230" s="5" t="s">
        <v>31</v>
      </c>
      <c r="K230" s="5" t="s">
        <v>24</v>
      </c>
      <c r="L230" s="6" t="s">
        <v>365</v>
      </c>
      <c r="M230" s="5" t="s">
        <v>80</v>
      </c>
      <c r="N230" s="5" t="s">
        <v>52</v>
      </c>
      <c r="O230" s="5">
        <v>74426.0</v>
      </c>
      <c r="P230" s="5">
        <v>150.0</v>
      </c>
      <c r="Q230" s="5">
        <v>39257.0</v>
      </c>
      <c r="R230" s="5">
        <v>67151.0</v>
      </c>
      <c r="S230" s="5">
        <v>15.0</v>
      </c>
      <c r="T230" s="5">
        <v>1519.596552</v>
      </c>
    </row>
    <row r="231">
      <c r="A231" s="4" t="s">
        <v>1805</v>
      </c>
      <c r="B231" s="4" t="str">
        <f>IFERROR(__xludf.DUMMYFUNCTION("SPLIT(A231:A957, ""&gt;"")"),"Mobile - US ")</f>
        <v>Mobile - US </v>
      </c>
      <c r="C231" s="4" t="str">
        <f>IFERROR(__xludf.DUMMYFUNCTION("""COMPUTED_VALUE""")," Device Ownership ")</f>
        <v> Device Ownership </v>
      </c>
      <c r="D231" s="4" t="str">
        <f>IFERROR(__xludf.DUMMYFUNCTION("""COMPUTED_VALUE""")," Smartphones ")</f>
        <v> Smartphones </v>
      </c>
      <c r="E231" s="4" t="str">
        <f>IFERROR(__xludf.DUMMYFUNCTION("""COMPUTED_VALUE""")," iOS (Apple) ")</f>
        <v> iOS (Apple) </v>
      </c>
      <c r="F231" s="4" t="str">
        <f>IFERROR(__xludf.DUMMYFUNCTION("""COMPUTED_VALUE""")," iPhone 11")</f>
        <v> iPhone 11</v>
      </c>
      <c r="G231" s="4"/>
      <c r="H231" s="4"/>
      <c r="I231" s="5" t="s">
        <v>22</v>
      </c>
      <c r="J231" s="5" t="s">
        <v>42</v>
      </c>
      <c r="K231" s="5" t="s">
        <v>78</v>
      </c>
      <c r="L231" s="6" t="s">
        <v>365</v>
      </c>
      <c r="M231" s="5" t="s">
        <v>19</v>
      </c>
      <c r="N231" s="5" t="s">
        <v>27</v>
      </c>
      <c r="O231" s="5">
        <v>22163.0</v>
      </c>
      <c r="P231" s="5">
        <v>55.0</v>
      </c>
      <c r="Q231" s="5">
        <v>2368.0</v>
      </c>
      <c r="R231" s="5">
        <v>8130.0</v>
      </c>
      <c r="S231" s="5">
        <v>3.0</v>
      </c>
      <c r="T231" s="5">
        <v>1493.779328</v>
      </c>
    </row>
    <row r="232">
      <c r="A232" s="4" t="s">
        <v>377</v>
      </c>
      <c r="B232" s="4" t="str">
        <f>IFERROR(__xludf.DUMMYFUNCTION("SPLIT(A232:A958, ""&gt;"")"),"Online Behavior")</f>
        <v>Online Behavior</v>
      </c>
      <c r="C232" s="4" t="str">
        <f>IFERROR(__xludf.DUMMYFUNCTION("""COMPUTED_VALUE"""),"United States")</f>
        <v>United States</v>
      </c>
      <c r="D232" s="4" t="str">
        <f>IFERROR(__xludf.DUMMYFUNCTION("""COMPUTED_VALUE"""),"Games")</f>
        <v>Games</v>
      </c>
      <c r="E232" s="4" t="str">
        <f>IFERROR(__xludf.DUMMYFUNCTION("""COMPUTED_VALUE"""),"Family-Oriented Games and Activities")</f>
        <v>Family-Oriented Games and Activities</v>
      </c>
      <c r="F232" s="4"/>
      <c r="G232" s="4"/>
      <c r="H232" s="4"/>
      <c r="I232" s="5" t="s">
        <v>15</v>
      </c>
      <c r="J232" s="5" t="s">
        <v>31</v>
      </c>
      <c r="K232" s="5" t="s">
        <v>17</v>
      </c>
      <c r="L232" s="6" t="s">
        <v>378</v>
      </c>
      <c r="M232" s="5" t="s">
        <v>46</v>
      </c>
      <c r="N232" s="5" t="s">
        <v>52</v>
      </c>
      <c r="O232" s="5">
        <v>25021.0</v>
      </c>
      <c r="P232" s="5">
        <v>50.0</v>
      </c>
      <c r="Q232" s="5">
        <v>11084.0</v>
      </c>
      <c r="R232" s="5">
        <v>18079.0</v>
      </c>
      <c r="S232" s="5">
        <v>9.0</v>
      </c>
      <c r="T232" s="5">
        <v>4961.478884</v>
      </c>
    </row>
    <row r="233">
      <c r="A233" s="4" t="s">
        <v>1274</v>
      </c>
      <c r="B233" s="4" t="str">
        <f>IFERROR(__xludf.DUMMYFUNCTION("SPLIT(A233:A959, ""&gt;"")"),"Online Behavior")</f>
        <v>Online Behavior</v>
      </c>
      <c r="C233" s="4" t="str">
        <f>IFERROR(__xludf.DUMMYFUNCTION("""COMPUTED_VALUE"""),"United States")</f>
        <v>United States</v>
      </c>
      <c r="D233" s="4" t="str">
        <f>IFERROR(__xludf.DUMMYFUNCTION("""COMPUTED_VALUE"""),"Intent ")</f>
        <v>Intent </v>
      </c>
      <c r="E233" s="4" t="str">
        <f>IFERROR(__xludf.DUMMYFUNCTION("""COMPUTED_VALUE""")," Shopping")</f>
        <v> Shopping</v>
      </c>
      <c r="F233" s="4" t="str">
        <f>IFERROR(__xludf.DUMMYFUNCTION("""COMPUTED_VALUE"""),"Sports and Outdoors")</f>
        <v>Sports and Outdoors</v>
      </c>
      <c r="G233" s="4"/>
      <c r="H233" s="4"/>
      <c r="I233" s="5" t="s">
        <v>22</v>
      </c>
      <c r="J233" s="5" t="s">
        <v>16</v>
      </c>
      <c r="K233" s="5" t="s">
        <v>78</v>
      </c>
      <c r="L233" s="6" t="s">
        <v>378</v>
      </c>
      <c r="M233" s="5" t="s">
        <v>36</v>
      </c>
      <c r="N233" s="5" t="s">
        <v>27</v>
      </c>
      <c r="O233" s="5">
        <v>26304.0</v>
      </c>
      <c r="P233" s="5">
        <v>75.0</v>
      </c>
      <c r="Q233" s="5">
        <v>12354.0</v>
      </c>
      <c r="R233" s="5">
        <v>17500.0</v>
      </c>
      <c r="S233" s="5">
        <v>11.0</v>
      </c>
      <c r="T233" s="5">
        <v>4727.813916</v>
      </c>
    </row>
    <row r="234">
      <c r="A234" s="4" t="s">
        <v>1806</v>
      </c>
      <c r="B234" s="4" t="str">
        <f>IFERROR(__xludf.DUMMYFUNCTION("SPLIT(A234:A960, ""&gt;"")"),"US ")</f>
        <v>US </v>
      </c>
      <c r="C234" s="4" t="str">
        <f>IFERROR(__xludf.DUMMYFUNCTION("""COMPUTED_VALUE""")," Reach ")</f>
        <v> Reach </v>
      </c>
      <c r="D234" s="4" t="str">
        <f>IFERROR(__xludf.DUMMYFUNCTION("""COMPUTED_VALUE""")," Propensity Models ")</f>
        <v> Propensity Models </v>
      </c>
      <c r="E234" s="4" t="str">
        <f>IFERROR(__xludf.DUMMYFUNCTION("""COMPUTED_VALUE""")," Lifestyle ")</f>
        <v> Lifestyle </v>
      </c>
      <c r="F234" s="4" t="str">
        <f>IFERROR(__xludf.DUMMYFUNCTION("""COMPUTED_VALUE""")," Loyalty Programs ")</f>
        <v> Loyalty Programs </v>
      </c>
      <c r="G234" s="4" t="str">
        <f>IFERROR(__xludf.DUMMYFUNCTION("""COMPUTED_VALUE""")," Loyalty Card User")</f>
        <v> Loyalty Card User</v>
      </c>
      <c r="H234" s="4"/>
      <c r="I234" s="5" t="s">
        <v>15</v>
      </c>
      <c r="J234" s="5" t="s">
        <v>23</v>
      </c>
      <c r="K234" s="5" t="s">
        <v>78</v>
      </c>
      <c r="L234" s="6" t="s">
        <v>378</v>
      </c>
      <c r="M234" s="5" t="s">
        <v>26</v>
      </c>
      <c r="N234" s="5" t="s">
        <v>27</v>
      </c>
      <c r="O234" s="5">
        <v>13100.0</v>
      </c>
      <c r="P234" s="5">
        <v>80.0</v>
      </c>
      <c r="Q234" s="5">
        <v>6507.0</v>
      </c>
      <c r="R234" s="5">
        <v>10895.0</v>
      </c>
      <c r="S234" s="5">
        <v>5.0</v>
      </c>
      <c r="T234" s="5">
        <v>3411.590029</v>
      </c>
    </row>
    <row r="235">
      <c r="A235" s="4" t="s">
        <v>1276</v>
      </c>
      <c r="B235" s="4" t="str">
        <f>IFERROR(__xludf.DUMMYFUNCTION("SPLIT(A235:A961, ""&gt;"")"),"Online Behavior")</f>
        <v>Online Behavior</v>
      </c>
      <c r="C235" s="4" t="str">
        <f>IFERROR(__xludf.DUMMYFUNCTION("""COMPUTED_VALUE"""),"United States")</f>
        <v>United States</v>
      </c>
      <c r="D235" s="4" t="str">
        <f>IFERROR(__xludf.DUMMYFUNCTION("""COMPUTED_VALUE"""),"Intent ")</f>
        <v>Intent </v>
      </c>
      <c r="E235" s="4" t="str">
        <f>IFERROR(__xludf.DUMMYFUNCTION("""COMPUTED_VALUE""")," Shopping")</f>
        <v> Shopping</v>
      </c>
      <c r="F235" s="4" t="str">
        <f>IFERROR(__xludf.DUMMYFUNCTION("""COMPUTED_VALUE"""),"Consumer Electronics ")</f>
        <v>Consumer Electronics </v>
      </c>
      <c r="G235" s="4" t="str">
        <f>IFERROR(__xludf.DUMMYFUNCTION("""COMPUTED_VALUE""")," Tablets")</f>
        <v> Tablets</v>
      </c>
      <c r="H235" s="4"/>
      <c r="I235" s="5" t="s">
        <v>22</v>
      </c>
      <c r="J235" s="5" t="s">
        <v>16</v>
      </c>
      <c r="K235" s="5" t="s">
        <v>39</v>
      </c>
      <c r="L235" s="6" t="s">
        <v>382</v>
      </c>
      <c r="M235" s="5" t="s">
        <v>19</v>
      </c>
      <c r="N235" s="5" t="s">
        <v>27</v>
      </c>
      <c r="O235" s="5">
        <v>9533.0</v>
      </c>
      <c r="P235" s="5">
        <v>66.0</v>
      </c>
      <c r="Q235" s="5">
        <v>6548.0</v>
      </c>
      <c r="R235" s="5">
        <v>9042.0</v>
      </c>
      <c r="S235" s="5">
        <v>16.0</v>
      </c>
      <c r="T235" s="5">
        <v>5574.543505</v>
      </c>
    </row>
    <row r="236">
      <c r="A236" s="4" t="s">
        <v>1277</v>
      </c>
      <c r="B236" s="4" t="str">
        <f>IFERROR(__xludf.DUMMYFUNCTION("SPLIT(A236:A962, ""&gt;"")"),"Online Behavior")</f>
        <v>Online Behavior</v>
      </c>
      <c r="C236" s="4" t="str">
        <f>IFERROR(__xludf.DUMMYFUNCTION("""COMPUTED_VALUE"""),"United States")</f>
        <v>United States</v>
      </c>
      <c r="D236" s="4" t="str">
        <f>IFERROR(__xludf.DUMMYFUNCTION("""COMPUTED_VALUE"""),"Intent ")</f>
        <v>Intent </v>
      </c>
      <c r="E236" s="4" t="str">
        <f>IFERROR(__xludf.DUMMYFUNCTION("""COMPUTED_VALUE""")," Auto Buyers ")</f>
        <v> Auto Buyers </v>
      </c>
      <c r="F236" s="4" t="str">
        <f>IFERROR(__xludf.DUMMYFUNCTION("""COMPUTED_VALUE""")," Car Make")</f>
        <v> Car Make</v>
      </c>
      <c r="G236" s="4" t="str">
        <f>IFERROR(__xludf.DUMMYFUNCTION("""COMPUTED_VALUE"""),"BMW")</f>
        <v>BMW</v>
      </c>
      <c r="H236" s="4"/>
      <c r="I236" s="5" t="s">
        <v>15</v>
      </c>
      <c r="J236" s="5" t="s">
        <v>23</v>
      </c>
      <c r="K236" s="5" t="s">
        <v>95</v>
      </c>
      <c r="L236" s="6" t="s">
        <v>384</v>
      </c>
      <c r="M236" s="5" t="s">
        <v>46</v>
      </c>
      <c r="N236" s="5" t="s">
        <v>27</v>
      </c>
      <c r="O236" s="5">
        <v>12092.0</v>
      </c>
      <c r="P236" s="5">
        <v>30.0</v>
      </c>
      <c r="Q236" s="5">
        <v>2042.0</v>
      </c>
      <c r="R236" s="5">
        <v>10315.0</v>
      </c>
      <c r="S236" s="5">
        <v>8.0</v>
      </c>
      <c r="T236" s="5">
        <v>6245.134793</v>
      </c>
    </row>
    <row r="237">
      <c r="A237" s="4" t="s">
        <v>1278</v>
      </c>
      <c r="B237" s="4" t="str">
        <f>IFERROR(__xludf.DUMMYFUNCTION("SPLIT(A237:A963, ""&gt;"")"),"Online Behavior")</f>
        <v>Online Behavior</v>
      </c>
      <c r="C237" s="4" t="str">
        <f>IFERROR(__xludf.DUMMYFUNCTION("""COMPUTED_VALUE"""),"United States")</f>
        <v>United States</v>
      </c>
      <c r="D237" s="4" t="str">
        <f>IFERROR(__xludf.DUMMYFUNCTION("""COMPUTED_VALUE"""),"Travel")</f>
        <v>Travel</v>
      </c>
      <c r="E237" s="4" t="str">
        <f>IFERROR(__xludf.DUMMYFUNCTION("""COMPUTED_VALUE"""),"Tourist Destinations ")</f>
        <v>Tourist Destinations </v>
      </c>
      <c r="F237" s="4" t="str">
        <f>IFERROR(__xludf.DUMMYFUNCTION("""COMPUTED_VALUE""")," Lakes and Rivers")</f>
        <v> Lakes and Rivers</v>
      </c>
      <c r="G237" s="4"/>
      <c r="H237" s="4"/>
      <c r="I237" s="5" t="s">
        <v>15</v>
      </c>
      <c r="J237" s="5" t="s">
        <v>16</v>
      </c>
      <c r="K237" s="5" t="s">
        <v>35</v>
      </c>
      <c r="L237" s="6" t="s">
        <v>386</v>
      </c>
      <c r="M237" s="5" t="s">
        <v>117</v>
      </c>
      <c r="N237" s="5" t="s">
        <v>27</v>
      </c>
      <c r="O237" s="5">
        <v>12710.0</v>
      </c>
      <c r="P237" s="5">
        <v>10.0</v>
      </c>
      <c r="Q237" s="5">
        <v>8159.0</v>
      </c>
      <c r="R237" s="5">
        <v>11984.0</v>
      </c>
      <c r="S237" s="5">
        <v>11.0</v>
      </c>
      <c r="T237" s="5">
        <v>7851.397478</v>
      </c>
    </row>
    <row r="238">
      <c r="A238" s="4" t="s">
        <v>387</v>
      </c>
      <c r="B238" s="4" t="str">
        <f>IFERROR(__xludf.DUMMYFUNCTION("SPLIT(A238:A964, ""&gt;"")"),"Online Behavior")</f>
        <v>Online Behavior</v>
      </c>
      <c r="C238" s="4" t="str">
        <f>IFERROR(__xludf.DUMMYFUNCTION("""COMPUTED_VALUE"""),"United States")</f>
        <v>United States</v>
      </c>
      <c r="D238" s="4" t="str">
        <f>IFERROR(__xludf.DUMMYFUNCTION("""COMPUTED_VALUE"""),"Online Communities")</f>
        <v>Online Communities</v>
      </c>
      <c r="E238" s="4" t="str">
        <f>IFERROR(__xludf.DUMMYFUNCTION("""COMPUTED_VALUE"""),"Social Networks")</f>
        <v>Social Networks</v>
      </c>
      <c r="F238" s="4"/>
      <c r="G238" s="4"/>
      <c r="H238" s="4"/>
      <c r="I238" s="5" t="s">
        <v>22</v>
      </c>
      <c r="J238" s="5" t="s">
        <v>42</v>
      </c>
      <c r="K238" s="5" t="s">
        <v>35</v>
      </c>
      <c r="L238" s="6" t="s">
        <v>386</v>
      </c>
      <c r="M238" s="5" t="s">
        <v>19</v>
      </c>
      <c r="N238" s="5" t="s">
        <v>27</v>
      </c>
      <c r="O238" s="5">
        <v>9463.0</v>
      </c>
      <c r="P238" s="5">
        <v>56.0</v>
      </c>
      <c r="Q238" s="5">
        <v>1518.0</v>
      </c>
      <c r="R238" s="5">
        <v>8191.0</v>
      </c>
      <c r="S238" s="5">
        <v>4.0</v>
      </c>
      <c r="T238" s="5">
        <v>6879.601707</v>
      </c>
    </row>
    <row r="239">
      <c r="A239" s="4" t="s">
        <v>388</v>
      </c>
      <c r="B239" s="4" t="str">
        <f>IFERROR(__xludf.DUMMYFUNCTION("SPLIT(A239:A965, ""&gt;"")"),"Online Behavior")</f>
        <v>Online Behavior</v>
      </c>
      <c r="C239" s="4" t="str">
        <f>IFERROR(__xludf.DUMMYFUNCTION("""COMPUTED_VALUE"""),"United States")</f>
        <v>United States</v>
      </c>
      <c r="D239" s="4" t="str">
        <f>IFERROR(__xludf.DUMMYFUNCTION("""COMPUTED_VALUE"""),"Online Communities")</f>
        <v>Online Communities</v>
      </c>
      <c r="E239" s="4" t="str">
        <f>IFERROR(__xludf.DUMMYFUNCTION("""COMPUTED_VALUE"""),"Photo and Video Sharing")</f>
        <v>Photo and Video Sharing</v>
      </c>
      <c r="F239" s="4"/>
      <c r="G239" s="4"/>
      <c r="H239" s="4"/>
      <c r="I239" s="5" t="s">
        <v>15</v>
      </c>
      <c r="J239" s="5" t="s">
        <v>16</v>
      </c>
      <c r="K239" s="5" t="s">
        <v>35</v>
      </c>
      <c r="L239" s="6" t="s">
        <v>386</v>
      </c>
      <c r="M239" s="5" t="s">
        <v>26</v>
      </c>
      <c r="N239" s="5" t="s">
        <v>27</v>
      </c>
      <c r="O239" s="5">
        <v>12136.0</v>
      </c>
      <c r="P239" s="5">
        <v>97.0</v>
      </c>
      <c r="Q239" s="5">
        <v>2089.0</v>
      </c>
      <c r="R239" s="5">
        <v>11500.0</v>
      </c>
      <c r="S239" s="5">
        <v>3.0</v>
      </c>
      <c r="T239" s="5">
        <v>5224.932463</v>
      </c>
    </row>
    <row r="240">
      <c r="A240" s="4" t="s">
        <v>389</v>
      </c>
      <c r="B240" s="4" t="str">
        <f>IFERROR(__xludf.DUMMYFUNCTION("SPLIT(A240:A966, ""&gt;"")"),"Online Behavior")</f>
        <v>Online Behavior</v>
      </c>
      <c r="C240" s="4" t="str">
        <f>IFERROR(__xludf.DUMMYFUNCTION("""COMPUTED_VALUE"""),"United States")</f>
        <v>United States</v>
      </c>
      <c r="D240" s="4" t="str">
        <f>IFERROR(__xludf.DUMMYFUNCTION("""COMPUTED_VALUE"""),"Internet and Telecom")</f>
        <v>Internet and Telecom</v>
      </c>
      <c r="E240" s="4" t="str">
        <f>IFERROR(__xludf.DUMMYFUNCTION("""COMPUTED_VALUE"""),"Mobile and Wireless")</f>
        <v>Mobile and Wireless</v>
      </c>
      <c r="F240" s="4"/>
      <c r="G240" s="4"/>
      <c r="H240" s="4"/>
      <c r="I240" s="5" t="s">
        <v>22</v>
      </c>
      <c r="J240" s="5" t="s">
        <v>31</v>
      </c>
      <c r="K240" s="5" t="s">
        <v>39</v>
      </c>
      <c r="L240" s="6" t="s">
        <v>390</v>
      </c>
      <c r="M240" s="5" t="s">
        <v>19</v>
      </c>
      <c r="N240" s="5" t="s">
        <v>27</v>
      </c>
      <c r="O240" s="5">
        <v>15326.0</v>
      </c>
      <c r="P240" s="5">
        <v>68.0</v>
      </c>
      <c r="Q240" s="5">
        <v>7941.0</v>
      </c>
      <c r="R240" s="5">
        <v>14331.0</v>
      </c>
      <c r="S240" s="5">
        <v>8.0</v>
      </c>
      <c r="T240" s="5">
        <v>6943.515824</v>
      </c>
    </row>
    <row r="241">
      <c r="A241" s="4" t="s">
        <v>1279</v>
      </c>
      <c r="B241" s="4" t="str">
        <f>IFERROR(__xludf.DUMMYFUNCTION("SPLIT(A241:A967, ""&gt;"")"),"Online Behavior")</f>
        <v>Online Behavior</v>
      </c>
      <c r="C241" s="4" t="str">
        <f>IFERROR(__xludf.DUMMYFUNCTION("""COMPUTED_VALUE"""),"United States")</f>
        <v>United States</v>
      </c>
      <c r="D241" s="4" t="str">
        <f>IFERROR(__xludf.DUMMYFUNCTION("""COMPUTED_VALUE"""),"Beauty and Fitness")</f>
        <v>Beauty and Fitness</v>
      </c>
      <c r="E241" s="4" t="str">
        <f>IFERROR(__xludf.DUMMYFUNCTION("""COMPUTED_VALUE"""),"Fashion and Style ")</f>
        <v>Fashion and Style </v>
      </c>
      <c r="F241" s="4" t="str">
        <f>IFERROR(__xludf.DUMMYFUNCTION("""COMPUTED_VALUE""")," Fashion Modeling")</f>
        <v> Fashion Modeling</v>
      </c>
      <c r="G241" s="4"/>
      <c r="H241" s="4"/>
      <c r="I241" s="5" t="s">
        <v>22</v>
      </c>
      <c r="J241" s="5" t="s">
        <v>31</v>
      </c>
      <c r="K241" s="5" t="s">
        <v>35</v>
      </c>
      <c r="L241" s="6" t="s">
        <v>390</v>
      </c>
      <c r="M241" s="5" t="s">
        <v>19</v>
      </c>
      <c r="N241" s="5" t="s">
        <v>27</v>
      </c>
      <c r="O241" s="5">
        <v>18095.0</v>
      </c>
      <c r="P241" s="5">
        <v>50.0</v>
      </c>
      <c r="Q241" s="5">
        <v>10021.0</v>
      </c>
      <c r="R241" s="5">
        <v>16755.0</v>
      </c>
      <c r="S241" s="5">
        <v>24.0</v>
      </c>
      <c r="T241" s="5">
        <v>6768.758768</v>
      </c>
    </row>
    <row r="242">
      <c r="A242" s="4" t="s">
        <v>392</v>
      </c>
      <c r="B242" s="4" t="str">
        <f>IFERROR(__xludf.DUMMYFUNCTION("SPLIT(A242:A968, ""&gt;"")"),"Online Behavior")</f>
        <v>Online Behavior</v>
      </c>
      <c r="C242" s="4" t="str">
        <f>IFERROR(__xludf.DUMMYFUNCTION("""COMPUTED_VALUE"""),"United States")</f>
        <v>United States</v>
      </c>
      <c r="D242" s="4" t="str">
        <f>IFERROR(__xludf.DUMMYFUNCTION("""COMPUTED_VALUE"""),"Games")</f>
        <v>Games</v>
      </c>
      <c r="E242" s="4" t="str">
        <f>IFERROR(__xludf.DUMMYFUNCTION("""COMPUTED_VALUE"""),"Educational Games")</f>
        <v>Educational Games</v>
      </c>
      <c r="F242" s="4"/>
      <c r="G242" s="4"/>
      <c r="H242" s="4"/>
      <c r="I242" s="5" t="s">
        <v>61</v>
      </c>
      <c r="J242" s="5" t="s">
        <v>23</v>
      </c>
      <c r="K242" s="5" t="s">
        <v>55</v>
      </c>
      <c r="L242" s="6" t="s">
        <v>390</v>
      </c>
      <c r="M242" s="5" t="s">
        <v>19</v>
      </c>
      <c r="N242" s="5" t="s">
        <v>27</v>
      </c>
      <c r="O242" s="5">
        <v>119280.0</v>
      </c>
      <c r="P242" s="5">
        <v>400.0</v>
      </c>
      <c r="Q242" s="5">
        <v>55665.0</v>
      </c>
      <c r="R242" s="5">
        <v>112913.0</v>
      </c>
      <c r="S242" s="5">
        <v>23.0</v>
      </c>
      <c r="T242" s="5">
        <v>6492.676343</v>
      </c>
    </row>
    <row r="243">
      <c r="A243" s="4" t="s">
        <v>393</v>
      </c>
      <c r="B243" s="4" t="str">
        <f>IFERROR(__xludf.DUMMYFUNCTION("SPLIT(A243:A969, ""&gt;"")"),"Online Behavior")</f>
        <v>Online Behavior</v>
      </c>
      <c r="C243" s="4" t="str">
        <f>IFERROR(__xludf.DUMMYFUNCTION("""COMPUTED_VALUE"""),"United States")</f>
        <v>United States</v>
      </c>
      <c r="D243" s="4" t="str">
        <f>IFERROR(__xludf.DUMMYFUNCTION("""COMPUTED_VALUE"""),"Sports")</f>
        <v>Sports</v>
      </c>
      <c r="E243" s="4" t="str">
        <f>IFERROR(__xludf.DUMMYFUNCTION("""COMPUTED_VALUE"""),"Motor Sports")</f>
        <v>Motor Sports</v>
      </c>
      <c r="F243" s="4"/>
      <c r="G243" s="4"/>
      <c r="H243" s="4"/>
      <c r="I243" s="5" t="s">
        <v>22</v>
      </c>
      <c r="J243" s="5" t="s">
        <v>31</v>
      </c>
      <c r="K243" s="5" t="s">
        <v>150</v>
      </c>
      <c r="L243" s="6" t="s">
        <v>390</v>
      </c>
      <c r="M243" s="5" t="s">
        <v>46</v>
      </c>
      <c r="N243" s="5" t="s">
        <v>27</v>
      </c>
      <c r="O243" s="5">
        <v>8204.0</v>
      </c>
      <c r="P243" s="5">
        <v>20.0</v>
      </c>
      <c r="Q243" s="5">
        <v>1348.0</v>
      </c>
      <c r="R243" s="5">
        <v>7832.0</v>
      </c>
      <c r="S243" s="5">
        <v>1.0</v>
      </c>
      <c r="T243" s="5">
        <v>5973.379892</v>
      </c>
    </row>
    <row r="244">
      <c r="A244" s="4" t="s">
        <v>1280</v>
      </c>
      <c r="B244" s="4" t="str">
        <f>IFERROR(__xludf.DUMMYFUNCTION("SPLIT(A244:A970, ""&gt;"")"),"Online Behavior")</f>
        <v>Online Behavior</v>
      </c>
      <c r="C244" s="4" t="str">
        <f>IFERROR(__xludf.DUMMYFUNCTION("""COMPUTED_VALUE"""),"United States")</f>
        <v>United States</v>
      </c>
      <c r="D244" s="4" t="str">
        <f>IFERROR(__xludf.DUMMYFUNCTION("""COMPUTED_VALUE"""),"Autos and Vehicles ")</f>
        <v>Autos and Vehicles </v>
      </c>
      <c r="E244" s="4" t="str">
        <f>IFERROR(__xludf.DUMMYFUNCTION("""COMPUTED_VALUE""")," Brands")</f>
        <v> Brands</v>
      </c>
      <c r="F244" s="4" t="str">
        <f>IFERROR(__xludf.DUMMYFUNCTION("""COMPUTED_VALUE"""),"BMW")</f>
        <v>BMW</v>
      </c>
      <c r="G244" s="4"/>
      <c r="H244" s="4"/>
      <c r="I244" s="5" t="s">
        <v>61</v>
      </c>
      <c r="J244" s="5" t="s">
        <v>31</v>
      </c>
      <c r="K244" s="5" t="s">
        <v>95</v>
      </c>
      <c r="L244" s="6" t="s">
        <v>390</v>
      </c>
      <c r="M244" s="5" t="s">
        <v>161</v>
      </c>
      <c r="N244" s="5" t="s">
        <v>27</v>
      </c>
      <c r="O244" s="5">
        <v>88022.0</v>
      </c>
      <c r="P244" s="5">
        <v>370.0</v>
      </c>
      <c r="Q244" s="5">
        <v>45972.0</v>
      </c>
      <c r="R244" s="5">
        <v>83922.0</v>
      </c>
      <c r="S244" s="5">
        <v>11.0</v>
      </c>
      <c r="T244" s="5">
        <v>5669.14476</v>
      </c>
    </row>
    <row r="245">
      <c r="A245" s="4" t="s">
        <v>1281</v>
      </c>
      <c r="B245" s="4" t="str">
        <f>IFERROR(__xludf.DUMMYFUNCTION("SPLIT(A245:A971, ""&gt;"")"),"Online Behavior")</f>
        <v>Online Behavior</v>
      </c>
      <c r="C245" s="4" t="str">
        <f>IFERROR(__xludf.DUMMYFUNCTION("""COMPUTED_VALUE"""),"United States")</f>
        <v>United States</v>
      </c>
      <c r="D245" s="4" t="str">
        <f>IFERROR(__xludf.DUMMYFUNCTION("""COMPUTED_VALUE"""),"Food and Drink")</f>
        <v>Food and Drink</v>
      </c>
      <c r="E245" s="4" t="str">
        <f>IFERROR(__xludf.DUMMYFUNCTION("""COMPUTED_VALUE"""),"Beverages ")</f>
        <v>Beverages </v>
      </c>
      <c r="F245" s="4" t="str">
        <f>IFERROR(__xludf.DUMMYFUNCTION("""COMPUTED_VALUE""")," Bottled Water")</f>
        <v> Bottled Water</v>
      </c>
      <c r="G245" s="4"/>
      <c r="H245" s="4"/>
      <c r="I245" s="5" t="s">
        <v>22</v>
      </c>
      <c r="J245" s="5" t="s">
        <v>31</v>
      </c>
      <c r="K245" s="5" t="s">
        <v>78</v>
      </c>
      <c r="L245" s="6" t="s">
        <v>390</v>
      </c>
      <c r="M245" s="5" t="s">
        <v>19</v>
      </c>
      <c r="N245" s="5" t="s">
        <v>27</v>
      </c>
      <c r="O245" s="5">
        <v>12879.0</v>
      </c>
      <c r="P245" s="5">
        <v>71.0</v>
      </c>
      <c r="Q245" s="5">
        <v>7225.0</v>
      </c>
      <c r="R245" s="5">
        <v>12173.0</v>
      </c>
      <c r="S245" s="5">
        <v>9.0</v>
      </c>
      <c r="T245" s="5">
        <v>5099.28249</v>
      </c>
    </row>
    <row r="246">
      <c r="A246" s="4" t="s">
        <v>1807</v>
      </c>
      <c r="B246" s="4" t="str">
        <f>IFERROR(__xludf.DUMMYFUNCTION("SPLIT(A246:A972, ""&gt;"")"),"US ")</f>
        <v>US </v>
      </c>
      <c r="C246" s="4" t="str">
        <f>IFERROR(__xludf.DUMMYFUNCTION("""COMPUTED_VALUE""")," Reach ")</f>
        <v> Reach </v>
      </c>
      <c r="D246" s="4" t="str">
        <f>IFERROR(__xludf.DUMMYFUNCTION("""COMPUTED_VALUE""")," Sociodemographic ")</f>
        <v> Sociodemographic </v>
      </c>
      <c r="E246" s="4" t="str">
        <f>IFERROR(__xludf.DUMMYFUNCTION("""COMPUTED_VALUE""")," Age ")</f>
        <v> Age </v>
      </c>
      <c r="F246" s="4" t="str">
        <f>IFERROR(__xludf.DUMMYFUNCTION("""COMPUTED_VALUE""")," 45-49")</f>
        <v> 45-49</v>
      </c>
      <c r="G246" s="4"/>
      <c r="H246" s="4"/>
      <c r="I246" s="5" t="s">
        <v>15</v>
      </c>
      <c r="J246" s="5" t="s">
        <v>16</v>
      </c>
      <c r="K246" s="5" t="s">
        <v>39</v>
      </c>
      <c r="L246" s="6" t="s">
        <v>390</v>
      </c>
      <c r="M246" s="5" t="s">
        <v>19</v>
      </c>
      <c r="N246" s="5" t="s">
        <v>52</v>
      </c>
      <c r="O246" s="5">
        <v>69239.0</v>
      </c>
      <c r="P246" s="5">
        <v>160.0</v>
      </c>
      <c r="Q246" s="5">
        <v>23112.0</v>
      </c>
      <c r="R246" s="5">
        <v>65390.0</v>
      </c>
      <c r="S246" s="5">
        <v>1.0</v>
      </c>
      <c r="T246" s="5">
        <v>4514.952724</v>
      </c>
    </row>
    <row r="247">
      <c r="A247" s="4" t="s">
        <v>1808</v>
      </c>
      <c r="B247" s="4" t="str">
        <f>IFERROR(__xludf.DUMMYFUNCTION("SPLIT(A247:A973, ""&gt;"")"),"Real Estate ")</f>
        <v>Real Estate </v>
      </c>
      <c r="C247" s="4" t="str">
        <f>IFERROR(__xludf.DUMMYFUNCTION("""COMPUTED_VALUE""")," Sale Activity ")</f>
        <v> Sale Activity </v>
      </c>
      <c r="D247" s="4" t="str">
        <f>IFERROR(__xludf.DUMMYFUNCTION("""COMPUTED_VALUE""")," Just Sold")</f>
        <v> Just Sold</v>
      </c>
      <c r="E247" s="4"/>
      <c r="F247" s="4"/>
      <c r="G247" s="4"/>
      <c r="H247" s="4"/>
      <c r="I247" s="5" t="s">
        <v>22</v>
      </c>
      <c r="J247" s="5" t="s">
        <v>31</v>
      </c>
      <c r="K247" s="5" t="s">
        <v>398</v>
      </c>
      <c r="L247" s="6" t="s">
        <v>390</v>
      </c>
      <c r="M247" s="5" t="s">
        <v>19</v>
      </c>
      <c r="N247" s="5" t="s">
        <v>27</v>
      </c>
      <c r="O247" s="5">
        <v>111884.0</v>
      </c>
      <c r="P247" s="5">
        <v>220.0</v>
      </c>
      <c r="Q247" s="5">
        <v>53017.0</v>
      </c>
      <c r="R247" s="5">
        <v>106432.0</v>
      </c>
      <c r="S247" s="5">
        <v>7.0</v>
      </c>
      <c r="T247" s="5">
        <v>1786.105122</v>
      </c>
    </row>
    <row r="248">
      <c r="A248" s="4" t="s">
        <v>1809</v>
      </c>
      <c r="B248" s="4" t="str">
        <f>IFERROR(__xludf.DUMMYFUNCTION("SPLIT(A248:A974, ""&gt;"")"),"US ")</f>
        <v>US </v>
      </c>
      <c r="C248" s="4" t="str">
        <f>IFERROR(__xludf.DUMMYFUNCTION("""COMPUTED_VALUE""")," Sociodemographic ")</f>
        <v> Sociodemographic </v>
      </c>
      <c r="D248" s="4" t="str">
        <f>IFERROR(__xludf.DUMMYFUNCTION("""COMPUTED_VALUE""")," ConneXions Lifestage ")</f>
        <v> ConneXions Lifestage </v>
      </c>
      <c r="E248" s="4" t="str">
        <f>IFERROR(__xludf.DUMMYFUNCTION("""COMPUTED_VALUE""")," F1 Early Adopting Elite")</f>
        <v> F1 Early Adopting Elite</v>
      </c>
      <c r="F248" s="4"/>
      <c r="G248" s="4"/>
      <c r="H248" s="4"/>
      <c r="I248" s="5" t="s">
        <v>22</v>
      </c>
      <c r="J248" s="5" t="s">
        <v>23</v>
      </c>
      <c r="K248" s="5" t="s">
        <v>78</v>
      </c>
      <c r="L248" s="6" t="s">
        <v>390</v>
      </c>
      <c r="M248" s="5" t="s">
        <v>19</v>
      </c>
      <c r="N248" s="5" t="s">
        <v>27</v>
      </c>
      <c r="O248" s="5">
        <v>20899.0</v>
      </c>
      <c r="P248" s="5">
        <v>20.0</v>
      </c>
      <c r="Q248" s="5">
        <v>11394.0</v>
      </c>
      <c r="R248" s="5">
        <v>19576.0</v>
      </c>
      <c r="S248" s="5">
        <v>19.0</v>
      </c>
      <c r="T248" s="5">
        <v>1649.459852</v>
      </c>
    </row>
    <row r="249">
      <c r="A249" s="4" t="s">
        <v>1285</v>
      </c>
      <c r="B249" s="4" t="str">
        <f>IFERROR(__xludf.DUMMYFUNCTION("SPLIT(A249:A975, ""&gt;"")"),"OnAudience ")</f>
        <v>OnAudience </v>
      </c>
      <c r="C249" s="4" t="str">
        <f>IFERROR(__xludf.DUMMYFUNCTION("""COMPUTED_VALUE""")," Interest ")</f>
        <v> Interest </v>
      </c>
      <c r="D249" s="4" t="str">
        <f>IFERROR(__xludf.DUMMYFUNCTION("""COMPUTED_VALUE""")," Arts &amp; Entertainment ")</f>
        <v> Arts &amp; Entertainment </v>
      </c>
      <c r="E249" s="4" t="str">
        <f>IFERROR(__xludf.DUMMYFUNCTION("""COMPUTED_VALUE""")," Television")</f>
        <v> Television</v>
      </c>
      <c r="F249" s="4"/>
      <c r="G249" s="4"/>
      <c r="H249" s="4"/>
      <c r="I249" s="5" t="s">
        <v>15</v>
      </c>
      <c r="J249" s="5" t="s">
        <v>42</v>
      </c>
      <c r="K249" s="5" t="s">
        <v>121</v>
      </c>
      <c r="L249" s="6" t="s">
        <v>390</v>
      </c>
      <c r="M249" s="5" t="s">
        <v>19</v>
      </c>
      <c r="N249" s="5" t="s">
        <v>52</v>
      </c>
      <c r="O249" s="5">
        <v>22800.0</v>
      </c>
      <c r="P249" s="5">
        <v>79.0</v>
      </c>
      <c r="Q249" s="5">
        <v>8298.0</v>
      </c>
      <c r="R249" s="5">
        <v>21161.0</v>
      </c>
      <c r="S249" s="5">
        <v>24.0</v>
      </c>
      <c r="T249" s="5">
        <v>1620.1655</v>
      </c>
    </row>
    <row r="250">
      <c r="A250" s="4" t="s">
        <v>1810</v>
      </c>
      <c r="B250" s="4" t="str">
        <f>IFERROR(__xludf.DUMMYFUNCTION("SPLIT(A250:A976, ""&gt;"")"),"US Interest ")</f>
        <v>US Interest </v>
      </c>
      <c r="C250" s="4" t="str">
        <f>IFERROR(__xludf.DUMMYFUNCTION("""COMPUTED_VALUE""")," Consumer Electronics")</f>
        <v> Consumer Electronics</v>
      </c>
      <c r="D250" s="4"/>
      <c r="E250" s="4"/>
      <c r="F250" s="4"/>
      <c r="G250" s="4"/>
      <c r="H250" s="4"/>
      <c r="I250" s="5" t="s">
        <v>22</v>
      </c>
      <c r="J250" s="5" t="s">
        <v>31</v>
      </c>
      <c r="K250" s="5" t="s">
        <v>78</v>
      </c>
      <c r="L250" s="6" t="s">
        <v>390</v>
      </c>
      <c r="M250" s="5" t="s">
        <v>19</v>
      </c>
      <c r="N250" s="5" t="s">
        <v>27</v>
      </c>
      <c r="O250" s="5">
        <v>15441.0</v>
      </c>
      <c r="P250" s="5">
        <v>48.0</v>
      </c>
      <c r="Q250" s="5">
        <v>7626.0</v>
      </c>
      <c r="R250" s="5">
        <v>14456.0</v>
      </c>
      <c r="S250" s="5">
        <v>19.0</v>
      </c>
      <c r="T250" s="5">
        <v>1614.309013</v>
      </c>
    </row>
    <row r="251">
      <c r="A251" s="4" t="s">
        <v>1811</v>
      </c>
      <c r="B251" s="4" t="str">
        <f>IFERROR(__xludf.DUMMYFUNCTION("SPLIT(A251:A977, ""&gt;"")"),"US ")</f>
        <v>US </v>
      </c>
      <c r="C251" s="4" t="str">
        <f>IFERROR(__xludf.DUMMYFUNCTION("""COMPUTED_VALUE""")," Interest Propensities ")</f>
        <v> Interest Propensities </v>
      </c>
      <c r="D251" s="4" t="str">
        <f>IFERROR(__xludf.DUMMYFUNCTION("""COMPUTED_VALUE""")," Insurance ")</f>
        <v> Insurance </v>
      </c>
      <c r="E251" s="4" t="str">
        <f>IFERROR(__xludf.DUMMYFUNCTION("""COMPUTED_VALUE""")," Unitedhealth Group")</f>
        <v> Unitedhealth Group</v>
      </c>
      <c r="F251" s="4"/>
      <c r="G251" s="4"/>
      <c r="H251" s="4"/>
      <c r="I251" s="5" t="s">
        <v>22</v>
      </c>
      <c r="J251" s="5" t="s">
        <v>23</v>
      </c>
      <c r="K251" s="5" t="s">
        <v>78</v>
      </c>
      <c r="L251" s="6" t="s">
        <v>390</v>
      </c>
      <c r="M251" s="5" t="s">
        <v>19</v>
      </c>
      <c r="N251" s="5" t="s">
        <v>27</v>
      </c>
      <c r="O251" s="5">
        <v>33069.0</v>
      </c>
      <c r="P251" s="5">
        <v>140.0</v>
      </c>
      <c r="Q251" s="5">
        <v>17744.0</v>
      </c>
      <c r="R251" s="5">
        <v>31192.0</v>
      </c>
      <c r="S251" s="5">
        <v>14.0</v>
      </c>
      <c r="T251" s="5">
        <v>1543.310611</v>
      </c>
    </row>
    <row r="252">
      <c r="A252" s="4" t="s">
        <v>1812</v>
      </c>
      <c r="B252" s="4" t="str">
        <f>IFERROR(__xludf.DUMMYFUNCTION("SPLIT(A252:A978, ""&gt;"")"),"US ")</f>
        <v>US </v>
      </c>
      <c r="C252" s="4" t="str">
        <f>IFERROR(__xludf.DUMMYFUNCTION("""COMPUTED_VALUE""")," B2B ")</f>
        <v> B2B </v>
      </c>
      <c r="D252" s="4" t="str">
        <f>IFERROR(__xludf.DUMMYFUNCTION("""COMPUTED_VALUE""")," B2B Decision Maker Responsibilities ")</f>
        <v> B2B Decision Maker Responsibilities </v>
      </c>
      <c r="E252" s="4" t="str">
        <f>IFERROR(__xludf.DUMMYFUNCTION("""COMPUTED_VALUE""")," Marketing or Market Research")</f>
        <v> Marketing or Market Research</v>
      </c>
      <c r="F252" s="4"/>
      <c r="G252" s="4"/>
      <c r="H252" s="4"/>
      <c r="I252" s="5" t="s">
        <v>22</v>
      </c>
      <c r="J252" s="5" t="s">
        <v>31</v>
      </c>
      <c r="K252" s="5" t="s">
        <v>84</v>
      </c>
      <c r="L252" s="6" t="s">
        <v>404</v>
      </c>
      <c r="M252" s="5" t="s">
        <v>19</v>
      </c>
      <c r="N252" s="5" t="s">
        <v>27</v>
      </c>
      <c r="O252" s="5">
        <v>54134.0</v>
      </c>
      <c r="P252" s="5">
        <v>155.0</v>
      </c>
      <c r="Q252" s="5">
        <v>37418.0</v>
      </c>
      <c r="R252" s="5">
        <v>51299.0</v>
      </c>
      <c r="S252" s="5">
        <v>4.0</v>
      </c>
      <c r="T252" s="5">
        <v>1502.01775</v>
      </c>
    </row>
    <row r="253">
      <c r="A253" s="4" t="s">
        <v>405</v>
      </c>
      <c r="B253" s="4" t="str">
        <f>IFERROR(__xludf.DUMMYFUNCTION("SPLIT(A253:A979, ""&gt;"")"),"Online Behavior")</f>
        <v>Online Behavior</v>
      </c>
      <c r="C253" s="4" t="str">
        <f>IFERROR(__xludf.DUMMYFUNCTION("""COMPUTED_VALUE"""),"United States")</f>
        <v>United States</v>
      </c>
      <c r="D253" s="4" t="str">
        <f>IFERROR(__xludf.DUMMYFUNCTION("""COMPUTED_VALUE"""),"Arts and Entertainment")</f>
        <v>Arts and Entertainment</v>
      </c>
      <c r="E253" s="4" t="str">
        <f>IFERROR(__xludf.DUMMYFUNCTION("""COMPUTED_VALUE"""),"Comics and Animation")</f>
        <v>Comics and Animation</v>
      </c>
      <c r="F253" s="4"/>
      <c r="G253" s="4"/>
      <c r="H253" s="4"/>
      <c r="I253" s="5" t="s">
        <v>15</v>
      </c>
      <c r="J253" s="5" t="s">
        <v>16</v>
      </c>
      <c r="K253" s="5" t="s">
        <v>173</v>
      </c>
      <c r="L253" s="6" t="s">
        <v>406</v>
      </c>
      <c r="M253" s="5" t="s">
        <v>19</v>
      </c>
      <c r="N253" s="5" t="s">
        <v>27</v>
      </c>
      <c r="O253" s="5">
        <v>7583.0</v>
      </c>
      <c r="P253" s="5">
        <v>45.0</v>
      </c>
      <c r="Q253" s="5">
        <v>4608.0</v>
      </c>
      <c r="R253" s="5">
        <v>5881.0</v>
      </c>
      <c r="S253" s="5">
        <v>1.0</v>
      </c>
      <c r="T253" s="5">
        <v>5033.482578</v>
      </c>
    </row>
    <row r="254">
      <c r="A254" s="4" t="s">
        <v>1813</v>
      </c>
      <c r="B254" s="4" t="str">
        <f>IFERROR(__xludf.DUMMYFUNCTION("SPLIT(A254:A980, ""&gt;"")"),"US ")</f>
        <v>US </v>
      </c>
      <c r="C254" s="4" t="str">
        <f>IFERROR(__xludf.DUMMYFUNCTION("""COMPUTED_VALUE""")," Interest Propensities ")</f>
        <v> Interest Propensities </v>
      </c>
      <c r="D254" s="4" t="str">
        <f>IFERROR(__xludf.DUMMYFUNCTION("""COMPUTED_VALUE""")," Insurance ")</f>
        <v> Insurance </v>
      </c>
      <c r="E254" s="4" t="str">
        <f>IFERROR(__xludf.DUMMYFUNCTION("""COMPUTED_VALUE""")," Aetna Group")</f>
        <v> Aetna Group</v>
      </c>
      <c r="F254" s="4"/>
      <c r="G254" s="4"/>
      <c r="H254" s="4"/>
      <c r="I254" s="5" t="s">
        <v>15</v>
      </c>
      <c r="J254" s="5" t="s">
        <v>42</v>
      </c>
      <c r="K254" s="5" t="s">
        <v>39</v>
      </c>
      <c r="L254" s="6" t="s">
        <v>408</v>
      </c>
      <c r="M254" s="5" t="s">
        <v>19</v>
      </c>
      <c r="N254" s="5" t="s">
        <v>20</v>
      </c>
      <c r="O254" s="5">
        <v>12436.0</v>
      </c>
      <c r="P254" s="5">
        <v>84.0</v>
      </c>
      <c r="Q254" s="5">
        <v>7055.0</v>
      </c>
      <c r="R254" s="5">
        <v>11497.0</v>
      </c>
      <c r="S254" s="5">
        <v>9.0</v>
      </c>
      <c r="T254" s="5">
        <v>1720.870126</v>
      </c>
    </row>
    <row r="255">
      <c r="A255" s="4" t="s">
        <v>1291</v>
      </c>
      <c r="B255" s="4" t="str">
        <f>IFERROR(__xludf.DUMMYFUNCTION("SPLIT(A255:A981, ""&gt;"")"),"Online Behavior")</f>
        <v>Online Behavior</v>
      </c>
      <c r="C255" s="4" t="str">
        <f>IFERROR(__xludf.DUMMYFUNCTION("""COMPUTED_VALUE"""),"United States")</f>
        <v>United States</v>
      </c>
      <c r="D255" s="4" t="str">
        <f>IFERROR(__xludf.DUMMYFUNCTION("""COMPUTED_VALUE"""),"Finance ")</f>
        <v>Finance </v>
      </c>
      <c r="E255" s="4" t="str">
        <f>IFERROR(__xludf.DUMMYFUNCTION("""COMPUTED_VALUE""")," Insurance")</f>
        <v> Insurance</v>
      </c>
      <c r="F255" s="4" t="str">
        <f>IFERROR(__xludf.DUMMYFUNCTION("""COMPUTED_VALUE"""),"Insurance")</f>
        <v>Insurance</v>
      </c>
      <c r="G255" s="4"/>
      <c r="H255" s="4"/>
      <c r="I255" s="5" t="s">
        <v>22</v>
      </c>
      <c r="J255" s="5" t="s">
        <v>31</v>
      </c>
      <c r="K255" s="5" t="s">
        <v>35</v>
      </c>
      <c r="L255" s="6" t="s">
        <v>410</v>
      </c>
      <c r="M255" s="5" t="s">
        <v>36</v>
      </c>
      <c r="N255" s="5" t="s">
        <v>27</v>
      </c>
      <c r="O255" s="5">
        <v>122086.0</v>
      </c>
      <c r="P255" s="5">
        <v>299.0</v>
      </c>
      <c r="Q255" s="5">
        <v>82898.0</v>
      </c>
      <c r="R255" s="5">
        <v>116235.0</v>
      </c>
      <c r="S255" s="5">
        <v>16.0</v>
      </c>
      <c r="T255" s="5">
        <v>7663.695294</v>
      </c>
    </row>
    <row r="256">
      <c r="A256" s="4" t="s">
        <v>1292</v>
      </c>
      <c r="B256" s="4" t="str">
        <f>IFERROR(__xludf.DUMMYFUNCTION("SPLIT(A256:A982, ""&gt;"")"),"Online Behavior")</f>
        <v>Online Behavior</v>
      </c>
      <c r="C256" s="4" t="str">
        <f>IFERROR(__xludf.DUMMYFUNCTION("""COMPUTED_VALUE"""),"United States")</f>
        <v>United States</v>
      </c>
      <c r="D256" s="4" t="str">
        <f>IFERROR(__xludf.DUMMYFUNCTION("""COMPUTED_VALUE"""),"Food and Drink")</f>
        <v>Food and Drink</v>
      </c>
      <c r="E256" s="4" t="str">
        <f>IFERROR(__xludf.DUMMYFUNCTION("""COMPUTED_VALUE"""),"Beverages ")</f>
        <v>Beverages </v>
      </c>
      <c r="F256" s="4" t="str">
        <f>IFERROR(__xludf.DUMMYFUNCTION("""COMPUTED_VALUE""")," Coffee and Tea")</f>
        <v> Coffee and Tea</v>
      </c>
      <c r="G256" s="4"/>
      <c r="H256" s="4"/>
      <c r="I256" s="5" t="s">
        <v>22</v>
      </c>
      <c r="J256" s="5" t="s">
        <v>16</v>
      </c>
      <c r="K256" s="5" t="s">
        <v>66</v>
      </c>
      <c r="L256" s="6" t="s">
        <v>410</v>
      </c>
      <c r="M256" s="5" t="s">
        <v>46</v>
      </c>
      <c r="N256" s="5" t="s">
        <v>27</v>
      </c>
      <c r="O256" s="5">
        <v>63794.0</v>
      </c>
      <c r="P256" s="5">
        <v>200.0</v>
      </c>
      <c r="Q256" s="5">
        <v>46557.0</v>
      </c>
      <c r="R256" s="5">
        <v>60868.0</v>
      </c>
      <c r="S256" s="5">
        <v>9.0</v>
      </c>
      <c r="T256" s="5">
        <v>6832.940067</v>
      </c>
    </row>
    <row r="257">
      <c r="A257" s="4" t="s">
        <v>1293</v>
      </c>
      <c r="B257" s="4" t="str">
        <f>IFERROR(__xludf.DUMMYFUNCTION("SPLIT(A257:A983, ""&gt;"")"),"Online Behavior")</f>
        <v>Online Behavior</v>
      </c>
      <c r="C257" s="4" t="str">
        <f>IFERROR(__xludf.DUMMYFUNCTION("""COMPUTED_VALUE"""),"United States")</f>
        <v>United States</v>
      </c>
      <c r="D257" s="4" t="str">
        <f>IFERROR(__xludf.DUMMYFUNCTION("""COMPUTED_VALUE"""),"Intent ")</f>
        <v>Intent </v>
      </c>
      <c r="E257" s="4" t="str">
        <f>IFERROR(__xludf.DUMMYFUNCTION("""COMPUTED_VALUE""")," Auto Buyers ")</f>
        <v> Auto Buyers </v>
      </c>
      <c r="F257" s="4" t="str">
        <f>IFERROR(__xludf.DUMMYFUNCTION("""COMPUTED_VALUE""")," Car Make")</f>
        <v> Car Make</v>
      </c>
      <c r="G257" s="4" t="str">
        <f>IFERROR(__xludf.DUMMYFUNCTION("""COMPUTED_VALUE"""),"Ford")</f>
        <v>Ford</v>
      </c>
      <c r="H257" s="4"/>
      <c r="I257" s="5" t="s">
        <v>15</v>
      </c>
      <c r="J257" s="5" t="s">
        <v>42</v>
      </c>
      <c r="K257" s="5" t="s">
        <v>39</v>
      </c>
      <c r="L257" s="6" t="s">
        <v>410</v>
      </c>
      <c r="M257" s="5" t="s">
        <v>46</v>
      </c>
      <c r="N257" s="5" t="s">
        <v>20</v>
      </c>
      <c r="O257" s="5">
        <v>29323.0</v>
      </c>
      <c r="P257" s="5">
        <v>88.0</v>
      </c>
      <c r="Q257" s="5">
        <v>13822.0</v>
      </c>
      <c r="R257" s="5">
        <v>26934.0</v>
      </c>
      <c r="S257" s="5">
        <v>9.0</v>
      </c>
      <c r="T257" s="5">
        <v>6096.045521</v>
      </c>
    </row>
    <row r="258">
      <c r="A258" s="4" t="s">
        <v>1294</v>
      </c>
      <c r="B258" s="4" t="str">
        <f>IFERROR(__xludf.DUMMYFUNCTION("SPLIT(A258:A984, ""&gt;"")"),"Online Behavior")</f>
        <v>Online Behavior</v>
      </c>
      <c r="C258" s="4" t="str">
        <f>IFERROR(__xludf.DUMMYFUNCTION("""COMPUTED_VALUE"""),"United States")</f>
        <v>United States</v>
      </c>
      <c r="D258" s="4" t="str">
        <f>IFERROR(__xludf.DUMMYFUNCTION("""COMPUTED_VALUE"""),"Autos and Vehicles ")</f>
        <v>Autos and Vehicles </v>
      </c>
      <c r="E258" s="4" t="str">
        <f>IFERROR(__xludf.DUMMYFUNCTION("""COMPUTED_VALUE""")," Brands")</f>
        <v> Brands</v>
      </c>
      <c r="F258" s="4" t="str">
        <f>IFERROR(__xludf.DUMMYFUNCTION("""COMPUTED_VALUE"""),"Maserati")</f>
        <v>Maserati</v>
      </c>
      <c r="G258" s="4"/>
      <c r="H258" s="4"/>
      <c r="I258" s="5" t="s">
        <v>22</v>
      </c>
      <c r="J258" s="5" t="s">
        <v>23</v>
      </c>
      <c r="K258" s="5" t="s">
        <v>45</v>
      </c>
      <c r="L258" s="6" t="s">
        <v>410</v>
      </c>
      <c r="M258" s="5" t="s">
        <v>46</v>
      </c>
      <c r="N258" s="5" t="s">
        <v>27</v>
      </c>
      <c r="O258" s="5">
        <v>38408.0</v>
      </c>
      <c r="P258" s="5">
        <v>101.0</v>
      </c>
      <c r="Q258" s="5">
        <v>23557.0</v>
      </c>
      <c r="R258" s="5">
        <v>35247.0</v>
      </c>
      <c r="S258" s="5">
        <v>7.0</v>
      </c>
      <c r="T258" s="5">
        <v>5343.459431</v>
      </c>
    </row>
    <row r="259">
      <c r="A259" s="4" t="s">
        <v>1814</v>
      </c>
      <c r="B259" s="4" t="str">
        <f>IFERROR(__xludf.DUMMYFUNCTION("SPLIT(A259:A985, ""&gt;"")"),"US ")</f>
        <v>US </v>
      </c>
      <c r="C259" s="4" t="str">
        <f>IFERROR(__xludf.DUMMYFUNCTION("""COMPUTED_VALUE""")," Reach ")</f>
        <v> Reach </v>
      </c>
      <c r="D259" s="4" t="str">
        <f>IFERROR(__xludf.DUMMYFUNCTION("""COMPUTED_VALUE""")," Sociodemographic ")</f>
        <v> Sociodemographic </v>
      </c>
      <c r="E259" s="4" t="str">
        <f>IFERROR(__xludf.DUMMYFUNCTION("""COMPUTED_VALUE""")," Homeowner Status ")</f>
        <v> Homeowner Status </v>
      </c>
      <c r="F259" s="4" t="str">
        <f>IFERROR(__xludf.DUMMYFUNCTION("""COMPUTED_VALUE""")," Renter")</f>
        <v> Renter</v>
      </c>
      <c r="G259" s="4"/>
      <c r="H259" s="4"/>
      <c r="I259" s="5" t="s">
        <v>22</v>
      </c>
      <c r="J259" s="5" t="s">
        <v>23</v>
      </c>
      <c r="K259" s="5" t="s">
        <v>173</v>
      </c>
      <c r="L259" s="6" t="s">
        <v>410</v>
      </c>
      <c r="M259" s="5" t="s">
        <v>19</v>
      </c>
      <c r="N259" s="5" t="s">
        <v>27</v>
      </c>
      <c r="O259" s="5">
        <v>70134.0</v>
      </c>
      <c r="P259" s="5">
        <v>169.0</v>
      </c>
      <c r="Q259" s="5">
        <v>48862.0</v>
      </c>
      <c r="R259" s="5">
        <v>66739.0</v>
      </c>
      <c r="S259" s="5">
        <v>14.0</v>
      </c>
      <c r="T259" s="5">
        <v>2514.868116</v>
      </c>
    </row>
    <row r="260">
      <c r="A260" s="4" t="s">
        <v>1815</v>
      </c>
      <c r="B260" s="4" t="str">
        <f>IFERROR(__xludf.DUMMYFUNCTION("SPLIT(A260:A986, ""&gt;"")"),"US ")</f>
        <v>US </v>
      </c>
      <c r="C260" s="4" t="str">
        <f>IFERROR(__xludf.DUMMYFUNCTION("""COMPUTED_VALUE""")," B2B ")</f>
        <v> B2B </v>
      </c>
      <c r="D260" s="4" t="str">
        <f>IFERROR(__xludf.DUMMYFUNCTION("""COMPUTED_VALUE""")," B2B Decision Maker Responsibilities ")</f>
        <v> B2B Decision Maker Responsibilities </v>
      </c>
      <c r="E260" s="4" t="str">
        <f>IFERROR(__xludf.DUMMYFUNCTION("""COMPUTED_VALUE""")," HR or Personnel Services")</f>
        <v> HR or Personnel Services</v>
      </c>
      <c r="F260" s="4"/>
      <c r="G260" s="4"/>
      <c r="H260" s="4"/>
      <c r="I260" s="5" t="s">
        <v>15</v>
      </c>
      <c r="J260" s="5" t="s">
        <v>23</v>
      </c>
      <c r="K260" s="5" t="s">
        <v>17</v>
      </c>
      <c r="L260" s="6" t="s">
        <v>410</v>
      </c>
      <c r="M260" s="5" t="s">
        <v>19</v>
      </c>
      <c r="N260" s="5" t="s">
        <v>52</v>
      </c>
      <c r="O260" s="5">
        <v>51889.0</v>
      </c>
      <c r="P260" s="5">
        <v>174.0</v>
      </c>
      <c r="Q260" s="5">
        <v>33879.0</v>
      </c>
      <c r="R260" s="5">
        <v>49382.0</v>
      </c>
      <c r="S260" s="5">
        <v>5.0</v>
      </c>
      <c r="T260" s="5">
        <v>2172.841747</v>
      </c>
    </row>
    <row r="261">
      <c r="A261" s="4" t="s">
        <v>1816</v>
      </c>
      <c r="B261" s="4" t="str">
        <f>IFERROR(__xludf.DUMMYFUNCTION("SPLIT(A261:A987, ""&gt;"")"),"US ")</f>
        <v>US </v>
      </c>
      <c r="C261" s="4" t="str">
        <f>IFERROR(__xludf.DUMMYFUNCTION("""COMPUTED_VALUE""")," B2B ")</f>
        <v> B2B </v>
      </c>
      <c r="D261" s="4" t="str">
        <f>IFERROR(__xludf.DUMMYFUNCTION("""COMPUTED_VALUE""")," B2B Decision Maker Responsibilities ")</f>
        <v> B2B Decision Maker Responsibilities </v>
      </c>
      <c r="E261" s="4" t="str">
        <f>IFERROR(__xludf.DUMMYFUNCTION("""COMPUTED_VALUE""")," Sales")</f>
        <v> Sales</v>
      </c>
      <c r="F261" s="4"/>
      <c r="G261" s="4"/>
      <c r="H261" s="4"/>
      <c r="I261" s="5" t="s">
        <v>15</v>
      </c>
      <c r="J261" s="5" t="s">
        <v>23</v>
      </c>
      <c r="K261" s="5" t="s">
        <v>66</v>
      </c>
      <c r="L261" s="6" t="s">
        <v>410</v>
      </c>
      <c r="M261" s="5" t="s">
        <v>19</v>
      </c>
      <c r="N261" s="5" t="s">
        <v>52</v>
      </c>
      <c r="O261" s="5">
        <v>19951.0</v>
      </c>
      <c r="P261" s="5">
        <v>81.0</v>
      </c>
      <c r="Q261" s="5">
        <v>10511.0</v>
      </c>
      <c r="R261" s="5">
        <v>18132.0</v>
      </c>
      <c r="S261" s="5">
        <v>15.0</v>
      </c>
      <c r="T261" s="5">
        <v>1801.14885</v>
      </c>
    </row>
    <row r="262">
      <c r="A262" s="4" t="s">
        <v>1817</v>
      </c>
      <c r="B262" s="4" t="str">
        <f>IFERROR(__xludf.DUMMYFUNCTION("SPLIT(A262:A988, ""&gt;"")"),"Mobile - US ")</f>
        <v>Mobile - US </v>
      </c>
      <c r="C262" s="4" t="str">
        <f>IFERROR(__xludf.DUMMYFUNCTION("""COMPUTED_VALUE""")," Travel ")</f>
        <v> Travel </v>
      </c>
      <c r="D262" s="4" t="str">
        <f>IFERROR(__xludf.DUMMYFUNCTION("""COMPUTED_VALUE""")," Vacation Rentals ")</f>
        <v> Vacation Rentals </v>
      </c>
      <c r="E262" s="4" t="str">
        <f>IFERROR(__xludf.DUMMYFUNCTION("""COMPUTED_VALUE""")," HomeAway")</f>
        <v> HomeAway</v>
      </c>
      <c r="F262" s="4"/>
      <c r="G262" s="4"/>
      <c r="H262" s="4"/>
      <c r="I262" s="5" t="s">
        <v>22</v>
      </c>
      <c r="J262" s="5" t="s">
        <v>23</v>
      </c>
      <c r="K262" s="5" t="s">
        <v>240</v>
      </c>
      <c r="L262" s="6" t="s">
        <v>410</v>
      </c>
      <c r="M262" s="5" t="s">
        <v>19</v>
      </c>
      <c r="N262" s="5" t="s">
        <v>27</v>
      </c>
      <c r="O262" s="5">
        <v>91593.0</v>
      </c>
      <c r="P262" s="5">
        <v>40.0</v>
      </c>
      <c r="Q262" s="5">
        <v>51004.0</v>
      </c>
      <c r="R262" s="5">
        <v>82985.0</v>
      </c>
      <c r="S262" s="5">
        <v>18.0</v>
      </c>
      <c r="T262" s="5">
        <v>1731.584862</v>
      </c>
    </row>
    <row r="263">
      <c r="A263" s="4" t="s">
        <v>1299</v>
      </c>
      <c r="B263" s="4" t="str">
        <f>IFERROR(__xludf.DUMMYFUNCTION("SPLIT(A263:A989, ""&gt;"")"),"OnAudience ")</f>
        <v>OnAudience </v>
      </c>
      <c r="C263" s="4" t="str">
        <f>IFERROR(__xludf.DUMMYFUNCTION("""COMPUTED_VALUE""")," Interest ")</f>
        <v> Interest </v>
      </c>
      <c r="D263" s="4" t="str">
        <f>IFERROR(__xludf.DUMMYFUNCTION("""COMPUTED_VALUE""")," News ")</f>
        <v> News </v>
      </c>
      <c r="E263" s="4" t="str">
        <f>IFERROR(__xludf.DUMMYFUNCTION("""COMPUTED_VALUE""")," Local News")</f>
        <v> Local News</v>
      </c>
      <c r="F263" s="4"/>
      <c r="G263" s="4"/>
      <c r="H263" s="4"/>
      <c r="I263" s="5" t="s">
        <v>61</v>
      </c>
      <c r="J263" s="5" t="s">
        <v>31</v>
      </c>
      <c r="K263" s="5" t="s">
        <v>95</v>
      </c>
      <c r="L263" s="6" t="s">
        <v>410</v>
      </c>
      <c r="M263" s="5" t="s">
        <v>46</v>
      </c>
      <c r="N263" s="5" t="s">
        <v>27</v>
      </c>
      <c r="O263" s="5">
        <v>69722.0</v>
      </c>
      <c r="P263" s="5">
        <v>194.0</v>
      </c>
      <c r="Q263" s="5">
        <v>40640.0</v>
      </c>
      <c r="R263" s="5">
        <v>64819.0</v>
      </c>
      <c r="S263" s="5">
        <v>10.0</v>
      </c>
      <c r="T263" s="5">
        <v>1667.655895</v>
      </c>
    </row>
    <row r="264">
      <c r="A264" s="4" t="s">
        <v>1818</v>
      </c>
      <c r="B264" s="4" t="str">
        <f>IFERROR(__xludf.DUMMYFUNCTION("SPLIT(A264:A990, ""&gt;"")"),"OnAudience ")</f>
        <v>OnAudience </v>
      </c>
      <c r="C264" s="4" t="str">
        <f>IFERROR(__xludf.DUMMYFUNCTION("""COMPUTED_VALUE""")," Interest ")</f>
        <v> Interest </v>
      </c>
      <c r="D264" s="4" t="str">
        <f>IFERROR(__xludf.DUMMYFUNCTION("""COMPUTED_VALUE""")," Arts &amp; Entertainment ")</f>
        <v> Arts &amp; Entertainment </v>
      </c>
      <c r="E264" s="4" t="str">
        <f>IFERROR(__xludf.DUMMYFUNCTION("""COMPUTED_VALUE""")," Music Lovers")</f>
        <v> Music Lovers</v>
      </c>
      <c r="F264" s="4"/>
      <c r="G264" s="4"/>
      <c r="H264" s="4"/>
      <c r="I264" s="5" t="s">
        <v>15</v>
      </c>
      <c r="J264" s="5" t="s">
        <v>23</v>
      </c>
      <c r="K264" s="5" t="s">
        <v>95</v>
      </c>
      <c r="L264" s="6" t="s">
        <v>410</v>
      </c>
      <c r="M264" s="5" t="s">
        <v>48</v>
      </c>
      <c r="N264" s="5" t="s">
        <v>52</v>
      </c>
      <c r="O264" s="5">
        <v>76724.0</v>
      </c>
      <c r="P264" s="5">
        <v>187.0</v>
      </c>
      <c r="Q264" s="5">
        <v>43209.0</v>
      </c>
      <c r="R264" s="5">
        <v>69530.0</v>
      </c>
      <c r="S264" s="5">
        <v>9.0</v>
      </c>
      <c r="T264" s="5">
        <v>1493.204528</v>
      </c>
    </row>
    <row r="265">
      <c r="A265" s="4" t="s">
        <v>1819</v>
      </c>
      <c r="B265" s="4" t="str">
        <f>IFERROR(__xludf.DUMMYFUNCTION("SPLIT(A265:A991, ""&gt;"")"),"US ")</f>
        <v>US </v>
      </c>
      <c r="C265" s="4" t="str">
        <f>IFERROR(__xludf.DUMMYFUNCTION("""COMPUTED_VALUE""")," Sociodemographic ")</f>
        <v> Sociodemographic </v>
      </c>
      <c r="D265" s="4" t="str">
        <f>IFERROR(__xludf.DUMMYFUNCTION("""COMPUTED_VALUE""")," PRIZM Premier Social ")</f>
        <v> PRIZM Premier Social </v>
      </c>
      <c r="E265" s="4" t="str">
        <f>IFERROR(__xludf.DUMMYFUNCTION("""COMPUTED_VALUE""")," T2 Country Comfort")</f>
        <v> T2 Country Comfort</v>
      </c>
      <c r="F265" s="4"/>
      <c r="G265" s="4"/>
      <c r="H265" s="4"/>
      <c r="I265" s="5" t="s">
        <v>22</v>
      </c>
      <c r="J265" s="5" t="s">
        <v>16</v>
      </c>
      <c r="K265" s="5" t="s">
        <v>78</v>
      </c>
      <c r="L265" s="6" t="s">
        <v>410</v>
      </c>
      <c r="M265" s="5" t="s">
        <v>231</v>
      </c>
      <c r="N265" s="5" t="s">
        <v>27</v>
      </c>
      <c r="O265" s="5">
        <v>34959.0</v>
      </c>
      <c r="P265" s="5">
        <v>122.0</v>
      </c>
      <c r="Q265" s="5">
        <v>17511.0</v>
      </c>
      <c r="R265" s="5">
        <v>31974.0</v>
      </c>
      <c r="S265" s="5">
        <v>5.0</v>
      </c>
      <c r="T265" s="5">
        <v>1477.493357</v>
      </c>
    </row>
    <row r="266">
      <c r="A266" s="4" t="s">
        <v>421</v>
      </c>
      <c r="B266" s="4" t="str">
        <f>IFERROR(__xludf.DUMMYFUNCTION("SPLIT(A266:A992, ""&gt;"")"),"Online Behavior")</f>
        <v>Online Behavior</v>
      </c>
      <c r="C266" s="4" t="str">
        <f>IFERROR(__xludf.DUMMYFUNCTION("""COMPUTED_VALUE"""),"United States")</f>
        <v>United States</v>
      </c>
      <c r="D266" s="4" t="str">
        <f>IFERROR(__xludf.DUMMYFUNCTION("""COMPUTED_VALUE"""),"Arts and Entertainment")</f>
        <v>Arts and Entertainment</v>
      </c>
      <c r="E266" s="4" t="str">
        <f>IFERROR(__xludf.DUMMYFUNCTION("""COMPUTED_VALUE"""),"Movies")</f>
        <v>Movies</v>
      </c>
      <c r="F266" s="4"/>
      <c r="G266" s="4"/>
      <c r="H266" s="4"/>
      <c r="I266" s="5" t="s">
        <v>15</v>
      </c>
      <c r="J266" s="5" t="s">
        <v>42</v>
      </c>
      <c r="K266" s="5" t="s">
        <v>39</v>
      </c>
      <c r="L266" s="6" t="s">
        <v>422</v>
      </c>
      <c r="M266" s="5" t="s">
        <v>19</v>
      </c>
      <c r="N266" s="5" t="s">
        <v>27</v>
      </c>
      <c r="O266" s="5">
        <v>9273.0</v>
      </c>
      <c r="P266" s="5">
        <v>70.0</v>
      </c>
      <c r="Q266" s="5">
        <v>4648.0</v>
      </c>
      <c r="R266" s="5">
        <v>8751.0</v>
      </c>
      <c r="S266" s="5">
        <v>5.0</v>
      </c>
      <c r="T266" s="5">
        <v>4986.51937</v>
      </c>
    </row>
    <row r="267">
      <c r="A267" s="4" t="s">
        <v>1302</v>
      </c>
      <c r="B267" s="4" t="str">
        <f>IFERROR(__xludf.DUMMYFUNCTION("SPLIT(A267:A993, ""&gt;"")"),"Online Behavior")</f>
        <v>Online Behavior</v>
      </c>
      <c r="C267" s="4" t="str">
        <f>IFERROR(__xludf.DUMMYFUNCTION("""COMPUTED_VALUE"""),"United States")</f>
        <v>United States</v>
      </c>
      <c r="D267" s="4" t="str">
        <f>IFERROR(__xludf.DUMMYFUNCTION("""COMPUTED_VALUE"""),"Intent ")</f>
        <v>Intent </v>
      </c>
      <c r="E267" s="4" t="str">
        <f>IFERROR(__xludf.DUMMYFUNCTION("""COMPUTED_VALUE""")," Shopping")</f>
        <v> Shopping</v>
      </c>
      <c r="F267" s="4" t="str">
        <f>IFERROR(__xludf.DUMMYFUNCTION("""COMPUTED_VALUE"""),"Consumer Electronics ")</f>
        <v>Consumer Electronics </v>
      </c>
      <c r="G267" s="4" t="str">
        <f>IFERROR(__xludf.DUMMYFUNCTION("""COMPUTED_VALUE""")," Cameras and Photography Equip")</f>
        <v> Cameras and Photography Equip</v>
      </c>
      <c r="H267" s="4"/>
      <c r="I267" s="5" t="s">
        <v>15</v>
      </c>
      <c r="J267" s="5" t="s">
        <v>23</v>
      </c>
      <c r="K267" s="5" t="s">
        <v>35</v>
      </c>
      <c r="L267" s="6" t="s">
        <v>424</v>
      </c>
      <c r="M267" s="5" t="s">
        <v>46</v>
      </c>
      <c r="N267" s="5" t="s">
        <v>27</v>
      </c>
      <c r="O267" s="5">
        <v>11681.0</v>
      </c>
      <c r="P267" s="5">
        <v>88.0</v>
      </c>
      <c r="Q267" s="5">
        <v>4713.0</v>
      </c>
      <c r="R267" s="5">
        <v>8230.0</v>
      </c>
      <c r="S267" s="5">
        <v>4.0</v>
      </c>
      <c r="T267" s="5">
        <v>5216.648879</v>
      </c>
    </row>
    <row r="268">
      <c r="A268" s="4" t="s">
        <v>1820</v>
      </c>
      <c r="B268" s="4" t="str">
        <f>IFERROR(__xludf.DUMMYFUNCTION("SPLIT(A268:A994, ""&gt;"")"),"Online Behavior")</f>
        <v>Online Behavior</v>
      </c>
      <c r="C268" s="4" t="str">
        <f>IFERROR(__xludf.DUMMYFUNCTION("""COMPUTED_VALUE"""),"United States")</f>
        <v>United States</v>
      </c>
      <c r="D268" s="4" t="str">
        <f>IFERROR(__xludf.DUMMYFUNCTION("""COMPUTED_VALUE"""),"Intent ")</f>
        <v>Intent </v>
      </c>
      <c r="E268" s="4" t="str">
        <f>IFERROR(__xludf.DUMMYFUNCTION("""COMPUTED_VALUE""")," Travel")</f>
        <v> Travel</v>
      </c>
      <c r="F268" s="4" t="str">
        <f>IFERROR(__xludf.DUMMYFUNCTION("""COMPUTED_VALUE"""),"Business Travel")</f>
        <v>Business Travel</v>
      </c>
      <c r="G268" s="4"/>
      <c r="H268" s="4"/>
      <c r="I268" s="5" t="s">
        <v>15</v>
      </c>
      <c r="J268" s="5" t="s">
        <v>31</v>
      </c>
      <c r="K268" s="5" t="s">
        <v>78</v>
      </c>
      <c r="L268" s="6" t="s">
        <v>426</v>
      </c>
      <c r="M268" s="5" t="s">
        <v>19</v>
      </c>
      <c r="N268" s="5" t="s">
        <v>27</v>
      </c>
      <c r="O268" s="5">
        <v>17770.0</v>
      </c>
      <c r="P268" s="5">
        <v>70.0</v>
      </c>
      <c r="Q268" s="5">
        <v>12771.0</v>
      </c>
      <c r="R268" s="5">
        <v>16749.0</v>
      </c>
      <c r="S268" s="5">
        <v>9.0</v>
      </c>
      <c r="T268" s="5">
        <v>5195.234677</v>
      </c>
    </row>
    <row r="269">
      <c r="A269" s="4" t="s">
        <v>1821</v>
      </c>
      <c r="B269" s="4" t="str">
        <f>IFERROR(__xludf.DUMMYFUNCTION("SPLIT(A269:A995, ""&gt;"")"),"US Home ")</f>
        <v>US Home </v>
      </c>
      <c r="C269" s="4" t="str">
        <f>IFERROR(__xludf.DUMMYFUNCTION("""COMPUTED_VALUE""")," Dwelling Type ")</f>
        <v> Dwelling Type </v>
      </c>
      <c r="D269" s="4" t="str">
        <f>IFERROR(__xludf.DUMMYFUNCTION("""COMPUTED_VALUE""")," Single-Family")</f>
        <v> Single-Family</v>
      </c>
      <c r="E269" s="4"/>
      <c r="F269" s="4"/>
      <c r="G269" s="4"/>
      <c r="H269" s="4"/>
      <c r="I269" s="5" t="s">
        <v>15</v>
      </c>
      <c r="J269" s="5" t="s">
        <v>42</v>
      </c>
      <c r="K269" s="5" t="s">
        <v>35</v>
      </c>
      <c r="L269" s="6" t="s">
        <v>426</v>
      </c>
      <c r="M269" s="5" t="s">
        <v>19</v>
      </c>
      <c r="N269" s="5" t="s">
        <v>52</v>
      </c>
      <c r="O269" s="5">
        <v>16202.0</v>
      </c>
      <c r="P269" s="5">
        <v>80.0</v>
      </c>
      <c r="Q269" s="5">
        <v>11786.0</v>
      </c>
      <c r="R269" s="5">
        <v>15365.0</v>
      </c>
      <c r="S269" s="5">
        <v>2.0</v>
      </c>
      <c r="T269" s="5">
        <v>1570.34276</v>
      </c>
    </row>
    <row r="270">
      <c r="A270" s="4" t="s">
        <v>1305</v>
      </c>
      <c r="B270" s="4" t="str">
        <f>IFERROR(__xludf.DUMMYFUNCTION("SPLIT(A270:A996, ""&gt;"")"),"OnAudience ")</f>
        <v>OnAudience </v>
      </c>
      <c r="C270" s="4" t="str">
        <f>IFERROR(__xludf.DUMMYFUNCTION("""COMPUTED_VALUE""")," Interest ")</f>
        <v> Interest </v>
      </c>
      <c r="D270" s="4" t="str">
        <f>IFERROR(__xludf.DUMMYFUNCTION("""COMPUTED_VALUE""")," Games")</f>
        <v> Games</v>
      </c>
      <c r="E270" s="4"/>
      <c r="F270" s="4"/>
      <c r="G270" s="4"/>
      <c r="H270" s="4"/>
      <c r="I270" s="5" t="s">
        <v>22</v>
      </c>
      <c r="J270" s="5" t="s">
        <v>31</v>
      </c>
      <c r="K270" s="5" t="s">
        <v>17</v>
      </c>
      <c r="L270" s="6" t="s">
        <v>429</v>
      </c>
      <c r="M270" s="5" t="s">
        <v>46</v>
      </c>
      <c r="N270" s="5" t="s">
        <v>27</v>
      </c>
      <c r="O270" s="5">
        <v>13779.0</v>
      </c>
      <c r="P270" s="5">
        <v>96.0</v>
      </c>
      <c r="Q270" s="5">
        <v>3482.0</v>
      </c>
      <c r="R270" s="5">
        <v>12487.0</v>
      </c>
      <c r="S270" s="5">
        <v>4.0</v>
      </c>
      <c r="T270" s="5">
        <v>1530.041892</v>
      </c>
    </row>
    <row r="271">
      <c r="A271" s="4" t="s">
        <v>1822</v>
      </c>
      <c r="B271" s="4" t="str">
        <f>IFERROR(__xludf.DUMMYFUNCTION("SPLIT(A271:A997, ""&gt;"")"),"US ")</f>
        <v>US </v>
      </c>
      <c r="C271" s="4" t="str">
        <f>IFERROR(__xludf.DUMMYFUNCTION("""COMPUTED_VALUE""")," Response Performance ")</f>
        <v> Response Performance </v>
      </c>
      <c r="D271" s="4" t="str">
        <f>IFERROR(__xludf.DUMMYFUNCTION("""COMPUTED_VALUE""")," Direct Marketing Purchasers")</f>
        <v> Direct Marketing Purchasers</v>
      </c>
      <c r="E271" s="4"/>
      <c r="F271" s="4"/>
      <c r="G271" s="4"/>
      <c r="H271" s="4"/>
      <c r="I271" s="5" t="s">
        <v>15</v>
      </c>
      <c r="J271" s="5" t="s">
        <v>16</v>
      </c>
      <c r="K271" s="5" t="s">
        <v>43</v>
      </c>
      <c r="L271" s="6" t="s">
        <v>431</v>
      </c>
      <c r="M271" s="5" t="s">
        <v>19</v>
      </c>
      <c r="N271" s="5" t="s">
        <v>27</v>
      </c>
      <c r="O271" s="5">
        <v>13183.0</v>
      </c>
      <c r="P271" s="5">
        <v>100.0</v>
      </c>
      <c r="Q271" s="5">
        <v>4337.0</v>
      </c>
      <c r="R271" s="5">
        <v>10596.0</v>
      </c>
      <c r="S271" s="5">
        <v>1.0</v>
      </c>
      <c r="T271" s="5">
        <v>2430.243664</v>
      </c>
    </row>
    <row r="272">
      <c r="A272" s="4" t="s">
        <v>1307</v>
      </c>
      <c r="B272" s="4" t="str">
        <f>IFERROR(__xludf.DUMMYFUNCTION("SPLIT(A272:A998, ""&gt;"")"),"Online Behavior")</f>
        <v>Online Behavior</v>
      </c>
      <c r="C272" s="4" t="str">
        <f>IFERROR(__xludf.DUMMYFUNCTION("""COMPUTED_VALUE"""),"United States")</f>
        <v>United States</v>
      </c>
      <c r="D272" s="4" t="str">
        <f>IFERROR(__xludf.DUMMYFUNCTION("""COMPUTED_VALUE"""),"Autos and Vehicles ")</f>
        <v>Autos and Vehicles </v>
      </c>
      <c r="E272" s="4" t="str">
        <f>IFERROR(__xludf.DUMMYFUNCTION("""COMPUTED_VALUE""")," Brands")</f>
        <v> Brands</v>
      </c>
      <c r="F272" s="4" t="str">
        <f>IFERROR(__xludf.DUMMYFUNCTION("""COMPUTED_VALUE"""),"Saab")</f>
        <v>Saab</v>
      </c>
      <c r="G272" s="4"/>
      <c r="H272" s="4"/>
      <c r="I272" s="5" t="s">
        <v>22</v>
      </c>
      <c r="J272" s="5" t="s">
        <v>42</v>
      </c>
      <c r="K272" s="5" t="s">
        <v>433</v>
      </c>
      <c r="L272" s="6" t="s">
        <v>434</v>
      </c>
      <c r="M272" s="5" t="s">
        <v>19</v>
      </c>
      <c r="N272" s="5" t="s">
        <v>27</v>
      </c>
      <c r="O272" s="5">
        <v>109709.0</v>
      </c>
      <c r="P272" s="5">
        <v>278.0</v>
      </c>
      <c r="Q272" s="5">
        <v>3064.0</v>
      </c>
      <c r="R272" s="5">
        <v>15428.0</v>
      </c>
      <c r="S272" s="5">
        <v>20.0</v>
      </c>
      <c r="T272" s="5">
        <v>5409.083955</v>
      </c>
    </row>
    <row r="273">
      <c r="A273" s="4" t="s">
        <v>435</v>
      </c>
      <c r="B273" s="4" t="str">
        <f>IFERROR(__xludf.DUMMYFUNCTION("SPLIT(A273:A999, ""&gt;"")"),"Online Behavior")</f>
        <v>Online Behavior</v>
      </c>
      <c r="C273" s="4" t="str">
        <f>IFERROR(__xludf.DUMMYFUNCTION("""COMPUTED_VALUE"""),"United States")</f>
        <v>United States</v>
      </c>
      <c r="D273" s="4" t="str">
        <f>IFERROR(__xludf.DUMMYFUNCTION("""COMPUTED_VALUE"""),"Hobbies and Leisure")</f>
        <v>Hobbies and Leisure</v>
      </c>
      <c r="E273" s="4" t="str">
        <f>IFERROR(__xludf.DUMMYFUNCTION("""COMPUTED_VALUE"""),"Contests, Awards and Prizes")</f>
        <v>Contests, Awards and Prizes</v>
      </c>
      <c r="F273" s="4"/>
      <c r="G273" s="4"/>
      <c r="H273" s="4"/>
      <c r="I273" s="5" t="s">
        <v>15</v>
      </c>
      <c r="J273" s="5" t="s">
        <v>16</v>
      </c>
      <c r="K273" s="5" t="s">
        <v>17</v>
      </c>
      <c r="L273" s="6" t="s">
        <v>434</v>
      </c>
      <c r="M273" s="5" t="s">
        <v>46</v>
      </c>
      <c r="N273" s="5" t="s">
        <v>20</v>
      </c>
      <c r="O273" s="5">
        <v>120902.0</v>
      </c>
      <c r="P273" s="5">
        <v>333.0</v>
      </c>
      <c r="Q273" s="5">
        <v>9964.0</v>
      </c>
      <c r="R273" s="5">
        <v>70015.0</v>
      </c>
      <c r="S273" s="5">
        <v>15.0</v>
      </c>
      <c r="T273" s="5">
        <v>4669.013669</v>
      </c>
    </row>
    <row r="274">
      <c r="A274" s="4" t="s">
        <v>436</v>
      </c>
      <c r="B274" s="4" t="str">
        <f>IFERROR(__xludf.DUMMYFUNCTION("SPLIT(A274:A1000, ""&gt;"")"),"Online Behavior")</f>
        <v>Online Behavior</v>
      </c>
      <c r="C274" s="4" t="str">
        <f>IFERROR(__xludf.DUMMYFUNCTION("""COMPUTED_VALUE"""),"United States")</f>
        <v>United States</v>
      </c>
      <c r="D274" s="4" t="str">
        <f>IFERROR(__xludf.DUMMYFUNCTION("""COMPUTED_VALUE"""),"The Changing Consumer")</f>
        <v>The Changing Consumer</v>
      </c>
      <c r="E274" s="4" t="str">
        <f>IFERROR(__xludf.DUMMYFUNCTION("""COMPUTED_VALUE"""),"B2B Work from Home")</f>
        <v>B2B Work from Home</v>
      </c>
      <c r="F274" s="4"/>
      <c r="G274" s="4"/>
      <c r="H274" s="4"/>
      <c r="I274" s="5" t="s">
        <v>22</v>
      </c>
      <c r="J274" s="5" t="s">
        <v>42</v>
      </c>
      <c r="K274" s="5" t="s">
        <v>78</v>
      </c>
      <c r="L274" s="6" t="s">
        <v>434</v>
      </c>
      <c r="M274" s="5" t="s">
        <v>46</v>
      </c>
      <c r="N274" s="5" t="s">
        <v>27</v>
      </c>
      <c r="O274" s="5">
        <v>45397.0</v>
      </c>
      <c r="P274" s="5">
        <v>114.0</v>
      </c>
      <c r="Q274" s="5">
        <v>716.0</v>
      </c>
      <c r="R274" s="5">
        <v>6867.0</v>
      </c>
      <c r="S274" s="5">
        <v>15.0</v>
      </c>
      <c r="T274" s="5">
        <v>4582.453291</v>
      </c>
    </row>
    <row r="275">
      <c r="A275" s="4" t="s">
        <v>1823</v>
      </c>
      <c r="B275" s="4" t="str">
        <f>IFERROR(__xludf.DUMMYFUNCTION("SPLIT(A275:A1001, ""&gt;"")"),"US ")</f>
        <v>US </v>
      </c>
      <c r="C275" s="4" t="str">
        <f>IFERROR(__xludf.DUMMYFUNCTION("""COMPUTED_VALUE""")," Sociodemographic ")</f>
        <v> Sociodemographic </v>
      </c>
      <c r="D275" s="4" t="str">
        <f>IFERROR(__xludf.DUMMYFUNCTION("""COMPUTED_VALUE""")," ConneXions Lifestage ")</f>
        <v> ConneXions Lifestage </v>
      </c>
      <c r="E275" s="4" t="str">
        <f>IFERROR(__xludf.DUMMYFUNCTION("""COMPUTED_VALUE""")," M3 Offline Seniors")</f>
        <v> M3 Offline Seniors</v>
      </c>
      <c r="F275" s="4"/>
      <c r="G275" s="4"/>
      <c r="H275" s="4"/>
      <c r="I275" s="5" t="s">
        <v>22</v>
      </c>
      <c r="J275" s="5" t="s">
        <v>16</v>
      </c>
      <c r="K275" s="5" t="s">
        <v>84</v>
      </c>
      <c r="L275" s="6" t="s">
        <v>434</v>
      </c>
      <c r="M275" s="5" t="s">
        <v>117</v>
      </c>
      <c r="N275" s="5" t="s">
        <v>27</v>
      </c>
      <c r="O275" s="5">
        <v>13293.0</v>
      </c>
      <c r="P275" s="5">
        <v>74.0</v>
      </c>
      <c r="Q275" s="5">
        <v>9054.0</v>
      </c>
      <c r="R275" s="5">
        <v>12676.0</v>
      </c>
      <c r="S275" s="5">
        <v>5.0</v>
      </c>
      <c r="T275" s="5">
        <v>2901.209509</v>
      </c>
    </row>
    <row r="276">
      <c r="A276" s="4" t="s">
        <v>1824</v>
      </c>
      <c r="B276" s="4" t="str">
        <f>IFERROR(__xludf.DUMMYFUNCTION("SPLIT(A276:A1002, ""&gt;"")"),"US ")</f>
        <v>US </v>
      </c>
      <c r="C276" s="4" t="str">
        <f>IFERROR(__xludf.DUMMYFUNCTION("""COMPUTED_VALUE""")," Brand Propensities ")</f>
        <v> Brand Propensities </v>
      </c>
      <c r="D276" s="4" t="str">
        <f>IFERROR(__xludf.DUMMYFUNCTION("""COMPUTED_VALUE""")," Apparel ")</f>
        <v> Apparel </v>
      </c>
      <c r="E276" s="4" t="str">
        <f>IFERROR(__xludf.DUMMYFUNCTION("""COMPUTED_VALUE""")," JCPenney Buyer Propensity")</f>
        <v> JCPenney Buyer Propensity</v>
      </c>
      <c r="F276" s="4"/>
      <c r="G276" s="4"/>
      <c r="H276" s="4"/>
      <c r="I276" s="5" t="s">
        <v>15</v>
      </c>
      <c r="J276" s="5" t="s">
        <v>42</v>
      </c>
      <c r="K276" s="5" t="s">
        <v>17</v>
      </c>
      <c r="L276" s="6" t="s">
        <v>439</v>
      </c>
      <c r="M276" s="5" t="s">
        <v>46</v>
      </c>
      <c r="N276" s="5" t="s">
        <v>20</v>
      </c>
      <c r="O276" s="5">
        <v>12001.0</v>
      </c>
      <c r="P276" s="5">
        <v>40.0</v>
      </c>
      <c r="Q276" s="5">
        <v>7173.0</v>
      </c>
      <c r="R276" s="5">
        <v>11432.0</v>
      </c>
      <c r="S276" s="5">
        <v>2.0</v>
      </c>
      <c r="T276" s="5">
        <v>1659.932713</v>
      </c>
    </row>
    <row r="277">
      <c r="A277" s="4" t="s">
        <v>1310</v>
      </c>
      <c r="B277" s="4" t="str">
        <f>IFERROR(__xludf.DUMMYFUNCTION("SPLIT(A277:A1003, ""&gt;"")"),"OnAudience ")</f>
        <v>OnAudience </v>
      </c>
      <c r="C277" s="4" t="str">
        <f>IFERROR(__xludf.DUMMYFUNCTION("""COMPUTED_VALUE""")," Interest ")</f>
        <v> Interest </v>
      </c>
      <c r="D277" s="4" t="str">
        <f>IFERROR(__xludf.DUMMYFUNCTION("""COMPUTED_VALUE""")," News ")</f>
        <v> News </v>
      </c>
      <c r="E277" s="4" t="str">
        <f>IFERROR(__xludf.DUMMYFUNCTION("""COMPUTED_VALUE""")," National News")</f>
        <v> National News</v>
      </c>
      <c r="F277" s="4"/>
      <c r="G277" s="4"/>
      <c r="H277" s="4"/>
      <c r="I277" s="5" t="s">
        <v>61</v>
      </c>
      <c r="J277" s="5" t="s">
        <v>31</v>
      </c>
      <c r="K277" s="5" t="s">
        <v>17</v>
      </c>
      <c r="L277" s="6" t="s">
        <v>441</v>
      </c>
      <c r="M277" s="5" t="s">
        <v>19</v>
      </c>
      <c r="N277" s="5" t="s">
        <v>27</v>
      </c>
      <c r="O277" s="5">
        <v>20537.0</v>
      </c>
      <c r="P277" s="5">
        <v>84.0</v>
      </c>
      <c r="Q277" s="5">
        <v>15587.0</v>
      </c>
      <c r="R277" s="5">
        <v>19288.0</v>
      </c>
      <c r="S277" s="5">
        <v>10.0</v>
      </c>
      <c r="T277" s="5">
        <v>1609.880674</v>
      </c>
    </row>
    <row r="278">
      <c r="A278" s="4" t="s">
        <v>1825</v>
      </c>
      <c r="B278" s="4" t="str">
        <f>IFERROR(__xludf.DUMMYFUNCTION("SPLIT(A278:A1004, ""&gt;"")"),"US ")</f>
        <v>US </v>
      </c>
      <c r="C278" s="4" t="str">
        <f>IFERROR(__xludf.DUMMYFUNCTION("""COMPUTED_VALUE""")," Reach ")</f>
        <v> Reach </v>
      </c>
      <c r="D278" s="4" t="str">
        <f>IFERROR(__xludf.DUMMYFUNCTION("""COMPUTED_VALUE""")," Propensity Models ")</f>
        <v> Propensity Models </v>
      </c>
      <c r="E278" s="4" t="str">
        <f>IFERROR(__xludf.DUMMYFUNCTION("""COMPUTED_VALUE""")," Hobbies and Interest ")</f>
        <v> Hobbies and Interest </v>
      </c>
      <c r="F278" s="4" t="str">
        <f>IFERROR(__xludf.DUMMYFUNCTION("""COMPUTED_VALUE""")," Sports ")</f>
        <v> Sports </v>
      </c>
      <c r="G278" s="4" t="str">
        <f>IFERROR(__xludf.DUMMYFUNCTION("""COMPUTED_VALUE""")," Plays Soccer")</f>
        <v> Plays Soccer</v>
      </c>
      <c r="H278" s="4"/>
      <c r="I278" s="5" t="s">
        <v>15</v>
      </c>
      <c r="J278" s="5" t="s">
        <v>31</v>
      </c>
      <c r="K278" s="5" t="s">
        <v>304</v>
      </c>
      <c r="L278" s="6" t="s">
        <v>443</v>
      </c>
      <c r="M278" s="5" t="s">
        <v>19</v>
      </c>
      <c r="N278" s="5" t="s">
        <v>27</v>
      </c>
      <c r="O278" s="5">
        <v>8730.0</v>
      </c>
      <c r="P278" s="5">
        <v>22.0</v>
      </c>
      <c r="Q278" s="5">
        <v>3725.0</v>
      </c>
      <c r="R278" s="5">
        <v>7413.0</v>
      </c>
      <c r="S278" s="5">
        <v>3.0</v>
      </c>
      <c r="T278" s="5">
        <v>3268.007134</v>
      </c>
    </row>
    <row r="279">
      <c r="A279" s="4" t="s">
        <v>444</v>
      </c>
      <c r="B279" s="4" t="str">
        <f>IFERROR(__xludf.DUMMYFUNCTION("SPLIT(A279:A1005, ""&gt;"")"),"Online Behavior")</f>
        <v>Online Behavior</v>
      </c>
      <c r="C279" s="4" t="str">
        <f>IFERROR(__xludf.DUMMYFUNCTION("""COMPUTED_VALUE"""),"United States")</f>
        <v>United States</v>
      </c>
      <c r="D279" s="4" t="str">
        <f>IFERROR(__xludf.DUMMYFUNCTION("""COMPUTED_VALUE"""),"People and Society")</f>
        <v>People and Society</v>
      </c>
      <c r="E279" s="4" t="str">
        <f>IFERROR(__xludf.DUMMYFUNCTION("""COMPUTED_VALUE"""),"Seniors and Retirement")</f>
        <v>Seniors and Retirement</v>
      </c>
      <c r="F279" s="4"/>
      <c r="G279" s="4"/>
      <c r="H279" s="4"/>
      <c r="I279" s="5" t="s">
        <v>22</v>
      </c>
      <c r="J279" s="5" t="s">
        <v>31</v>
      </c>
      <c r="K279" s="5" t="s">
        <v>95</v>
      </c>
      <c r="L279" s="6" t="s">
        <v>445</v>
      </c>
      <c r="M279" s="5" t="s">
        <v>19</v>
      </c>
      <c r="N279" s="5" t="s">
        <v>27</v>
      </c>
      <c r="O279" s="5">
        <v>26820.0</v>
      </c>
      <c r="P279" s="5">
        <v>80.0</v>
      </c>
      <c r="Q279" s="5">
        <v>13553.0</v>
      </c>
      <c r="R279" s="5">
        <v>21192.0</v>
      </c>
      <c r="S279" s="5">
        <v>12.0</v>
      </c>
      <c r="T279" s="5">
        <v>6745.10344</v>
      </c>
    </row>
    <row r="280">
      <c r="A280" s="4" t="s">
        <v>446</v>
      </c>
      <c r="B280" s="4" t="str">
        <f>IFERROR(__xludf.DUMMYFUNCTION("SPLIT(A280:A1006, ""&gt;"")"),"Media Source")</f>
        <v>Media Source</v>
      </c>
      <c r="C280" s="4"/>
      <c r="D280" s="4"/>
      <c r="E280" s="4"/>
      <c r="F280" s="4"/>
      <c r="G280" s="4"/>
      <c r="H280" s="4"/>
      <c r="I280" s="5" t="s">
        <v>15</v>
      </c>
      <c r="J280" s="5" t="s">
        <v>42</v>
      </c>
      <c r="K280" s="5" t="s">
        <v>17</v>
      </c>
      <c r="L280" s="6" t="s">
        <v>447</v>
      </c>
      <c r="M280" s="5" t="s">
        <v>167</v>
      </c>
      <c r="N280" s="5" t="s">
        <v>27</v>
      </c>
      <c r="O280" s="5">
        <v>9149.0</v>
      </c>
      <c r="P280" s="5">
        <v>40.0</v>
      </c>
      <c r="Q280" s="5">
        <v>4568.0</v>
      </c>
      <c r="R280" s="5">
        <v>8648.0</v>
      </c>
      <c r="S280" s="5">
        <v>4.0</v>
      </c>
      <c r="T280" s="5">
        <v>1758.098365</v>
      </c>
    </row>
    <row r="281">
      <c r="A281" s="4" t="s">
        <v>1826</v>
      </c>
      <c r="B281" s="4" t="str">
        <f>IFERROR(__xludf.DUMMYFUNCTION("SPLIT(A281:A1007, ""&gt;"")"),"Mobile - US ")</f>
        <v>Mobile - US </v>
      </c>
      <c r="C281" s="4" t="str">
        <f>IFERROR(__xludf.DUMMYFUNCTION("""COMPUTED_VALUE""")," Sports ")</f>
        <v> Sports </v>
      </c>
      <c r="D281" s="4" t="str">
        <f>IFERROR(__xludf.DUMMYFUNCTION("""COMPUTED_VALUE""")," Water Sports ")</f>
        <v> Water Sports </v>
      </c>
      <c r="E281" s="4" t="str">
        <f>IFERROR(__xludf.DUMMYFUNCTION("""COMPUTED_VALUE""")," Boating")</f>
        <v> Boating</v>
      </c>
      <c r="F281" s="4"/>
      <c r="G281" s="4"/>
      <c r="H281" s="4"/>
      <c r="I281" s="5" t="s">
        <v>22</v>
      </c>
      <c r="J281" s="5" t="s">
        <v>42</v>
      </c>
      <c r="K281" s="5" t="s">
        <v>78</v>
      </c>
      <c r="L281" s="6" t="s">
        <v>449</v>
      </c>
      <c r="M281" s="5" t="s">
        <v>184</v>
      </c>
      <c r="N281" s="5" t="s">
        <v>27</v>
      </c>
      <c r="O281" s="5">
        <v>13655.0</v>
      </c>
      <c r="P281" s="5">
        <v>66.0</v>
      </c>
      <c r="Q281" s="5">
        <v>9519.0</v>
      </c>
      <c r="R281" s="5">
        <v>13041.0</v>
      </c>
      <c r="S281" s="5">
        <v>3.0</v>
      </c>
      <c r="T281" s="5">
        <v>1475.245119</v>
      </c>
    </row>
    <row r="282">
      <c r="A282" s="4" t="s">
        <v>450</v>
      </c>
      <c r="B282" s="4" t="str">
        <f>IFERROR(__xludf.DUMMYFUNCTION("SPLIT(A282:A1008, ""&gt;"")"),"Online Behavior")</f>
        <v>Online Behavior</v>
      </c>
      <c r="C282" s="4" t="str">
        <f>IFERROR(__xludf.DUMMYFUNCTION("""COMPUTED_VALUE"""),"United States")</f>
        <v>United States</v>
      </c>
      <c r="D282" s="4" t="str">
        <f>IFERROR(__xludf.DUMMYFUNCTION("""COMPUTED_VALUE"""),"Autos and Vehicles")</f>
        <v>Autos and Vehicles</v>
      </c>
      <c r="E282" s="4" t="str">
        <f>IFERROR(__xludf.DUMMYFUNCTION("""COMPUTED_VALUE"""),"Hybrid and Alternative Vehicles")</f>
        <v>Hybrid and Alternative Vehicles</v>
      </c>
      <c r="F282" s="4"/>
      <c r="G282" s="4"/>
      <c r="H282" s="4"/>
      <c r="I282" s="5" t="s">
        <v>61</v>
      </c>
      <c r="J282" s="5" t="s">
        <v>31</v>
      </c>
      <c r="K282" s="5" t="s">
        <v>78</v>
      </c>
      <c r="L282" s="6" t="s">
        <v>451</v>
      </c>
      <c r="M282" s="5" t="s">
        <v>19</v>
      </c>
      <c r="N282" s="5" t="s">
        <v>27</v>
      </c>
      <c r="O282" s="5">
        <v>17518.0</v>
      </c>
      <c r="P282" s="5">
        <v>60.0</v>
      </c>
      <c r="Q282" s="5">
        <v>11513.0</v>
      </c>
      <c r="R282" s="5">
        <v>16192.0</v>
      </c>
      <c r="S282" s="5">
        <v>12.0</v>
      </c>
      <c r="T282" s="5">
        <v>6765.0004</v>
      </c>
    </row>
    <row r="283">
      <c r="A283" s="4" t="s">
        <v>1827</v>
      </c>
      <c r="B283" s="4" t="str">
        <f>IFERROR(__xludf.DUMMYFUNCTION("SPLIT(A283:A1009, ""&gt;"")"),"Mobile - US ")</f>
        <v>Mobile - US </v>
      </c>
      <c r="C283" s="4" t="str">
        <f>IFERROR(__xludf.DUMMYFUNCTION("""COMPUTED_VALUE""")," Travel ")</f>
        <v> Travel </v>
      </c>
      <c r="D283" s="4" t="str">
        <f>IFERROR(__xludf.DUMMYFUNCTION("""COMPUTED_VALUE""")," Activity ")</f>
        <v> Activity </v>
      </c>
      <c r="E283" s="4" t="str">
        <f>IFERROR(__xludf.DUMMYFUNCTION("""COMPUTED_VALUE""")," Ski Travelers")</f>
        <v> Ski Travelers</v>
      </c>
      <c r="F283" s="4"/>
      <c r="G283" s="4"/>
      <c r="H283" s="4"/>
      <c r="I283" s="5" t="s">
        <v>22</v>
      </c>
      <c r="J283" s="5" t="s">
        <v>16</v>
      </c>
      <c r="K283" s="5" t="s">
        <v>55</v>
      </c>
      <c r="L283" s="6" t="s">
        <v>451</v>
      </c>
      <c r="M283" s="5" t="s">
        <v>19</v>
      </c>
      <c r="N283" s="5" t="s">
        <v>27</v>
      </c>
      <c r="O283" s="5">
        <v>16580.0</v>
      </c>
      <c r="P283" s="5">
        <v>84.0</v>
      </c>
      <c r="Q283" s="5">
        <v>11928.0</v>
      </c>
      <c r="R283" s="5">
        <v>14527.0</v>
      </c>
      <c r="S283" s="5">
        <v>6.0</v>
      </c>
      <c r="T283" s="5">
        <v>1965.738947</v>
      </c>
    </row>
    <row r="284">
      <c r="A284" s="4" t="s">
        <v>1828</v>
      </c>
      <c r="B284" s="4" t="str">
        <f>IFERROR(__xludf.DUMMYFUNCTION("SPLIT(A284:A1010, ""&gt;"")"),"US ")</f>
        <v>US </v>
      </c>
      <c r="C284" s="4" t="str">
        <f>IFERROR(__xludf.DUMMYFUNCTION("""COMPUTED_VALUE""")," Sociodemographic ")</f>
        <v> Sociodemographic </v>
      </c>
      <c r="D284" s="4" t="str">
        <f>IFERROR(__xludf.DUMMYFUNCTION("""COMPUTED_VALUE""")," P$YCLE Premier Lifestage ")</f>
        <v> P$YCLE Premier Lifestage </v>
      </c>
      <c r="E284" s="4" t="str">
        <f>IFERROR(__xludf.DUMMYFUNCTION("""COMPUTED_VALUE""")," M3 Upscale Empty Nests")</f>
        <v> M3 Upscale Empty Nests</v>
      </c>
      <c r="F284" s="4"/>
      <c r="G284" s="4"/>
      <c r="H284" s="4"/>
      <c r="I284" s="5" t="s">
        <v>22</v>
      </c>
      <c r="J284" s="5" t="s">
        <v>23</v>
      </c>
      <c r="K284" s="5" t="s">
        <v>55</v>
      </c>
      <c r="L284" s="6" t="s">
        <v>454</v>
      </c>
      <c r="M284" s="5" t="s">
        <v>46</v>
      </c>
      <c r="N284" s="5" t="s">
        <v>27</v>
      </c>
      <c r="O284" s="5">
        <v>14379.0</v>
      </c>
      <c r="P284" s="5">
        <v>30.0</v>
      </c>
      <c r="Q284" s="5">
        <v>6272.0</v>
      </c>
      <c r="R284" s="5">
        <v>11886.0</v>
      </c>
      <c r="S284" s="5">
        <v>18.0</v>
      </c>
      <c r="T284" s="5">
        <v>1973.562233</v>
      </c>
    </row>
    <row r="285">
      <c r="A285" s="4" t="s">
        <v>1317</v>
      </c>
      <c r="B285" s="4" t="str">
        <f>IFERROR(__xludf.DUMMYFUNCTION("SPLIT(A285:A1011, ""&gt;"")"),"Online Behavior")</f>
        <v>Online Behavior</v>
      </c>
      <c r="C285" s="4" t="str">
        <f>IFERROR(__xludf.DUMMYFUNCTION("""COMPUTED_VALUE"""),"United States")</f>
        <v>United States</v>
      </c>
      <c r="D285" s="4" t="str">
        <f>IFERROR(__xludf.DUMMYFUNCTION("""COMPUTED_VALUE"""),"Intent ")</f>
        <v>Intent </v>
      </c>
      <c r="E285" s="4" t="str">
        <f>IFERROR(__xludf.DUMMYFUNCTION("""COMPUTED_VALUE""")," Auto Buyers ")</f>
        <v> Auto Buyers </v>
      </c>
      <c r="F285" s="4" t="str">
        <f>IFERROR(__xludf.DUMMYFUNCTION("""COMPUTED_VALUE""")," Car Make")</f>
        <v> Car Make</v>
      </c>
      <c r="G285" s="4" t="str">
        <f>IFERROR(__xludf.DUMMYFUNCTION("""COMPUTED_VALUE"""),"Dodge")</f>
        <v>Dodge</v>
      </c>
      <c r="H285" s="4"/>
      <c r="I285" s="5" t="s">
        <v>22</v>
      </c>
      <c r="J285" s="5" t="s">
        <v>16</v>
      </c>
      <c r="K285" s="5" t="s">
        <v>43</v>
      </c>
      <c r="L285" s="6" t="s">
        <v>456</v>
      </c>
      <c r="M285" s="5" t="s">
        <v>19</v>
      </c>
      <c r="N285" s="5" t="s">
        <v>27</v>
      </c>
      <c r="O285" s="5">
        <v>138904.0</v>
      </c>
      <c r="P285" s="5">
        <v>399.0</v>
      </c>
      <c r="Q285" s="5">
        <v>98952.0</v>
      </c>
      <c r="R285" s="5">
        <v>120688.0</v>
      </c>
      <c r="S285" s="5">
        <v>25.0</v>
      </c>
      <c r="T285" s="5">
        <v>5038.644724</v>
      </c>
    </row>
    <row r="286">
      <c r="A286" s="4" t="s">
        <v>1318</v>
      </c>
      <c r="B286" s="4" t="str">
        <f>IFERROR(__xludf.DUMMYFUNCTION("SPLIT(A286:A1012, ""&gt;"")"),"Online Behavior")</f>
        <v>Online Behavior</v>
      </c>
      <c r="C286" s="4" t="str">
        <f>IFERROR(__xludf.DUMMYFUNCTION("""COMPUTED_VALUE"""),"United States")</f>
        <v>United States</v>
      </c>
      <c r="D286" s="4" t="str">
        <f>IFERROR(__xludf.DUMMYFUNCTION("""COMPUTED_VALUE"""),"Intent ")</f>
        <v>Intent </v>
      </c>
      <c r="E286" s="4" t="str">
        <f>IFERROR(__xludf.DUMMYFUNCTION("""COMPUTED_VALUE""")," Auto Buyers ")</f>
        <v> Auto Buyers </v>
      </c>
      <c r="F286" s="4" t="str">
        <f>IFERROR(__xludf.DUMMYFUNCTION("""COMPUTED_VALUE""")," Type")</f>
        <v> Type</v>
      </c>
      <c r="G286" s="4" t="str">
        <f>IFERROR(__xludf.DUMMYFUNCTION("""COMPUTED_VALUE"""),"SUV")</f>
        <v>SUV</v>
      </c>
      <c r="H286" s="4"/>
      <c r="I286" s="5" t="s">
        <v>15</v>
      </c>
      <c r="J286" s="5" t="s">
        <v>23</v>
      </c>
      <c r="K286" s="5" t="s">
        <v>78</v>
      </c>
      <c r="L286" s="6" t="s">
        <v>458</v>
      </c>
      <c r="M286" s="5" t="s">
        <v>46</v>
      </c>
      <c r="N286" s="5" t="s">
        <v>52</v>
      </c>
      <c r="O286" s="5">
        <v>99205.0</v>
      </c>
      <c r="P286" s="5">
        <v>230.0</v>
      </c>
      <c r="Q286" s="5">
        <v>49240.0</v>
      </c>
      <c r="R286" s="5">
        <v>72687.0</v>
      </c>
      <c r="S286" s="5">
        <v>21.0</v>
      </c>
      <c r="T286" s="5">
        <v>6185.002486</v>
      </c>
    </row>
    <row r="287">
      <c r="A287" s="4" t="s">
        <v>1319</v>
      </c>
      <c r="B287" s="4" t="str">
        <f>IFERROR(__xludf.DUMMYFUNCTION("SPLIT(A287:A1013, ""&gt;"")"),"Online Behavior")</f>
        <v>Online Behavior</v>
      </c>
      <c r="C287" s="4" t="str">
        <f>IFERROR(__xludf.DUMMYFUNCTION("""COMPUTED_VALUE"""),"United States")</f>
        <v>United States</v>
      </c>
      <c r="D287" s="4" t="str">
        <f>IFERROR(__xludf.DUMMYFUNCTION("""COMPUTED_VALUE"""),"Validated Demographic ")</f>
        <v>Validated Demographic </v>
      </c>
      <c r="E287" s="4" t="str">
        <f>IFERROR(__xludf.DUMMYFUNCTION("""COMPUTED_VALUE""")," Age")</f>
        <v> Age</v>
      </c>
      <c r="F287" s="4" t="str">
        <f>IFERROR(__xludf.DUMMYFUNCTION("""COMPUTED_VALUE"""),"35-44")</f>
        <v>35-44</v>
      </c>
      <c r="G287" s="4"/>
      <c r="H287" s="4"/>
      <c r="I287" s="5" t="s">
        <v>15</v>
      </c>
      <c r="J287" s="5" t="s">
        <v>42</v>
      </c>
      <c r="K287" s="5" t="s">
        <v>29</v>
      </c>
      <c r="L287" s="6" t="s">
        <v>460</v>
      </c>
      <c r="M287" s="5" t="s">
        <v>19</v>
      </c>
      <c r="N287" s="5" t="s">
        <v>52</v>
      </c>
      <c r="O287" s="5">
        <v>27473.0</v>
      </c>
      <c r="P287" s="5">
        <v>69.0</v>
      </c>
      <c r="Q287" s="5">
        <v>11306.0</v>
      </c>
      <c r="R287" s="5">
        <v>20625.0</v>
      </c>
      <c r="S287" s="5">
        <v>2.0</v>
      </c>
      <c r="T287" s="5">
        <v>2922.286102</v>
      </c>
    </row>
    <row r="288">
      <c r="A288" s="4" t="s">
        <v>1829</v>
      </c>
      <c r="B288" s="4" t="str">
        <f>IFERROR(__xludf.DUMMYFUNCTION("SPLIT(A288:A1014, ""&gt;"")"),"US Demographic ")</f>
        <v>US Demographic </v>
      </c>
      <c r="C288" s="4" t="str">
        <f>IFERROR(__xludf.DUMMYFUNCTION("""COMPUTED_VALUE""")," Preferred Language ")</f>
        <v> Preferred Language </v>
      </c>
      <c r="D288" s="4" t="str">
        <f>IFERROR(__xludf.DUMMYFUNCTION("""COMPUTED_VALUE""")," Individual ")</f>
        <v> Individual </v>
      </c>
      <c r="E288" s="4" t="str">
        <f>IFERROR(__xludf.DUMMYFUNCTION("""COMPUTED_VALUE""")," Non-Hispanic")</f>
        <v> Non-Hispanic</v>
      </c>
      <c r="F288" s="4"/>
      <c r="G288" s="4"/>
      <c r="H288" s="4"/>
      <c r="I288" s="5" t="s">
        <v>15</v>
      </c>
      <c r="J288" s="5" t="s">
        <v>16</v>
      </c>
      <c r="K288" s="5" t="s">
        <v>78</v>
      </c>
      <c r="L288" s="6" t="s">
        <v>462</v>
      </c>
      <c r="M288" s="5" t="s">
        <v>46</v>
      </c>
      <c r="N288" s="5" t="s">
        <v>27</v>
      </c>
      <c r="O288" s="5">
        <v>7356.0</v>
      </c>
      <c r="P288" s="5">
        <v>10.0</v>
      </c>
      <c r="Q288" s="5">
        <v>1588.0</v>
      </c>
      <c r="R288" s="5">
        <v>7088.0</v>
      </c>
      <c r="S288" s="5">
        <v>1.0</v>
      </c>
      <c r="T288" s="5">
        <v>1730.37357</v>
      </c>
    </row>
    <row r="289">
      <c r="A289" s="4" t="s">
        <v>463</v>
      </c>
      <c r="B289" s="4" t="str">
        <f>IFERROR(__xludf.DUMMYFUNCTION("SPLIT(A289:A1015, ""&gt;"")"),"Online Behavior")</f>
        <v>Online Behavior</v>
      </c>
      <c r="C289" s="4" t="str">
        <f>IFERROR(__xludf.DUMMYFUNCTION("""COMPUTED_VALUE"""),"United States")</f>
        <v>United States</v>
      </c>
      <c r="D289" s="4" t="str">
        <f>IFERROR(__xludf.DUMMYFUNCTION("""COMPUTED_VALUE"""),"Arts and Entertainment")</f>
        <v>Arts and Entertainment</v>
      </c>
      <c r="E289" s="4" t="str">
        <f>IFERROR(__xludf.DUMMYFUNCTION("""COMPUTED_VALUE"""),"Celebrities and Entertainment News")</f>
        <v>Celebrities and Entertainment News</v>
      </c>
      <c r="F289" s="4"/>
      <c r="G289" s="4"/>
      <c r="H289" s="4"/>
      <c r="I289" s="5" t="s">
        <v>22</v>
      </c>
      <c r="J289" s="5" t="s">
        <v>42</v>
      </c>
      <c r="K289" s="5" t="s">
        <v>24</v>
      </c>
      <c r="L289" s="6" t="s">
        <v>464</v>
      </c>
      <c r="M289" s="5" t="s">
        <v>19</v>
      </c>
      <c r="N289" s="5" t="s">
        <v>27</v>
      </c>
      <c r="O289" s="5">
        <v>9261.0</v>
      </c>
      <c r="P289" s="5">
        <v>66.0</v>
      </c>
      <c r="Q289" s="5">
        <v>3852.0</v>
      </c>
      <c r="R289" s="5">
        <v>8526.0</v>
      </c>
      <c r="S289" s="5">
        <v>9.0</v>
      </c>
      <c r="T289" s="5">
        <v>6511.029576</v>
      </c>
    </row>
    <row r="290">
      <c r="A290" s="4" t="s">
        <v>1322</v>
      </c>
      <c r="B290" s="4" t="str">
        <f>IFERROR(__xludf.DUMMYFUNCTION("SPLIT(A290:A1016, ""&gt;"")"),"OnAudience ")</f>
        <v>OnAudience </v>
      </c>
      <c r="C290" s="4" t="str">
        <f>IFERROR(__xludf.DUMMYFUNCTION("""COMPUTED_VALUE""")," Intent ")</f>
        <v> Intent </v>
      </c>
      <c r="D290" s="4" t="str">
        <f>IFERROR(__xludf.DUMMYFUNCTION("""COMPUTED_VALUE""")," Education")</f>
        <v> Education</v>
      </c>
      <c r="E290" s="4"/>
      <c r="F290" s="4"/>
      <c r="G290" s="4"/>
      <c r="H290" s="4"/>
      <c r="I290" s="5" t="s">
        <v>22</v>
      </c>
      <c r="J290" s="5" t="s">
        <v>16</v>
      </c>
      <c r="K290" s="5" t="s">
        <v>131</v>
      </c>
      <c r="L290" s="6" t="s">
        <v>464</v>
      </c>
      <c r="M290" s="5" t="s">
        <v>26</v>
      </c>
      <c r="N290" s="5" t="s">
        <v>27</v>
      </c>
      <c r="O290" s="5">
        <v>19344.0</v>
      </c>
      <c r="P290" s="5">
        <v>68.0</v>
      </c>
      <c r="Q290" s="5">
        <v>2353.0</v>
      </c>
      <c r="R290" s="5">
        <v>18261.0</v>
      </c>
      <c r="S290" s="5">
        <v>10.0</v>
      </c>
      <c r="T290" s="5">
        <v>1500.722291</v>
      </c>
    </row>
    <row r="291">
      <c r="A291" s="4" t="s">
        <v>1323</v>
      </c>
      <c r="B291" s="4" t="str">
        <f>IFERROR(__xludf.DUMMYFUNCTION("SPLIT(A291:A1017, ""&gt;"")"),"Online Behavior")</f>
        <v>Online Behavior</v>
      </c>
      <c r="C291" s="4" t="str">
        <f>IFERROR(__xludf.DUMMYFUNCTION("""COMPUTED_VALUE"""),"United States")</f>
        <v>United States</v>
      </c>
      <c r="D291" s="4" t="str">
        <f>IFERROR(__xludf.DUMMYFUNCTION("""COMPUTED_VALUE"""),"Intent ")</f>
        <v>Intent </v>
      </c>
      <c r="E291" s="4" t="str">
        <f>IFERROR(__xludf.DUMMYFUNCTION("""COMPUTED_VALUE""")," Auto Buyers ")</f>
        <v> Auto Buyers </v>
      </c>
      <c r="F291" s="4" t="str">
        <f>IFERROR(__xludf.DUMMYFUNCTION("""COMPUTED_VALUE""")," Car Make")</f>
        <v> Car Make</v>
      </c>
      <c r="G291" s="4" t="str">
        <f>IFERROR(__xludf.DUMMYFUNCTION("""COMPUTED_VALUE"""),"Mazda")</f>
        <v>Mazda</v>
      </c>
      <c r="H291" s="4"/>
      <c r="I291" s="5" t="s">
        <v>15</v>
      </c>
      <c r="J291" s="5" t="s">
        <v>42</v>
      </c>
      <c r="K291" s="5" t="s">
        <v>55</v>
      </c>
      <c r="L291" s="6" t="s">
        <v>467</v>
      </c>
      <c r="M291" s="5" t="s">
        <v>19</v>
      </c>
      <c r="N291" s="5" t="s">
        <v>27</v>
      </c>
      <c r="O291" s="5">
        <v>11672.0</v>
      </c>
      <c r="P291" s="5">
        <v>84.0</v>
      </c>
      <c r="Q291" s="5">
        <v>7619.0</v>
      </c>
      <c r="R291" s="5">
        <v>9999.0</v>
      </c>
      <c r="S291" s="5">
        <v>7.0</v>
      </c>
      <c r="T291" s="5">
        <v>5284.27704</v>
      </c>
    </row>
    <row r="292">
      <c r="A292" s="4" t="s">
        <v>1324</v>
      </c>
      <c r="B292" s="4" t="str">
        <f>IFERROR(__xludf.DUMMYFUNCTION("SPLIT(A292:A1018, ""&gt;"")"),"Online Behavior")</f>
        <v>Online Behavior</v>
      </c>
      <c r="C292" s="4" t="str">
        <f>IFERROR(__xludf.DUMMYFUNCTION("""COMPUTED_VALUE"""),"United States")</f>
        <v>United States</v>
      </c>
      <c r="D292" s="4" t="str">
        <f>IFERROR(__xludf.DUMMYFUNCTION("""COMPUTED_VALUE"""),"Validated Demographic ")</f>
        <v>Validated Demographic </v>
      </c>
      <c r="E292" s="4" t="str">
        <f>IFERROR(__xludf.DUMMYFUNCTION("""COMPUTED_VALUE""")," Gender and Age Combined")</f>
        <v> Gender and Age Combined</v>
      </c>
      <c r="F292" s="4" t="str">
        <f>IFERROR(__xludf.DUMMYFUNCTION("""COMPUTED_VALUE"""),"Females 25-34")</f>
        <v>Females 25-34</v>
      </c>
      <c r="G292" s="4"/>
      <c r="H292" s="4"/>
      <c r="I292" s="5" t="s">
        <v>15</v>
      </c>
      <c r="J292" s="5" t="s">
        <v>42</v>
      </c>
      <c r="K292" s="5" t="s">
        <v>17</v>
      </c>
      <c r="L292" s="6" t="s">
        <v>469</v>
      </c>
      <c r="M292" s="5" t="s">
        <v>117</v>
      </c>
      <c r="N292" s="5" t="s">
        <v>27</v>
      </c>
      <c r="O292" s="5">
        <v>8273.0</v>
      </c>
      <c r="P292" s="5">
        <v>24.0</v>
      </c>
      <c r="Q292" s="5">
        <v>1929.0</v>
      </c>
      <c r="R292" s="5">
        <v>7441.0</v>
      </c>
      <c r="S292" s="5">
        <v>3.0</v>
      </c>
      <c r="T292" s="5">
        <v>4689.521024</v>
      </c>
    </row>
    <row r="293">
      <c r="A293" s="4" t="s">
        <v>1325</v>
      </c>
      <c r="B293" s="4" t="str">
        <f>IFERROR(__xludf.DUMMYFUNCTION("SPLIT(A293:A1019, ""&gt;"")"),"OnAudience ")</f>
        <v>OnAudience </v>
      </c>
      <c r="C293" s="4" t="str">
        <f>IFERROR(__xludf.DUMMYFUNCTION("""COMPUTED_VALUE""")," Interest ")</f>
        <v> Interest </v>
      </c>
      <c r="D293" s="4" t="str">
        <f>IFERROR(__xludf.DUMMYFUNCTION("""COMPUTED_VALUE""")," Technology &amp; Computing ")</f>
        <v> Technology &amp; Computing </v>
      </c>
      <c r="E293" s="4" t="str">
        <f>IFERROR(__xludf.DUMMYFUNCTION("""COMPUTED_VALUE""")," Internet Technology")</f>
        <v> Internet Technology</v>
      </c>
      <c r="F293" s="4"/>
      <c r="G293" s="4"/>
      <c r="H293" s="4"/>
      <c r="I293" s="5" t="s">
        <v>15</v>
      </c>
      <c r="J293" s="5" t="s">
        <v>16</v>
      </c>
      <c r="K293" s="5" t="s">
        <v>471</v>
      </c>
      <c r="L293" s="6" t="s">
        <v>469</v>
      </c>
      <c r="M293" s="5" t="s">
        <v>48</v>
      </c>
      <c r="N293" s="5" t="s">
        <v>27</v>
      </c>
      <c r="O293" s="5">
        <v>13833.0</v>
      </c>
      <c r="P293" s="5">
        <v>84.0</v>
      </c>
      <c r="Q293" s="5">
        <v>7693.0</v>
      </c>
      <c r="R293" s="5">
        <v>13237.0</v>
      </c>
      <c r="S293" s="5">
        <v>6.0</v>
      </c>
      <c r="T293" s="5">
        <v>1526.787066</v>
      </c>
    </row>
    <row r="294">
      <c r="A294" s="4" t="s">
        <v>1830</v>
      </c>
      <c r="B294" s="4" t="str">
        <f>IFERROR(__xludf.DUMMYFUNCTION("SPLIT(A294:A1020, ""&gt;"")"),"Mobile - US ")</f>
        <v>Mobile - US </v>
      </c>
      <c r="C294" s="4" t="str">
        <f>IFERROR(__xludf.DUMMYFUNCTION("""COMPUTED_VALUE""")," Sports ")</f>
        <v> Sports </v>
      </c>
      <c r="D294" s="4" t="str">
        <f>IFERROR(__xludf.DUMMYFUNCTION("""COMPUTED_VALUE""")," UFC Fans")</f>
        <v> UFC Fans</v>
      </c>
      <c r="E294" s="4"/>
      <c r="F294" s="4"/>
      <c r="G294" s="4"/>
      <c r="H294" s="4"/>
      <c r="I294" s="5" t="s">
        <v>22</v>
      </c>
      <c r="J294" s="5" t="s">
        <v>23</v>
      </c>
      <c r="K294" s="5" t="s">
        <v>356</v>
      </c>
      <c r="L294" s="6" t="s">
        <v>469</v>
      </c>
      <c r="M294" s="5" t="s">
        <v>19</v>
      </c>
      <c r="N294" s="5" t="s">
        <v>27</v>
      </c>
      <c r="O294" s="5">
        <v>22180.0</v>
      </c>
      <c r="P294" s="5">
        <v>60.0</v>
      </c>
      <c r="Q294" s="5">
        <v>4835.0</v>
      </c>
      <c r="R294" s="5">
        <v>19291.0</v>
      </c>
      <c r="S294" s="5">
        <v>9.0</v>
      </c>
      <c r="T294" s="5">
        <v>1441.631095</v>
      </c>
    </row>
    <row r="295">
      <c r="A295" s="4" t="s">
        <v>1327</v>
      </c>
      <c r="B295" s="4" t="str">
        <f>IFERROR(__xludf.DUMMYFUNCTION("SPLIT(A295:A1021, ""&gt;"")"),"Online Behavior")</f>
        <v>Online Behavior</v>
      </c>
      <c r="C295" s="4" t="str">
        <f>IFERROR(__xludf.DUMMYFUNCTION("""COMPUTED_VALUE"""),"United States")</f>
        <v>United States</v>
      </c>
      <c r="D295" s="4" t="str">
        <f>IFERROR(__xludf.DUMMYFUNCTION("""COMPUTED_VALUE"""),"Intent ")</f>
        <v>Intent </v>
      </c>
      <c r="E295" s="4" t="str">
        <f>IFERROR(__xludf.DUMMYFUNCTION("""COMPUTED_VALUE""")," Shopping")</f>
        <v> Shopping</v>
      </c>
      <c r="F295" s="4" t="str">
        <f>IFERROR(__xludf.DUMMYFUNCTION("""COMPUTED_VALUE"""),"Auto Parts Stores")</f>
        <v>Auto Parts Stores</v>
      </c>
      <c r="G295" s="4"/>
      <c r="H295" s="4"/>
      <c r="I295" s="5" t="s">
        <v>22</v>
      </c>
      <c r="J295" s="5" t="s">
        <v>16</v>
      </c>
      <c r="K295" s="5" t="s">
        <v>95</v>
      </c>
      <c r="L295" s="6" t="s">
        <v>474</v>
      </c>
      <c r="M295" s="5" t="s">
        <v>19</v>
      </c>
      <c r="N295" s="5" t="s">
        <v>27</v>
      </c>
      <c r="O295" s="5">
        <v>102905.0</v>
      </c>
      <c r="P295" s="5">
        <v>421.0</v>
      </c>
      <c r="Q295" s="5">
        <v>45324.0</v>
      </c>
      <c r="R295" s="5">
        <v>99065.0</v>
      </c>
      <c r="S295" s="5">
        <v>1.0</v>
      </c>
      <c r="T295" s="5">
        <v>6407.581828</v>
      </c>
    </row>
    <row r="296">
      <c r="A296" s="4" t="s">
        <v>1328</v>
      </c>
      <c r="B296" s="4" t="str">
        <f>IFERROR(__xludf.DUMMYFUNCTION("SPLIT(A296:A1022, ""&gt;"")"),"Online Behavior")</f>
        <v>Online Behavior</v>
      </c>
      <c r="C296" s="4" t="str">
        <f>IFERROR(__xludf.DUMMYFUNCTION("""COMPUTED_VALUE"""),"United States")</f>
        <v>United States</v>
      </c>
      <c r="D296" s="4" t="str">
        <f>IFERROR(__xludf.DUMMYFUNCTION("""COMPUTED_VALUE"""),"Autos and Vehicles ")</f>
        <v>Autos and Vehicles </v>
      </c>
      <c r="E296" s="4" t="str">
        <f>IFERROR(__xludf.DUMMYFUNCTION("""COMPUTED_VALUE""")," Brands")</f>
        <v> Brands</v>
      </c>
      <c r="F296" s="4" t="str">
        <f>IFERROR(__xludf.DUMMYFUNCTION("""COMPUTED_VALUE"""),"Ford")</f>
        <v>Ford</v>
      </c>
      <c r="G296" s="4"/>
      <c r="H296" s="4"/>
      <c r="I296" s="5" t="s">
        <v>61</v>
      </c>
      <c r="J296" s="5" t="s">
        <v>23</v>
      </c>
      <c r="K296" s="5" t="s">
        <v>78</v>
      </c>
      <c r="L296" s="6" t="s">
        <v>474</v>
      </c>
      <c r="M296" s="5" t="s">
        <v>19</v>
      </c>
      <c r="N296" s="5" t="s">
        <v>27</v>
      </c>
      <c r="O296" s="5">
        <v>89744.0</v>
      </c>
      <c r="P296" s="5">
        <v>311.0</v>
      </c>
      <c r="Q296" s="5">
        <v>48786.0</v>
      </c>
      <c r="R296" s="5">
        <v>85900.0</v>
      </c>
      <c r="S296" s="5">
        <v>3.0</v>
      </c>
      <c r="T296" s="5">
        <v>6369.811226</v>
      </c>
    </row>
    <row r="297">
      <c r="A297" s="4" t="s">
        <v>1329</v>
      </c>
      <c r="B297" s="4" t="str">
        <f>IFERROR(__xludf.DUMMYFUNCTION("SPLIT(A297:A1023, ""&gt;"")"),"Lotame ")</f>
        <v>Lotame </v>
      </c>
      <c r="C297" s="4" t="str">
        <f>IFERROR(__xludf.DUMMYFUNCTION("""COMPUTED_VALUE""")," Technology ")</f>
        <v> Technology </v>
      </c>
      <c r="D297" s="4" t="str">
        <f>IFERROR(__xludf.DUMMYFUNCTION("""COMPUTED_VALUE""")," Mobile Phones")</f>
        <v> Mobile Phones</v>
      </c>
      <c r="E297" s="4"/>
      <c r="F297" s="4"/>
      <c r="G297" s="4"/>
      <c r="H297" s="4"/>
      <c r="I297" s="5" t="s">
        <v>15</v>
      </c>
      <c r="J297" s="5" t="s">
        <v>23</v>
      </c>
      <c r="K297" s="5" t="s">
        <v>43</v>
      </c>
      <c r="L297" s="6" t="s">
        <v>474</v>
      </c>
      <c r="M297" s="5" t="s">
        <v>26</v>
      </c>
      <c r="N297" s="5" t="s">
        <v>27</v>
      </c>
      <c r="O297" s="5">
        <v>39705.0</v>
      </c>
      <c r="P297" s="5">
        <v>190.0</v>
      </c>
      <c r="Q297" s="5">
        <v>12950.0</v>
      </c>
      <c r="R297" s="5">
        <v>38030.0</v>
      </c>
      <c r="S297" s="5">
        <v>3.0</v>
      </c>
      <c r="T297" s="5">
        <v>1476.419509</v>
      </c>
    </row>
    <row r="298">
      <c r="A298" s="4" t="s">
        <v>1330</v>
      </c>
      <c r="B298" s="4" t="str">
        <f>IFERROR(__xludf.DUMMYFUNCTION("SPLIT(A298:A1024, ""&gt;"")"),"Online Behavior")</f>
        <v>Online Behavior</v>
      </c>
      <c r="C298" s="4" t="str">
        <f>IFERROR(__xludf.DUMMYFUNCTION("""COMPUTED_VALUE"""),"United States")</f>
        <v>United States</v>
      </c>
      <c r="D298" s="4" t="str">
        <f>IFERROR(__xludf.DUMMYFUNCTION("""COMPUTED_VALUE"""),"Autos and Vehicles ")</f>
        <v>Autos and Vehicles </v>
      </c>
      <c r="E298" s="4" t="str">
        <f>IFERROR(__xludf.DUMMYFUNCTION("""COMPUTED_VALUE""")," Brands")</f>
        <v> Brands</v>
      </c>
      <c r="F298" s="4" t="str">
        <f>IFERROR(__xludf.DUMMYFUNCTION("""COMPUTED_VALUE"""),"Maybach")</f>
        <v>Maybach</v>
      </c>
      <c r="G298" s="4"/>
      <c r="H298" s="4"/>
      <c r="I298" s="5" t="s">
        <v>22</v>
      </c>
      <c r="J298" s="5" t="s">
        <v>23</v>
      </c>
      <c r="K298" s="5" t="s">
        <v>55</v>
      </c>
      <c r="L298" s="6" t="s">
        <v>478</v>
      </c>
      <c r="M298" s="5" t="s">
        <v>36</v>
      </c>
      <c r="N298" s="5" t="s">
        <v>27</v>
      </c>
      <c r="O298" s="5">
        <v>23941.0</v>
      </c>
      <c r="P298" s="5">
        <v>150.0</v>
      </c>
      <c r="Q298" s="5">
        <v>13054.0</v>
      </c>
      <c r="R298" s="5">
        <v>22276.0</v>
      </c>
      <c r="S298" s="5">
        <v>6.0</v>
      </c>
      <c r="T298" s="5">
        <v>2856.165425</v>
      </c>
    </row>
    <row r="299">
      <c r="A299" s="4" t="s">
        <v>479</v>
      </c>
      <c r="B299" s="4" t="str">
        <f>IFERROR(__xludf.DUMMYFUNCTION("SPLIT(A299:A1025, ""&gt;"")"),"Online Behavior")</f>
        <v>Online Behavior</v>
      </c>
      <c r="C299" s="4" t="str">
        <f>IFERROR(__xludf.DUMMYFUNCTION("""COMPUTED_VALUE"""),"United States")</f>
        <v>United States</v>
      </c>
      <c r="D299" s="4" t="str">
        <f>IFERROR(__xludf.DUMMYFUNCTION("""COMPUTED_VALUE"""),"The Changing Consumer")</f>
        <v>The Changing Consumer</v>
      </c>
      <c r="E299" s="4" t="str">
        <f>IFERROR(__xludf.DUMMYFUNCTION("""COMPUTED_VALUE"""),"Online Retailers")</f>
        <v>Online Retailers</v>
      </c>
      <c r="F299" s="4"/>
      <c r="G299" s="4"/>
      <c r="H299" s="4"/>
      <c r="I299" s="5" t="s">
        <v>22</v>
      </c>
      <c r="J299" s="5" t="s">
        <v>16</v>
      </c>
      <c r="K299" s="5" t="s">
        <v>35</v>
      </c>
      <c r="L299" s="6" t="s">
        <v>480</v>
      </c>
      <c r="M299" s="5" t="s">
        <v>19</v>
      </c>
      <c r="N299" s="5" t="s">
        <v>27</v>
      </c>
      <c r="O299" s="5">
        <v>42759.0</v>
      </c>
      <c r="P299" s="5">
        <v>177.0</v>
      </c>
      <c r="Q299" s="5">
        <v>17744.0</v>
      </c>
      <c r="R299" s="5">
        <v>34812.0</v>
      </c>
      <c r="S299" s="5">
        <v>12.0</v>
      </c>
      <c r="T299" s="5">
        <v>6316.488054</v>
      </c>
    </row>
    <row r="300">
      <c r="A300" s="4" t="s">
        <v>1331</v>
      </c>
      <c r="B300" s="4" t="str">
        <f>IFERROR(__xludf.DUMMYFUNCTION("SPLIT(A300:A1026, ""&gt;"")"),"Online Behavior")</f>
        <v>Online Behavior</v>
      </c>
      <c r="C300" s="4" t="str">
        <f>IFERROR(__xludf.DUMMYFUNCTION("""COMPUTED_VALUE"""),"United States")</f>
        <v>United States</v>
      </c>
      <c r="D300" s="4" t="str">
        <f>IFERROR(__xludf.DUMMYFUNCTION("""COMPUTED_VALUE"""),"Finance ")</f>
        <v>Finance </v>
      </c>
      <c r="E300" s="4" t="str">
        <f>IFERROR(__xludf.DUMMYFUNCTION("""COMPUTED_VALUE""")," Financial Planning and Management")</f>
        <v> Financial Planning and Management</v>
      </c>
      <c r="F300" s="4" t="str">
        <f>IFERROR(__xludf.DUMMYFUNCTION("""COMPUTED_VALUE"""),"Inheritance and Estate Planning")</f>
        <v>Inheritance and Estate Planning</v>
      </c>
      <c r="G300" s="4"/>
      <c r="H300" s="4"/>
      <c r="I300" s="5" t="s">
        <v>22</v>
      </c>
      <c r="J300" s="5" t="s">
        <v>23</v>
      </c>
      <c r="K300" s="5" t="s">
        <v>35</v>
      </c>
      <c r="L300" s="6" t="s">
        <v>480</v>
      </c>
      <c r="M300" s="5" t="s">
        <v>117</v>
      </c>
      <c r="N300" s="5" t="s">
        <v>27</v>
      </c>
      <c r="O300" s="5">
        <v>115673.0</v>
      </c>
      <c r="P300" s="5">
        <v>410.0</v>
      </c>
      <c r="Q300" s="5">
        <v>52475.0</v>
      </c>
      <c r="R300" s="5">
        <v>97166.0</v>
      </c>
      <c r="S300" s="5">
        <v>22.0</v>
      </c>
      <c r="T300" s="5">
        <v>5045.93793</v>
      </c>
    </row>
    <row r="301">
      <c r="A301" s="4" t="s">
        <v>1332</v>
      </c>
      <c r="B301" s="4" t="str">
        <f>IFERROR(__xludf.DUMMYFUNCTION("SPLIT(A301:A1027, ""&gt;"")"),"Lotame ")</f>
        <v>Lotame </v>
      </c>
      <c r="C301" s="4" t="str">
        <f>IFERROR(__xludf.DUMMYFUNCTION("""COMPUTED_VALUE""")," Travel ")</f>
        <v> Travel </v>
      </c>
      <c r="D301" s="4" t="str">
        <f>IFERROR(__xludf.DUMMYFUNCTION("""COMPUTED_VALUE""")," Winter Holiday Travel")</f>
        <v> Winter Holiday Travel</v>
      </c>
      <c r="E301" s="4"/>
      <c r="F301" s="4"/>
      <c r="G301" s="4"/>
      <c r="H301" s="4"/>
      <c r="I301" s="5" t="s">
        <v>15</v>
      </c>
      <c r="J301" s="5" t="s">
        <v>31</v>
      </c>
      <c r="K301" s="5" t="s">
        <v>29</v>
      </c>
      <c r="L301" s="6" t="s">
        <v>480</v>
      </c>
      <c r="M301" s="5" t="s">
        <v>36</v>
      </c>
      <c r="N301" s="5" t="s">
        <v>20</v>
      </c>
      <c r="O301" s="5">
        <v>81486.0</v>
      </c>
      <c r="P301" s="5">
        <v>193.0</v>
      </c>
      <c r="Q301" s="5">
        <v>57653.0</v>
      </c>
      <c r="R301" s="5">
        <v>76803.0</v>
      </c>
      <c r="S301" s="5">
        <v>6.0</v>
      </c>
      <c r="T301" s="5">
        <v>1463.842874</v>
      </c>
    </row>
    <row r="302">
      <c r="A302" s="4" t="s">
        <v>1831</v>
      </c>
      <c r="B302" s="4" t="str">
        <f>IFERROR(__xludf.DUMMYFUNCTION("SPLIT(A302:A1028, ""&gt;"")"),"US ")</f>
        <v>US </v>
      </c>
      <c r="C302" s="4" t="str">
        <f>IFERROR(__xludf.DUMMYFUNCTION("""COMPUTED_VALUE""")," Brand Propensities ")</f>
        <v> Brand Propensities </v>
      </c>
      <c r="D302" s="4" t="str">
        <f>IFERROR(__xludf.DUMMYFUNCTION("""COMPUTED_VALUE""")," Home and Household Goods ")</f>
        <v> Home and Household Goods </v>
      </c>
      <c r="E302" s="4" t="str">
        <f>IFERROR(__xludf.DUMMYFUNCTION("""COMPUTED_VALUE""")," Pottery Barn Kids Buyer Propensity")</f>
        <v> Pottery Barn Kids Buyer Propensity</v>
      </c>
      <c r="F302" s="4"/>
      <c r="G302" s="4"/>
      <c r="H302" s="4"/>
      <c r="I302" s="5" t="s">
        <v>15</v>
      </c>
      <c r="J302" s="5" t="s">
        <v>31</v>
      </c>
      <c r="K302" s="5" t="s">
        <v>55</v>
      </c>
      <c r="L302" s="6" t="s">
        <v>484</v>
      </c>
      <c r="M302" s="5" t="s">
        <v>48</v>
      </c>
      <c r="N302" s="5" t="s">
        <v>52</v>
      </c>
      <c r="O302" s="5">
        <v>31813.0</v>
      </c>
      <c r="P302" s="5">
        <v>84.0</v>
      </c>
      <c r="Q302" s="5">
        <v>14149.0</v>
      </c>
      <c r="R302" s="5">
        <v>21281.0</v>
      </c>
      <c r="S302" s="5">
        <v>13.0</v>
      </c>
      <c r="T302" s="5">
        <v>2060.993882</v>
      </c>
    </row>
    <row r="303">
      <c r="A303" s="4" t="s">
        <v>1334</v>
      </c>
      <c r="B303" s="4" t="str">
        <f>IFERROR(__xludf.DUMMYFUNCTION("SPLIT(A303:A1029, ""&gt;"")"),"Online Behavior")</f>
        <v>Online Behavior</v>
      </c>
      <c r="C303" s="4" t="str">
        <f>IFERROR(__xludf.DUMMYFUNCTION("""COMPUTED_VALUE"""),"United States")</f>
        <v>United States</v>
      </c>
      <c r="D303" s="4" t="str">
        <f>IFERROR(__xludf.DUMMYFUNCTION("""COMPUTED_VALUE"""),"Intent ")</f>
        <v>Intent </v>
      </c>
      <c r="E303" s="4" t="str">
        <f>IFERROR(__xludf.DUMMYFUNCTION("""COMPUTED_VALUE""")," Shopping")</f>
        <v> Shopping</v>
      </c>
      <c r="F303" s="4" t="str">
        <f>IFERROR(__xludf.DUMMYFUNCTION("""COMPUTED_VALUE"""),"Drug Stores")</f>
        <v>Drug Stores</v>
      </c>
      <c r="G303" s="4"/>
      <c r="H303" s="4"/>
      <c r="I303" s="5" t="s">
        <v>22</v>
      </c>
      <c r="J303" s="5" t="s">
        <v>31</v>
      </c>
      <c r="K303" s="5" t="s">
        <v>84</v>
      </c>
      <c r="L303" s="6" t="s">
        <v>486</v>
      </c>
      <c r="M303" s="5" t="s">
        <v>19</v>
      </c>
      <c r="N303" s="5" t="s">
        <v>27</v>
      </c>
      <c r="O303" s="5">
        <v>7687.0</v>
      </c>
      <c r="P303" s="5">
        <v>10.0</v>
      </c>
      <c r="Q303" s="5">
        <v>5311.0</v>
      </c>
      <c r="R303" s="5">
        <v>7266.0</v>
      </c>
      <c r="S303" s="5">
        <v>6.0</v>
      </c>
      <c r="T303" s="5">
        <v>6486.853909</v>
      </c>
    </row>
    <row r="304">
      <c r="A304" s="4" t="s">
        <v>1335</v>
      </c>
      <c r="B304" s="4" t="str">
        <f>IFERROR(__xludf.DUMMYFUNCTION("SPLIT(A304:A1030, ""&gt;"")"),"Media and Entertainment ")</f>
        <v>Media and Entertainment </v>
      </c>
      <c r="C304" s="4" t="str">
        <f>IFERROR(__xludf.DUMMYFUNCTION("""COMPUTED_VALUE""")," Sports and Recreational Activities ")</f>
        <v> Sports and Recreational Activities </v>
      </c>
      <c r="D304" s="4" t="str">
        <f>IFERROR(__xludf.DUMMYFUNCTION("""COMPUTED_VALUE""")," Interest (Affinity) ")</f>
        <v> Interest (Affinity) </v>
      </c>
      <c r="E304" s="4" t="str">
        <f>IFERROR(__xludf.DUMMYFUNCTION("""COMPUTED_VALUE""")," Individual Sports ")</f>
        <v> Individual Sports </v>
      </c>
      <c r="F304" s="4" t="str">
        <f>IFERROR(__xludf.DUMMYFUNCTION("""COMPUTED_VALUE""")," Tennis and Racquet Sports")</f>
        <v> Tennis and Racquet Sports</v>
      </c>
      <c r="G304" s="4"/>
      <c r="H304" s="4"/>
      <c r="I304" s="5" t="s">
        <v>15</v>
      </c>
      <c r="J304" s="5" t="s">
        <v>31</v>
      </c>
      <c r="K304" s="5" t="s">
        <v>24</v>
      </c>
      <c r="L304" s="6" t="s">
        <v>486</v>
      </c>
      <c r="M304" s="5" t="s">
        <v>46</v>
      </c>
      <c r="N304" s="5" t="s">
        <v>20</v>
      </c>
      <c r="O304" s="5">
        <v>17228.0</v>
      </c>
      <c r="P304" s="5">
        <v>30.0</v>
      </c>
      <c r="Q304" s="5">
        <v>11116.0</v>
      </c>
      <c r="R304" s="5">
        <v>16044.0</v>
      </c>
      <c r="S304" s="5">
        <v>3.0</v>
      </c>
      <c r="T304" s="5">
        <v>1547.513459</v>
      </c>
    </row>
    <row r="305">
      <c r="A305" s="4" t="s">
        <v>1832</v>
      </c>
      <c r="B305" s="4" t="str">
        <f>IFERROR(__xludf.DUMMYFUNCTION("SPLIT(A305:A1031, ""&gt;"")"),"US ")</f>
        <v>US </v>
      </c>
      <c r="C305" s="4" t="str">
        <f>IFERROR(__xludf.DUMMYFUNCTION("""COMPUTED_VALUE""")," Reach ")</f>
        <v> Reach </v>
      </c>
      <c r="D305" s="4" t="str">
        <f>IFERROR(__xludf.DUMMYFUNCTION("""COMPUTED_VALUE""")," Propensity Models ")</f>
        <v> Propensity Models </v>
      </c>
      <c r="E305" s="4" t="str">
        <f>IFERROR(__xludf.DUMMYFUNCTION("""COMPUTED_VALUE""")," Hobbies and Interest ")</f>
        <v> Hobbies and Interest </v>
      </c>
      <c r="F305" s="4" t="str">
        <f>IFERROR(__xludf.DUMMYFUNCTION("""COMPUTED_VALUE""")," Sports ")</f>
        <v> Sports </v>
      </c>
      <c r="G305" s="4" t="str">
        <f>IFERROR(__xludf.DUMMYFUNCTION("""COMPUTED_VALUE""")," NBA Enthusiast")</f>
        <v> NBA Enthusiast</v>
      </c>
      <c r="H305" s="4"/>
      <c r="I305" s="5" t="s">
        <v>22</v>
      </c>
      <c r="J305" s="5" t="s">
        <v>42</v>
      </c>
      <c r="K305" s="5" t="s">
        <v>78</v>
      </c>
      <c r="L305" s="6" t="s">
        <v>489</v>
      </c>
      <c r="M305" s="5" t="s">
        <v>48</v>
      </c>
      <c r="N305" s="5" t="s">
        <v>27</v>
      </c>
      <c r="O305" s="5">
        <v>21482.0</v>
      </c>
      <c r="P305" s="5">
        <v>67.0</v>
      </c>
      <c r="Q305" s="5">
        <v>10473.0</v>
      </c>
      <c r="R305" s="5">
        <v>19679.0</v>
      </c>
      <c r="S305" s="5">
        <v>3.0</v>
      </c>
      <c r="T305" s="5">
        <v>3563.098841</v>
      </c>
    </row>
    <row r="306">
      <c r="A306" s="4" t="s">
        <v>1833</v>
      </c>
      <c r="B306" s="4" t="str">
        <f>IFERROR(__xludf.DUMMYFUNCTION("SPLIT(A306:A1032, ""&gt;"")"),"Mobile - US ")</f>
        <v>Mobile - US </v>
      </c>
      <c r="C306" s="4" t="str">
        <f>IFERROR(__xludf.DUMMYFUNCTION("""COMPUTED_VALUE""")," Device Ownership ")</f>
        <v> Device Ownership </v>
      </c>
      <c r="D306" s="4" t="str">
        <f>IFERROR(__xludf.DUMMYFUNCTION("""COMPUTED_VALUE""")," Smartphones ")</f>
        <v> Smartphones </v>
      </c>
      <c r="E306" s="4" t="str">
        <f>IFERROR(__xludf.DUMMYFUNCTION("""COMPUTED_VALUE""")," Vivo")</f>
        <v> Vivo</v>
      </c>
      <c r="F306" s="4"/>
      <c r="G306" s="4"/>
      <c r="H306" s="4"/>
      <c r="I306" s="5" t="s">
        <v>61</v>
      </c>
      <c r="J306" s="5" t="s">
        <v>16</v>
      </c>
      <c r="K306" s="5" t="s">
        <v>17</v>
      </c>
      <c r="L306" s="6" t="s">
        <v>489</v>
      </c>
      <c r="M306" s="5" t="s">
        <v>19</v>
      </c>
      <c r="N306" s="5" t="s">
        <v>27</v>
      </c>
      <c r="O306" s="5">
        <v>9178.0</v>
      </c>
      <c r="P306" s="5">
        <v>25.0</v>
      </c>
      <c r="Q306" s="5">
        <v>4644.0</v>
      </c>
      <c r="R306" s="5">
        <v>8462.0</v>
      </c>
      <c r="S306" s="5">
        <v>2.0</v>
      </c>
      <c r="T306" s="5">
        <v>1503.205183</v>
      </c>
    </row>
    <row r="307">
      <c r="A307" s="4" t="s">
        <v>1338</v>
      </c>
      <c r="B307" s="4" t="str">
        <f>IFERROR(__xludf.DUMMYFUNCTION("SPLIT(A307:A1033, ""&gt;"")"),"Lotame ")</f>
        <v>Lotame </v>
      </c>
      <c r="C307" s="4" t="str">
        <f>IFERROR(__xludf.DUMMYFUNCTION("""COMPUTED_VALUE""")," Style, Fashion &amp; Clothing ")</f>
        <v> Style, Fashion &amp; Clothing </v>
      </c>
      <c r="D307" s="4" t="str">
        <f>IFERROR(__xludf.DUMMYFUNCTION("""COMPUTED_VALUE""")," Women's Clothing Shoppers")</f>
        <v> Women's Clothing Shoppers</v>
      </c>
      <c r="E307" s="4"/>
      <c r="F307" s="4"/>
      <c r="G307" s="4"/>
      <c r="H307" s="4"/>
      <c r="I307" s="5" t="s">
        <v>22</v>
      </c>
      <c r="J307" s="5" t="s">
        <v>16</v>
      </c>
      <c r="K307" s="5" t="s">
        <v>24</v>
      </c>
      <c r="L307" s="6" t="s">
        <v>489</v>
      </c>
      <c r="M307" s="5" t="s">
        <v>36</v>
      </c>
      <c r="N307" s="5" t="s">
        <v>27</v>
      </c>
      <c r="O307" s="5">
        <v>9040.0</v>
      </c>
      <c r="P307" s="5">
        <v>21.0</v>
      </c>
      <c r="Q307" s="5">
        <v>3585.0</v>
      </c>
      <c r="R307" s="5">
        <v>8450.0</v>
      </c>
      <c r="S307" s="5">
        <v>3.0</v>
      </c>
      <c r="T307" s="5">
        <v>1473.192464</v>
      </c>
    </row>
    <row r="308">
      <c r="A308" s="4" t="s">
        <v>1339</v>
      </c>
      <c r="B308" s="4" t="str">
        <f>IFERROR(__xludf.DUMMYFUNCTION("SPLIT(A308:A1034, ""&gt;"")"),"Online Behavior")</f>
        <v>Online Behavior</v>
      </c>
      <c r="C308" s="4" t="str">
        <f>IFERROR(__xludf.DUMMYFUNCTION("""COMPUTED_VALUE"""),"United States")</f>
        <v>United States</v>
      </c>
      <c r="D308" s="4" t="str">
        <f>IFERROR(__xludf.DUMMYFUNCTION("""COMPUTED_VALUE"""),"Intent ")</f>
        <v>Intent </v>
      </c>
      <c r="E308" s="4" t="str">
        <f>IFERROR(__xludf.DUMMYFUNCTION("""COMPUTED_VALUE""")," Shopping")</f>
        <v> Shopping</v>
      </c>
      <c r="F308" s="4" t="str">
        <f>IFERROR(__xludf.DUMMYFUNCTION("""COMPUTED_VALUE"""),"Office Supplies")</f>
        <v>Office Supplies</v>
      </c>
      <c r="G308" s="4"/>
      <c r="H308" s="4"/>
      <c r="I308" s="5" t="s">
        <v>22</v>
      </c>
      <c r="J308" s="5" t="s">
        <v>16</v>
      </c>
      <c r="K308" s="5" t="s">
        <v>78</v>
      </c>
      <c r="L308" s="6" t="s">
        <v>493</v>
      </c>
      <c r="M308" s="5" t="s">
        <v>36</v>
      </c>
      <c r="N308" s="5" t="s">
        <v>27</v>
      </c>
      <c r="O308" s="5">
        <v>96728.0</v>
      </c>
      <c r="P308" s="5">
        <v>341.0</v>
      </c>
      <c r="Q308" s="5">
        <v>69700.0</v>
      </c>
      <c r="R308" s="5">
        <v>91910.0</v>
      </c>
      <c r="S308" s="5">
        <v>15.0</v>
      </c>
      <c r="T308" s="5">
        <v>6587.243331</v>
      </c>
    </row>
    <row r="309">
      <c r="A309" s="4" t="s">
        <v>1340</v>
      </c>
      <c r="B309" s="4" t="str">
        <f>IFERROR(__xludf.DUMMYFUNCTION("SPLIT(A309:A1035, ""&gt;"")"),"Online Behavior")</f>
        <v>Online Behavior</v>
      </c>
      <c r="C309" s="4" t="str">
        <f>IFERROR(__xludf.DUMMYFUNCTION("""COMPUTED_VALUE"""),"United States")</f>
        <v>United States</v>
      </c>
      <c r="D309" s="4" t="str">
        <f>IFERROR(__xludf.DUMMYFUNCTION("""COMPUTED_VALUE"""),"Validated Demographic ")</f>
        <v>Validated Demographic </v>
      </c>
      <c r="E309" s="4" t="str">
        <f>IFERROR(__xludf.DUMMYFUNCTION("""COMPUTED_VALUE""")," Gender")</f>
        <v> Gender</v>
      </c>
      <c r="F309" s="4" t="str">
        <f>IFERROR(__xludf.DUMMYFUNCTION("""COMPUTED_VALUE"""),"Male")</f>
        <v>Male</v>
      </c>
      <c r="G309" s="4"/>
      <c r="H309" s="4"/>
      <c r="I309" s="5" t="s">
        <v>22</v>
      </c>
      <c r="J309" s="5" t="s">
        <v>23</v>
      </c>
      <c r="K309" s="5" t="s">
        <v>29</v>
      </c>
      <c r="L309" s="6" t="s">
        <v>493</v>
      </c>
      <c r="M309" s="5" t="s">
        <v>19</v>
      </c>
      <c r="N309" s="5" t="s">
        <v>27</v>
      </c>
      <c r="O309" s="5">
        <v>48947.0</v>
      </c>
      <c r="P309" s="5">
        <v>230.0</v>
      </c>
      <c r="Q309" s="5">
        <v>32089.0</v>
      </c>
      <c r="R309" s="5">
        <v>45597.0</v>
      </c>
      <c r="S309" s="5">
        <v>21.0</v>
      </c>
      <c r="T309" s="5">
        <v>5702.290265</v>
      </c>
    </row>
    <row r="310">
      <c r="A310" s="4" t="s">
        <v>495</v>
      </c>
      <c r="B310" s="4" t="str">
        <f>IFERROR(__xludf.DUMMYFUNCTION("SPLIT(A310:A1036, ""&gt;"")"),"Online Behavior")</f>
        <v>Online Behavior</v>
      </c>
      <c r="C310" s="4" t="str">
        <f>IFERROR(__xludf.DUMMYFUNCTION("""COMPUTED_VALUE"""),"United States")</f>
        <v>United States</v>
      </c>
      <c r="D310" s="4" t="str">
        <f>IFERROR(__xludf.DUMMYFUNCTION("""COMPUTED_VALUE"""),"The Changing Consumer")</f>
        <v>The Changing Consumer</v>
      </c>
      <c r="E310" s="4" t="str">
        <f>IFERROR(__xludf.DUMMYFUNCTION("""COMPUTED_VALUE"""),"Home Cooking")</f>
        <v>Home Cooking</v>
      </c>
      <c r="F310" s="4"/>
      <c r="G310" s="4"/>
      <c r="H310" s="4"/>
      <c r="I310" s="5" t="s">
        <v>61</v>
      </c>
      <c r="J310" s="5" t="s">
        <v>42</v>
      </c>
      <c r="K310" s="5" t="s">
        <v>78</v>
      </c>
      <c r="L310" s="6" t="s">
        <v>493</v>
      </c>
      <c r="M310" s="5" t="s">
        <v>19</v>
      </c>
      <c r="N310" s="5" t="s">
        <v>27</v>
      </c>
      <c r="O310" s="5">
        <v>58938.0</v>
      </c>
      <c r="P310" s="5">
        <v>175.0</v>
      </c>
      <c r="Q310" s="5">
        <v>41861.0</v>
      </c>
      <c r="R310" s="5">
        <v>55929.0</v>
      </c>
      <c r="S310" s="5">
        <v>9.0</v>
      </c>
      <c r="T310" s="5">
        <v>4881.198269</v>
      </c>
    </row>
    <row r="311">
      <c r="A311" s="4" t="s">
        <v>1341</v>
      </c>
      <c r="B311" s="4" t="str">
        <f>IFERROR(__xludf.DUMMYFUNCTION("SPLIT(A311:A1037, ""&gt;"")"),"Online Behavior")</f>
        <v>Online Behavior</v>
      </c>
      <c r="C311" s="4" t="str">
        <f>IFERROR(__xludf.DUMMYFUNCTION("""COMPUTED_VALUE"""),"United States")</f>
        <v>United States</v>
      </c>
      <c r="D311" s="4" t="str">
        <f>IFERROR(__xludf.DUMMYFUNCTION("""COMPUTED_VALUE"""),"B2B ")</f>
        <v>B2B </v>
      </c>
      <c r="E311" s="4" t="str">
        <f>IFERROR(__xludf.DUMMYFUNCTION("""COMPUTED_VALUE""")," Occupation")</f>
        <v> Occupation</v>
      </c>
      <c r="F311" s="4" t="str">
        <f>IFERROR(__xludf.DUMMYFUNCTION("""COMPUTED_VALUE"""),"Teacher")</f>
        <v>Teacher</v>
      </c>
      <c r="G311" s="4"/>
      <c r="H311" s="4"/>
      <c r="I311" s="5" t="s">
        <v>15</v>
      </c>
      <c r="J311" s="5" t="s">
        <v>23</v>
      </c>
      <c r="K311" s="5" t="s">
        <v>35</v>
      </c>
      <c r="L311" s="6" t="s">
        <v>493</v>
      </c>
      <c r="M311" s="5" t="s">
        <v>48</v>
      </c>
      <c r="N311" s="5" t="s">
        <v>27</v>
      </c>
      <c r="O311" s="5">
        <v>49014.0</v>
      </c>
      <c r="P311" s="5">
        <v>100.0</v>
      </c>
      <c r="Q311" s="5">
        <v>30349.0</v>
      </c>
      <c r="R311" s="5">
        <v>46446.0</v>
      </c>
      <c r="S311" s="5">
        <v>6.0</v>
      </c>
      <c r="T311" s="5">
        <v>3628.34617</v>
      </c>
    </row>
    <row r="312">
      <c r="A312" s="4" t="s">
        <v>1342</v>
      </c>
      <c r="B312" s="4" t="str">
        <f>IFERROR(__xludf.DUMMYFUNCTION("SPLIT(A312:A1038, ""&gt;"")"),"Online Behavior")</f>
        <v>Online Behavior</v>
      </c>
      <c r="C312" s="4" t="str">
        <f>IFERROR(__xludf.DUMMYFUNCTION("""COMPUTED_VALUE"""),"United States")</f>
        <v>United States</v>
      </c>
      <c r="D312" s="4" t="str">
        <f>IFERROR(__xludf.DUMMYFUNCTION("""COMPUTED_VALUE"""),"Finance ")</f>
        <v>Finance </v>
      </c>
      <c r="E312" s="4" t="str">
        <f>IFERROR(__xludf.DUMMYFUNCTION("""COMPUTED_VALUE""")," Accounting and Auditing")</f>
        <v> Accounting and Auditing</v>
      </c>
      <c r="F312" s="4" t="str">
        <f>IFERROR(__xludf.DUMMYFUNCTION("""COMPUTED_VALUE"""),"Bookkeeping")</f>
        <v>Bookkeeping</v>
      </c>
      <c r="G312" s="4"/>
      <c r="H312" s="4"/>
      <c r="I312" s="5" t="s">
        <v>22</v>
      </c>
      <c r="J312" s="5" t="s">
        <v>42</v>
      </c>
      <c r="K312" s="5" t="s">
        <v>433</v>
      </c>
      <c r="L312" s="6" t="s">
        <v>493</v>
      </c>
      <c r="M312" s="5" t="s">
        <v>46</v>
      </c>
      <c r="N312" s="5" t="s">
        <v>27</v>
      </c>
      <c r="O312" s="5">
        <v>69523.0</v>
      </c>
      <c r="P312" s="5">
        <v>174.0</v>
      </c>
      <c r="Q312" s="5">
        <v>48273.0</v>
      </c>
      <c r="R312" s="5">
        <v>65800.0</v>
      </c>
      <c r="S312" s="5">
        <v>9.0</v>
      </c>
      <c r="T312" s="5">
        <v>2649.997803</v>
      </c>
    </row>
    <row r="313">
      <c r="A313" s="4" t="s">
        <v>1343</v>
      </c>
      <c r="B313" s="4" t="str">
        <f>IFERROR(__xludf.DUMMYFUNCTION("SPLIT(A313:A1039, ""&gt;"")"),"OnAudience ")</f>
        <v>OnAudience </v>
      </c>
      <c r="C313" s="4" t="str">
        <f>IFERROR(__xludf.DUMMYFUNCTION("""COMPUTED_VALUE""")," Interest ")</f>
        <v> Interest </v>
      </c>
      <c r="D313" s="4" t="str">
        <f>IFERROR(__xludf.DUMMYFUNCTION("""COMPUTED_VALUE""")," Arts &amp; Entertainment ")</f>
        <v> Arts &amp; Entertainment </v>
      </c>
      <c r="E313" s="4" t="str">
        <f>IFERROR(__xludf.DUMMYFUNCTION("""COMPUTED_VALUE""")," Fine Art")</f>
        <v> Fine Art</v>
      </c>
      <c r="F313" s="4"/>
      <c r="G313" s="4"/>
      <c r="H313" s="4"/>
      <c r="I313" s="5" t="s">
        <v>61</v>
      </c>
      <c r="J313" s="5" t="s">
        <v>31</v>
      </c>
      <c r="K313" s="5" t="s">
        <v>95</v>
      </c>
      <c r="L313" s="6" t="s">
        <v>493</v>
      </c>
      <c r="M313" s="5" t="s">
        <v>46</v>
      </c>
      <c r="N313" s="5" t="s">
        <v>27</v>
      </c>
      <c r="O313" s="5">
        <v>37717.0</v>
      </c>
      <c r="P313" s="5">
        <v>69.0</v>
      </c>
      <c r="Q313" s="5">
        <v>26541.0</v>
      </c>
      <c r="R313" s="5">
        <v>35126.0</v>
      </c>
      <c r="S313" s="5">
        <v>5.0</v>
      </c>
      <c r="T313" s="5">
        <v>1725.271363</v>
      </c>
    </row>
    <row r="314">
      <c r="A314" s="4" t="s">
        <v>1344</v>
      </c>
      <c r="B314" s="4" t="str">
        <f>IFERROR(__xludf.DUMMYFUNCTION("SPLIT(A314:A1040, ""&gt;"")"),"Lotame ")</f>
        <v>Lotame </v>
      </c>
      <c r="C314" s="4" t="str">
        <f>IFERROR(__xludf.DUMMYFUNCTION("""COMPUTED_VALUE""")," Technology ")</f>
        <v> Technology </v>
      </c>
      <c r="D314" s="4" t="str">
        <f>IFERROR(__xludf.DUMMYFUNCTION("""COMPUTED_VALUE""")," Electronics &amp; Gadgets")</f>
        <v> Electronics &amp; Gadgets</v>
      </c>
      <c r="E314" s="4"/>
      <c r="F314" s="4"/>
      <c r="G314" s="4"/>
      <c r="H314" s="4"/>
      <c r="I314" s="5" t="s">
        <v>15</v>
      </c>
      <c r="J314" s="5" t="s">
        <v>42</v>
      </c>
      <c r="K314" s="5" t="s">
        <v>131</v>
      </c>
      <c r="L314" s="6" t="s">
        <v>493</v>
      </c>
      <c r="M314" s="5" t="s">
        <v>19</v>
      </c>
      <c r="N314" s="5" t="s">
        <v>20</v>
      </c>
      <c r="O314" s="5">
        <v>16236.0</v>
      </c>
      <c r="P314" s="5">
        <v>50.0</v>
      </c>
      <c r="Q314" s="5">
        <v>8669.0</v>
      </c>
      <c r="R314" s="5">
        <v>15208.0</v>
      </c>
      <c r="S314" s="5">
        <v>11.0</v>
      </c>
      <c r="T314" s="5">
        <v>1639.813696</v>
      </c>
    </row>
    <row r="315">
      <c r="A315" s="4" t="s">
        <v>1345</v>
      </c>
      <c r="B315" s="4" t="str">
        <f>IFERROR(__xludf.DUMMYFUNCTION("SPLIT(A315:A1041, ""&gt;"")"),"OnAudience ")</f>
        <v>OnAudience </v>
      </c>
      <c r="C315" s="4" t="str">
        <f>IFERROR(__xludf.DUMMYFUNCTION("""COMPUTED_VALUE""")," Intent ")</f>
        <v> Intent </v>
      </c>
      <c r="D315" s="4" t="str">
        <f>IFERROR(__xludf.DUMMYFUNCTION("""COMPUTED_VALUE""")," Toys &amp; Games")</f>
        <v> Toys &amp; Games</v>
      </c>
      <c r="E315" s="4"/>
      <c r="F315" s="4"/>
      <c r="G315" s="4"/>
      <c r="H315" s="4"/>
      <c r="I315" s="5" t="s">
        <v>22</v>
      </c>
      <c r="J315" s="5" t="s">
        <v>16</v>
      </c>
      <c r="K315" s="5" t="s">
        <v>35</v>
      </c>
      <c r="L315" s="6" t="s">
        <v>493</v>
      </c>
      <c r="M315" s="5" t="s">
        <v>19</v>
      </c>
      <c r="N315" s="5" t="s">
        <v>27</v>
      </c>
      <c r="O315" s="5">
        <v>9222.0</v>
      </c>
      <c r="P315" s="5">
        <v>33.0</v>
      </c>
      <c r="Q315" s="5">
        <v>5352.0</v>
      </c>
      <c r="R315" s="5">
        <v>8141.0</v>
      </c>
      <c r="S315" s="5">
        <v>2.0</v>
      </c>
      <c r="T315" s="5">
        <v>1583.164302</v>
      </c>
    </row>
    <row r="316">
      <c r="A316" s="4" t="s">
        <v>1346</v>
      </c>
      <c r="B316" s="4" t="str">
        <f>IFERROR(__xludf.DUMMYFUNCTION("SPLIT(A316:A1042, ""&gt;"")"),"Online Behavior")</f>
        <v>Online Behavior</v>
      </c>
      <c r="C316" s="4" t="str">
        <f>IFERROR(__xludf.DUMMYFUNCTION("""COMPUTED_VALUE"""),"United States")</f>
        <v>United States</v>
      </c>
      <c r="D316" s="4" t="str">
        <f>IFERROR(__xludf.DUMMYFUNCTION("""COMPUTED_VALUE"""),"Validated Demographic ")</f>
        <v>Validated Demographic </v>
      </c>
      <c r="E316" s="4" t="str">
        <f>IFERROR(__xludf.DUMMYFUNCTION("""COMPUTED_VALUE""")," Age")</f>
        <v> Age</v>
      </c>
      <c r="F316" s="4" t="str">
        <f>IFERROR(__xludf.DUMMYFUNCTION("""COMPUTED_VALUE"""),"25 or older")</f>
        <v>25 or older</v>
      </c>
      <c r="G316" s="4"/>
      <c r="H316" s="4"/>
      <c r="I316" s="5" t="s">
        <v>22</v>
      </c>
      <c r="J316" s="5" t="s">
        <v>42</v>
      </c>
      <c r="K316" s="5" t="s">
        <v>240</v>
      </c>
      <c r="L316" s="6" t="s">
        <v>502</v>
      </c>
      <c r="M316" s="5" t="s">
        <v>48</v>
      </c>
      <c r="N316" s="5" t="s">
        <v>27</v>
      </c>
      <c r="O316" s="5">
        <v>8233.0</v>
      </c>
      <c r="P316" s="5">
        <v>65.0</v>
      </c>
      <c r="Q316" s="5">
        <v>5361.0</v>
      </c>
      <c r="R316" s="5">
        <v>7643.0</v>
      </c>
      <c r="S316" s="5">
        <v>4.0</v>
      </c>
      <c r="T316" s="5">
        <v>6381.006576</v>
      </c>
    </row>
    <row r="317">
      <c r="A317" s="4" t="s">
        <v>1347</v>
      </c>
      <c r="B317" s="4" t="str">
        <f>IFERROR(__xludf.DUMMYFUNCTION("SPLIT(A317:A1043, ""&gt;"")"),"Lotame ")</f>
        <v>Lotame </v>
      </c>
      <c r="C317" s="4" t="str">
        <f>IFERROR(__xludf.DUMMYFUNCTION("""COMPUTED_VALUE""")," Style, Fashion &amp; Clothing ")</f>
        <v> Style, Fashion &amp; Clothing </v>
      </c>
      <c r="D317" s="4" t="str">
        <f>IFERROR(__xludf.DUMMYFUNCTION("""COMPUTED_VALUE""")," Children's Clothing Shoppers")</f>
        <v> Children's Clothing Shoppers</v>
      </c>
      <c r="E317" s="4"/>
      <c r="F317" s="4"/>
      <c r="G317" s="4"/>
      <c r="H317" s="4"/>
      <c r="I317" s="5" t="s">
        <v>22</v>
      </c>
      <c r="J317" s="5" t="s">
        <v>23</v>
      </c>
      <c r="K317" s="5" t="s">
        <v>173</v>
      </c>
      <c r="L317" s="6" t="s">
        <v>504</v>
      </c>
      <c r="M317" s="5" t="s">
        <v>167</v>
      </c>
      <c r="N317" s="5" t="s">
        <v>27</v>
      </c>
      <c r="O317" s="5">
        <v>9014.0</v>
      </c>
      <c r="P317" s="5">
        <v>26.0</v>
      </c>
      <c r="Q317" s="5">
        <v>5054.0</v>
      </c>
      <c r="R317" s="5">
        <v>7227.0</v>
      </c>
      <c r="S317" s="5">
        <v>4.0</v>
      </c>
      <c r="T317" s="5">
        <v>1539.60069</v>
      </c>
    </row>
    <row r="318">
      <c r="A318" s="4" t="s">
        <v>1348</v>
      </c>
      <c r="B318" s="4" t="str">
        <f>IFERROR(__xludf.DUMMYFUNCTION("SPLIT(A318:A1044, ""&gt;"")"),"Online Behavior")</f>
        <v>Online Behavior</v>
      </c>
      <c r="C318" s="4" t="str">
        <f>IFERROR(__xludf.DUMMYFUNCTION("""COMPUTED_VALUE"""),"United States")</f>
        <v>United States</v>
      </c>
      <c r="D318" s="4" t="str">
        <f>IFERROR(__xludf.DUMMYFUNCTION("""COMPUTED_VALUE"""),"Validated Demographic ")</f>
        <v>Validated Demographic </v>
      </c>
      <c r="E318" s="4" t="str">
        <f>IFERROR(__xludf.DUMMYFUNCTION("""COMPUTED_VALUE""")," Gender and Age Combined")</f>
        <v> Gender and Age Combined</v>
      </c>
      <c r="F318" s="4" t="str">
        <f>IFERROR(__xludf.DUMMYFUNCTION("""COMPUTED_VALUE"""),"Males 18-64")</f>
        <v>Males 18-64</v>
      </c>
      <c r="G318" s="4"/>
      <c r="H318" s="4"/>
      <c r="I318" s="5" t="s">
        <v>15</v>
      </c>
      <c r="J318" s="5" t="s">
        <v>23</v>
      </c>
      <c r="K318" s="5" t="s">
        <v>84</v>
      </c>
      <c r="L318" s="6" t="s">
        <v>506</v>
      </c>
      <c r="M318" s="5" t="s">
        <v>46</v>
      </c>
      <c r="N318" s="5" t="s">
        <v>27</v>
      </c>
      <c r="O318" s="5">
        <v>9702.0</v>
      </c>
      <c r="P318" s="5">
        <v>40.0</v>
      </c>
      <c r="Q318" s="5">
        <v>5564.0</v>
      </c>
      <c r="R318" s="5">
        <v>8210.0</v>
      </c>
      <c r="S318" s="5">
        <v>1.0</v>
      </c>
      <c r="T318" s="5">
        <v>5711.39201</v>
      </c>
    </row>
    <row r="319">
      <c r="A319" s="4" t="s">
        <v>1349</v>
      </c>
      <c r="B319" s="4" t="str">
        <f>IFERROR(__xludf.DUMMYFUNCTION("SPLIT(A319:A1045, ""&gt;"")"),"Online Behavior")</f>
        <v>Online Behavior</v>
      </c>
      <c r="C319" s="4" t="str">
        <f>IFERROR(__xludf.DUMMYFUNCTION("""COMPUTED_VALUE"""),"United States")</f>
        <v>United States</v>
      </c>
      <c r="D319" s="4" t="str">
        <f>IFERROR(__xludf.DUMMYFUNCTION("""COMPUTED_VALUE"""),"Food and Drink")</f>
        <v>Food and Drink</v>
      </c>
      <c r="E319" s="4" t="str">
        <f>IFERROR(__xludf.DUMMYFUNCTION("""COMPUTED_VALUE"""),"Beverages ")</f>
        <v>Beverages </v>
      </c>
      <c r="F319" s="4" t="str">
        <f>IFERROR(__xludf.DUMMYFUNCTION("""COMPUTED_VALUE""")," Soft Drinks")</f>
        <v> Soft Drinks</v>
      </c>
      <c r="G319" s="4"/>
      <c r="H319" s="4"/>
      <c r="I319" s="5" t="s">
        <v>15</v>
      </c>
      <c r="J319" s="5" t="s">
        <v>23</v>
      </c>
      <c r="K319" s="5" t="s">
        <v>173</v>
      </c>
      <c r="L319" s="6" t="s">
        <v>508</v>
      </c>
      <c r="M319" s="5" t="s">
        <v>36</v>
      </c>
      <c r="N319" s="5" t="s">
        <v>27</v>
      </c>
      <c r="O319" s="5">
        <v>150457.0</v>
      </c>
      <c r="P319" s="5">
        <v>420.0</v>
      </c>
      <c r="Q319" s="5">
        <v>58372.0</v>
      </c>
      <c r="R319" s="5">
        <v>135099.0</v>
      </c>
      <c r="S319" s="5">
        <v>14.0</v>
      </c>
      <c r="T319" s="5">
        <v>5906.830006</v>
      </c>
    </row>
    <row r="320">
      <c r="A320" s="4" t="s">
        <v>1350</v>
      </c>
      <c r="B320" s="4" t="str">
        <f>IFERROR(__xludf.DUMMYFUNCTION("SPLIT(A320:A1046, ""&gt;"")"),"Online Behavior")</f>
        <v>Online Behavior</v>
      </c>
      <c r="C320" s="4" t="str">
        <f>IFERROR(__xludf.DUMMYFUNCTION("""COMPUTED_VALUE"""),"United States")</f>
        <v>United States</v>
      </c>
      <c r="D320" s="4" t="str">
        <f>IFERROR(__xludf.DUMMYFUNCTION("""COMPUTED_VALUE"""),"Validated Demographic ")</f>
        <v>Validated Demographic </v>
      </c>
      <c r="E320" s="4" t="str">
        <f>IFERROR(__xludf.DUMMYFUNCTION("""COMPUTED_VALUE""")," Age")</f>
        <v> Age</v>
      </c>
      <c r="F320" s="4" t="str">
        <f>IFERROR(__xludf.DUMMYFUNCTION("""COMPUTED_VALUE"""),"25-34")</f>
        <v>25-34</v>
      </c>
      <c r="G320" s="4"/>
      <c r="H320" s="4"/>
      <c r="I320" s="5" t="s">
        <v>22</v>
      </c>
      <c r="J320" s="5" t="s">
        <v>42</v>
      </c>
      <c r="K320" s="5" t="s">
        <v>471</v>
      </c>
      <c r="L320" s="6" t="s">
        <v>508</v>
      </c>
      <c r="M320" s="5" t="s">
        <v>48</v>
      </c>
      <c r="N320" s="5" t="s">
        <v>27</v>
      </c>
      <c r="O320" s="5">
        <v>190592.0</v>
      </c>
      <c r="P320" s="5">
        <v>601.0</v>
      </c>
      <c r="Q320" s="5">
        <v>28906.0</v>
      </c>
      <c r="R320" s="5">
        <v>172515.0</v>
      </c>
      <c r="S320" s="5">
        <v>25.0</v>
      </c>
      <c r="T320" s="5">
        <v>4742.047766</v>
      </c>
    </row>
    <row r="321">
      <c r="A321" s="4" t="s">
        <v>1834</v>
      </c>
      <c r="B321" s="4" t="str">
        <f>IFERROR(__xludf.DUMMYFUNCTION("SPLIT(A321:A1047, ""&gt;"")"),"US ")</f>
        <v>US </v>
      </c>
      <c r="C321" s="4" t="str">
        <f>IFERROR(__xludf.DUMMYFUNCTION("""COMPUTED_VALUE""")," Reach ")</f>
        <v> Reach </v>
      </c>
      <c r="D321" s="4" t="str">
        <f>IFERROR(__xludf.DUMMYFUNCTION("""COMPUTED_VALUE""")," Propensity Models ")</f>
        <v> Propensity Models </v>
      </c>
      <c r="E321" s="4" t="str">
        <f>IFERROR(__xludf.DUMMYFUNCTION("""COMPUTED_VALUE""")," Finance ")</f>
        <v> Finance </v>
      </c>
      <c r="F321" s="4" t="str">
        <f>IFERROR(__xludf.DUMMYFUNCTION("""COMPUTED_VALUE""")," Credit ")</f>
        <v> Credit </v>
      </c>
      <c r="G321" s="4" t="str">
        <f>IFERROR(__xludf.DUMMYFUNCTION("""COMPUTED_VALUE""")," Debit Card ")</f>
        <v> Debit Card </v>
      </c>
      <c r="H321" s="4" t="str">
        <f>IFERROR(__xludf.DUMMYFUNCTION("""COMPUTED_VALUE""")," Major Credit Card User")</f>
        <v> Major Credit Card User</v>
      </c>
      <c r="I321" s="5" t="s">
        <v>22</v>
      </c>
      <c r="J321" s="5" t="s">
        <v>23</v>
      </c>
      <c r="K321" s="5" t="s">
        <v>35</v>
      </c>
      <c r="L321" s="6" t="s">
        <v>511</v>
      </c>
      <c r="M321" s="5" t="s">
        <v>46</v>
      </c>
      <c r="N321" s="5" t="s">
        <v>27</v>
      </c>
      <c r="O321" s="5">
        <v>12868.0</v>
      </c>
      <c r="P321" s="5">
        <v>80.0</v>
      </c>
      <c r="Q321" s="5">
        <v>6472.0</v>
      </c>
      <c r="R321" s="5">
        <v>11922.0</v>
      </c>
      <c r="S321" s="5">
        <v>6.0</v>
      </c>
      <c r="T321" s="5">
        <v>3137.143043</v>
      </c>
    </row>
    <row r="322">
      <c r="A322" s="4" t="s">
        <v>1352</v>
      </c>
      <c r="B322" s="4" t="str">
        <f>IFERROR(__xludf.DUMMYFUNCTION("SPLIT(A322:A1048, ""&gt;"")"),"Lotame ")</f>
        <v>Lotame </v>
      </c>
      <c r="C322" s="4" t="str">
        <f>IFERROR(__xludf.DUMMYFUNCTION("""COMPUTED_VALUE""")," Technology")</f>
        <v> Technology</v>
      </c>
      <c r="D322" s="4"/>
      <c r="E322" s="4"/>
      <c r="F322" s="4"/>
      <c r="G322" s="4"/>
      <c r="H322" s="4"/>
      <c r="I322" s="5" t="s">
        <v>22</v>
      </c>
      <c r="J322" s="5" t="s">
        <v>16</v>
      </c>
      <c r="K322" s="5" t="s">
        <v>29</v>
      </c>
      <c r="L322" s="6" t="s">
        <v>511</v>
      </c>
      <c r="M322" s="5" t="s">
        <v>19</v>
      </c>
      <c r="N322" s="5" t="s">
        <v>27</v>
      </c>
      <c r="O322" s="5">
        <v>9059.0</v>
      </c>
      <c r="P322" s="5">
        <v>22.0</v>
      </c>
      <c r="Q322" s="5">
        <v>589.0</v>
      </c>
      <c r="R322" s="5">
        <v>7480.0</v>
      </c>
      <c r="S322" s="5">
        <v>4.0</v>
      </c>
      <c r="T322" s="5">
        <v>1908.526117</v>
      </c>
    </row>
    <row r="323">
      <c r="A323" s="4" t="s">
        <v>1835</v>
      </c>
      <c r="B323" s="4" t="str">
        <f>IFERROR(__xludf.DUMMYFUNCTION("SPLIT(A323:A1049, ""&gt;"")"),"US ")</f>
        <v>US </v>
      </c>
      <c r="C323" s="4" t="str">
        <f>IFERROR(__xludf.DUMMYFUNCTION("""COMPUTED_VALUE""")," Reach ")</f>
        <v> Reach </v>
      </c>
      <c r="D323" s="4" t="str">
        <f>IFERROR(__xludf.DUMMYFUNCTION("""COMPUTED_VALUE""")," Propensity Models ")</f>
        <v> Propensity Models </v>
      </c>
      <c r="E323" s="4" t="str">
        <f>IFERROR(__xludf.DUMMYFUNCTION("""COMPUTED_VALUE""")," Real Estate ")</f>
        <v> Real Estate </v>
      </c>
      <c r="F323" s="4" t="str">
        <f>IFERROR(__xludf.DUMMYFUNCTION("""COMPUTED_VALUE""")," Mortgage Amount ")</f>
        <v> Mortgage Amount </v>
      </c>
      <c r="G323" s="4" t="str">
        <f>IFERROR(__xludf.DUMMYFUNCTION("""COMPUTED_VALUE""")," $120,000-$159,999")</f>
        <v> $120,000-$159,999</v>
      </c>
      <c r="H323" s="4"/>
      <c r="I323" s="5" t="s">
        <v>15</v>
      </c>
      <c r="J323" s="5" t="s">
        <v>23</v>
      </c>
      <c r="K323" s="5" t="s">
        <v>45</v>
      </c>
      <c r="L323" s="6" t="s">
        <v>511</v>
      </c>
      <c r="M323" s="5" t="s">
        <v>191</v>
      </c>
      <c r="N323" s="5" t="s">
        <v>52</v>
      </c>
      <c r="O323" s="5">
        <v>15904.0</v>
      </c>
      <c r="P323" s="5">
        <v>190.0</v>
      </c>
      <c r="Q323" s="5">
        <v>7523.0</v>
      </c>
      <c r="R323" s="5">
        <v>14815.0</v>
      </c>
      <c r="S323" s="5">
        <v>2.0</v>
      </c>
      <c r="T323" s="5">
        <v>1825.725708</v>
      </c>
    </row>
    <row r="324">
      <c r="A324" s="4" t="s">
        <v>1354</v>
      </c>
      <c r="B324" s="4" t="str">
        <f>IFERROR(__xludf.DUMMYFUNCTION("SPLIT(A324:A1050, ""&gt;"")"),"Online Behavior")</f>
        <v>Online Behavior</v>
      </c>
      <c r="C324" s="4" t="str">
        <f>IFERROR(__xludf.DUMMYFUNCTION("""COMPUTED_VALUE"""),"United States")</f>
        <v>United States</v>
      </c>
      <c r="D324" s="4" t="str">
        <f>IFERROR(__xludf.DUMMYFUNCTION("""COMPUTED_VALUE"""),"Food and Drink")</f>
        <v>Food and Drink</v>
      </c>
      <c r="E324" s="4" t="str">
        <f>IFERROR(__xludf.DUMMYFUNCTION("""COMPUTED_VALUE"""),"Restaurants ")</f>
        <v>Restaurants </v>
      </c>
      <c r="F324" s="4" t="str">
        <f>IFERROR(__xludf.DUMMYFUNCTION("""COMPUTED_VALUE""")," Fast Food")</f>
        <v> Fast Food</v>
      </c>
      <c r="G324" s="4"/>
      <c r="H324" s="4"/>
      <c r="I324" s="5" t="s">
        <v>61</v>
      </c>
      <c r="J324" s="5" t="s">
        <v>31</v>
      </c>
      <c r="K324" s="5" t="s">
        <v>35</v>
      </c>
      <c r="L324" s="6" t="s">
        <v>515</v>
      </c>
      <c r="M324" s="5" t="s">
        <v>19</v>
      </c>
      <c r="N324" s="5" t="s">
        <v>27</v>
      </c>
      <c r="O324" s="5">
        <v>7822.0</v>
      </c>
      <c r="P324" s="5">
        <v>25.0</v>
      </c>
      <c r="Q324" s="5">
        <v>3786.0</v>
      </c>
      <c r="R324" s="5">
        <v>7232.0</v>
      </c>
      <c r="S324" s="5">
        <v>13.0</v>
      </c>
      <c r="T324" s="5">
        <v>6781.821647</v>
      </c>
    </row>
    <row r="325">
      <c r="A325" s="4" t="s">
        <v>1355</v>
      </c>
      <c r="B325" s="4" t="str">
        <f>IFERROR(__xludf.DUMMYFUNCTION("SPLIT(A325:A1051, ""&gt;"")"),"Online Behavior")</f>
        <v>Online Behavior</v>
      </c>
      <c r="C325" s="4" t="str">
        <f>IFERROR(__xludf.DUMMYFUNCTION("""COMPUTED_VALUE"""),"United States")</f>
        <v>United States</v>
      </c>
      <c r="D325" s="4" t="str">
        <f>IFERROR(__xludf.DUMMYFUNCTION("""COMPUTED_VALUE"""),"Validated Demographic ")</f>
        <v>Validated Demographic </v>
      </c>
      <c r="E325" s="4" t="str">
        <f>IFERROR(__xludf.DUMMYFUNCTION("""COMPUTED_VALUE""")," Age")</f>
        <v> Age</v>
      </c>
      <c r="F325" s="4" t="str">
        <f>IFERROR(__xludf.DUMMYFUNCTION("""COMPUTED_VALUE"""),"18-54")</f>
        <v>18-54</v>
      </c>
      <c r="G325" s="4"/>
      <c r="H325" s="4"/>
      <c r="I325" s="5" t="s">
        <v>22</v>
      </c>
      <c r="J325" s="5" t="s">
        <v>42</v>
      </c>
      <c r="K325" s="5" t="s">
        <v>173</v>
      </c>
      <c r="L325" s="6" t="s">
        <v>515</v>
      </c>
      <c r="M325" s="5" t="s">
        <v>26</v>
      </c>
      <c r="N325" s="5" t="s">
        <v>27</v>
      </c>
      <c r="O325" s="5">
        <v>12214.0</v>
      </c>
      <c r="P325" s="5">
        <v>50.0</v>
      </c>
      <c r="Q325" s="5">
        <v>5376.0</v>
      </c>
      <c r="R325" s="5">
        <v>11490.0</v>
      </c>
      <c r="S325" s="5">
        <v>7.0</v>
      </c>
      <c r="T325" s="5">
        <v>5616.309402</v>
      </c>
    </row>
    <row r="326">
      <c r="A326" s="4" t="s">
        <v>1356</v>
      </c>
      <c r="B326" s="4" t="str">
        <f>IFERROR(__xludf.DUMMYFUNCTION("SPLIT(A326:A1052, ""&gt;"")"),"Online Behavior")</f>
        <v>Online Behavior</v>
      </c>
      <c r="C326" s="4" t="str">
        <f>IFERROR(__xludf.DUMMYFUNCTION("""COMPUTED_VALUE"""),"United States")</f>
        <v>United States</v>
      </c>
      <c r="D326" s="4" t="str">
        <f>IFERROR(__xludf.DUMMYFUNCTION("""COMPUTED_VALUE"""),"Travel")</f>
        <v>Travel</v>
      </c>
      <c r="E326" s="4" t="str">
        <f>IFERROR(__xludf.DUMMYFUNCTION("""COMPUTED_VALUE"""),"Air Travel ")</f>
        <v>Air Travel </v>
      </c>
      <c r="F326" s="4" t="str">
        <f>IFERROR(__xludf.DUMMYFUNCTION("""COMPUTED_VALUE""")," Airport Parking and Transportation")</f>
        <v> Airport Parking and Transportation</v>
      </c>
      <c r="G326" s="4"/>
      <c r="H326" s="4"/>
      <c r="I326" s="5" t="s">
        <v>15</v>
      </c>
      <c r="J326" s="5" t="s">
        <v>16</v>
      </c>
      <c r="K326" s="5" t="s">
        <v>55</v>
      </c>
      <c r="L326" s="6" t="s">
        <v>518</v>
      </c>
      <c r="M326" s="5" t="s">
        <v>19</v>
      </c>
      <c r="N326" s="5" t="s">
        <v>52</v>
      </c>
      <c r="O326" s="5">
        <v>141165.0</v>
      </c>
      <c r="P326" s="5">
        <v>250.0</v>
      </c>
      <c r="Q326" s="5">
        <v>102776.0</v>
      </c>
      <c r="R326" s="5">
        <v>128004.0</v>
      </c>
      <c r="S326" s="5">
        <v>28.0</v>
      </c>
      <c r="T326" s="5">
        <v>7222.211408</v>
      </c>
    </row>
    <row r="327">
      <c r="A327" s="4" t="s">
        <v>1357</v>
      </c>
      <c r="B327" s="4" t="str">
        <f>IFERROR(__xludf.DUMMYFUNCTION("SPLIT(A327:A1053, ""&gt;"")"),"Online Behavior")</f>
        <v>Online Behavior</v>
      </c>
      <c r="C327" s="4" t="str">
        <f>IFERROR(__xludf.DUMMYFUNCTION("""COMPUTED_VALUE"""),"United States")</f>
        <v>United States</v>
      </c>
      <c r="D327" s="4" t="str">
        <f>IFERROR(__xludf.DUMMYFUNCTION("""COMPUTED_VALUE"""),"Sports")</f>
        <v>Sports</v>
      </c>
      <c r="E327" s="4" t="str">
        <f>IFERROR(__xludf.DUMMYFUNCTION("""COMPUTED_VALUE"""),"Individual Sports ")</f>
        <v>Individual Sports </v>
      </c>
      <c r="F327" s="4" t="str">
        <f>IFERROR(__xludf.DUMMYFUNCTION("""COMPUTED_VALUE""")," Track and Field")</f>
        <v> Track and Field</v>
      </c>
      <c r="G327" s="4"/>
      <c r="H327" s="4"/>
      <c r="I327" s="5" t="s">
        <v>22</v>
      </c>
      <c r="J327" s="5" t="s">
        <v>31</v>
      </c>
      <c r="K327" s="5" t="s">
        <v>35</v>
      </c>
      <c r="L327" s="6" t="s">
        <v>518</v>
      </c>
      <c r="M327" s="5" t="s">
        <v>19</v>
      </c>
      <c r="N327" s="5" t="s">
        <v>27</v>
      </c>
      <c r="O327" s="5">
        <v>7514.0</v>
      </c>
      <c r="P327" s="5">
        <v>20.0</v>
      </c>
      <c r="Q327" s="5">
        <v>2646.0</v>
      </c>
      <c r="R327" s="5">
        <v>3373.0</v>
      </c>
      <c r="S327" s="5">
        <v>3.0</v>
      </c>
      <c r="T327" s="5">
        <v>6756.295179</v>
      </c>
    </row>
    <row r="328">
      <c r="A328" s="4" t="s">
        <v>1358</v>
      </c>
      <c r="B328" s="4" t="str">
        <f>IFERROR(__xludf.DUMMYFUNCTION("SPLIT(A328:A1054, ""&gt;"")"),"Online Behavior")</f>
        <v>Online Behavior</v>
      </c>
      <c r="C328" s="4" t="str">
        <f>IFERROR(__xludf.DUMMYFUNCTION("""COMPUTED_VALUE"""),"United States")</f>
        <v>United States</v>
      </c>
      <c r="D328" s="4" t="str">
        <f>IFERROR(__xludf.DUMMYFUNCTION("""COMPUTED_VALUE"""),"Sports")</f>
        <v>Sports</v>
      </c>
      <c r="E328" s="4" t="str">
        <f>IFERROR(__xludf.DUMMYFUNCTION("""COMPUTED_VALUE"""),"Individual Sports ")</f>
        <v>Individual Sports </v>
      </c>
      <c r="F328" s="4" t="str">
        <f>IFERROR(__xludf.DUMMYFUNCTION("""COMPUTED_VALUE""")," Bowling")</f>
        <v> Bowling</v>
      </c>
      <c r="G328" s="4"/>
      <c r="H328" s="4"/>
      <c r="I328" s="5" t="s">
        <v>15</v>
      </c>
      <c r="J328" s="5" t="s">
        <v>23</v>
      </c>
      <c r="K328" s="5" t="s">
        <v>32</v>
      </c>
      <c r="L328" s="6" t="s">
        <v>518</v>
      </c>
      <c r="M328" s="5" t="s">
        <v>136</v>
      </c>
      <c r="N328" s="5" t="s">
        <v>52</v>
      </c>
      <c r="O328" s="5">
        <v>30460.0</v>
      </c>
      <c r="P328" s="5">
        <v>95.0</v>
      </c>
      <c r="Q328" s="5">
        <v>21830.0</v>
      </c>
      <c r="R328" s="5">
        <v>27750.0</v>
      </c>
      <c r="S328" s="5">
        <v>25.0</v>
      </c>
      <c r="T328" s="5">
        <v>6643.966542</v>
      </c>
    </row>
    <row r="329">
      <c r="A329" s="4" t="s">
        <v>1359</v>
      </c>
      <c r="B329" s="4" t="str">
        <f>IFERROR(__xludf.DUMMYFUNCTION("SPLIT(A329:A1055, ""&gt;"")"),"Online Behavior")</f>
        <v>Online Behavior</v>
      </c>
      <c r="C329" s="4" t="str">
        <f>IFERROR(__xludf.DUMMYFUNCTION("""COMPUTED_VALUE"""),"United States")</f>
        <v>United States</v>
      </c>
      <c r="D329" s="4" t="str">
        <f>IFERROR(__xludf.DUMMYFUNCTION("""COMPUTED_VALUE"""),"Autos and Vehicles ")</f>
        <v>Autos and Vehicles </v>
      </c>
      <c r="E329" s="4" t="str">
        <f>IFERROR(__xludf.DUMMYFUNCTION("""COMPUTED_VALUE""")," Brands")</f>
        <v> Brands</v>
      </c>
      <c r="F329" s="4" t="str">
        <f>IFERROR(__xludf.DUMMYFUNCTION("""COMPUTED_VALUE"""),"SEAT")</f>
        <v>SEAT</v>
      </c>
      <c r="G329" s="4"/>
      <c r="H329" s="4"/>
      <c r="I329" s="5" t="s">
        <v>15</v>
      </c>
      <c r="J329" s="5" t="s">
        <v>31</v>
      </c>
      <c r="K329" s="5" t="s">
        <v>35</v>
      </c>
      <c r="L329" s="6" t="s">
        <v>518</v>
      </c>
      <c r="M329" s="5" t="s">
        <v>46</v>
      </c>
      <c r="N329" s="5" t="s">
        <v>27</v>
      </c>
      <c r="O329" s="5">
        <v>14083.0</v>
      </c>
      <c r="P329" s="5">
        <v>97.0</v>
      </c>
      <c r="Q329" s="5">
        <v>9945.0</v>
      </c>
      <c r="R329" s="5">
        <v>12878.0</v>
      </c>
      <c r="S329" s="5">
        <v>11.0</v>
      </c>
      <c r="T329" s="5">
        <v>5979.67</v>
      </c>
    </row>
    <row r="330">
      <c r="A330" s="4" t="s">
        <v>1360</v>
      </c>
      <c r="B330" s="4" t="str">
        <f>IFERROR(__xludf.DUMMYFUNCTION("SPLIT(A330:A1056, ""&gt;"")"),"Online Behavior")</f>
        <v>Online Behavior</v>
      </c>
      <c r="C330" s="4" t="str">
        <f>IFERROR(__xludf.DUMMYFUNCTION("""COMPUTED_VALUE"""),"United States")</f>
        <v>United States</v>
      </c>
      <c r="D330" s="4" t="str">
        <f>IFERROR(__xludf.DUMMYFUNCTION("""COMPUTED_VALUE"""),"Intent ")</f>
        <v>Intent </v>
      </c>
      <c r="E330" s="4" t="str">
        <f>IFERROR(__xludf.DUMMYFUNCTION("""COMPUTED_VALUE""")," Services")</f>
        <v> Services</v>
      </c>
      <c r="F330" s="4" t="str">
        <f>IFERROR(__xludf.DUMMYFUNCTION("""COMPUTED_VALUE"""),"Photography")</f>
        <v>Photography</v>
      </c>
      <c r="G330" s="4"/>
      <c r="H330" s="4"/>
      <c r="I330" s="5" t="s">
        <v>61</v>
      </c>
      <c r="J330" s="5" t="s">
        <v>42</v>
      </c>
      <c r="K330" s="5" t="s">
        <v>35</v>
      </c>
      <c r="L330" s="6" t="s">
        <v>518</v>
      </c>
      <c r="M330" s="5" t="s">
        <v>19</v>
      </c>
      <c r="N330" s="5" t="s">
        <v>27</v>
      </c>
      <c r="O330" s="5">
        <v>100058.0</v>
      </c>
      <c r="P330" s="5">
        <v>435.0</v>
      </c>
      <c r="Q330" s="5">
        <v>73422.0</v>
      </c>
      <c r="R330" s="5">
        <v>91976.0</v>
      </c>
      <c r="S330" s="5">
        <v>8.0</v>
      </c>
      <c r="T330" s="5">
        <v>5831.225793</v>
      </c>
    </row>
    <row r="331">
      <c r="A331" s="4" t="s">
        <v>1361</v>
      </c>
      <c r="B331" s="4" t="str">
        <f>IFERROR(__xludf.DUMMYFUNCTION("SPLIT(A331:A1057, ""&gt;"")"),"Online Behavior")</f>
        <v>Online Behavior</v>
      </c>
      <c r="C331" s="4" t="str">
        <f>IFERROR(__xludf.DUMMYFUNCTION("""COMPUTED_VALUE"""),"United States")</f>
        <v>United States</v>
      </c>
      <c r="D331" s="4" t="str">
        <f>IFERROR(__xludf.DUMMYFUNCTION("""COMPUTED_VALUE"""),"Autos and Vehicles ")</f>
        <v>Autos and Vehicles </v>
      </c>
      <c r="E331" s="4" t="str">
        <f>IFERROR(__xludf.DUMMYFUNCTION("""COMPUTED_VALUE""")," Brands")</f>
        <v> Brands</v>
      </c>
      <c r="F331" s="4" t="str">
        <f>IFERROR(__xludf.DUMMYFUNCTION("""COMPUTED_VALUE"""),"Acura")</f>
        <v>Acura</v>
      </c>
      <c r="G331" s="4"/>
      <c r="H331" s="4"/>
      <c r="I331" s="5" t="s">
        <v>15</v>
      </c>
      <c r="J331" s="5" t="s">
        <v>16</v>
      </c>
      <c r="K331" s="5" t="s">
        <v>78</v>
      </c>
      <c r="L331" s="6" t="s">
        <v>518</v>
      </c>
      <c r="M331" s="5" t="s">
        <v>19</v>
      </c>
      <c r="N331" s="5" t="s">
        <v>52</v>
      </c>
      <c r="O331" s="5">
        <v>83854.0</v>
      </c>
      <c r="P331" s="5">
        <v>197.0</v>
      </c>
      <c r="Q331" s="5">
        <v>60626.0</v>
      </c>
      <c r="R331" s="5">
        <v>76071.0</v>
      </c>
      <c r="S331" s="5">
        <v>15.0</v>
      </c>
      <c r="T331" s="5">
        <v>5783.843758</v>
      </c>
    </row>
    <row r="332">
      <c r="A332" s="4" t="s">
        <v>524</v>
      </c>
      <c r="B332" s="4" t="str">
        <f>IFERROR(__xludf.DUMMYFUNCTION("SPLIT(A332:A1058, ""&gt;"")"),"Online Behavior")</f>
        <v>Online Behavior</v>
      </c>
      <c r="C332" s="4" t="str">
        <f>IFERROR(__xludf.DUMMYFUNCTION("""COMPUTED_VALUE"""),"United States")</f>
        <v>United States</v>
      </c>
      <c r="D332" s="4" t="str">
        <f>IFERROR(__xludf.DUMMYFUNCTION("""COMPUTED_VALUE"""),"The Changing Consumer")</f>
        <v>The Changing Consumer</v>
      </c>
      <c r="E332" s="4" t="str">
        <f>IFERROR(__xludf.DUMMYFUNCTION("""COMPUTED_VALUE"""),"Delivery Services and Quick Service Restaurants")</f>
        <v>Delivery Services and Quick Service Restaurants</v>
      </c>
      <c r="F332" s="4"/>
      <c r="G332" s="4"/>
      <c r="H332" s="4"/>
      <c r="I332" s="5" t="s">
        <v>15</v>
      </c>
      <c r="J332" s="5" t="s">
        <v>16</v>
      </c>
      <c r="K332" s="5" t="s">
        <v>17</v>
      </c>
      <c r="L332" s="6" t="s">
        <v>518</v>
      </c>
      <c r="M332" s="5" t="s">
        <v>26</v>
      </c>
      <c r="N332" s="5" t="s">
        <v>27</v>
      </c>
      <c r="O332" s="5">
        <v>103665.0</v>
      </c>
      <c r="P332" s="5">
        <v>270.0</v>
      </c>
      <c r="Q332" s="5">
        <v>77283.0</v>
      </c>
      <c r="R332" s="5">
        <v>94019.0</v>
      </c>
      <c r="S332" s="5">
        <v>4.0</v>
      </c>
      <c r="T332" s="5">
        <v>5284.685565</v>
      </c>
    </row>
    <row r="333">
      <c r="A333" s="4" t="s">
        <v>1362</v>
      </c>
      <c r="B333" s="4" t="str">
        <f>IFERROR(__xludf.DUMMYFUNCTION("SPLIT(A333:A1059, ""&gt;"")"),"Online Behavior")</f>
        <v>Online Behavior</v>
      </c>
      <c r="C333" s="4" t="str">
        <f>IFERROR(__xludf.DUMMYFUNCTION("""COMPUTED_VALUE"""),"United States")</f>
        <v>United States</v>
      </c>
      <c r="D333" s="4" t="str">
        <f>IFERROR(__xludf.DUMMYFUNCTION("""COMPUTED_VALUE"""),"Intent ")</f>
        <v>Intent </v>
      </c>
      <c r="E333" s="4" t="str">
        <f>IFERROR(__xludf.DUMMYFUNCTION("""COMPUTED_VALUE""")," Auto Buyers ")</f>
        <v> Auto Buyers </v>
      </c>
      <c r="F333" s="4" t="str">
        <f>IFERROR(__xludf.DUMMYFUNCTION("""COMPUTED_VALUE""")," Type")</f>
        <v> Type</v>
      </c>
      <c r="G333" s="4" t="str">
        <f>IFERROR(__xludf.DUMMYFUNCTION("""COMPUTED_VALUE"""),"Sedan")</f>
        <v>Sedan</v>
      </c>
      <c r="H333" s="4"/>
      <c r="I333" s="5" t="s">
        <v>15</v>
      </c>
      <c r="J333" s="5" t="s">
        <v>23</v>
      </c>
      <c r="K333" s="5" t="s">
        <v>35</v>
      </c>
      <c r="L333" s="6" t="s">
        <v>518</v>
      </c>
      <c r="M333" s="5" t="s">
        <v>117</v>
      </c>
      <c r="N333" s="5" t="s">
        <v>52</v>
      </c>
      <c r="O333" s="5">
        <v>25889.0</v>
      </c>
      <c r="P333" s="5">
        <v>110.0</v>
      </c>
      <c r="Q333" s="5">
        <v>18382.0</v>
      </c>
      <c r="R333" s="5">
        <v>23328.0</v>
      </c>
      <c r="S333" s="5">
        <v>15.0</v>
      </c>
      <c r="T333" s="5">
        <v>4977.784794</v>
      </c>
    </row>
    <row r="334">
      <c r="A334" s="4" t="s">
        <v>1363</v>
      </c>
      <c r="B334" s="4" t="str">
        <f>IFERROR(__xludf.DUMMYFUNCTION("SPLIT(A334:A1060, ""&gt;"")"),"Online Behavior")</f>
        <v>Online Behavior</v>
      </c>
      <c r="C334" s="4" t="str">
        <f>IFERROR(__xludf.DUMMYFUNCTION("""COMPUTED_VALUE"""),"United States")</f>
        <v>United States</v>
      </c>
      <c r="D334" s="4" t="str">
        <f>IFERROR(__xludf.DUMMYFUNCTION("""COMPUTED_VALUE"""),"Finance ")</f>
        <v>Finance </v>
      </c>
      <c r="E334" s="4" t="str">
        <f>IFERROR(__xludf.DUMMYFUNCTION("""COMPUTED_VALUE""")," Grants, Scholarships and Financial Aid")</f>
        <v> Grants, Scholarships and Financial Aid</v>
      </c>
      <c r="F334" s="4" t="str">
        <f>IFERROR(__xludf.DUMMYFUNCTION("""COMPUTED_VALUE"""),"Study Grants and Scholarships")</f>
        <v>Study Grants and Scholarships</v>
      </c>
      <c r="G334" s="4"/>
      <c r="H334" s="4"/>
      <c r="I334" s="5" t="s">
        <v>61</v>
      </c>
      <c r="J334" s="5" t="s">
        <v>42</v>
      </c>
      <c r="K334" s="5" t="s">
        <v>24</v>
      </c>
      <c r="L334" s="6" t="s">
        <v>518</v>
      </c>
      <c r="M334" s="5" t="s">
        <v>19</v>
      </c>
      <c r="N334" s="5" t="s">
        <v>27</v>
      </c>
      <c r="O334" s="5">
        <v>39844.0</v>
      </c>
      <c r="P334" s="5">
        <v>101.0</v>
      </c>
      <c r="Q334" s="5">
        <v>28001.0</v>
      </c>
      <c r="R334" s="5">
        <v>36335.0</v>
      </c>
      <c r="S334" s="5">
        <v>3.0</v>
      </c>
      <c r="T334" s="5">
        <v>4439.368082</v>
      </c>
    </row>
    <row r="335">
      <c r="A335" s="4" t="s">
        <v>1364</v>
      </c>
      <c r="B335" s="4" t="str">
        <f>IFERROR(__xludf.DUMMYFUNCTION("SPLIT(A335:A1061, ""&gt;"")"),"Online Behavior")</f>
        <v>Online Behavior</v>
      </c>
      <c r="C335" s="4" t="str">
        <f>IFERROR(__xludf.DUMMYFUNCTION("""COMPUTED_VALUE"""),"United States")</f>
        <v>United States</v>
      </c>
      <c r="D335" s="4" t="str">
        <f>IFERROR(__xludf.DUMMYFUNCTION("""COMPUTED_VALUE"""),"Arts and Entertainment")</f>
        <v>Arts and Entertainment</v>
      </c>
      <c r="E335" s="4" t="str">
        <f>IFERROR(__xludf.DUMMYFUNCTION("""COMPUTED_VALUE"""),"Events and Listings ")</f>
        <v>Events and Listings </v>
      </c>
      <c r="F335" s="4" t="str">
        <f>IFERROR(__xludf.DUMMYFUNCTION("""COMPUTED_VALUE""")," Food and Beverage Events")</f>
        <v> Food and Beverage Events</v>
      </c>
      <c r="G335" s="4"/>
      <c r="H335" s="4"/>
      <c r="I335" s="5" t="s">
        <v>15</v>
      </c>
      <c r="J335" s="5" t="s">
        <v>23</v>
      </c>
      <c r="K335" s="5" t="s">
        <v>17</v>
      </c>
      <c r="L335" s="6" t="s">
        <v>518</v>
      </c>
      <c r="M335" s="5" t="s">
        <v>19</v>
      </c>
      <c r="N335" s="5" t="s">
        <v>27</v>
      </c>
      <c r="O335" s="5">
        <v>224359.0</v>
      </c>
      <c r="P335" s="5">
        <v>480.0</v>
      </c>
      <c r="Q335" s="5">
        <v>163149.0</v>
      </c>
      <c r="R335" s="5">
        <v>200859.0</v>
      </c>
      <c r="S335" s="5">
        <v>5.0</v>
      </c>
      <c r="T335" s="5">
        <v>4196.936777</v>
      </c>
    </row>
    <row r="336">
      <c r="A336" s="4" t="s">
        <v>1836</v>
      </c>
      <c r="B336" s="4" t="str">
        <f>IFERROR(__xludf.DUMMYFUNCTION("SPLIT(A336:A1062, ""&gt;"")"),"US ")</f>
        <v>US </v>
      </c>
      <c r="C336" s="4" t="str">
        <f>IFERROR(__xludf.DUMMYFUNCTION("""COMPUTED_VALUE""")," Reach ")</f>
        <v> Reach </v>
      </c>
      <c r="D336" s="4" t="str">
        <f>IFERROR(__xludf.DUMMYFUNCTION("""COMPUTED_VALUE""")," Propensity Models ")</f>
        <v> Propensity Models </v>
      </c>
      <c r="E336" s="4" t="str">
        <f>IFERROR(__xludf.DUMMYFUNCTION("""COMPUTED_VALUE""")," Hobbies and Interest ")</f>
        <v> Hobbies and Interest </v>
      </c>
      <c r="F336" s="4" t="str">
        <f>IFERROR(__xludf.DUMMYFUNCTION("""COMPUTED_VALUE""")," Music ")</f>
        <v> Music </v>
      </c>
      <c r="G336" s="4" t="str">
        <f>IFERROR(__xludf.DUMMYFUNCTION("""COMPUTED_VALUE""")," Streaming")</f>
        <v> Streaming</v>
      </c>
      <c r="H336" s="4"/>
      <c r="I336" s="5" t="s">
        <v>22</v>
      </c>
      <c r="J336" s="5" t="s">
        <v>16</v>
      </c>
      <c r="K336" s="5" t="s">
        <v>240</v>
      </c>
      <c r="L336" s="6" t="s">
        <v>518</v>
      </c>
      <c r="M336" s="5" t="s">
        <v>36</v>
      </c>
      <c r="N336" s="5" t="s">
        <v>27</v>
      </c>
      <c r="O336" s="5">
        <v>15399.0</v>
      </c>
      <c r="P336" s="5">
        <v>35.0</v>
      </c>
      <c r="Q336" s="5">
        <v>3398.0</v>
      </c>
      <c r="R336" s="5">
        <v>4324.0</v>
      </c>
      <c r="S336" s="5">
        <v>3.0</v>
      </c>
      <c r="T336" s="5">
        <v>3434.731153</v>
      </c>
    </row>
    <row r="337">
      <c r="A337" s="4" t="s">
        <v>1837</v>
      </c>
      <c r="B337" s="4" t="str">
        <f>IFERROR(__xludf.DUMMYFUNCTION("SPLIT(A337:A1063, ""&gt;"")"),"US ")</f>
        <v>US </v>
      </c>
      <c r="C337" s="4" t="str">
        <f>IFERROR(__xludf.DUMMYFUNCTION("""COMPUTED_VALUE""")," B2B ")</f>
        <v> B2B </v>
      </c>
      <c r="D337" s="4" t="str">
        <f>IFERROR(__xludf.DUMMYFUNCTION("""COMPUTED_VALUE""")," B2B Decision Maker Responsibilities ")</f>
        <v> B2B Decision Maker Responsibilities </v>
      </c>
      <c r="E337" s="4" t="str">
        <f>IFERROR(__xludf.DUMMYFUNCTION("""COMPUTED_VALUE""")," Computer Software")</f>
        <v> Computer Software</v>
      </c>
      <c r="F337" s="4"/>
      <c r="G337" s="4"/>
      <c r="H337" s="4"/>
      <c r="I337" s="5" t="s">
        <v>15</v>
      </c>
      <c r="J337" s="5" t="s">
        <v>16</v>
      </c>
      <c r="K337" s="5" t="s">
        <v>17</v>
      </c>
      <c r="L337" s="6" t="s">
        <v>518</v>
      </c>
      <c r="M337" s="5" t="s">
        <v>46</v>
      </c>
      <c r="N337" s="5" t="s">
        <v>27</v>
      </c>
      <c r="O337" s="5">
        <v>136733.0</v>
      </c>
      <c r="P337" s="5">
        <v>110.0</v>
      </c>
      <c r="Q337" s="5">
        <v>102728.0</v>
      </c>
      <c r="R337" s="5">
        <v>127130.0</v>
      </c>
      <c r="S337" s="5">
        <v>4.0</v>
      </c>
      <c r="T337" s="5">
        <v>1946.050447</v>
      </c>
    </row>
    <row r="338">
      <c r="A338" s="4" t="s">
        <v>1838</v>
      </c>
      <c r="B338" s="4" t="str">
        <f>IFERROR(__xludf.DUMMYFUNCTION("SPLIT(A338:A1064, ""&gt;"")"),"US ")</f>
        <v>US </v>
      </c>
      <c r="C338" s="4" t="str">
        <f>IFERROR(__xludf.DUMMYFUNCTION("""COMPUTED_VALUE""")," Brand Propensities ")</f>
        <v> Brand Propensities </v>
      </c>
      <c r="D338" s="4" t="str">
        <f>IFERROR(__xludf.DUMMYFUNCTION("""COMPUTED_VALUE""")," Health ")</f>
        <v> Health </v>
      </c>
      <c r="E338" s="4" t="str">
        <f>IFERROR(__xludf.DUMMYFUNCTION("""COMPUTED_VALUE""")," Beauty and Cosmetics ")</f>
        <v> Beauty and Cosmetics </v>
      </c>
      <c r="F338" s="4" t="str">
        <f>IFERROR(__xludf.DUMMYFUNCTION("""COMPUTED_VALUE""")," ULTA Buyer Propensity")</f>
        <v> ULTA Buyer Propensity</v>
      </c>
      <c r="G338" s="4"/>
      <c r="H338" s="4"/>
      <c r="I338" s="5" t="s">
        <v>22</v>
      </c>
      <c r="J338" s="5" t="s">
        <v>31</v>
      </c>
      <c r="K338" s="5" t="s">
        <v>531</v>
      </c>
      <c r="L338" s="6" t="s">
        <v>518</v>
      </c>
      <c r="M338" s="5" t="s">
        <v>19</v>
      </c>
      <c r="N338" s="5" t="s">
        <v>27</v>
      </c>
      <c r="O338" s="5">
        <v>198754.0</v>
      </c>
      <c r="P338" s="5">
        <v>480.0</v>
      </c>
      <c r="Q338" s="5">
        <v>137649.0</v>
      </c>
      <c r="R338" s="5">
        <v>178415.0</v>
      </c>
      <c r="S338" s="5">
        <v>4.0</v>
      </c>
      <c r="T338" s="5">
        <v>1803.081497</v>
      </c>
    </row>
    <row r="339">
      <c r="A339" s="4" t="s">
        <v>1839</v>
      </c>
      <c r="B339" s="4" t="str">
        <f>IFERROR(__xludf.DUMMYFUNCTION("SPLIT(A339:A1065, ""&gt;"")"),"US ")</f>
        <v>US </v>
      </c>
      <c r="C339" s="4" t="str">
        <f>IFERROR(__xludf.DUMMYFUNCTION("""COMPUTED_VALUE""")," Home and Garden Interests ")</f>
        <v> Home and Garden Interests </v>
      </c>
      <c r="D339" s="4" t="str">
        <f>IFERROR(__xludf.DUMMYFUNCTION("""COMPUTED_VALUE""")," House and Garden Merchandise Buyers")</f>
        <v> House and Garden Merchandise Buyers</v>
      </c>
      <c r="E339" s="4"/>
      <c r="F339" s="4"/>
      <c r="G339" s="4"/>
      <c r="H339" s="4"/>
      <c r="I339" s="5" t="s">
        <v>15</v>
      </c>
      <c r="J339" s="5" t="s">
        <v>16</v>
      </c>
      <c r="K339" s="5" t="s">
        <v>84</v>
      </c>
      <c r="L339" s="6" t="s">
        <v>518</v>
      </c>
      <c r="M339" s="5" t="s">
        <v>117</v>
      </c>
      <c r="N339" s="5" t="s">
        <v>27</v>
      </c>
      <c r="O339" s="5">
        <v>15033.0</v>
      </c>
      <c r="P339" s="5">
        <v>76.0</v>
      </c>
      <c r="Q339" s="5">
        <v>5495.0</v>
      </c>
      <c r="R339" s="5">
        <v>7050.0</v>
      </c>
      <c r="S339" s="5">
        <v>3.0</v>
      </c>
      <c r="T339" s="5">
        <v>1650.72301</v>
      </c>
    </row>
    <row r="340">
      <c r="A340" s="4" t="s">
        <v>1369</v>
      </c>
      <c r="B340" s="4" t="str">
        <f>IFERROR(__xludf.DUMMYFUNCTION("SPLIT(A340:A1066, ""&gt;"")"),"Lotame ")</f>
        <v>Lotame </v>
      </c>
      <c r="C340" s="4" t="str">
        <f>IFERROR(__xludf.DUMMYFUNCTION("""COMPUTED_VALUE""")," Offline CPG Purchasers ")</f>
        <v> Offline CPG Purchasers </v>
      </c>
      <c r="D340" s="4" t="str">
        <f>IFERROR(__xludf.DUMMYFUNCTION("""COMPUTED_VALUE""")," Product Segment")</f>
        <v> Product Segment</v>
      </c>
      <c r="E340" s="4"/>
      <c r="F340" s="4"/>
      <c r="G340" s="4"/>
      <c r="H340" s="4"/>
      <c r="I340" s="5" t="s">
        <v>15</v>
      </c>
      <c r="J340" s="5" t="s">
        <v>16</v>
      </c>
      <c r="K340" s="5" t="s">
        <v>78</v>
      </c>
      <c r="L340" s="6" t="s">
        <v>518</v>
      </c>
      <c r="M340" s="5" t="s">
        <v>19</v>
      </c>
      <c r="N340" s="5" t="s">
        <v>27</v>
      </c>
      <c r="O340" s="5">
        <v>92806.0</v>
      </c>
      <c r="P340" s="5">
        <v>212.0</v>
      </c>
      <c r="Q340" s="5">
        <v>67534.0</v>
      </c>
      <c r="R340" s="5">
        <v>85013.0</v>
      </c>
      <c r="S340" s="5">
        <v>11.0</v>
      </c>
      <c r="T340" s="5">
        <v>1579.379602</v>
      </c>
    </row>
    <row r="341">
      <c r="A341" s="4" t="s">
        <v>1840</v>
      </c>
      <c r="B341" s="4" t="str">
        <f>IFERROR(__xludf.DUMMYFUNCTION("SPLIT(A341:A1067, ""&gt;"")"),"US ")</f>
        <v>US </v>
      </c>
      <c r="C341" s="4" t="str">
        <f>IFERROR(__xludf.DUMMYFUNCTION("""COMPUTED_VALUE""")," Brand Propensities ")</f>
        <v> Brand Propensities </v>
      </c>
      <c r="D341" s="4" t="str">
        <f>IFERROR(__xludf.DUMMYFUNCTION("""COMPUTED_VALUE""")," Apparel ")</f>
        <v> Apparel </v>
      </c>
      <c r="E341" s="4" t="str">
        <f>IFERROR(__xludf.DUMMYFUNCTION("""COMPUTED_VALUE""")," Bare Necessities Buyer Propensity")</f>
        <v> Bare Necessities Buyer Propensity</v>
      </c>
      <c r="F341" s="4"/>
      <c r="G341" s="4"/>
      <c r="H341" s="4"/>
      <c r="I341" s="5" t="s">
        <v>22</v>
      </c>
      <c r="J341" s="5" t="s">
        <v>16</v>
      </c>
      <c r="K341" s="5" t="s">
        <v>29</v>
      </c>
      <c r="L341" s="6" t="s">
        <v>518</v>
      </c>
      <c r="M341" s="5" t="s">
        <v>46</v>
      </c>
      <c r="N341" s="5" t="s">
        <v>27</v>
      </c>
      <c r="O341" s="5">
        <v>186702.0</v>
      </c>
      <c r="P341" s="5">
        <v>370.0</v>
      </c>
      <c r="Q341" s="5">
        <v>132038.0</v>
      </c>
      <c r="R341" s="5">
        <v>167406.0</v>
      </c>
      <c r="S341" s="5">
        <v>4.0</v>
      </c>
      <c r="T341" s="5">
        <v>1568.73602</v>
      </c>
    </row>
    <row r="342">
      <c r="A342" s="4" t="s">
        <v>1841</v>
      </c>
      <c r="B342" s="4" t="str">
        <f>IFERROR(__xludf.DUMMYFUNCTION("SPLIT(A342:A1068, ""&gt;"")"),"Mobile - US ")</f>
        <v>Mobile - US </v>
      </c>
      <c r="C342" s="4" t="str">
        <f>IFERROR(__xludf.DUMMYFUNCTION("""COMPUTED_VALUE""")," Travel ")</f>
        <v> Travel </v>
      </c>
      <c r="D342" s="4" t="str">
        <f>IFERROR(__xludf.DUMMYFUNCTION("""COMPUTED_VALUE""")," Destination ")</f>
        <v> Destination </v>
      </c>
      <c r="E342" s="4" t="str">
        <f>IFERROR(__xludf.DUMMYFUNCTION("""COMPUTED_VALUE""")," International Travelers ")</f>
        <v> International Travelers </v>
      </c>
      <c r="F342" s="4" t="str">
        <f>IFERROR(__xludf.DUMMYFUNCTION("""COMPUTED_VALUE""")," yes")</f>
        <v> yes</v>
      </c>
      <c r="G342" s="4"/>
      <c r="H342" s="4"/>
      <c r="I342" s="5" t="s">
        <v>22</v>
      </c>
      <c r="J342" s="5" t="s">
        <v>23</v>
      </c>
      <c r="K342" s="5" t="s">
        <v>29</v>
      </c>
      <c r="L342" s="6" t="s">
        <v>518</v>
      </c>
      <c r="M342" s="5" t="s">
        <v>46</v>
      </c>
      <c r="N342" s="5" t="s">
        <v>27</v>
      </c>
      <c r="O342" s="5">
        <v>69136.0</v>
      </c>
      <c r="P342" s="5">
        <v>190.0</v>
      </c>
      <c r="Q342" s="5">
        <v>40571.0</v>
      </c>
      <c r="R342" s="5">
        <v>63614.0</v>
      </c>
      <c r="S342" s="5">
        <v>3.0</v>
      </c>
      <c r="T342" s="5">
        <v>1507.946851</v>
      </c>
    </row>
    <row r="343">
      <c r="A343" s="4" t="s">
        <v>1842</v>
      </c>
      <c r="B343" s="4" t="str">
        <f>IFERROR(__xludf.DUMMYFUNCTION("SPLIT(A343:A1069, ""&gt;"")"),"US ")</f>
        <v>US </v>
      </c>
      <c r="C343" s="4" t="str">
        <f>IFERROR(__xludf.DUMMYFUNCTION("""COMPUTED_VALUE""")," Brand Propensities ")</f>
        <v> Brand Propensities </v>
      </c>
      <c r="D343" s="4" t="str">
        <f>IFERROR(__xludf.DUMMYFUNCTION("""COMPUTED_VALUE""")," Media and Entertainment ")</f>
        <v> Media and Entertainment </v>
      </c>
      <c r="E343" s="4" t="str">
        <f>IFERROR(__xludf.DUMMYFUNCTION("""COMPUTED_VALUE""")," Sony Network Entertainment International Buyer Propensity")</f>
        <v> Sony Network Entertainment International Buyer Propensity</v>
      </c>
      <c r="F343" s="4"/>
      <c r="G343" s="4"/>
      <c r="H343" s="4"/>
      <c r="I343" s="5" t="s">
        <v>15</v>
      </c>
      <c r="J343" s="5" t="s">
        <v>42</v>
      </c>
      <c r="K343" s="5" t="s">
        <v>95</v>
      </c>
      <c r="L343" s="6" t="s">
        <v>518</v>
      </c>
      <c r="M343" s="5" t="s">
        <v>26</v>
      </c>
      <c r="N343" s="5" t="s">
        <v>52</v>
      </c>
      <c r="O343" s="5">
        <v>32173.0</v>
      </c>
      <c r="P343" s="5">
        <v>104.0</v>
      </c>
      <c r="Q343" s="5">
        <v>24427.0</v>
      </c>
      <c r="R343" s="5">
        <v>30084.0</v>
      </c>
      <c r="S343" s="5">
        <v>11.0</v>
      </c>
      <c r="T343" s="5">
        <v>1498.29154</v>
      </c>
    </row>
    <row r="344">
      <c r="A344" s="4" t="s">
        <v>1373</v>
      </c>
      <c r="B344" s="4" t="str">
        <f>IFERROR(__xludf.DUMMYFUNCTION("SPLIT(A344:A1070, ""&gt;"")"),"Travel and Tourism ")</f>
        <v>Travel and Tourism </v>
      </c>
      <c r="C344" s="4" t="str">
        <f>IFERROR(__xludf.DUMMYFUNCTION("""COMPUTED_VALUE""")," Interest (Affinity) ")</f>
        <v> Interest (Affinity) </v>
      </c>
      <c r="D344" s="4" t="str">
        <f>IFERROR(__xludf.DUMMYFUNCTION("""COMPUTED_VALUE""")," Destinations ")</f>
        <v> Destinations </v>
      </c>
      <c r="E344" s="4" t="str">
        <f>IFERROR(__xludf.DUMMYFUNCTION("""COMPUTED_VALUE""")," Europe")</f>
        <v> Europe</v>
      </c>
      <c r="F344" s="4"/>
      <c r="G344" s="4"/>
      <c r="H344" s="4"/>
      <c r="I344" s="5" t="s">
        <v>22</v>
      </c>
      <c r="J344" s="5" t="s">
        <v>23</v>
      </c>
      <c r="K344" s="5" t="s">
        <v>24</v>
      </c>
      <c r="L344" s="6" t="s">
        <v>518</v>
      </c>
      <c r="M344" s="5" t="s">
        <v>36</v>
      </c>
      <c r="N344" s="5" t="s">
        <v>27</v>
      </c>
      <c r="O344" s="5">
        <v>88819.0</v>
      </c>
      <c r="P344" s="5">
        <v>200.0</v>
      </c>
      <c r="Q344" s="5">
        <v>65488.0</v>
      </c>
      <c r="R344" s="5">
        <v>80451.0</v>
      </c>
      <c r="S344" s="5">
        <v>6.0</v>
      </c>
      <c r="T344" s="5">
        <v>1442.22799</v>
      </c>
    </row>
    <row r="345">
      <c r="A345" s="4" t="s">
        <v>1374</v>
      </c>
      <c r="B345" s="4" t="str">
        <f>IFERROR(__xludf.DUMMYFUNCTION("SPLIT(A345:A1071, ""&gt;"")"),"Online Behavior")</f>
        <v>Online Behavior</v>
      </c>
      <c r="C345" s="4" t="str">
        <f>IFERROR(__xludf.DUMMYFUNCTION("""COMPUTED_VALUE"""),"United States")</f>
        <v>United States</v>
      </c>
      <c r="D345" s="4" t="str">
        <f>IFERROR(__xludf.DUMMYFUNCTION("""COMPUTED_VALUE"""),"Finance ")</f>
        <v>Finance </v>
      </c>
      <c r="E345" s="4" t="str">
        <f>IFERROR(__xludf.DUMMYFUNCTION("""COMPUTED_VALUE""")," Financial Planning and Management")</f>
        <v> Financial Planning and Management</v>
      </c>
      <c r="F345" s="4" t="str">
        <f>IFERROR(__xludf.DUMMYFUNCTION("""COMPUTED_VALUE"""),"Financial Planning and Management")</f>
        <v>Financial Planning and Management</v>
      </c>
      <c r="G345" s="4"/>
      <c r="H345" s="4"/>
      <c r="I345" s="5" t="s">
        <v>22</v>
      </c>
      <c r="J345" s="5" t="s">
        <v>42</v>
      </c>
      <c r="K345" s="5" t="s">
        <v>35</v>
      </c>
      <c r="L345" s="6" t="s">
        <v>539</v>
      </c>
      <c r="M345" s="5" t="s">
        <v>33</v>
      </c>
      <c r="N345" s="5" t="s">
        <v>27</v>
      </c>
      <c r="O345" s="5">
        <v>1323451.0</v>
      </c>
      <c r="P345" s="5">
        <v>3414.0</v>
      </c>
      <c r="Q345" s="5">
        <v>737990.0</v>
      </c>
      <c r="R345" s="5">
        <v>1177859.0</v>
      </c>
      <c r="S345" s="5">
        <v>123.0</v>
      </c>
      <c r="T345" s="5">
        <v>8187.114541</v>
      </c>
    </row>
    <row r="346">
      <c r="A346" s="4" t="s">
        <v>540</v>
      </c>
      <c r="B346" s="4" t="str">
        <f>IFERROR(__xludf.DUMMYFUNCTION("SPLIT(A346:A1072, ""&gt;"")"),"Online Behavior")</f>
        <v>Online Behavior</v>
      </c>
      <c r="C346" s="4" t="str">
        <f>IFERROR(__xludf.DUMMYFUNCTION("""COMPUTED_VALUE"""),"United States")</f>
        <v>United States</v>
      </c>
      <c r="D346" s="4" t="str">
        <f>IFERROR(__xludf.DUMMYFUNCTION("""COMPUTED_VALUE"""),"Beauty and Fitness")</f>
        <v>Beauty and Fitness</v>
      </c>
      <c r="E346" s="4" t="str">
        <f>IFERROR(__xludf.DUMMYFUNCTION("""COMPUTED_VALUE"""),"Fitness")</f>
        <v>Fitness</v>
      </c>
      <c r="F346" s="4"/>
      <c r="G346" s="4"/>
      <c r="H346" s="4"/>
      <c r="I346" s="5" t="s">
        <v>15</v>
      </c>
      <c r="J346" s="5" t="s">
        <v>42</v>
      </c>
      <c r="K346" s="5" t="s">
        <v>35</v>
      </c>
      <c r="L346" s="6" t="s">
        <v>539</v>
      </c>
      <c r="M346" s="5" t="s">
        <v>46</v>
      </c>
      <c r="N346" s="5" t="s">
        <v>27</v>
      </c>
      <c r="O346" s="5">
        <v>728841.0</v>
      </c>
      <c r="P346" s="5">
        <v>2174.0</v>
      </c>
      <c r="Q346" s="5">
        <v>424340.0</v>
      </c>
      <c r="R346" s="5">
        <v>634059.0</v>
      </c>
      <c r="S346" s="5">
        <v>37.0</v>
      </c>
      <c r="T346" s="5">
        <v>8054.141368</v>
      </c>
    </row>
    <row r="347">
      <c r="A347" s="4" t="s">
        <v>1843</v>
      </c>
      <c r="B347" s="4" t="str">
        <f>IFERROR(__xludf.DUMMYFUNCTION("SPLIT(A347:A1073, ""&gt;"")"),"Online Behavior")</f>
        <v>Online Behavior</v>
      </c>
      <c r="C347" s="4" t="str">
        <f>IFERROR(__xludf.DUMMYFUNCTION("""COMPUTED_VALUE"""),"United States")</f>
        <v>United States</v>
      </c>
      <c r="D347" s="4" t="str">
        <f>IFERROR(__xludf.DUMMYFUNCTION("""COMPUTED_VALUE"""),"The Changing Consumer")</f>
        <v>The Changing Consumer</v>
      </c>
      <c r="E347" s="4" t="str">
        <f>IFERROR(__xludf.DUMMYFUNCTION("""COMPUTED_VALUE"""),"Data For Good ")</f>
        <v>Data For Good </v>
      </c>
      <c r="F347" s="4" t="str">
        <f>IFERROR(__xludf.DUMMYFUNCTION("""COMPUTED_VALUE""")," Current Affairs - Social Justice")</f>
        <v> Current Affairs - Social Justice</v>
      </c>
      <c r="G347" s="4"/>
      <c r="H347" s="4"/>
      <c r="I347" s="5" t="s">
        <v>22</v>
      </c>
      <c r="J347" s="5" t="s">
        <v>31</v>
      </c>
      <c r="K347" s="5" t="s">
        <v>78</v>
      </c>
      <c r="L347" s="6" t="s">
        <v>539</v>
      </c>
      <c r="M347" s="5" t="s">
        <v>36</v>
      </c>
      <c r="N347" s="5" t="s">
        <v>27</v>
      </c>
      <c r="O347" s="5">
        <v>1010148.0</v>
      </c>
      <c r="P347" s="5">
        <v>2874.0</v>
      </c>
      <c r="Q347" s="5">
        <v>699834.0</v>
      </c>
      <c r="R347" s="5">
        <v>955905.0</v>
      </c>
      <c r="S347" s="5">
        <v>31.0</v>
      </c>
      <c r="T347" s="5">
        <v>7788.701621</v>
      </c>
    </row>
    <row r="348">
      <c r="A348" s="4" t="s">
        <v>1376</v>
      </c>
      <c r="B348" s="4" t="str">
        <f>IFERROR(__xludf.DUMMYFUNCTION("SPLIT(A348:A1074, ""&gt;"")"),"Online Behavior")</f>
        <v>Online Behavior</v>
      </c>
      <c r="C348" s="4" t="str">
        <f>IFERROR(__xludf.DUMMYFUNCTION("""COMPUTED_VALUE"""),"United States")</f>
        <v>United States</v>
      </c>
      <c r="D348" s="4" t="str">
        <f>IFERROR(__xludf.DUMMYFUNCTION("""COMPUTED_VALUE"""),"Sports")</f>
        <v>Sports</v>
      </c>
      <c r="E348" s="4" t="str">
        <f>IFERROR(__xludf.DUMMYFUNCTION("""COMPUTED_VALUE"""),"Team Sports ")</f>
        <v>Team Sports </v>
      </c>
      <c r="F348" s="4" t="str">
        <f>IFERROR(__xludf.DUMMYFUNCTION("""COMPUTED_VALUE""")," Rugby")</f>
        <v> Rugby</v>
      </c>
      <c r="G348" s="4"/>
      <c r="H348" s="4"/>
      <c r="I348" s="5" t="s">
        <v>15</v>
      </c>
      <c r="J348" s="5" t="s">
        <v>42</v>
      </c>
      <c r="K348" s="5" t="s">
        <v>78</v>
      </c>
      <c r="L348" s="6" t="s">
        <v>539</v>
      </c>
      <c r="M348" s="5" t="s">
        <v>46</v>
      </c>
      <c r="N348" s="5" t="s">
        <v>27</v>
      </c>
      <c r="O348" s="5">
        <v>1956642.0</v>
      </c>
      <c r="P348" s="5">
        <v>4563.0</v>
      </c>
      <c r="Q348" s="5">
        <v>981461.0</v>
      </c>
      <c r="R348" s="5">
        <v>1731673.0</v>
      </c>
      <c r="S348" s="5">
        <v>106.0</v>
      </c>
      <c r="T348" s="5">
        <v>7730.240616</v>
      </c>
    </row>
    <row r="349">
      <c r="A349" s="4" t="s">
        <v>1377</v>
      </c>
      <c r="B349" s="4" t="str">
        <f>IFERROR(__xludf.DUMMYFUNCTION("SPLIT(A349:A1075, ""&gt;"")"),"Online Behavior")</f>
        <v>Online Behavior</v>
      </c>
      <c r="C349" s="4" t="str">
        <f>IFERROR(__xludf.DUMMYFUNCTION("""COMPUTED_VALUE"""),"United States")</f>
        <v>United States</v>
      </c>
      <c r="D349" s="4" t="str">
        <f>IFERROR(__xludf.DUMMYFUNCTION("""COMPUTED_VALUE"""),"Beauty and Fitness")</f>
        <v>Beauty and Fitness</v>
      </c>
      <c r="E349" s="4" t="str">
        <f>IFERROR(__xludf.DUMMYFUNCTION("""COMPUTED_VALUE"""),"Fashion and Style ")</f>
        <v>Fashion and Style </v>
      </c>
      <c r="F349" s="4" t="str">
        <f>IFERROR(__xludf.DUMMYFUNCTION("""COMPUTED_VALUE""")," Fashion Designers and Collections")</f>
        <v> Fashion Designers and Collections</v>
      </c>
      <c r="G349" s="4"/>
      <c r="H349" s="4"/>
      <c r="I349" s="5" t="s">
        <v>15</v>
      </c>
      <c r="J349" s="5" t="s">
        <v>31</v>
      </c>
      <c r="K349" s="5" t="s">
        <v>55</v>
      </c>
      <c r="L349" s="6" t="s">
        <v>539</v>
      </c>
      <c r="M349" s="5" t="s">
        <v>19</v>
      </c>
      <c r="N349" s="5" t="s">
        <v>27</v>
      </c>
      <c r="O349" s="5">
        <v>23774.0</v>
      </c>
      <c r="P349" s="5">
        <v>60.0</v>
      </c>
      <c r="Q349" s="5">
        <v>10735.0</v>
      </c>
      <c r="R349" s="5">
        <v>21076.0</v>
      </c>
      <c r="S349" s="5">
        <v>24.0</v>
      </c>
      <c r="T349" s="5">
        <v>7657.108034</v>
      </c>
    </row>
    <row r="350">
      <c r="A350" s="4" t="s">
        <v>544</v>
      </c>
      <c r="B350" s="4" t="str">
        <f>IFERROR(__xludf.DUMMYFUNCTION("SPLIT(A350:A1076, ""&gt;"")"),"Online Behavior")</f>
        <v>Online Behavior</v>
      </c>
      <c r="C350" s="4" t="str">
        <f>IFERROR(__xludf.DUMMYFUNCTION("""COMPUTED_VALUE"""),"United States")</f>
        <v>United States</v>
      </c>
      <c r="D350" s="4" t="str">
        <f>IFERROR(__xludf.DUMMYFUNCTION("""COMPUTED_VALUE"""),"Beauty and Fitness")</f>
        <v>Beauty and Fitness</v>
      </c>
      <c r="E350" s="4" t="str">
        <f>IFERROR(__xludf.DUMMYFUNCTION("""COMPUTED_VALUE"""),"Weight Loss")</f>
        <v>Weight Loss</v>
      </c>
      <c r="F350" s="4"/>
      <c r="G350" s="4"/>
      <c r="H350" s="4"/>
      <c r="I350" s="5" t="s">
        <v>61</v>
      </c>
      <c r="J350" s="5" t="s">
        <v>31</v>
      </c>
      <c r="K350" s="5" t="s">
        <v>35</v>
      </c>
      <c r="L350" s="6" t="s">
        <v>539</v>
      </c>
      <c r="M350" s="5" t="s">
        <v>36</v>
      </c>
      <c r="N350" s="5" t="s">
        <v>27</v>
      </c>
      <c r="O350" s="5">
        <v>1083050.0</v>
      </c>
      <c r="P350" s="5">
        <v>3984.0</v>
      </c>
      <c r="Q350" s="5">
        <v>590156.0</v>
      </c>
      <c r="R350" s="5">
        <v>953556.0</v>
      </c>
      <c r="S350" s="5">
        <v>19.0</v>
      </c>
      <c r="T350" s="5">
        <v>7495.749847</v>
      </c>
    </row>
    <row r="351">
      <c r="A351" s="4" t="s">
        <v>545</v>
      </c>
      <c r="B351" s="4" t="str">
        <f>IFERROR(__xludf.DUMMYFUNCTION("SPLIT(A351:A1077, ""&gt;"")"),"Online Behavior")</f>
        <v>Online Behavior</v>
      </c>
      <c r="C351" s="4" t="str">
        <f>IFERROR(__xludf.DUMMYFUNCTION("""COMPUTED_VALUE"""),"United States")</f>
        <v>United States</v>
      </c>
      <c r="D351" s="4" t="str">
        <f>IFERROR(__xludf.DUMMYFUNCTION("""COMPUTED_VALUE"""),"Travel")</f>
        <v>Travel</v>
      </c>
      <c r="E351" s="4" t="str">
        <f>IFERROR(__xludf.DUMMYFUNCTION("""COMPUTED_VALUE"""),"Travel Agencies and Services")</f>
        <v>Travel Agencies and Services</v>
      </c>
      <c r="F351" s="4"/>
      <c r="G351" s="4"/>
      <c r="H351" s="4"/>
      <c r="I351" s="5" t="s">
        <v>61</v>
      </c>
      <c r="J351" s="5" t="s">
        <v>16</v>
      </c>
      <c r="K351" s="5" t="s">
        <v>78</v>
      </c>
      <c r="L351" s="6" t="s">
        <v>539</v>
      </c>
      <c r="M351" s="5" t="s">
        <v>19</v>
      </c>
      <c r="N351" s="5" t="s">
        <v>27</v>
      </c>
      <c r="O351" s="5">
        <v>184622.0</v>
      </c>
      <c r="P351" s="5">
        <v>180.0</v>
      </c>
      <c r="Q351" s="5">
        <v>98938.0</v>
      </c>
      <c r="R351" s="5">
        <v>161848.0</v>
      </c>
      <c r="S351" s="5">
        <v>13.0</v>
      </c>
      <c r="T351" s="5">
        <v>7149.816075</v>
      </c>
    </row>
    <row r="352">
      <c r="A352" s="4" t="s">
        <v>1378</v>
      </c>
      <c r="B352" s="4" t="str">
        <f>IFERROR(__xludf.DUMMYFUNCTION("SPLIT(A352:A1078, ""&gt;"")"),"Online Behavior")</f>
        <v>Online Behavior</v>
      </c>
      <c r="C352" s="4" t="str">
        <f>IFERROR(__xludf.DUMMYFUNCTION("""COMPUTED_VALUE"""),"United States")</f>
        <v>United States</v>
      </c>
      <c r="D352" s="4" t="str">
        <f>IFERROR(__xludf.DUMMYFUNCTION("""COMPUTED_VALUE"""),"Validated Demographic ")</f>
        <v>Validated Demographic </v>
      </c>
      <c r="E352" s="4" t="str">
        <f>IFERROR(__xludf.DUMMYFUNCTION("""COMPUTED_VALUE""")," Gender and Age Combined")</f>
        <v> Gender and Age Combined</v>
      </c>
      <c r="F352" s="4" t="str">
        <f>IFERROR(__xludf.DUMMYFUNCTION("""COMPUTED_VALUE"""),"Females 18-64")</f>
        <v>Females 18-64</v>
      </c>
      <c r="G352" s="4"/>
      <c r="H352" s="4"/>
      <c r="I352" s="5" t="s">
        <v>22</v>
      </c>
      <c r="J352" s="5" t="s">
        <v>31</v>
      </c>
      <c r="K352" s="5" t="s">
        <v>35</v>
      </c>
      <c r="L352" s="6" t="s">
        <v>539</v>
      </c>
      <c r="M352" s="5" t="s">
        <v>50</v>
      </c>
      <c r="N352" s="5" t="s">
        <v>27</v>
      </c>
      <c r="O352" s="5">
        <v>742281.0</v>
      </c>
      <c r="P352" s="5">
        <v>1999.0</v>
      </c>
      <c r="Q352" s="5">
        <v>432673.0</v>
      </c>
      <c r="R352" s="5">
        <v>642404.0</v>
      </c>
      <c r="S352" s="5">
        <v>11.0</v>
      </c>
      <c r="T352" s="5">
        <v>6024.422487</v>
      </c>
    </row>
    <row r="353">
      <c r="A353" s="4" t="s">
        <v>1379</v>
      </c>
      <c r="B353" s="4" t="str">
        <f>IFERROR(__xludf.DUMMYFUNCTION("SPLIT(A353:A1079, ""&gt;"")"),"Online Behavior")</f>
        <v>Online Behavior</v>
      </c>
      <c r="C353" s="4" t="str">
        <f>IFERROR(__xludf.DUMMYFUNCTION("""COMPUTED_VALUE"""),"United States")</f>
        <v>United States</v>
      </c>
      <c r="D353" s="4" t="str">
        <f>IFERROR(__xludf.DUMMYFUNCTION("""COMPUTED_VALUE"""),"Travel")</f>
        <v>Travel</v>
      </c>
      <c r="E353" s="4" t="str">
        <f>IFERROR(__xludf.DUMMYFUNCTION("""COMPUTED_VALUE"""),"Specialty Travel ")</f>
        <v>Specialty Travel </v>
      </c>
      <c r="F353" s="4" t="str">
        <f>IFERROR(__xludf.DUMMYFUNCTION("""COMPUTED_VALUE""")," Agritourism")</f>
        <v> Agritourism</v>
      </c>
      <c r="G353" s="4"/>
      <c r="H353" s="4"/>
      <c r="I353" s="5" t="s">
        <v>15</v>
      </c>
      <c r="J353" s="5" t="s">
        <v>16</v>
      </c>
      <c r="K353" s="5" t="s">
        <v>17</v>
      </c>
      <c r="L353" s="6" t="s">
        <v>539</v>
      </c>
      <c r="M353" s="5" t="s">
        <v>26</v>
      </c>
      <c r="N353" s="5" t="s">
        <v>27</v>
      </c>
      <c r="O353" s="5">
        <v>1720462.0</v>
      </c>
      <c r="P353" s="5">
        <v>4865.0</v>
      </c>
      <c r="Q353" s="5">
        <v>940296.0</v>
      </c>
      <c r="R353" s="5">
        <v>1516537.0</v>
      </c>
      <c r="S353" s="5">
        <v>20.0</v>
      </c>
      <c r="T353" s="5">
        <v>5906.464967</v>
      </c>
    </row>
    <row r="354">
      <c r="A354" s="4" t="s">
        <v>1380</v>
      </c>
      <c r="B354" s="4" t="str">
        <f>IFERROR(__xludf.DUMMYFUNCTION("SPLIT(A354:A1080, ""&gt;"")"),"Online Behavior")</f>
        <v>Online Behavior</v>
      </c>
      <c r="C354" s="4" t="str">
        <f>IFERROR(__xludf.DUMMYFUNCTION("""COMPUTED_VALUE"""),"United States")</f>
        <v>United States</v>
      </c>
      <c r="D354" s="4" t="str">
        <f>IFERROR(__xludf.DUMMYFUNCTION("""COMPUTED_VALUE"""),"Validated Demographic ")</f>
        <v>Validated Demographic </v>
      </c>
      <c r="E354" s="4" t="str">
        <f>IFERROR(__xludf.DUMMYFUNCTION("""COMPUTED_VALUE""")," Gender and Age Combined")</f>
        <v> Gender and Age Combined</v>
      </c>
      <c r="F354" s="4" t="str">
        <f>IFERROR(__xludf.DUMMYFUNCTION("""COMPUTED_VALUE"""),"Females 25-64")</f>
        <v>Females 25-64</v>
      </c>
      <c r="G354" s="4"/>
      <c r="H354" s="4"/>
      <c r="I354" s="5" t="s">
        <v>15</v>
      </c>
      <c r="J354" s="5" t="s">
        <v>16</v>
      </c>
      <c r="K354" s="5" t="s">
        <v>45</v>
      </c>
      <c r="L354" s="6" t="s">
        <v>539</v>
      </c>
      <c r="M354" s="5" t="s">
        <v>19</v>
      </c>
      <c r="N354" s="5" t="s">
        <v>27</v>
      </c>
      <c r="O354" s="5">
        <v>766674.0</v>
      </c>
      <c r="P354" s="5">
        <v>1984.0</v>
      </c>
      <c r="Q354" s="5">
        <v>344201.0</v>
      </c>
      <c r="R354" s="5">
        <v>720606.0</v>
      </c>
      <c r="S354" s="5">
        <v>17.0</v>
      </c>
      <c r="T354" s="5">
        <v>5816.234619</v>
      </c>
    </row>
    <row r="355">
      <c r="A355" s="4" t="s">
        <v>549</v>
      </c>
      <c r="B355" s="4" t="str">
        <f>IFERROR(__xludf.DUMMYFUNCTION("SPLIT(A355:A1081, ""&gt;"")"),"Online Behavior")</f>
        <v>Online Behavior</v>
      </c>
      <c r="C355" s="4" t="str">
        <f>IFERROR(__xludf.DUMMYFUNCTION("""COMPUTED_VALUE"""),"United States")</f>
        <v>United States</v>
      </c>
      <c r="D355" s="4" t="str">
        <f>IFERROR(__xludf.DUMMYFUNCTION("""COMPUTED_VALUE"""),"The Changing Consumer")</f>
        <v>The Changing Consumer</v>
      </c>
      <c r="E355" s="4" t="str">
        <f>IFERROR(__xludf.DUMMYFUNCTION("""COMPUTED_VALUE"""),"Home Entertaining")</f>
        <v>Home Entertaining</v>
      </c>
      <c r="F355" s="4"/>
      <c r="G355" s="4"/>
      <c r="H355" s="4"/>
      <c r="I355" s="5" t="s">
        <v>15</v>
      </c>
      <c r="J355" s="5" t="s">
        <v>23</v>
      </c>
      <c r="K355" s="5" t="s">
        <v>131</v>
      </c>
      <c r="L355" s="6" t="s">
        <v>539</v>
      </c>
      <c r="M355" s="5" t="s">
        <v>19</v>
      </c>
      <c r="N355" s="5" t="s">
        <v>27</v>
      </c>
      <c r="O355" s="5">
        <v>14730.0</v>
      </c>
      <c r="P355" s="5">
        <v>86.0</v>
      </c>
      <c r="Q355" s="5">
        <v>6410.0</v>
      </c>
      <c r="R355" s="5">
        <v>10860.0</v>
      </c>
      <c r="S355" s="5">
        <v>6.0</v>
      </c>
      <c r="T355" s="5">
        <v>5287.567528</v>
      </c>
    </row>
    <row r="356">
      <c r="A356" s="4" t="s">
        <v>1381</v>
      </c>
      <c r="B356" s="4" t="str">
        <f>IFERROR(__xludf.DUMMYFUNCTION("SPLIT(A356:A1082, ""&gt;"")"),"Online Behavior")</f>
        <v>Online Behavior</v>
      </c>
      <c r="C356" s="4" t="str">
        <f>IFERROR(__xludf.DUMMYFUNCTION("""COMPUTED_VALUE"""),"United States")</f>
        <v>United States</v>
      </c>
      <c r="D356" s="4" t="str">
        <f>IFERROR(__xludf.DUMMYFUNCTION("""COMPUTED_VALUE"""),"Validated Demographic ")</f>
        <v>Validated Demographic </v>
      </c>
      <c r="E356" s="4" t="str">
        <f>IFERROR(__xludf.DUMMYFUNCTION("""COMPUTED_VALUE""")," Gender and Age Combined")</f>
        <v> Gender and Age Combined</v>
      </c>
      <c r="F356" s="4" t="str">
        <f>IFERROR(__xludf.DUMMYFUNCTION("""COMPUTED_VALUE"""),"Females 18-44")</f>
        <v>Females 18-44</v>
      </c>
      <c r="G356" s="4"/>
      <c r="H356" s="4"/>
      <c r="I356" s="5" t="s">
        <v>22</v>
      </c>
      <c r="J356" s="5" t="s">
        <v>42</v>
      </c>
      <c r="K356" s="5" t="s">
        <v>121</v>
      </c>
      <c r="L356" s="6" t="s">
        <v>539</v>
      </c>
      <c r="M356" s="5" t="s">
        <v>26</v>
      </c>
      <c r="N356" s="5" t="s">
        <v>27</v>
      </c>
      <c r="O356" s="5">
        <v>207685.0</v>
      </c>
      <c r="P356" s="5">
        <v>512.0</v>
      </c>
      <c r="Q356" s="5">
        <v>20134.0</v>
      </c>
      <c r="R356" s="5">
        <v>30708.0</v>
      </c>
      <c r="S356" s="5">
        <v>34.0</v>
      </c>
      <c r="T356" s="5">
        <v>5239.204787</v>
      </c>
    </row>
    <row r="357">
      <c r="A357" s="4" t="s">
        <v>551</v>
      </c>
      <c r="B357" s="4" t="str">
        <f>IFERROR(__xludf.DUMMYFUNCTION("SPLIT(A357:A1083, ""&gt;"")"),"Online Behavior")</f>
        <v>Online Behavior</v>
      </c>
      <c r="C357" s="4" t="str">
        <f>IFERROR(__xludf.DUMMYFUNCTION("""COMPUTED_VALUE"""),"United States")</f>
        <v>United States</v>
      </c>
      <c r="D357" s="4" t="str">
        <f>IFERROR(__xludf.DUMMYFUNCTION("""COMPUTED_VALUE"""),"Food and Drink")</f>
        <v>Food and Drink</v>
      </c>
      <c r="E357" s="4" t="str">
        <f>IFERROR(__xludf.DUMMYFUNCTION("""COMPUTED_VALUE"""),"Restaurants")</f>
        <v>Restaurants</v>
      </c>
      <c r="F357" s="4"/>
      <c r="G357" s="4"/>
      <c r="H357" s="4"/>
      <c r="I357" s="5" t="s">
        <v>15</v>
      </c>
      <c r="J357" s="5" t="s">
        <v>23</v>
      </c>
      <c r="K357" s="5" t="s">
        <v>17</v>
      </c>
      <c r="L357" s="6" t="s">
        <v>539</v>
      </c>
      <c r="M357" s="5" t="s">
        <v>80</v>
      </c>
      <c r="N357" s="5" t="s">
        <v>27</v>
      </c>
      <c r="O357" s="5">
        <v>908899.0</v>
      </c>
      <c r="P357" s="5">
        <v>1984.0</v>
      </c>
      <c r="Q357" s="5">
        <v>644697.0</v>
      </c>
      <c r="R357" s="5">
        <v>853964.0</v>
      </c>
      <c r="S357" s="5">
        <v>32.0</v>
      </c>
      <c r="T357" s="5">
        <v>5181.087383</v>
      </c>
    </row>
    <row r="358">
      <c r="A358" s="4" t="s">
        <v>1382</v>
      </c>
      <c r="B358" s="4" t="str">
        <f>IFERROR(__xludf.DUMMYFUNCTION("SPLIT(A358:A1084, ""&gt;"")"),"Online Behavior")</f>
        <v>Online Behavior</v>
      </c>
      <c r="C358" s="4" t="str">
        <f>IFERROR(__xludf.DUMMYFUNCTION("""COMPUTED_VALUE"""),"United States")</f>
        <v>United States</v>
      </c>
      <c r="D358" s="4" t="str">
        <f>IFERROR(__xludf.DUMMYFUNCTION("""COMPUTED_VALUE"""),"Sports")</f>
        <v>Sports</v>
      </c>
      <c r="E358" s="4" t="str">
        <f>IFERROR(__xludf.DUMMYFUNCTION("""COMPUTED_VALUE"""),"Winter Sports ")</f>
        <v>Winter Sports </v>
      </c>
      <c r="F358" s="4" t="str">
        <f>IFERROR(__xludf.DUMMYFUNCTION("""COMPUTED_VALUE""")," Ice Skating")</f>
        <v> Ice Skating</v>
      </c>
      <c r="G358" s="4"/>
      <c r="H358" s="4"/>
      <c r="I358" s="5" t="s">
        <v>15</v>
      </c>
      <c r="J358" s="5" t="s">
        <v>31</v>
      </c>
      <c r="K358" s="5" t="s">
        <v>35</v>
      </c>
      <c r="L358" s="6" t="s">
        <v>539</v>
      </c>
      <c r="M358" s="5" t="s">
        <v>19</v>
      </c>
      <c r="N358" s="5" t="s">
        <v>27</v>
      </c>
      <c r="O358" s="5">
        <v>470192.0</v>
      </c>
      <c r="P358" s="5">
        <v>940.0</v>
      </c>
      <c r="Q358" s="5">
        <v>336480.0</v>
      </c>
      <c r="R358" s="5">
        <v>443202.0</v>
      </c>
      <c r="S358" s="5">
        <v>3.0</v>
      </c>
      <c r="T358" s="5">
        <v>4963.966251</v>
      </c>
    </row>
    <row r="359">
      <c r="A359" s="4" t="s">
        <v>1844</v>
      </c>
      <c r="B359" s="4" t="str">
        <f>IFERROR(__xludf.DUMMYFUNCTION("SPLIT(A359:A1085, ""&gt;"")"),"US ")</f>
        <v>US </v>
      </c>
      <c r="C359" s="4" t="str">
        <f>IFERROR(__xludf.DUMMYFUNCTION("""COMPUTED_VALUE""")," Reach ")</f>
        <v> Reach </v>
      </c>
      <c r="D359" s="4" t="str">
        <f>IFERROR(__xludf.DUMMYFUNCTION("""COMPUTED_VALUE""")," Propensity Models ")</f>
        <v> Propensity Models </v>
      </c>
      <c r="E359" s="4" t="str">
        <f>IFERROR(__xludf.DUMMYFUNCTION("""COMPUTED_VALUE""")," Hobbies and Interest ")</f>
        <v> Hobbies and Interest </v>
      </c>
      <c r="F359" s="4" t="str">
        <f>IFERROR(__xludf.DUMMYFUNCTION("""COMPUTED_VALUE""")," Sports ")</f>
        <v> Sports </v>
      </c>
      <c r="G359" s="4" t="str">
        <f>IFERROR(__xludf.DUMMYFUNCTION("""COMPUTED_VALUE""")," PGA Tour Enthusiast")</f>
        <v> PGA Tour Enthusiast</v>
      </c>
      <c r="H359" s="4"/>
      <c r="I359" s="5" t="s">
        <v>22</v>
      </c>
      <c r="J359" s="5" t="s">
        <v>31</v>
      </c>
      <c r="K359" s="5" t="s">
        <v>78</v>
      </c>
      <c r="L359" s="6" t="s">
        <v>539</v>
      </c>
      <c r="M359" s="5" t="s">
        <v>26</v>
      </c>
      <c r="N359" s="5" t="s">
        <v>27</v>
      </c>
      <c r="O359" s="5">
        <v>65257.0</v>
      </c>
      <c r="P359" s="5">
        <v>201.0</v>
      </c>
      <c r="Q359" s="5">
        <v>12749.0</v>
      </c>
      <c r="R359" s="5">
        <v>19274.0</v>
      </c>
      <c r="S359" s="5">
        <v>3.0</v>
      </c>
      <c r="T359" s="5">
        <v>2468.135837</v>
      </c>
    </row>
    <row r="360">
      <c r="A360" s="4" t="s">
        <v>1845</v>
      </c>
      <c r="B360" s="4" t="str">
        <f>IFERROR(__xludf.DUMMYFUNCTION("SPLIT(A360:A1086, ""&gt;"")"),"US ")</f>
        <v>US </v>
      </c>
      <c r="C360" s="4" t="str">
        <f>IFERROR(__xludf.DUMMYFUNCTION("""COMPUTED_VALUE""")," Sociodemographic ")</f>
        <v> Sociodemographic </v>
      </c>
      <c r="D360" s="4" t="str">
        <f>IFERROR(__xludf.DUMMYFUNCTION("""COMPUTED_VALUE""")," ConneXions Lifestage ")</f>
        <v> ConneXions Lifestage </v>
      </c>
      <c r="E360" s="4" t="str">
        <f>IFERROR(__xludf.DUMMYFUNCTION("""COMPUTED_VALUE""")," M4 Elderly Traditionalists")</f>
        <v> M4 Elderly Traditionalists</v>
      </c>
      <c r="F360" s="4"/>
      <c r="G360" s="4"/>
      <c r="H360" s="4"/>
      <c r="I360" s="5" t="s">
        <v>22</v>
      </c>
      <c r="J360" s="5" t="s">
        <v>23</v>
      </c>
      <c r="K360" s="5" t="s">
        <v>66</v>
      </c>
      <c r="L360" s="6" t="s">
        <v>539</v>
      </c>
      <c r="M360" s="5" t="s">
        <v>19</v>
      </c>
      <c r="N360" s="5" t="s">
        <v>27</v>
      </c>
      <c r="O360" s="5">
        <v>31003.0</v>
      </c>
      <c r="P360" s="5">
        <v>87.0</v>
      </c>
      <c r="Q360" s="5">
        <v>12591.0</v>
      </c>
      <c r="R360" s="5">
        <v>22656.0</v>
      </c>
      <c r="S360" s="5">
        <v>8.0</v>
      </c>
      <c r="T360" s="5">
        <v>2294.003778</v>
      </c>
    </row>
    <row r="361">
      <c r="A361" s="4" t="s">
        <v>1846</v>
      </c>
      <c r="B361" s="4" t="str">
        <f>IFERROR(__xludf.DUMMYFUNCTION("SPLIT(A361:A1087, ""&gt;"")"),"US ")</f>
        <v>US </v>
      </c>
      <c r="C361" s="4" t="str">
        <f>IFERROR(__xludf.DUMMYFUNCTION("""COMPUTED_VALUE""")," Reach ")</f>
        <v> Reach </v>
      </c>
      <c r="D361" s="4" t="str">
        <f>IFERROR(__xludf.DUMMYFUNCTION("""COMPUTED_VALUE""")," Propensity Models ")</f>
        <v> Propensity Models </v>
      </c>
      <c r="E361" s="4" t="str">
        <f>IFERROR(__xludf.DUMMYFUNCTION("""COMPUTED_VALUE""")," Hobbies and Interest ")</f>
        <v> Hobbies and Interest </v>
      </c>
      <c r="F361" s="4" t="str">
        <f>IFERROR(__xludf.DUMMYFUNCTION("""COMPUTED_VALUE""")," Sports ")</f>
        <v> Sports </v>
      </c>
      <c r="G361" s="4" t="str">
        <f>IFERROR(__xludf.DUMMYFUNCTION("""COMPUTED_VALUE""")," NASCAR Enthusiast")</f>
        <v> NASCAR Enthusiast</v>
      </c>
      <c r="H361" s="4"/>
      <c r="I361" s="5" t="s">
        <v>15</v>
      </c>
      <c r="J361" s="5" t="s">
        <v>31</v>
      </c>
      <c r="K361" s="5" t="s">
        <v>55</v>
      </c>
      <c r="L361" s="6" t="s">
        <v>539</v>
      </c>
      <c r="M361" s="5" t="s">
        <v>19</v>
      </c>
      <c r="N361" s="5" t="s">
        <v>27</v>
      </c>
      <c r="O361" s="5">
        <v>12988.0</v>
      </c>
      <c r="P361" s="5">
        <v>69.0</v>
      </c>
      <c r="Q361" s="5">
        <v>6514.0</v>
      </c>
      <c r="R361" s="5">
        <v>9378.0</v>
      </c>
      <c r="S361" s="5">
        <v>4.0</v>
      </c>
      <c r="T361" s="5">
        <v>2236.485099</v>
      </c>
    </row>
    <row r="362">
      <c r="A362" s="4" t="s">
        <v>1847</v>
      </c>
      <c r="B362" s="4" t="str">
        <f>IFERROR(__xludf.DUMMYFUNCTION("SPLIT(A362:A1088, ""&gt;"")"),"Mobile - US ")</f>
        <v>Mobile - US </v>
      </c>
      <c r="C362" s="4" t="str">
        <f>IFERROR(__xludf.DUMMYFUNCTION("""COMPUTED_VALUE""")," Automotive ")</f>
        <v> Automotive </v>
      </c>
      <c r="D362" s="4" t="str">
        <f>IFERROR(__xludf.DUMMYFUNCTION("""COMPUTED_VALUE""")," Vehicle Ownership ")</f>
        <v> Vehicle Ownership </v>
      </c>
      <c r="E362" s="4" t="str">
        <f>IFERROR(__xludf.DUMMYFUNCTION("""COMPUTED_VALUE""")," yes")</f>
        <v> yes</v>
      </c>
      <c r="F362" s="4"/>
      <c r="G362" s="4"/>
      <c r="H362" s="4"/>
      <c r="I362" s="5" t="s">
        <v>61</v>
      </c>
      <c r="J362" s="5" t="s">
        <v>23</v>
      </c>
      <c r="K362" s="5" t="s">
        <v>35</v>
      </c>
      <c r="L362" s="6" t="s">
        <v>539</v>
      </c>
      <c r="M362" s="5" t="s">
        <v>19</v>
      </c>
      <c r="N362" s="5" t="s">
        <v>27</v>
      </c>
      <c r="O362" s="5">
        <v>562103.0</v>
      </c>
      <c r="P362" s="5">
        <v>1450.0</v>
      </c>
      <c r="Q362" s="5">
        <v>340616.0</v>
      </c>
      <c r="R362" s="5">
        <v>488921.0</v>
      </c>
      <c r="S362" s="5">
        <v>8.0</v>
      </c>
      <c r="T362" s="5">
        <v>1733.830172</v>
      </c>
    </row>
    <row r="363">
      <c r="A363" s="4" t="s">
        <v>1848</v>
      </c>
      <c r="B363" s="4" t="str">
        <f>IFERROR(__xludf.DUMMYFUNCTION("SPLIT(A363:A1089, ""&gt;"")"),"US ")</f>
        <v>US </v>
      </c>
      <c r="C363" s="4" t="str">
        <f>IFERROR(__xludf.DUMMYFUNCTION("""COMPUTED_VALUE""")," Brand Propensities ")</f>
        <v> Brand Propensities </v>
      </c>
      <c r="D363" s="4" t="str">
        <f>IFERROR(__xludf.DUMMYFUNCTION("""COMPUTED_VALUE""")," Media and Entertainment ")</f>
        <v> Media and Entertainment </v>
      </c>
      <c r="E363" s="4" t="str">
        <f>IFERROR(__xludf.DUMMYFUNCTION("""COMPUTED_VALUE""")," Steam Community Buyer Propensity")</f>
        <v> Steam Community Buyer Propensity</v>
      </c>
      <c r="F363" s="4"/>
      <c r="G363" s="4"/>
      <c r="H363" s="4"/>
      <c r="I363" s="5" t="s">
        <v>22</v>
      </c>
      <c r="J363" s="5" t="s">
        <v>23</v>
      </c>
      <c r="K363" s="5" t="s">
        <v>29</v>
      </c>
      <c r="L363" s="6" t="s">
        <v>539</v>
      </c>
      <c r="M363" s="5" t="s">
        <v>19</v>
      </c>
      <c r="N363" s="5" t="s">
        <v>27</v>
      </c>
      <c r="O363" s="5">
        <v>780475.0</v>
      </c>
      <c r="P363" s="5">
        <v>2186.0</v>
      </c>
      <c r="Q363" s="5">
        <v>453974.0</v>
      </c>
      <c r="R363" s="5">
        <v>691696.0</v>
      </c>
      <c r="S363" s="5">
        <v>11.0</v>
      </c>
      <c r="T363" s="5">
        <v>1726.249457</v>
      </c>
    </row>
    <row r="364">
      <c r="A364" s="4" t="s">
        <v>1388</v>
      </c>
      <c r="B364" s="4" t="str">
        <f>IFERROR(__xludf.DUMMYFUNCTION("SPLIT(A364:A1090, ""&gt;"")"),"OnAudience ")</f>
        <v>OnAudience </v>
      </c>
      <c r="C364" s="4" t="str">
        <f>IFERROR(__xludf.DUMMYFUNCTION("""COMPUTED_VALUE""")," Interest ")</f>
        <v> Interest </v>
      </c>
      <c r="D364" s="4" t="str">
        <f>IFERROR(__xludf.DUMMYFUNCTION("""COMPUTED_VALUE""")," Travel")</f>
        <v> Travel</v>
      </c>
      <c r="E364" s="4"/>
      <c r="F364" s="4"/>
      <c r="G364" s="4"/>
      <c r="H364" s="4"/>
      <c r="I364" s="5" t="s">
        <v>15</v>
      </c>
      <c r="J364" s="5" t="s">
        <v>16</v>
      </c>
      <c r="K364" s="5" t="s">
        <v>78</v>
      </c>
      <c r="L364" s="6" t="s">
        <v>539</v>
      </c>
      <c r="M364" s="5" t="s">
        <v>46</v>
      </c>
      <c r="N364" s="5" t="s">
        <v>27</v>
      </c>
      <c r="O364" s="5">
        <v>7540.0</v>
      </c>
      <c r="P364" s="5">
        <v>10.0</v>
      </c>
      <c r="Q364" s="5">
        <v>1475.0</v>
      </c>
      <c r="R364" s="5">
        <v>2054.0</v>
      </c>
      <c r="S364" s="5">
        <v>1.0</v>
      </c>
      <c r="T364" s="5">
        <v>1713.978863</v>
      </c>
    </row>
    <row r="365">
      <c r="A365" s="4" t="s">
        <v>1849</v>
      </c>
      <c r="B365" s="4" t="str">
        <f>IFERROR(__xludf.DUMMYFUNCTION("SPLIT(A365:A1091, ""&gt;"")"),"US ")</f>
        <v>US </v>
      </c>
      <c r="C365" s="4" t="str">
        <f>IFERROR(__xludf.DUMMYFUNCTION("""COMPUTED_VALUE""")," Brand Propensities ")</f>
        <v> Brand Propensities </v>
      </c>
      <c r="D365" s="4" t="str">
        <f>IFERROR(__xludf.DUMMYFUNCTION("""COMPUTED_VALUE""")," Automotive ")</f>
        <v> Automotive </v>
      </c>
      <c r="E365" s="4" t="str">
        <f>IFERROR(__xludf.DUMMYFUNCTION("""COMPUTED_VALUE""")," Tirerack.com Buyer Propensity")</f>
        <v> Tirerack.com Buyer Propensity</v>
      </c>
      <c r="F365" s="4"/>
      <c r="G365" s="4"/>
      <c r="H365" s="4"/>
      <c r="I365" s="5" t="s">
        <v>15</v>
      </c>
      <c r="J365" s="5" t="s">
        <v>23</v>
      </c>
      <c r="K365" s="5" t="s">
        <v>39</v>
      </c>
      <c r="L365" s="6" t="s">
        <v>539</v>
      </c>
      <c r="M365" s="5" t="s">
        <v>19</v>
      </c>
      <c r="N365" s="5" t="s">
        <v>27</v>
      </c>
      <c r="O365" s="5">
        <v>482834.0</v>
      </c>
      <c r="P365" s="5">
        <v>1269.0</v>
      </c>
      <c r="Q365" s="5">
        <v>292059.0</v>
      </c>
      <c r="R365" s="5">
        <v>428761.0</v>
      </c>
      <c r="S365" s="5">
        <v>7.0</v>
      </c>
      <c r="T365" s="5">
        <v>1594.463397</v>
      </c>
    </row>
    <row r="366">
      <c r="A366" s="4" t="s">
        <v>1390</v>
      </c>
      <c r="B366" s="4" t="str">
        <f>IFERROR(__xludf.DUMMYFUNCTION("SPLIT(A366:A1092, ""&gt;"")"),"Lotame ")</f>
        <v>Lotame </v>
      </c>
      <c r="C366" s="4" t="str">
        <f>IFERROR(__xludf.DUMMYFUNCTION("""COMPUTED_VALUE""")," Style, Fashion &amp; Clothing ")</f>
        <v> Style, Fashion &amp; Clothing </v>
      </c>
      <c r="D366" s="4" t="str">
        <f>IFERROR(__xludf.DUMMYFUNCTION("""COMPUTED_VALUE""")," Clothing Shoppers")</f>
        <v> Clothing Shoppers</v>
      </c>
      <c r="E366" s="4"/>
      <c r="F366" s="4"/>
      <c r="G366" s="4"/>
      <c r="H366" s="4"/>
      <c r="I366" s="5" t="s">
        <v>15</v>
      </c>
      <c r="J366" s="5" t="s">
        <v>16</v>
      </c>
      <c r="K366" s="5" t="s">
        <v>39</v>
      </c>
      <c r="L366" s="6" t="s">
        <v>539</v>
      </c>
      <c r="M366" s="5" t="s">
        <v>117</v>
      </c>
      <c r="N366" s="5" t="s">
        <v>27</v>
      </c>
      <c r="O366" s="5">
        <v>19464.0</v>
      </c>
      <c r="P366" s="5">
        <v>68.0</v>
      </c>
      <c r="Q366" s="5">
        <v>11814.0</v>
      </c>
      <c r="R366" s="5">
        <v>17040.0</v>
      </c>
      <c r="S366" s="5">
        <v>9.0</v>
      </c>
      <c r="T366" s="5">
        <v>1540.46935</v>
      </c>
    </row>
    <row r="367">
      <c r="A367" s="4" t="s">
        <v>1391</v>
      </c>
      <c r="B367" s="4" t="str">
        <f>IFERROR(__xludf.DUMMYFUNCTION("SPLIT(A367:A1093, ""&gt;"")"),"Transactional ")</f>
        <v>Transactional </v>
      </c>
      <c r="C367" s="4" t="str">
        <f>IFERROR(__xludf.DUMMYFUNCTION("""COMPUTED_VALUE""")," Q3 Home Entertainers")</f>
        <v> Q3 Home Entertainers</v>
      </c>
      <c r="D367" s="4"/>
      <c r="E367" s="4"/>
      <c r="F367" s="4"/>
      <c r="G367" s="4"/>
      <c r="H367" s="4"/>
      <c r="I367" s="5" t="s">
        <v>22</v>
      </c>
      <c r="J367" s="5" t="s">
        <v>16</v>
      </c>
      <c r="K367" s="5" t="s">
        <v>17</v>
      </c>
      <c r="L367" s="6" t="s">
        <v>539</v>
      </c>
      <c r="M367" s="5" t="s">
        <v>26</v>
      </c>
      <c r="N367" s="5" t="s">
        <v>27</v>
      </c>
      <c r="O367" s="5">
        <v>50838.0</v>
      </c>
      <c r="P367" s="5">
        <v>130.0</v>
      </c>
      <c r="Q367" s="5">
        <v>23274.0</v>
      </c>
      <c r="R367" s="5">
        <v>35934.0</v>
      </c>
      <c r="S367" s="5">
        <v>11.0</v>
      </c>
      <c r="T367" s="5">
        <v>1521.372273</v>
      </c>
    </row>
    <row r="368">
      <c r="A368" s="4" t="s">
        <v>1392</v>
      </c>
      <c r="B368" s="4" t="str">
        <f>IFERROR(__xludf.DUMMYFUNCTION("SPLIT(A368:A1094, ""&gt;"")"),"Travel and Tourism ")</f>
        <v>Travel and Tourism </v>
      </c>
      <c r="C368" s="4" t="str">
        <f>IFERROR(__xludf.DUMMYFUNCTION("""COMPUTED_VALUE""")," Interest (Affinity) ")</f>
        <v> Interest (Affinity) </v>
      </c>
      <c r="D368" s="4" t="str">
        <f>IFERROR(__xludf.DUMMYFUNCTION("""COMPUTED_VALUE""")," Products ")</f>
        <v> Products </v>
      </c>
      <c r="E368" s="4" t="str">
        <f>IFERROR(__xludf.DUMMYFUNCTION("""COMPUTED_VALUE""")," Hotels and Lodging")</f>
        <v> Hotels and Lodging</v>
      </c>
      <c r="F368" s="4"/>
      <c r="G368" s="4"/>
      <c r="H368" s="4"/>
      <c r="I368" s="5" t="s">
        <v>15</v>
      </c>
      <c r="J368" s="5" t="s">
        <v>23</v>
      </c>
      <c r="K368" s="5" t="s">
        <v>55</v>
      </c>
      <c r="L368" s="6" t="s">
        <v>539</v>
      </c>
      <c r="M368" s="5" t="s">
        <v>136</v>
      </c>
      <c r="N368" s="5" t="s">
        <v>27</v>
      </c>
      <c r="O368" s="5">
        <v>679098.0</v>
      </c>
      <c r="P368" s="5">
        <v>1984.0</v>
      </c>
      <c r="Q368" s="5">
        <v>467726.0</v>
      </c>
      <c r="R368" s="5">
        <v>634589.0</v>
      </c>
      <c r="S368" s="5">
        <v>9.0</v>
      </c>
      <c r="T368" s="5">
        <v>1477.424856</v>
      </c>
    </row>
    <row r="369">
      <c r="A369" s="4" t="s">
        <v>1850</v>
      </c>
      <c r="B369" s="4" t="str">
        <f>IFERROR(__xludf.DUMMYFUNCTION("SPLIT(A369:A1095, ""&gt;"")"),"US ")</f>
        <v>US </v>
      </c>
      <c r="C369" s="4" t="str">
        <f>IFERROR(__xludf.DUMMYFUNCTION("""COMPUTED_VALUE""")," Demographic ")</f>
        <v> Demographic </v>
      </c>
      <c r="D369" s="4" t="str">
        <f>IFERROR(__xludf.DUMMYFUNCTION("""COMPUTED_VALUE""")," Family ")</f>
        <v> Family </v>
      </c>
      <c r="E369" s="4" t="str">
        <f>IFERROR(__xludf.DUMMYFUNCTION("""COMPUTED_VALUE""")," Households with 3 Adults")</f>
        <v> Households with 3 Adults</v>
      </c>
      <c r="F369" s="4"/>
      <c r="G369" s="4"/>
      <c r="H369" s="4"/>
      <c r="I369" s="5" t="s">
        <v>15</v>
      </c>
      <c r="J369" s="5" t="s">
        <v>42</v>
      </c>
      <c r="K369" s="5" t="s">
        <v>29</v>
      </c>
      <c r="L369" s="6" t="s">
        <v>539</v>
      </c>
      <c r="M369" s="5" t="s">
        <v>19</v>
      </c>
      <c r="N369" s="5" t="s">
        <v>52</v>
      </c>
      <c r="O369" s="5">
        <v>32436.0</v>
      </c>
      <c r="P369" s="5">
        <v>56.0</v>
      </c>
      <c r="Q369" s="5">
        <v>17531.0</v>
      </c>
      <c r="R369" s="5">
        <v>28429.0</v>
      </c>
      <c r="S369" s="5">
        <v>6.0</v>
      </c>
      <c r="T369" s="5">
        <v>1470.670167</v>
      </c>
    </row>
    <row r="370">
      <c r="A370" s="4" t="s">
        <v>1394</v>
      </c>
      <c r="B370" s="4" t="str">
        <f>IFERROR(__xludf.DUMMYFUNCTION("SPLIT(A370:A1096, ""&gt;"")"),"Online Behavior")</f>
        <v>Online Behavior</v>
      </c>
      <c r="C370" s="4" t="str">
        <f>IFERROR(__xludf.DUMMYFUNCTION("""COMPUTED_VALUE"""),"United States")</f>
        <v>United States</v>
      </c>
      <c r="D370" s="4" t="str">
        <f>IFERROR(__xludf.DUMMYFUNCTION("""COMPUTED_VALUE"""),"Intent ")</f>
        <v>Intent </v>
      </c>
      <c r="E370" s="4" t="str">
        <f>IFERROR(__xludf.DUMMYFUNCTION("""COMPUTED_VALUE""")," Shopping")</f>
        <v> Shopping</v>
      </c>
      <c r="F370" s="4" t="str">
        <f>IFERROR(__xludf.DUMMYFUNCTION("""COMPUTED_VALUE"""),"Entertainment")</f>
        <v>Entertainment</v>
      </c>
      <c r="G370" s="4"/>
      <c r="H370" s="4"/>
      <c r="I370" s="5" t="s">
        <v>61</v>
      </c>
      <c r="J370" s="5" t="s">
        <v>23</v>
      </c>
      <c r="K370" s="5" t="s">
        <v>78</v>
      </c>
      <c r="L370" s="6" t="s">
        <v>565</v>
      </c>
      <c r="M370" s="5" t="s">
        <v>117</v>
      </c>
      <c r="N370" s="5" t="s">
        <v>27</v>
      </c>
      <c r="O370" s="5">
        <v>11734.0</v>
      </c>
      <c r="P370" s="5">
        <v>78.0</v>
      </c>
      <c r="Q370" s="5">
        <v>8741.0</v>
      </c>
      <c r="R370" s="5">
        <v>10606.0</v>
      </c>
      <c r="S370" s="5">
        <v>5.0</v>
      </c>
      <c r="T370" s="5">
        <v>6439.283498</v>
      </c>
    </row>
    <row r="371">
      <c r="A371" s="4" t="s">
        <v>566</v>
      </c>
      <c r="B371" s="4" t="str">
        <f>IFERROR(__xludf.DUMMYFUNCTION("SPLIT(A371:A1097, ""&gt;"")"),"Online Behavior")</f>
        <v>Online Behavior</v>
      </c>
      <c r="C371" s="4" t="str">
        <f>IFERROR(__xludf.DUMMYFUNCTION("""COMPUTED_VALUE"""),"United States")</f>
        <v>United States</v>
      </c>
      <c r="D371" s="4" t="str">
        <f>IFERROR(__xludf.DUMMYFUNCTION("""COMPUTED_VALUE"""),"The Changing Consumer")</f>
        <v>The Changing Consumer</v>
      </c>
      <c r="E371" s="4" t="str">
        <f>IFERROR(__xludf.DUMMYFUNCTION("""COMPUTED_VALUE"""),"Personal Budgeting")</f>
        <v>Personal Budgeting</v>
      </c>
      <c r="F371" s="4"/>
      <c r="G371" s="4"/>
      <c r="H371" s="4"/>
      <c r="I371" s="5" t="s">
        <v>22</v>
      </c>
      <c r="J371" s="5" t="s">
        <v>23</v>
      </c>
      <c r="K371" s="5" t="s">
        <v>147</v>
      </c>
      <c r="L371" s="6" t="s">
        <v>565</v>
      </c>
      <c r="M371" s="5" t="s">
        <v>36</v>
      </c>
      <c r="N371" s="5" t="s">
        <v>27</v>
      </c>
      <c r="O371" s="5">
        <v>27371.0</v>
      </c>
      <c r="P371" s="5">
        <v>60.0</v>
      </c>
      <c r="Q371" s="5">
        <v>22256.0</v>
      </c>
      <c r="R371" s="5">
        <v>25986.0</v>
      </c>
      <c r="S371" s="5">
        <v>5.0</v>
      </c>
      <c r="T371" s="5">
        <v>4984.485583</v>
      </c>
    </row>
    <row r="372">
      <c r="A372" s="4" t="s">
        <v>1851</v>
      </c>
      <c r="B372" s="4" t="str">
        <f>IFERROR(__xludf.DUMMYFUNCTION("SPLIT(A372:A1098, ""&gt;"")"),"Mobile - US ")</f>
        <v>Mobile - US </v>
      </c>
      <c r="C372" s="4" t="str">
        <f>IFERROR(__xludf.DUMMYFUNCTION("""COMPUTED_VALUE""")," Food ")</f>
        <v> Food </v>
      </c>
      <c r="D372" s="4" t="str">
        <f>IFERROR(__xludf.DUMMYFUNCTION("""COMPUTED_VALUE""")," Restaurant ")</f>
        <v> Restaurant </v>
      </c>
      <c r="E372" s="4" t="str">
        <f>IFERROR(__xludf.DUMMYFUNCTION("""COMPUTED_VALUE""")," Brand ")</f>
        <v> Brand </v>
      </c>
      <c r="F372" s="4" t="str">
        <f>IFERROR(__xludf.DUMMYFUNCTION("""COMPUTED_VALUE""")," Moes Southwest Grill")</f>
        <v> Moes Southwest Grill</v>
      </c>
      <c r="G372" s="4"/>
      <c r="H372" s="4"/>
      <c r="I372" s="5" t="s">
        <v>22</v>
      </c>
      <c r="J372" s="5" t="s">
        <v>23</v>
      </c>
      <c r="K372" s="5" t="s">
        <v>84</v>
      </c>
      <c r="L372" s="6" t="s">
        <v>565</v>
      </c>
      <c r="M372" s="5" t="s">
        <v>117</v>
      </c>
      <c r="N372" s="5" t="s">
        <v>27</v>
      </c>
      <c r="O372" s="5">
        <v>21903.0</v>
      </c>
      <c r="P372" s="5">
        <v>124.0</v>
      </c>
      <c r="Q372" s="5">
        <v>18831.0</v>
      </c>
      <c r="R372" s="5">
        <v>20922.0</v>
      </c>
      <c r="S372" s="5">
        <v>4.0</v>
      </c>
      <c r="T372" s="5">
        <v>1661.167909</v>
      </c>
    </row>
    <row r="373">
      <c r="A373" s="4" t="s">
        <v>1396</v>
      </c>
      <c r="B373" s="4" t="str">
        <f>IFERROR(__xludf.DUMMYFUNCTION("SPLIT(A373:A1099, ""&gt;"")"),"Online Behavior")</f>
        <v>Online Behavior</v>
      </c>
      <c r="C373" s="4" t="str">
        <f>IFERROR(__xludf.DUMMYFUNCTION("""COMPUTED_VALUE"""),"United States")</f>
        <v>United States</v>
      </c>
      <c r="D373" s="4" t="str">
        <f>IFERROR(__xludf.DUMMYFUNCTION("""COMPUTED_VALUE"""),"Validated Demographic ")</f>
        <v>Validated Demographic </v>
      </c>
      <c r="E373" s="4" t="str">
        <f>IFERROR(__xludf.DUMMYFUNCTION("""COMPUTED_VALUE""")," Gender and Age Combined")</f>
        <v> Gender and Age Combined</v>
      </c>
      <c r="F373" s="4" t="str">
        <f>IFERROR(__xludf.DUMMYFUNCTION("""COMPUTED_VALUE"""),"Males 25-54")</f>
        <v>Males 25-54</v>
      </c>
      <c r="G373" s="4"/>
      <c r="H373" s="4"/>
      <c r="I373" s="5" t="s">
        <v>15</v>
      </c>
      <c r="J373" s="5" t="s">
        <v>16</v>
      </c>
      <c r="K373" s="5" t="s">
        <v>35</v>
      </c>
      <c r="L373" s="6" t="s">
        <v>569</v>
      </c>
      <c r="M373" s="5" t="s">
        <v>184</v>
      </c>
      <c r="N373" s="5" t="s">
        <v>27</v>
      </c>
      <c r="O373" s="5">
        <v>9725.0</v>
      </c>
      <c r="P373" s="5">
        <v>80.0</v>
      </c>
      <c r="Q373" s="5">
        <v>6616.0</v>
      </c>
      <c r="R373" s="5">
        <v>8778.0</v>
      </c>
      <c r="S373" s="5">
        <v>1.0</v>
      </c>
      <c r="T373" s="5">
        <v>4942.283987</v>
      </c>
    </row>
    <row r="374">
      <c r="A374" s="4" t="s">
        <v>570</v>
      </c>
      <c r="B374" s="4" t="str">
        <f>IFERROR(__xludf.DUMMYFUNCTION("SPLIT(A374:A1100, ""&gt;"")"),"Online Behavior")</f>
        <v>Online Behavior</v>
      </c>
      <c r="C374" s="4" t="str">
        <f>IFERROR(__xludf.DUMMYFUNCTION("""COMPUTED_VALUE"""),"United States")</f>
        <v>United States</v>
      </c>
      <c r="D374" s="4" t="str">
        <f>IFERROR(__xludf.DUMMYFUNCTION("""COMPUTED_VALUE"""),"Travel")</f>
        <v>Travel</v>
      </c>
      <c r="E374" s="4" t="str">
        <f>IFERROR(__xludf.DUMMYFUNCTION("""COMPUTED_VALUE"""),"Business Travel")</f>
        <v>Business Travel</v>
      </c>
      <c r="F374" s="4"/>
      <c r="G374" s="4"/>
      <c r="H374" s="4"/>
      <c r="I374" s="5" t="s">
        <v>22</v>
      </c>
      <c r="J374" s="5" t="s">
        <v>23</v>
      </c>
      <c r="K374" s="5" t="s">
        <v>35</v>
      </c>
      <c r="L374" s="6" t="s">
        <v>569</v>
      </c>
      <c r="M374" s="5" t="s">
        <v>19</v>
      </c>
      <c r="N374" s="5" t="s">
        <v>27</v>
      </c>
      <c r="O374" s="5">
        <v>45965.0</v>
      </c>
      <c r="P374" s="5">
        <v>190.0</v>
      </c>
      <c r="Q374" s="5">
        <v>10028.0</v>
      </c>
      <c r="R374" s="5">
        <v>37295.0</v>
      </c>
      <c r="S374" s="5">
        <v>1.0</v>
      </c>
      <c r="T374" s="5">
        <v>4718.836114</v>
      </c>
    </row>
    <row r="375">
      <c r="A375" s="4" t="s">
        <v>1852</v>
      </c>
      <c r="B375" s="4" t="str">
        <f>IFERROR(__xludf.DUMMYFUNCTION("SPLIT(A375:A1101, ""&gt;"")"),"US Financial ")</f>
        <v>US Financial </v>
      </c>
      <c r="C375" s="4" t="str">
        <f>IFERROR(__xludf.DUMMYFUNCTION("""COMPUTED_VALUE""")," Likely In Market Timing ")</f>
        <v> Likely In Market Timing </v>
      </c>
      <c r="D375" s="4" t="str">
        <f>IFERROR(__xludf.DUMMYFUNCTION("""COMPUTED_VALUE""")," Not At All Likely to Purchase ")</f>
        <v> Not At All Likely to Purchase </v>
      </c>
      <c r="E375" s="4" t="str">
        <f>IFERROR(__xludf.DUMMYFUNCTION("""COMPUTED_VALUE""")," Second House/Residence In The Next Year (Financial)")</f>
        <v> Second House/Residence In The Next Year (Financial)</v>
      </c>
      <c r="F375" s="4"/>
      <c r="G375" s="4"/>
      <c r="H375" s="4"/>
      <c r="I375" s="5" t="s">
        <v>15</v>
      </c>
      <c r="J375" s="5" t="s">
        <v>31</v>
      </c>
      <c r="K375" s="5" t="s">
        <v>17</v>
      </c>
      <c r="L375" s="6" t="s">
        <v>572</v>
      </c>
      <c r="M375" s="5" t="s">
        <v>19</v>
      </c>
      <c r="N375" s="5" t="s">
        <v>27</v>
      </c>
      <c r="O375" s="5">
        <v>8944.0</v>
      </c>
      <c r="P375" s="5">
        <v>45.0</v>
      </c>
      <c r="Q375" s="5">
        <v>3002.0</v>
      </c>
      <c r="R375" s="5">
        <v>6361.0</v>
      </c>
      <c r="S375" s="5">
        <v>6.0</v>
      </c>
      <c r="T375" s="5">
        <v>1755.484542</v>
      </c>
    </row>
    <row r="376">
      <c r="A376" s="4" t="s">
        <v>1399</v>
      </c>
      <c r="B376" s="4" t="str">
        <f>IFERROR(__xludf.DUMMYFUNCTION("SPLIT(A376:A1102, ""&gt;"")"),"Online Behavior")</f>
        <v>Online Behavior</v>
      </c>
      <c r="C376" s="4" t="str">
        <f>IFERROR(__xludf.DUMMYFUNCTION("""COMPUTED_VALUE"""),"United States")</f>
        <v>United States</v>
      </c>
      <c r="D376" s="4" t="str">
        <f>IFERROR(__xludf.DUMMYFUNCTION("""COMPUTED_VALUE"""),"Hobbies and Leisure")</f>
        <v>Hobbies and Leisure</v>
      </c>
      <c r="E376" s="4" t="str">
        <f>IFERROR(__xludf.DUMMYFUNCTION("""COMPUTED_VALUE"""),"Special Occasions ")</f>
        <v>Special Occasions </v>
      </c>
      <c r="F376" s="4" t="str">
        <f>IFERROR(__xludf.DUMMYFUNCTION("""COMPUTED_VALUE""")," Party Planning")</f>
        <v> Party Planning</v>
      </c>
      <c r="G376" s="4"/>
      <c r="H376" s="4"/>
      <c r="I376" s="5" t="s">
        <v>15</v>
      </c>
      <c r="J376" s="5" t="s">
        <v>42</v>
      </c>
      <c r="K376" s="5" t="s">
        <v>29</v>
      </c>
      <c r="L376" s="6" t="s">
        <v>574</v>
      </c>
      <c r="M376" s="5" t="s">
        <v>117</v>
      </c>
      <c r="N376" s="5" t="s">
        <v>27</v>
      </c>
      <c r="O376" s="5">
        <v>14398.0</v>
      </c>
      <c r="P376" s="5">
        <v>30.0</v>
      </c>
      <c r="Q376" s="5">
        <v>2807.0</v>
      </c>
      <c r="R376" s="5">
        <v>13393.0</v>
      </c>
      <c r="S376" s="5">
        <v>7.0</v>
      </c>
      <c r="T376" s="5">
        <v>5154.644555</v>
      </c>
    </row>
    <row r="377">
      <c r="A377" s="4" t="s">
        <v>1400</v>
      </c>
      <c r="B377" s="4" t="str">
        <f>IFERROR(__xludf.DUMMYFUNCTION("SPLIT(A377:A1103, ""&gt;"")"),"Online Behavior")</f>
        <v>Online Behavior</v>
      </c>
      <c r="C377" s="4" t="str">
        <f>IFERROR(__xludf.DUMMYFUNCTION("""COMPUTED_VALUE"""),"United States")</f>
        <v>United States</v>
      </c>
      <c r="D377" s="4" t="str">
        <f>IFERROR(__xludf.DUMMYFUNCTION("""COMPUTED_VALUE"""),"Sports")</f>
        <v>Sports</v>
      </c>
      <c r="E377" s="4" t="str">
        <f>IFERROR(__xludf.DUMMYFUNCTION("""COMPUTED_VALUE"""),"Individual Sports ")</f>
        <v>Individual Sports </v>
      </c>
      <c r="F377" s="4" t="str">
        <f>IFERROR(__xludf.DUMMYFUNCTION("""COMPUTED_VALUE""")," Skate Sports")</f>
        <v> Skate Sports</v>
      </c>
      <c r="G377" s="4"/>
      <c r="H377" s="4"/>
      <c r="I377" s="5" t="s">
        <v>22</v>
      </c>
      <c r="J377" s="5" t="s">
        <v>23</v>
      </c>
      <c r="K377" s="5" t="s">
        <v>214</v>
      </c>
      <c r="L377" s="6" t="s">
        <v>576</v>
      </c>
      <c r="M377" s="5" t="s">
        <v>50</v>
      </c>
      <c r="N377" s="5" t="s">
        <v>27</v>
      </c>
      <c r="O377" s="5">
        <v>117879.0</v>
      </c>
      <c r="P377" s="5">
        <v>390.0</v>
      </c>
      <c r="Q377" s="5">
        <v>52098.0</v>
      </c>
      <c r="R377" s="5">
        <v>86127.0</v>
      </c>
      <c r="S377" s="5">
        <v>1.0</v>
      </c>
      <c r="T377" s="5">
        <v>5102.706729</v>
      </c>
    </row>
    <row r="378">
      <c r="A378" s="4" t="s">
        <v>1853</v>
      </c>
      <c r="B378" s="4" t="str">
        <f>IFERROR(__xludf.DUMMYFUNCTION("SPLIT(A378:A1104, ""&gt;"")"),"US ")</f>
        <v>US </v>
      </c>
      <c r="C378" s="4" t="str">
        <f>IFERROR(__xludf.DUMMYFUNCTION("""COMPUTED_VALUE""")," Reach ")</f>
        <v> Reach </v>
      </c>
      <c r="D378" s="4" t="str">
        <f>IFERROR(__xludf.DUMMYFUNCTION("""COMPUTED_VALUE""")," Propensity Models ")</f>
        <v> Propensity Models </v>
      </c>
      <c r="E378" s="4" t="str">
        <f>IFERROR(__xludf.DUMMYFUNCTION("""COMPUTED_VALUE""")," Hobbies and Interest ")</f>
        <v> Hobbies and Interest </v>
      </c>
      <c r="F378" s="4" t="str">
        <f>IFERROR(__xludf.DUMMYFUNCTION("""COMPUTED_VALUE""")," Sports ")</f>
        <v> Sports </v>
      </c>
      <c r="G378" s="4" t="str">
        <f>IFERROR(__xludf.DUMMYFUNCTION("""COMPUTED_VALUE""")," NFL Enthusiast")</f>
        <v> NFL Enthusiast</v>
      </c>
      <c r="H378" s="4"/>
      <c r="I378" s="5" t="s">
        <v>15</v>
      </c>
      <c r="J378" s="5" t="s">
        <v>31</v>
      </c>
      <c r="K378" s="5" t="s">
        <v>32</v>
      </c>
      <c r="L378" s="6" t="s">
        <v>578</v>
      </c>
      <c r="M378" s="5" t="s">
        <v>19</v>
      </c>
      <c r="N378" s="5" t="s">
        <v>27</v>
      </c>
      <c r="O378" s="5">
        <v>22444.0</v>
      </c>
      <c r="P378" s="5">
        <v>160.0</v>
      </c>
      <c r="Q378" s="5">
        <v>12672.0</v>
      </c>
      <c r="R378" s="5">
        <v>21345.0</v>
      </c>
      <c r="S378" s="5">
        <v>5.0</v>
      </c>
      <c r="T378" s="5">
        <v>2539.200563</v>
      </c>
    </row>
    <row r="379">
      <c r="A379" s="4" t="s">
        <v>1854</v>
      </c>
      <c r="B379" s="4" t="str">
        <f>IFERROR(__xludf.DUMMYFUNCTION("SPLIT(A379:A1105, ""&gt;"")"),"Mobile - US ")</f>
        <v>Mobile - US </v>
      </c>
      <c r="C379" s="4" t="str">
        <f>IFERROR(__xludf.DUMMYFUNCTION("""COMPUTED_VALUE""")," Device Ownership ")</f>
        <v> Device Ownership </v>
      </c>
      <c r="D379" s="4" t="str">
        <f>IFERROR(__xludf.DUMMYFUNCTION("""COMPUTED_VALUE""")," Tablets ")</f>
        <v> Tablets </v>
      </c>
      <c r="E379" s="4" t="str">
        <f>IFERROR(__xludf.DUMMYFUNCTION("""COMPUTED_VALUE""")," yes")</f>
        <v> yes</v>
      </c>
      <c r="F379" s="4"/>
      <c r="G379" s="4"/>
      <c r="H379" s="4"/>
      <c r="I379" s="5" t="s">
        <v>15</v>
      </c>
      <c r="J379" s="5" t="s">
        <v>31</v>
      </c>
      <c r="K379" s="5" t="s">
        <v>173</v>
      </c>
      <c r="L379" s="6" t="s">
        <v>578</v>
      </c>
      <c r="M379" s="5" t="s">
        <v>46</v>
      </c>
      <c r="N379" s="5" t="s">
        <v>20</v>
      </c>
      <c r="O379" s="5">
        <v>17645.0</v>
      </c>
      <c r="P379" s="5">
        <v>40.0</v>
      </c>
      <c r="Q379" s="5">
        <v>9673.0</v>
      </c>
      <c r="R379" s="5">
        <v>15088.0</v>
      </c>
      <c r="S379" s="5">
        <v>15.0</v>
      </c>
      <c r="T379" s="5">
        <v>1591.772246</v>
      </c>
    </row>
    <row r="380">
      <c r="A380" s="4" t="s">
        <v>1855</v>
      </c>
      <c r="B380" s="4" t="str">
        <f>IFERROR(__xludf.DUMMYFUNCTION("SPLIT(A380:A1106, ""&gt;"")"),"US ")</f>
        <v>US </v>
      </c>
      <c r="C380" s="4" t="str">
        <f>IFERROR(__xludf.DUMMYFUNCTION("""COMPUTED_VALUE""")," Health and Wellbeing ")</f>
        <v> Health and Wellbeing </v>
      </c>
      <c r="D380" s="4" t="str">
        <f>IFERROR(__xludf.DUMMYFUNCTION("""COMPUTED_VALUE""")," Health and Wellbeing")</f>
        <v> Health and Wellbeing</v>
      </c>
      <c r="E380" s="4"/>
      <c r="F380" s="4"/>
      <c r="G380" s="4"/>
      <c r="H380" s="4"/>
      <c r="I380" s="5" t="s">
        <v>22</v>
      </c>
      <c r="J380" s="5" t="s">
        <v>23</v>
      </c>
      <c r="K380" s="5" t="s">
        <v>35</v>
      </c>
      <c r="L380" s="6" t="s">
        <v>578</v>
      </c>
      <c r="M380" s="5" t="s">
        <v>36</v>
      </c>
      <c r="N380" s="5" t="s">
        <v>27</v>
      </c>
      <c r="O380" s="5">
        <v>9881.0</v>
      </c>
      <c r="P380" s="5">
        <v>15.0</v>
      </c>
      <c r="Q380" s="5">
        <v>2344.0</v>
      </c>
      <c r="R380" s="5">
        <v>7324.0</v>
      </c>
      <c r="S380" s="5">
        <v>1.0</v>
      </c>
      <c r="T380" s="5">
        <v>1505.01155</v>
      </c>
    </row>
    <row r="381">
      <c r="A381" s="4" t="s">
        <v>1856</v>
      </c>
      <c r="B381" s="4" t="str">
        <f>IFERROR(__xludf.DUMMYFUNCTION("SPLIT(A381:A1107, ""&gt;"")"),"US ")</f>
        <v>US </v>
      </c>
      <c r="C381" s="4" t="str">
        <f>IFERROR(__xludf.DUMMYFUNCTION("""COMPUTED_VALUE""")," Brand Propensities ")</f>
        <v> Brand Propensities </v>
      </c>
      <c r="D381" s="4" t="str">
        <f>IFERROR(__xludf.DUMMYFUNCTION("""COMPUTED_VALUE""")," Telecom and Service Providers ")</f>
        <v> Telecom and Service Providers </v>
      </c>
      <c r="E381" s="4" t="str">
        <f>IFERROR(__xludf.DUMMYFUNCTION("""COMPUTED_VALUE""")," Page Plus Cellular Buyer Propensity")</f>
        <v> Page Plus Cellular Buyer Propensity</v>
      </c>
      <c r="F381" s="4"/>
      <c r="G381" s="4"/>
      <c r="H381" s="4"/>
      <c r="I381" s="5" t="s">
        <v>22</v>
      </c>
      <c r="J381" s="5" t="s">
        <v>23</v>
      </c>
      <c r="K381" s="5" t="s">
        <v>273</v>
      </c>
      <c r="L381" s="6" t="s">
        <v>582</v>
      </c>
      <c r="M381" s="5" t="s">
        <v>167</v>
      </c>
      <c r="N381" s="5" t="s">
        <v>27</v>
      </c>
      <c r="O381" s="5">
        <v>12148.0</v>
      </c>
      <c r="P381" s="5">
        <v>40.0</v>
      </c>
      <c r="Q381" s="5">
        <v>7950.0</v>
      </c>
      <c r="R381" s="5">
        <v>11360.0</v>
      </c>
      <c r="S381" s="5">
        <v>9.0</v>
      </c>
      <c r="T381" s="5">
        <v>1936.008049</v>
      </c>
    </row>
    <row r="382">
      <c r="A382" s="4" t="s">
        <v>1857</v>
      </c>
      <c r="B382" s="4" t="str">
        <f>IFERROR(__xludf.DUMMYFUNCTION("SPLIT(A382:A1108, ""&gt;"")"),"US ")</f>
        <v>US </v>
      </c>
      <c r="C382" s="4" t="str">
        <f>IFERROR(__xludf.DUMMYFUNCTION("""COMPUTED_VALUE""")," Reach ")</f>
        <v> Reach </v>
      </c>
      <c r="D382" s="4" t="str">
        <f>IFERROR(__xludf.DUMMYFUNCTION("""COMPUTED_VALUE""")," Propensity Models ")</f>
        <v> Propensity Models </v>
      </c>
      <c r="E382" s="4" t="str">
        <f>IFERROR(__xludf.DUMMYFUNCTION("""COMPUTED_VALUE""")," Hobbies and Interest ")</f>
        <v> Hobbies and Interest </v>
      </c>
      <c r="F382" s="4" t="str">
        <f>IFERROR(__xludf.DUMMYFUNCTION("""COMPUTED_VALUE""")," Music ")</f>
        <v> Music </v>
      </c>
      <c r="G382" s="4" t="str">
        <f>IFERROR(__xludf.DUMMYFUNCTION("""COMPUTED_VALUE""")," Listens to Pop Music")</f>
        <v> Listens to Pop Music</v>
      </c>
      <c r="H382" s="4"/>
      <c r="I382" s="5" t="s">
        <v>22</v>
      </c>
      <c r="J382" s="5" t="s">
        <v>23</v>
      </c>
      <c r="K382" s="5" t="s">
        <v>29</v>
      </c>
      <c r="L382" s="6" t="s">
        <v>584</v>
      </c>
      <c r="M382" s="5" t="s">
        <v>19</v>
      </c>
      <c r="N382" s="5" t="s">
        <v>27</v>
      </c>
      <c r="O382" s="5">
        <v>18771.0</v>
      </c>
      <c r="P382" s="5">
        <v>69.0</v>
      </c>
      <c r="Q382" s="5">
        <v>10871.0</v>
      </c>
      <c r="R382" s="5">
        <v>17138.0</v>
      </c>
      <c r="S382" s="5">
        <v>6.0</v>
      </c>
      <c r="T382" s="5">
        <v>3827.366381</v>
      </c>
    </row>
    <row r="383">
      <c r="A383" s="4" t="s">
        <v>1406</v>
      </c>
      <c r="B383" s="4" t="str">
        <f>IFERROR(__xludf.DUMMYFUNCTION("SPLIT(A383:A1109, ""&gt;"")"),"Media and Entertainment ")</f>
        <v>Media and Entertainment </v>
      </c>
      <c r="C383" s="4" t="str">
        <f>IFERROR(__xludf.DUMMYFUNCTION("""COMPUTED_VALUE""")," Sports and Recreational Activities ")</f>
        <v> Sports and Recreational Activities </v>
      </c>
      <c r="D383" s="4" t="str">
        <f>IFERROR(__xludf.DUMMYFUNCTION("""COMPUTED_VALUE""")," Interest (Affinity) ")</f>
        <v> Interest (Affinity) </v>
      </c>
      <c r="E383" s="4" t="str">
        <f>IFERROR(__xludf.DUMMYFUNCTION("""COMPUTED_VALUE""")," Team Sports ")</f>
        <v> Team Sports </v>
      </c>
      <c r="F383" s="4" t="str">
        <f>IFERROR(__xludf.DUMMYFUNCTION("""COMPUTED_VALUE""")," Soccer (Football)")</f>
        <v> Soccer (Football)</v>
      </c>
      <c r="G383" s="4"/>
      <c r="H383" s="4"/>
      <c r="I383" s="5" t="s">
        <v>15</v>
      </c>
      <c r="J383" s="5" t="s">
        <v>23</v>
      </c>
      <c r="K383" s="5" t="s">
        <v>39</v>
      </c>
      <c r="L383" s="6" t="s">
        <v>584</v>
      </c>
      <c r="M383" s="5" t="s">
        <v>46</v>
      </c>
      <c r="N383" s="5" t="s">
        <v>27</v>
      </c>
      <c r="O383" s="5">
        <v>7402.0</v>
      </c>
      <c r="P383" s="5">
        <v>9.0</v>
      </c>
      <c r="Q383" s="5">
        <v>3860.0</v>
      </c>
      <c r="R383" s="5">
        <v>6406.0</v>
      </c>
      <c r="S383" s="5">
        <v>1.0</v>
      </c>
      <c r="T383" s="5">
        <v>1560.449936</v>
      </c>
    </row>
    <row r="384">
      <c r="A384" s="4" t="s">
        <v>1407</v>
      </c>
      <c r="B384" s="4" t="str">
        <f>IFERROR(__xludf.DUMMYFUNCTION("SPLIT(A384:A1110, ""&gt;"")"),"Online Behavior")</f>
        <v>Online Behavior</v>
      </c>
      <c r="C384" s="4" t="str">
        <f>IFERROR(__xludf.DUMMYFUNCTION("""COMPUTED_VALUE"""),"United States")</f>
        <v>United States</v>
      </c>
      <c r="D384" s="4" t="str">
        <f>IFERROR(__xludf.DUMMYFUNCTION("""COMPUTED_VALUE"""),"B2B ")</f>
        <v>B2B </v>
      </c>
      <c r="E384" s="4" t="str">
        <f>IFERROR(__xludf.DUMMYFUNCTION("""COMPUTED_VALUE""")," Occupation")</f>
        <v> Occupation</v>
      </c>
      <c r="F384" s="4" t="str">
        <f>IFERROR(__xludf.DUMMYFUNCTION("""COMPUTED_VALUE"""),"ElectricalEngineer")</f>
        <v>ElectricalEngineer</v>
      </c>
      <c r="G384" s="4"/>
      <c r="H384" s="4"/>
      <c r="I384" s="5" t="s">
        <v>22</v>
      </c>
      <c r="J384" s="5" t="s">
        <v>23</v>
      </c>
      <c r="K384" s="5" t="s">
        <v>35</v>
      </c>
      <c r="L384" s="6" t="s">
        <v>587</v>
      </c>
      <c r="M384" s="5" t="s">
        <v>19</v>
      </c>
      <c r="N384" s="5" t="s">
        <v>27</v>
      </c>
      <c r="O384" s="5">
        <v>38735.0</v>
      </c>
      <c r="P384" s="5">
        <v>114.0</v>
      </c>
      <c r="Q384" s="5">
        <v>28719.0</v>
      </c>
      <c r="R384" s="5">
        <v>36629.0</v>
      </c>
      <c r="S384" s="5">
        <v>4.0</v>
      </c>
      <c r="T384" s="5">
        <v>2127.824066</v>
      </c>
    </row>
    <row r="385">
      <c r="A385" s="4" t="s">
        <v>588</v>
      </c>
      <c r="B385" s="4" t="str">
        <f>IFERROR(__xludf.DUMMYFUNCTION("SPLIT(A385:A1111, ""&gt;"")"),"Online Behavior")</f>
        <v>Online Behavior</v>
      </c>
      <c r="C385" s="4" t="str">
        <f>IFERROR(__xludf.DUMMYFUNCTION("""COMPUTED_VALUE"""),"United States")</f>
        <v>United States</v>
      </c>
      <c r="D385" s="4" t="str">
        <f>IFERROR(__xludf.DUMMYFUNCTION("""COMPUTED_VALUE"""),"Beauty and Fitness")</f>
        <v>Beauty and Fitness</v>
      </c>
      <c r="E385" s="4" t="str">
        <f>IFERROR(__xludf.DUMMYFUNCTION("""COMPUTED_VALUE"""),"Fashion and Style")</f>
        <v>Fashion and Style</v>
      </c>
      <c r="F385" s="4"/>
      <c r="G385" s="4"/>
      <c r="H385" s="4"/>
      <c r="I385" s="5" t="s">
        <v>22</v>
      </c>
      <c r="J385" s="5" t="s">
        <v>42</v>
      </c>
      <c r="K385" s="5" t="s">
        <v>55</v>
      </c>
      <c r="L385" s="6" t="s">
        <v>587</v>
      </c>
      <c r="M385" s="5" t="s">
        <v>33</v>
      </c>
      <c r="N385" s="5" t="s">
        <v>27</v>
      </c>
      <c r="O385" s="5">
        <v>7320.0</v>
      </c>
      <c r="P385" s="5">
        <v>33.0</v>
      </c>
      <c r="Q385" s="5">
        <v>4020.0</v>
      </c>
      <c r="R385" s="5">
        <v>6692.0</v>
      </c>
      <c r="S385" s="5">
        <v>15.0</v>
      </c>
      <c r="T385" s="5">
        <v>1730.37357</v>
      </c>
    </row>
    <row r="386">
      <c r="A386" s="4" t="s">
        <v>1408</v>
      </c>
      <c r="B386" s="4" t="str">
        <f>IFERROR(__xludf.DUMMYFUNCTION("SPLIT(A386:A1112, ""&gt;"")"),"Online Behavior")</f>
        <v>Online Behavior</v>
      </c>
      <c r="C386" s="4" t="str">
        <f>IFERROR(__xludf.DUMMYFUNCTION("""COMPUTED_VALUE"""),"United States")</f>
        <v>United States</v>
      </c>
      <c r="D386" s="4" t="str">
        <f>IFERROR(__xludf.DUMMYFUNCTION("""COMPUTED_VALUE"""),"Autos and Vehicles ")</f>
        <v>Autos and Vehicles </v>
      </c>
      <c r="E386" s="4" t="str">
        <f>IFERROR(__xludf.DUMMYFUNCTION("""COMPUTED_VALUE""")," Brands")</f>
        <v> Brands</v>
      </c>
      <c r="F386" s="4" t="str">
        <f>IFERROR(__xludf.DUMMYFUNCTION("""COMPUTED_VALUE"""),"Honda")</f>
        <v>Honda</v>
      </c>
      <c r="G386" s="4"/>
      <c r="H386" s="4"/>
      <c r="I386" s="5" t="s">
        <v>22</v>
      </c>
      <c r="J386" s="5" t="s">
        <v>42</v>
      </c>
      <c r="K386" s="5" t="s">
        <v>356</v>
      </c>
      <c r="L386" s="6" t="s">
        <v>590</v>
      </c>
      <c r="M386" s="5" t="s">
        <v>26</v>
      </c>
      <c r="N386" s="5" t="s">
        <v>27</v>
      </c>
      <c r="O386" s="5">
        <v>90463.0</v>
      </c>
      <c r="P386" s="5">
        <v>204.0</v>
      </c>
      <c r="Q386" s="5">
        <v>803.0</v>
      </c>
      <c r="R386" s="5">
        <v>2465.0</v>
      </c>
      <c r="S386" s="5">
        <v>9.0</v>
      </c>
      <c r="T386" s="5">
        <v>6120.602514</v>
      </c>
    </row>
    <row r="387">
      <c r="A387" s="4" t="s">
        <v>1409</v>
      </c>
      <c r="B387" s="4" t="str">
        <f>IFERROR(__xludf.DUMMYFUNCTION("SPLIT(A387:A1113, ""&gt;"")"),"Online Behavior")</f>
        <v>Online Behavior</v>
      </c>
      <c r="C387" s="4" t="str">
        <f>IFERROR(__xludf.DUMMYFUNCTION("""COMPUTED_VALUE"""),"United States")</f>
        <v>United States</v>
      </c>
      <c r="D387" s="4" t="str">
        <f>IFERROR(__xludf.DUMMYFUNCTION("""COMPUTED_VALUE"""),"Validated Demographic ")</f>
        <v>Validated Demographic </v>
      </c>
      <c r="E387" s="4" t="str">
        <f>IFERROR(__xludf.DUMMYFUNCTION("""COMPUTED_VALUE""")," Age")</f>
        <v> Age</v>
      </c>
      <c r="F387" s="4" t="str">
        <f>IFERROR(__xludf.DUMMYFUNCTION("""COMPUTED_VALUE"""),"25-64")</f>
        <v>25-64</v>
      </c>
      <c r="G387" s="4"/>
      <c r="H387" s="4"/>
      <c r="I387" s="5" t="s">
        <v>22</v>
      </c>
      <c r="J387" s="5" t="s">
        <v>31</v>
      </c>
      <c r="K387" s="5" t="s">
        <v>304</v>
      </c>
      <c r="L387" s="6" t="s">
        <v>590</v>
      </c>
      <c r="M387" s="5" t="s">
        <v>36</v>
      </c>
      <c r="N387" s="5" t="s">
        <v>27</v>
      </c>
      <c r="O387" s="5">
        <v>252170.0</v>
      </c>
      <c r="P387" s="5">
        <v>650.0</v>
      </c>
      <c r="Q387" s="5">
        <v>9248.0</v>
      </c>
      <c r="R387" s="5">
        <v>14192.0</v>
      </c>
      <c r="S387" s="5">
        <v>1.0</v>
      </c>
      <c r="T387" s="5">
        <v>5874.00478</v>
      </c>
    </row>
    <row r="388">
      <c r="A388" s="4" t="s">
        <v>1858</v>
      </c>
      <c r="B388" s="4" t="str">
        <f>IFERROR(__xludf.DUMMYFUNCTION("SPLIT(A388:A1114, ""&gt;"")"),"US ")</f>
        <v>US </v>
      </c>
      <c r="C388" s="4" t="str">
        <f>IFERROR(__xludf.DUMMYFUNCTION("""COMPUTED_VALUE""")," Reach ")</f>
        <v> Reach </v>
      </c>
      <c r="D388" s="4" t="str">
        <f>IFERROR(__xludf.DUMMYFUNCTION("""COMPUTED_VALUE""")," Propensity Models ")</f>
        <v> Propensity Models </v>
      </c>
      <c r="E388" s="4" t="str">
        <f>IFERROR(__xludf.DUMMYFUNCTION("""COMPUTED_VALUE""")," Household Consumer Expenditures ")</f>
        <v> Household Consumer Expenditures </v>
      </c>
      <c r="F388" s="4" t="str">
        <f>IFERROR(__xludf.DUMMYFUNCTION("""COMPUTED_VALUE""")," Furniture")</f>
        <v> Furniture</v>
      </c>
      <c r="G388" s="4"/>
      <c r="H388" s="4"/>
      <c r="I388" s="5" t="s">
        <v>22</v>
      </c>
      <c r="J388" s="5" t="s">
        <v>16</v>
      </c>
      <c r="K388" s="5" t="s">
        <v>593</v>
      </c>
      <c r="L388" s="6" t="s">
        <v>590</v>
      </c>
      <c r="M388" s="5" t="s">
        <v>26</v>
      </c>
      <c r="N388" s="5" t="s">
        <v>27</v>
      </c>
      <c r="O388" s="5">
        <v>68114.0</v>
      </c>
      <c r="P388" s="5">
        <v>174.0</v>
      </c>
      <c r="Q388" s="5">
        <v>569.0</v>
      </c>
      <c r="R388" s="5">
        <v>2059.0</v>
      </c>
      <c r="S388" s="5">
        <v>15.0</v>
      </c>
      <c r="T388" s="5">
        <v>2753.711986</v>
      </c>
    </row>
    <row r="389">
      <c r="A389" s="4" t="s">
        <v>1859</v>
      </c>
      <c r="B389" s="4" t="str">
        <f>IFERROR(__xludf.DUMMYFUNCTION("SPLIT(A389:A1115, ""&gt;"")"),"US ")</f>
        <v>US </v>
      </c>
      <c r="C389" s="4" t="str">
        <f>IFERROR(__xludf.DUMMYFUNCTION("""COMPUTED_VALUE""")," Reach ")</f>
        <v> Reach </v>
      </c>
      <c r="D389" s="4" t="str">
        <f>IFERROR(__xludf.DUMMYFUNCTION("""COMPUTED_VALUE""")," Propensity Models ")</f>
        <v> Propensity Models </v>
      </c>
      <c r="E389" s="4" t="str">
        <f>IFERROR(__xludf.DUMMYFUNCTION("""COMPUTED_VALUE""")," Hobbies and Interest ")</f>
        <v> Hobbies and Interest </v>
      </c>
      <c r="F389" s="4" t="str">
        <f>IFERROR(__xludf.DUMMYFUNCTION("""COMPUTED_VALUE""")," Music ")</f>
        <v> Music </v>
      </c>
      <c r="G389" s="4" t="str">
        <f>IFERROR(__xludf.DUMMYFUNCTION("""COMPUTED_VALUE""")," Listens to Country Music")</f>
        <v> Listens to Country Music</v>
      </c>
      <c r="H389" s="4"/>
      <c r="I389" s="5" t="s">
        <v>15</v>
      </c>
      <c r="J389" s="5" t="s">
        <v>42</v>
      </c>
      <c r="K389" s="5" t="s">
        <v>29</v>
      </c>
      <c r="L389" s="6" t="s">
        <v>590</v>
      </c>
      <c r="M389" s="5" t="s">
        <v>231</v>
      </c>
      <c r="N389" s="5" t="s">
        <v>27</v>
      </c>
      <c r="O389" s="5">
        <v>292578.0</v>
      </c>
      <c r="P389" s="5">
        <v>812.0</v>
      </c>
      <c r="Q389" s="5">
        <v>6474.0</v>
      </c>
      <c r="R389" s="5">
        <v>12323.0</v>
      </c>
      <c r="S389" s="5">
        <v>4.0</v>
      </c>
      <c r="T389" s="5">
        <v>1826.318738</v>
      </c>
    </row>
    <row r="390">
      <c r="A390" s="4" t="s">
        <v>1412</v>
      </c>
      <c r="B390" s="4" t="str">
        <f>IFERROR(__xludf.DUMMYFUNCTION("SPLIT(A390:A1116, ""&gt;"")"),"Online Behavior")</f>
        <v>Online Behavior</v>
      </c>
      <c r="C390" s="4" t="str">
        <f>IFERROR(__xludf.DUMMYFUNCTION("""COMPUTED_VALUE"""),"United States")</f>
        <v>United States</v>
      </c>
      <c r="D390" s="4" t="str">
        <f>IFERROR(__xludf.DUMMYFUNCTION("""COMPUTED_VALUE"""),"Intent ")</f>
        <v>Intent </v>
      </c>
      <c r="E390" s="4" t="str">
        <f>IFERROR(__xludf.DUMMYFUNCTION("""COMPUTED_VALUE""")," Shopping")</f>
        <v> Shopping</v>
      </c>
      <c r="F390" s="4" t="str">
        <f>IFERROR(__xludf.DUMMYFUNCTION("""COMPUTED_VALUE"""),"Wireless Providers")</f>
        <v>Wireless Providers</v>
      </c>
      <c r="G390" s="4"/>
      <c r="H390" s="4"/>
      <c r="I390" s="5" t="s">
        <v>15</v>
      </c>
      <c r="J390" s="5" t="s">
        <v>42</v>
      </c>
      <c r="K390" s="5" t="s">
        <v>17</v>
      </c>
      <c r="L390" s="6" t="s">
        <v>596</v>
      </c>
      <c r="M390" s="5" t="s">
        <v>19</v>
      </c>
      <c r="N390" s="5" t="s">
        <v>20</v>
      </c>
      <c r="O390" s="5">
        <v>39725.0</v>
      </c>
      <c r="P390" s="5">
        <v>144.0</v>
      </c>
      <c r="Q390" s="5">
        <v>5402.0</v>
      </c>
      <c r="R390" s="5">
        <v>36080.0</v>
      </c>
      <c r="S390" s="5">
        <v>12.0</v>
      </c>
      <c r="T390" s="5">
        <v>6431.555152</v>
      </c>
    </row>
    <row r="391">
      <c r="A391" s="4" t="s">
        <v>1413</v>
      </c>
      <c r="B391" s="4" t="str">
        <f>IFERROR(__xludf.DUMMYFUNCTION("SPLIT(A391:A1117, ""&gt;"")"),"Online Behavior")</f>
        <v>Online Behavior</v>
      </c>
      <c r="C391" s="4" t="str">
        <f>IFERROR(__xludf.DUMMYFUNCTION("""COMPUTED_VALUE"""),"United States")</f>
        <v>United States</v>
      </c>
      <c r="D391" s="4" t="str">
        <f>IFERROR(__xludf.DUMMYFUNCTION("""COMPUTED_VALUE"""),"Hobbies and Leisure")</f>
        <v>Hobbies and Leisure</v>
      </c>
      <c r="E391" s="4" t="str">
        <f>IFERROR(__xludf.DUMMYFUNCTION("""COMPUTED_VALUE"""),"Outdoors ")</f>
        <v>Outdoors </v>
      </c>
      <c r="F391" s="4" t="str">
        <f>IFERROR(__xludf.DUMMYFUNCTION("""COMPUTED_VALUE""")," Fishing")</f>
        <v> Fishing</v>
      </c>
      <c r="G391" s="4"/>
      <c r="H391" s="4"/>
      <c r="I391" s="5" t="s">
        <v>15</v>
      </c>
      <c r="J391" s="5" t="s">
        <v>23</v>
      </c>
      <c r="K391" s="5" t="s">
        <v>78</v>
      </c>
      <c r="L391" s="6" t="s">
        <v>598</v>
      </c>
      <c r="M391" s="5" t="s">
        <v>26</v>
      </c>
      <c r="N391" s="5" t="s">
        <v>52</v>
      </c>
      <c r="O391" s="5">
        <v>25206.0</v>
      </c>
      <c r="P391" s="5">
        <v>75.0</v>
      </c>
      <c r="Q391" s="5">
        <v>3588.0</v>
      </c>
      <c r="R391" s="5">
        <v>23556.0</v>
      </c>
      <c r="S391" s="5">
        <v>19.0</v>
      </c>
      <c r="T391" s="5">
        <v>6846.356434</v>
      </c>
    </row>
    <row r="392">
      <c r="A392" s="4" t="s">
        <v>1414</v>
      </c>
      <c r="B392" s="4" t="str">
        <f>IFERROR(__xludf.DUMMYFUNCTION("SPLIT(A392:A1118, ""&gt;"")"),"Online Behavior")</f>
        <v>Online Behavior</v>
      </c>
      <c r="C392" s="4" t="str">
        <f>IFERROR(__xludf.DUMMYFUNCTION("""COMPUTED_VALUE"""),"United States")</f>
        <v>United States</v>
      </c>
      <c r="D392" s="4" t="str">
        <f>IFERROR(__xludf.DUMMYFUNCTION("""COMPUTED_VALUE"""),"Autos and Vehicles ")</f>
        <v>Autos and Vehicles </v>
      </c>
      <c r="E392" s="4" t="str">
        <f>IFERROR(__xludf.DUMMYFUNCTION("""COMPUTED_VALUE""")," Brands")</f>
        <v> Brands</v>
      </c>
      <c r="F392" s="4" t="str">
        <f>IFERROR(__xludf.DUMMYFUNCTION("""COMPUTED_VALUE"""),"Volkswagen")</f>
        <v>Volkswagen</v>
      </c>
      <c r="G392" s="4"/>
      <c r="H392" s="4"/>
      <c r="I392" s="5" t="s">
        <v>15</v>
      </c>
      <c r="J392" s="5" t="s">
        <v>16</v>
      </c>
      <c r="K392" s="5" t="s">
        <v>45</v>
      </c>
      <c r="L392" s="6" t="s">
        <v>598</v>
      </c>
      <c r="M392" s="5" t="s">
        <v>19</v>
      </c>
      <c r="N392" s="5" t="s">
        <v>27</v>
      </c>
      <c r="O392" s="5">
        <v>7789.0</v>
      </c>
      <c r="P392" s="5">
        <v>30.0</v>
      </c>
      <c r="Q392" s="5">
        <v>4655.0</v>
      </c>
      <c r="R392" s="5">
        <v>7434.0</v>
      </c>
      <c r="S392" s="5">
        <v>1.0</v>
      </c>
      <c r="T392" s="5">
        <v>6396.868763</v>
      </c>
    </row>
    <row r="393">
      <c r="A393" s="4" t="s">
        <v>1415</v>
      </c>
      <c r="B393" s="4" t="str">
        <f>IFERROR(__xludf.DUMMYFUNCTION("SPLIT(A393:A1119, ""&gt;"")"),"Online Behavior")</f>
        <v>Online Behavior</v>
      </c>
      <c r="C393" s="4" t="str">
        <f>IFERROR(__xludf.DUMMYFUNCTION("""COMPUTED_VALUE"""),"United States")</f>
        <v>United States</v>
      </c>
      <c r="D393" s="4" t="str">
        <f>IFERROR(__xludf.DUMMYFUNCTION("""COMPUTED_VALUE"""),"Autos and Vehicles ")</f>
        <v>Autos and Vehicles </v>
      </c>
      <c r="E393" s="4" t="str">
        <f>IFERROR(__xludf.DUMMYFUNCTION("""COMPUTED_VALUE""")," Brands")</f>
        <v> Brands</v>
      </c>
      <c r="F393" s="4" t="str">
        <f>IFERROR(__xludf.DUMMYFUNCTION("""COMPUTED_VALUE"""),"Jaguar")</f>
        <v>Jaguar</v>
      </c>
      <c r="G393" s="4"/>
      <c r="H393" s="4"/>
      <c r="I393" s="5" t="s">
        <v>22</v>
      </c>
      <c r="J393" s="5" t="s">
        <v>31</v>
      </c>
      <c r="K393" s="5" t="s">
        <v>35</v>
      </c>
      <c r="L393" s="6" t="s">
        <v>598</v>
      </c>
      <c r="M393" s="5" t="s">
        <v>19</v>
      </c>
      <c r="N393" s="5" t="s">
        <v>27</v>
      </c>
      <c r="O393" s="5">
        <v>38396.0</v>
      </c>
      <c r="P393" s="5">
        <v>87.0</v>
      </c>
      <c r="Q393" s="5">
        <v>6305.0</v>
      </c>
      <c r="R393" s="5">
        <v>35118.0</v>
      </c>
      <c r="S393" s="5">
        <v>9.0</v>
      </c>
      <c r="T393" s="5">
        <v>5740.164546</v>
      </c>
    </row>
    <row r="394">
      <c r="A394" s="4" t="s">
        <v>1860</v>
      </c>
      <c r="B394" s="4" t="str">
        <f>IFERROR(__xludf.DUMMYFUNCTION("SPLIT(A394:A1120, ""&gt;"")"),"US ")</f>
        <v>US </v>
      </c>
      <c r="C394" s="4" t="str">
        <f>IFERROR(__xludf.DUMMYFUNCTION("""COMPUTED_VALUE""")," Interest Propensities ")</f>
        <v> Interest Propensities </v>
      </c>
      <c r="D394" s="4" t="str">
        <f>IFERROR(__xludf.DUMMYFUNCTION("""COMPUTED_VALUE""")," Celebrities ")</f>
        <v> Celebrities </v>
      </c>
      <c r="E394" s="4" t="str">
        <f>IFERROR(__xludf.DUMMYFUNCTION("""COMPUTED_VALUE""")," Celebrity Fan Gossip")</f>
        <v> Celebrity Fan Gossip</v>
      </c>
      <c r="F394" s="4"/>
      <c r="G394" s="4"/>
      <c r="H394" s="4"/>
      <c r="I394" s="5" t="s">
        <v>22</v>
      </c>
      <c r="J394" s="5" t="s">
        <v>16</v>
      </c>
      <c r="K394" s="5" t="s">
        <v>78</v>
      </c>
      <c r="L394" s="6" t="s">
        <v>598</v>
      </c>
      <c r="M394" s="5" t="s">
        <v>19</v>
      </c>
      <c r="N394" s="5" t="s">
        <v>27</v>
      </c>
      <c r="O394" s="5">
        <v>10012.0</v>
      </c>
      <c r="P394" s="5">
        <v>25.0</v>
      </c>
      <c r="Q394" s="5">
        <v>5734.0</v>
      </c>
      <c r="R394" s="5">
        <v>9413.0</v>
      </c>
      <c r="S394" s="5">
        <v>4.0</v>
      </c>
      <c r="T394" s="5">
        <v>1805.926086</v>
      </c>
    </row>
    <row r="395">
      <c r="A395" s="4" t="s">
        <v>1861</v>
      </c>
      <c r="B395" s="4" t="str">
        <f>IFERROR(__xludf.DUMMYFUNCTION("SPLIT(A395:A1121, ""&gt;"")"),"US ")</f>
        <v>US </v>
      </c>
      <c r="C395" s="4" t="str">
        <f>IFERROR(__xludf.DUMMYFUNCTION("""COMPUTED_VALUE""")," Interest Propensities ")</f>
        <v> Interest Propensities </v>
      </c>
      <c r="D395" s="4" t="str">
        <f>IFERROR(__xludf.DUMMYFUNCTION("""COMPUTED_VALUE""")," Insurance ")</f>
        <v> Insurance </v>
      </c>
      <c r="E395" s="4" t="str">
        <f>IFERROR(__xludf.DUMMYFUNCTION("""COMPUTED_VALUE""")," Humana")</f>
        <v> Humana</v>
      </c>
      <c r="F395" s="4"/>
      <c r="G395" s="4"/>
      <c r="H395" s="4"/>
      <c r="I395" s="5" t="s">
        <v>61</v>
      </c>
      <c r="J395" s="5" t="s">
        <v>23</v>
      </c>
      <c r="K395" s="5" t="s">
        <v>45</v>
      </c>
      <c r="L395" s="6" t="s">
        <v>598</v>
      </c>
      <c r="M395" s="5" t="s">
        <v>603</v>
      </c>
      <c r="N395" s="5" t="s">
        <v>27</v>
      </c>
      <c r="O395" s="5">
        <v>12459.0</v>
      </c>
      <c r="P395" s="5">
        <v>84.0</v>
      </c>
      <c r="Q395" s="5">
        <v>7290.0</v>
      </c>
      <c r="R395" s="5">
        <v>11731.0</v>
      </c>
      <c r="S395" s="5">
        <v>14.0</v>
      </c>
      <c r="T395" s="5">
        <v>1593.010399</v>
      </c>
    </row>
    <row r="396">
      <c r="A396" s="4" t="s">
        <v>1862</v>
      </c>
      <c r="B396" s="4" t="str">
        <f>IFERROR(__xludf.DUMMYFUNCTION("SPLIT(A396:A1122, ""&gt;"")"),"US ")</f>
        <v>US </v>
      </c>
      <c r="C396" s="4" t="str">
        <f>IFERROR(__xludf.DUMMYFUNCTION("""COMPUTED_VALUE""")," Interest Propensities ")</f>
        <v> Interest Propensities </v>
      </c>
      <c r="D396" s="4" t="str">
        <f>IFERROR(__xludf.DUMMYFUNCTION("""COMPUTED_VALUE""")," Activities and Interests ")</f>
        <v> Activities and Interests </v>
      </c>
      <c r="E396" s="4" t="str">
        <f>IFERROR(__xludf.DUMMYFUNCTION("""COMPUTED_VALUE""")," B2B Job Search")</f>
        <v> B2B Job Search</v>
      </c>
      <c r="F396" s="4"/>
      <c r="G396" s="4"/>
      <c r="H396" s="4"/>
      <c r="I396" s="5" t="s">
        <v>22</v>
      </c>
      <c r="J396" s="5" t="s">
        <v>23</v>
      </c>
      <c r="K396" s="5" t="s">
        <v>183</v>
      </c>
      <c r="L396" s="6" t="s">
        <v>598</v>
      </c>
      <c r="M396" s="5" t="s">
        <v>46</v>
      </c>
      <c r="N396" s="5" t="s">
        <v>27</v>
      </c>
      <c r="O396" s="5">
        <v>32714.0</v>
      </c>
      <c r="P396" s="5">
        <v>69.0</v>
      </c>
      <c r="Q396" s="5">
        <v>3756.0</v>
      </c>
      <c r="R396" s="5">
        <v>30764.0</v>
      </c>
      <c r="S396" s="5">
        <v>15.0</v>
      </c>
      <c r="T396" s="5">
        <v>1506.624304</v>
      </c>
    </row>
    <row r="397">
      <c r="A397" s="4" t="s">
        <v>1419</v>
      </c>
      <c r="B397" s="4" t="str">
        <f>IFERROR(__xludf.DUMMYFUNCTION("SPLIT(A397:A1123, ""&gt;"")"),"Online Behavior")</f>
        <v>Online Behavior</v>
      </c>
      <c r="C397" s="4" t="str">
        <f>IFERROR(__xludf.DUMMYFUNCTION("""COMPUTED_VALUE"""),"United States")</f>
        <v>United States</v>
      </c>
      <c r="D397" s="4" t="str">
        <f>IFERROR(__xludf.DUMMYFUNCTION("""COMPUTED_VALUE"""),"Autos and Vehicles ")</f>
        <v>Autos and Vehicles </v>
      </c>
      <c r="E397" s="4" t="str">
        <f>IFERROR(__xludf.DUMMYFUNCTION("""COMPUTED_VALUE""")," Brands")</f>
        <v> Brands</v>
      </c>
      <c r="F397" s="4" t="str">
        <f>IFERROR(__xludf.DUMMYFUNCTION("""COMPUTED_VALUE"""),"Bugatti")</f>
        <v>Bugatti</v>
      </c>
      <c r="G397" s="4"/>
      <c r="H397" s="4"/>
      <c r="I397" s="5" t="s">
        <v>22</v>
      </c>
      <c r="J397" s="5" t="s">
        <v>23</v>
      </c>
      <c r="K397" s="5" t="s">
        <v>84</v>
      </c>
      <c r="L397" s="6" t="s">
        <v>606</v>
      </c>
      <c r="M397" s="5" t="s">
        <v>19</v>
      </c>
      <c r="N397" s="5" t="s">
        <v>27</v>
      </c>
      <c r="O397" s="5">
        <v>98509.0</v>
      </c>
      <c r="P397" s="5">
        <v>299.0</v>
      </c>
      <c r="Q397" s="5">
        <v>30688.0</v>
      </c>
      <c r="R397" s="5">
        <v>109518.0</v>
      </c>
      <c r="S397" s="5">
        <v>15.0</v>
      </c>
      <c r="T397" s="5">
        <v>2059.270294</v>
      </c>
    </row>
    <row r="398">
      <c r="A398" s="4" t="s">
        <v>1420</v>
      </c>
      <c r="B398" s="4" t="str">
        <f>IFERROR(__xludf.DUMMYFUNCTION("SPLIT(A398:A1124, ""&gt;"")"),"Media and Entertainment ")</f>
        <v>Media and Entertainment </v>
      </c>
      <c r="C398" s="4" t="str">
        <f>IFERROR(__xludf.DUMMYFUNCTION("""COMPUTED_VALUE""")," Gaming ")</f>
        <v> Gaming </v>
      </c>
      <c r="D398" s="4" t="str">
        <f>IFERROR(__xludf.DUMMYFUNCTION("""COMPUTED_VALUE""")," In-Market")</f>
        <v> In-Market</v>
      </c>
      <c r="E398" s="4"/>
      <c r="F398" s="4"/>
      <c r="G398" s="4"/>
      <c r="H398" s="4"/>
      <c r="I398" s="5" t="s">
        <v>15</v>
      </c>
      <c r="J398" s="5" t="s">
        <v>23</v>
      </c>
      <c r="K398" s="5" t="s">
        <v>29</v>
      </c>
      <c r="L398" s="6" t="s">
        <v>608</v>
      </c>
      <c r="M398" s="5" t="s">
        <v>33</v>
      </c>
      <c r="N398" s="5" t="s">
        <v>52</v>
      </c>
      <c r="O398" s="5">
        <v>37076.0</v>
      </c>
      <c r="P398" s="5">
        <v>113.0</v>
      </c>
      <c r="Q398" s="5">
        <v>9246.0</v>
      </c>
      <c r="R398" s="5">
        <v>22565.0</v>
      </c>
      <c r="S398" s="5">
        <v>12.0</v>
      </c>
      <c r="T398" s="5">
        <v>1487.996078</v>
      </c>
    </row>
    <row r="399">
      <c r="A399" s="4" t="s">
        <v>1421</v>
      </c>
      <c r="B399" s="4" t="str">
        <f>IFERROR(__xludf.DUMMYFUNCTION("SPLIT(A399:A1125, ""&gt;"")"),"Media and Entertainment ")</f>
        <v>Media and Entertainment </v>
      </c>
      <c r="C399" s="4" t="str">
        <f>IFERROR(__xludf.DUMMYFUNCTION("""COMPUTED_VALUE""")," Events and Attractions")</f>
        <v> Events and Attractions</v>
      </c>
      <c r="D399" s="4"/>
      <c r="E399" s="4"/>
      <c r="F399" s="4"/>
      <c r="G399" s="4"/>
      <c r="H399" s="4"/>
      <c r="I399" s="5" t="s">
        <v>15</v>
      </c>
      <c r="J399" s="5" t="s">
        <v>42</v>
      </c>
      <c r="K399" s="5" t="s">
        <v>131</v>
      </c>
      <c r="L399" s="6" t="s">
        <v>610</v>
      </c>
      <c r="M399" s="5" t="s">
        <v>26</v>
      </c>
      <c r="N399" s="5" t="s">
        <v>52</v>
      </c>
      <c r="O399" s="5">
        <v>70506.0</v>
      </c>
      <c r="P399" s="5">
        <v>270.0</v>
      </c>
      <c r="Q399" s="5">
        <v>26779.0</v>
      </c>
      <c r="R399" s="5">
        <v>48902.0</v>
      </c>
      <c r="S399" s="5">
        <v>3.0</v>
      </c>
      <c r="T399" s="5">
        <v>1912.966882</v>
      </c>
    </row>
    <row r="400">
      <c r="A400" s="4" t="s">
        <v>1422</v>
      </c>
      <c r="B400" s="4" t="str">
        <f>IFERROR(__xludf.DUMMYFUNCTION("SPLIT(A400:A1126, ""&gt;"")"),"Online Behavior")</f>
        <v>Online Behavior</v>
      </c>
      <c r="C400" s="4" t="str">
        <f>IFERROR(__xludf.DUMMYFUNCTION("""COMPUTED_VALUE"""),"United States")</f>
        <v>United States</v>
      </c>
      <c r="D400" s="4" t="str">
        <f>IFERROR(__xludf.DUMMYFUNCTION("""COMPUTED_VALUE"""),"Finance ")</f>
        <v>Finance </v>
      </c>
      <c r="E400" s="4" t="str">
        <f>IFERROR(__xludf.DUMMYFUNCTION("""COMPUTED_VALUE""")," Banking")</f>
        <v> Banking</v>
      </c>
      <c r="F400" s="4" t="str">
        <f>IFERROR(__xludf.DUMMYFUNCTION("""COMPUTED_VALUE"""),"Banking")</f>
        <v>Banking</v>
      </c>
      <c r="G400" s="4"/>
      <c r="H400" s="4"/>
      <c r="I400" s="5" t="s">
        <v>22</v>
      </c>
      <c r="J400" s="5" t="s">
        <v>42</v>
      </c>
      <c r="K400" s="5" t="s">
        <v>17</v>
      </c>
      <c r="L400" s="6" t="s">
        <v>612</v>
      </c>
      <c r="M400" s="5" t="s">
        <v>19</v>
      </c>
      <c r="N400" s="5" t="s">
        <v>27</v>
      </c>
      <c r="O400" s="5">
        <v>921791.0</v>
      </c>
      <c r="P400" s="5">
        <v>2150.0</v>
      </c>
      <c r="Q400" s="5">
        <v>668449.0</v>
      </c>
      <c r="R400" s="5">
        <v>852442.0</v>
      </c>
      <c r="S400" s="5">
        <v>69.0</v>
      </c>
      <c r="T400" s="5">
        <v>8042.897949</v>
      </c>
    </row>
    <row r="401">
      <c r="A401" s="4" t="s">
        <v>1423</v>
      </c>
      <c r="B401" s="4" t="str">
        <f>IFERROR(__xludf.DUMMYFUNCTION("SPLIT(A401:A1127, ""&gt;"")"),"Online Behavior")</f>
        <v>Online Behavior</v>
      </c>
      <c r="C401" s="4" t="str">
        <f>IFERROR(__xludf.DUMMYFUNCTION("""COMPUTED_VALUE"""),"United States")</f>
        <v>United States</v>
      </c>
      <c r="D401" s="4" t="str">
        <f>IFERROR(__xludf.DUMMYFUNCTION("""COMPUTED_VALUE"""),"Finance ")</f>
        <v>Finance </v>
      </c>
      <c r="E401" s="4" t="str">
        <f>IFERROR(__xludf.DUMMYFUNCTION("""COMPUTED_VALUE""")," Credit and Lending")</f>
        <v> Credit and Lending</v>
      </c>
      <c r="F401" s="4" t="str">
        <f>IFERROR(__xludf.DUMMYFUNCTION("""COMPUTED_VALUE"""),"Credit and Lending")</f>
        <v>Credit and Lending</v>
      </c>
      <c r="G401" s="4"/>
      <c r="H401" s="4"/>
      <c r="I401" s="5" t="s">
        <v>22</v>
      </c>
      <c r="J401" s="5" t="s">
        <v>42</v>
      </c>
      <c r="K401" s="5" t="s">
        <v>35</v>
      </c>
      <c r="L401" s="6" t="s">
        <v>612</v>
      </c>
      <c r="M401" s="5" t="s">
        <v>26</v>
      </c>
      <c r="N401" s="5" t="s">
        <v>27</v>
      </c>
      <c r="O401" s="5">
        <v>4154911.0</v>
      </c>
      <c r="P401" s="5">
        <v>1254.0</v>
      </c>
      <c r="Q401" s="5">
        <v>2338732.0</v>
      </c>
      <c r="R401" s="5">
        <v>3445626.0</v>
      </c>
      <c r="S401" s="5">
        <v>154.0</v>
      </c>
      <c r="T401" s="5">
        <v>8038.570371</v>
      </c>
    </row>
    <row r="402">
      <c r="A402" s="4" t="s">
        <v>1424</v>
      </c>
      <c r="B402" s="4" t="str">
        <f>IFERROR(__xludf.DUMMYFUNCTION("SPLIT(A402:A1128, ""&gt;"")"),"Online Behavior")</f>
        <v>Online Behavior</v>
      </c>
      <c r="C402" s="4" t="str">
        <f>IFERROR(__xludf.DUMMYFUNCTION("""COMPUTED_VALUE"""),"United States")</f>
        <v>United States</v>
      </c>
      <c r="D402" s="4" t="str">
        <f>IFERROR(__xludf.DUMMYFUNCTION("""COMPUTED_VALUE"""),"Finance ")</f>
        <v>Finance </v>
      </c>
      <c r="E402" s="4" t="str">
        <f>IFERROR(__xludf.DUMMYFUNCTION("""COMPUTED_VALUE""")," Investing")</f>
        <v> Investing</v>
      </c>
      <c r="F402" s="4" t="str">
        <f>IFERROR(__xludf.DUMMYFUNCTION("""COMPUTED_VALUE"""),"Investing")</f>
        <v>Investing</v>
      </c>
      <c r="G402" s="4"/>
      <c r="H402" s="4"/>
      <c r="I402" s="5" t="s">
        <v>22</v>
      </c>
      <c r="J402" s="5" t="s">
        <v>16</v>
      </c>
      <c r="K402" s="5" t="s">
        <v>55</v>
      </c>
      <c r="L402" s="6" t="s">
        <v>612</v>
      </c>
      <c r="M402" s="5" t="s">
        <v>19</v>
      </c>
      <c r="N402" s="5" t="s">
        <v>27</v>
      </c>
      <c r="O402" s="5">
        <v>1222302.0</v>
      </c>
      <c r="P402" s="5">
        <v>3142.0</v>
      </c>
      <c r="Q402" s="5">
        <v>553773.0</v>
      </c>
      <c r="R402" s="5">
        <v>1120128.0</v>
      </c>
      <c r="S402" s="5">
        <v>42.0</v>
      </c>
      <c r="T402" s="5">
        <v>7880.770406</v>
      </c>
    </row>
    <row r="403">
      <c r="A403" s="4" t="s">
        <v>615</v>
      </c>
      <c r="B403" s="4" t="str">
        <f>IFERROR(__xludf.DUMMYFUNCTION("SPLIT(A403:A1129, ""&gt;"")"),"Online Behavior")</f>
        <v>Online Behavior</v>
      </c>
      <c r="C403" s="4" t="str">
        <f>IFERROR(__xludf.DUMMYFUNCTION("""COMPUTED_VALUE"""),"United States")</f>
        <v>United States</v>
      </c>
      <c r="D403" s="4" t="str">
        <f>IFERROR(__xludf.DUMMYFUNCTION("""COMPUTED_VALUE"""),"Beauty and Fitness")</f>
        <v>Beauty and Fitness</v>
      </c>
      <c r="E403" s="4" t="str">
        <f>IFERROR(__xludf.DUMMYFUNCTION("""COMPUTED_VALUE"""),"Hair Care")</f>
        <v>Hair Care</v>
      </c>
      <c r="F403" s="4"/>
      <c r="G403" s="4"/>
      <c r="H403" s="4"/>
      <c r="I403" s="5" t="s">
        <v>22</v>
      </c>
      <c r="J403" s="5" t="s">
        <v>23</v>
      </c>
      <c r="K403" s="5" t="s">
        <v>29</v>
      </c>
      <c r="L403" s="6" t="s">
        <v>612</v>
      </c>
      <c r="M403" s="5" t="s">
        <v>19</v>
      </c>
      <c r="N403" s="5" t="s">
        <v>27</v>
      </c>
      <c r="O403" s="5">
        <v>999915.0</v>
      </c>
      <c r="P403" s="5">
        <v>2748.0</v>
      </c>
      <c r="Q403" s="5">
        <v>618816.0</v>
      </c>
      <c r="R403" s="5">
        <v>829942.0</v>
      </c>
      <c r="S403" s="5">
        <v>23.0</v>
      </c>
      <c r="T403" s="5">
        <v>7879.316787</v>
      </c>
    </row>
    <row r="404">
      <c r="A404" s="4" t="s">
        <v>616</v>
      </c>
      <c r="B404" s="4" t="str">
        <f>IFERROR(__xludf.DUMMYFUNCTION("SPLIT(A404:A1130, ""&gt;"")"),"Online Behavior")</f>
        <v>Online Behavior</v>
      </c>
      <c r="C404" s="4" t="str">
        <f>IFERROR(__xludf.DUMMYFUNCTION("""COMPUTED_VALUE"""),"United States")</f>
        <v>United States</v>
      </c>
      <c r="D404" s="4" t="str">
        <f>IFERROR(__xludf.DUMMYFUNCTION("""COMPUTED_VALUE"""),"Life Event")</f>
        <v>Life Event</v>
      </c>
      <c r="E404" s="4" t="str">
        <f>IFERROR(__xludf.DUMMYFUNCTION("""COMPUTED_VALUE"""),"College Graduation")</f>
        <v>College Graduation</v>
      </c>
      <c r="F404" s="4"/>
      <c r="G404" s="4"/>
      <c r="H404" s="4"/>
      <c r="I404" s="5" t="s">
        <v>22</v>
      </c>
      <c r="J404" s="5" t="s">
        <v>42</v>
      </c>
      <c r="K404" s="5" t="s">
        <v>17</v>
      </c>
      <c r="L404" s="6" t="s">
        <v>612</v>
      </c>
      <c r="M404" s="5" t="s">
        <v>19</v>
      </c>
      <c r="N404" s="5" t="s">
        <v>27</v>
      </c>
      <c r="O404" s="5">
        <v>1515751.0</v>
      </c>
      <c r="P404" s="5">
        <v>3874.0</v>
      </c>
      <c r="Q404" s="5">
        <v>1151776.0</v>
      </c>
      <c r="R404" s="5">
        <v>1396230.0</v>
      </c>
      <c r="S404" s="5">
        <v>49.0</v>
      </c>
      <c r="T404" s="5">
        <v>7850.644244</v>
      </c>
    </row>
    <row r="405">
      <c r="A405" s="4" t="s">
        <v>617</v>
      </c>
      <c r="B405" s="4" t="str">
        <f>IFERROR(__xludf.DUMMYFUNCTION("SPLIT(A405:A1131, ""&gt;"")"),"Online Behavior")</f>
        <v>Online Behavior</v>
      </c>
      <c r="C405" s="4" t="str">
        <f>IFERROR(__xludf.DUMMYFUNCTION("""COMPUTED_VALUE"""),"United States")</f>
        <v>United States</v>
      </c>
      <c r="D405" s="4" t="str">
        <f>IFERROR(__xludf.DUMMYFUNCTION("""COMPUTED_VALUE"""),"The Changing Consumer")</f>
        <v>The Changing Consumer</v>
      </c>
      <c r="E405" s="4" t="str">
        <f>IFERROR(__xludf.DUMMYFUNCTION("""COMPUTED_VALUE"""),"Happy at Home")</f>
        <v>Happy at Home</v>
      </c>
      <c r="F405" s="4"/>
      <c r="G405" s="4"/>
      <c r="H405" s="4"/>
      <c r="I405" s="5" t="s">
        <v>15</v>
      </c>
      <c r="J405" s="5" t="s">
        <v>31</v>
      </c>
      <c r="K405" s="5" t="s">
        <v>17</v>
      </c>
      <c r="L405" s="6" t="s">
        <v>612</v>
      </c>
      <c r="M405" s="5" t="s">
        <v>117</v>
      </c>
      <c r="N405" s="5" t="s">
        <v>27</v>
      </c>
      <c r="O405" s="5">
        <v>1575592.0</v>
      </c>
      <c r="P405" s="5">
        <v>3874.0</v>
      </c>
      <c r="Q405" s="5">
        <v>1155869.0</v>
      </c>
      <c r="R405" s="5">
        <v>1447900.0</v>
      </c>
      <c r="S405" s="5">
        <v>88.0</v>
      </c>
      <c r="T405" s="5">
        <v>7818.648297</v>
      </c>
    </row>
    <row r="406">
      <c r="A406" s="4" t="s">
        <v>1425</v>
      </c>
      <c r="B406" s="4" t="str">
        <f>IFERROR(__xludf.DUMMYFUNCTION("SPLIT(A406:A1132, ""&gt;"")"),"Online Behavior")</f>
        <v>Online Behavior</v>
      </c>
      <c r="C406" s="4" t="str">
        <f>IFERROR(__xludf.DUMMYFUNCTION("""COMPUTED_VALUE"""),"United States")</f>
        <v>United States</v>
      </c>
      <c r="D406" s="4" t="str">
        <f>IFERROR(__xludf.DUMMYFUNCTION("""COMPUTED_VALUE"""),"Sports")</f>
        <v>Sports</v>
      </c>
      <c r="E406" s="4" t="str">
        <f>IFERROR(__xludf.DUMMYFUNCTION("""COMPUTED_VALUE"""),"Team Sports ")</f>
        <v>Team Sports </v>
      </c>
      <c r="F406" s="4" t="str">
        <f>IFERROR(__xludf.DUMMYFUNCTION("""COMPUTED_VALUE""")," American Football")</f>
        <v> American Football</v>
      </c>
      <c r="G406" s="4"/>
      <c r="H406" s="4"/>
      <c r="I406" s="5" t="s">
        <v>22</v>
      </c>
      <c r="J406" s="5" t="s">
        <v>23</v>
      </c>
      <c r="K406" s="5" t="s">
        <v>39</v>
      </c>
      <c r="L406" s="6" t="s">
        <v>612</v>
      </c>
      <c r="M406" s="5" t="s">
        <v>26</v>
      </c>
      <c r="N406" s="5" t="s">
        <v>27</v>
      </c>
      <c r="O406" s="5">
        <v>458931.0</v>
      </c>
      <c r="P406" s="5">
        <v>974.0</v>
      </c>
      <c r="Q406" s="5">
        <v>264325.0</v>
      </c>
      <c r="R406" s="5">
        <v>378011.0</v>
      </c>
      <c r="S406" s="5">
        <v>30.0</v>
      </c>
      <c r="T406" s="5">
        <v>7462.677935</v>
      </c>
    </row>
    <row r="407">
      <c r="A407" s="4" t="s">
        <v>619</v>
      </c>
      <c r="B407" s="4" t="str">
        <f>IFERROR(__xludf.DUMMYFUNCTION("SPLIT(A407:A1133, ""&gt;"")"),"Online Behavior")</f>
        <v>Online Behavior</v>
      </c>
      <c r="C407" s="4" t="str">
        <f>IFERROR(__xludf.DUMMYFUNCTION("""COMPUTED_VALUE"""),"United States")</f>
        <v>United States</v>
      </c>
      <c r="D407" s="4" t="str">
        <f>IFERROR(__xludf.DUMMYFUNCTION("""COMPUTED_VALUE"""),"Autos and Vehicles")</f>
        <v>Autos and Vehicles</v>
      </c>
      <c r="E407" s="4" t="str">
        <f>IFERROR(__xludf.DUMMYFUNCTION("""COMPUTED_VALUE"""),"Electric and Plug-In Vehicles")</f>
        <v>Electric and Plug-In Vehicles</v>
      </c>
      <c r="F407" s="4"/>
      <c r="G407" s="4"/>
      <c r="H407" s="4"/>
      <c r="I407" s="5" t="s">
        <v>22</v>
      </c>
      <c r="J407" s="5" t="s">
        <v>42</v>
      </c>
      <c r="K407" s="5" t="s">
        <v>29</v>
      </c>
      <c r="L407" s="6" t="s">
        <v>612</v>
      </c>
      <c r="M407" s="5" t="s">
        <v>26</v>
      </c>
      <c r="N407" s="5" t="s">
        <v>27</v>
      </c>
      <c r="O407" s="5">
        <v>1601933.0</v>
      </c>
      <c r="P407" s="5">
        <v>4265.0</v>
      </c>
      <c r="Q407" s="5">
        <v>1135085.0</v>
      </c>
      <c r="R407" s="5">
        <v>1487426.0</v>
      </c>
      <c r="S407" s="5">
        <v>29.0</v>
      </c>
      <c r="T407" s="5">
        <v>6785.70979</v>
      </c>
    </row>
    <row r="408">
      <c r="A408" s="4" t="s">
        <v>1426</v>
      </c>
      <c r="B408" s="4" t="str">
        <f>IFERROR(__xludf.DUMMYFUNCTION("SPLIT(A408:A1134, ""&gt;"")"),"Online Behavior")</f>
        <v>Online Behavior</v>
      </c>
      <c r="C408" s="4" t="str">
        <f>IFERROR(__xludf.DUMMYFUNCTION("""COMPUTED_VALUE"""),"United States")</f>
        <v>United States</v>
      </c>
      <c r="D408" s="4" t="str">
        <f>IFERROR(__xludf.DUMMYFUNCTION("""COMPUTED_VALUE"""),"Intent ")</f>
        <v>Intent </v>
      </c>
      <c r="E408" s="4" t="str">
        <f>IFERROR(__xludf.DUMMYFUNCTION("""COMPUTED_VALUE""")," Shopping")</f>
        <v> Shopping</v>
      </c>
      <c r="F408" s="4" t="str">
        <f>IFERROR(__xludf.DUMMYFUNCTION("""COMPUTED_VALUE"""),"Home and Garden")</f>
        <v>Home and Garden</v>
      </c>
      <c r="G408" s="4"/>
      <c r="H408" s="4"/>
      <c r="I408" s="5" t="s">
        <v>22</v>
      </c>
      <c r="J408" s="5" t="s">
        <v>23</v>
      </c>
      <c r="K408" s="5" t="s">
        <v>45</v>
      </c>
      <c r="L408" s="6" t="s">
        <v>612</v>
      </c>
      <c r="M408" s="5" t="s">
        <v>19</v>
      </c>
      <c r="N408" s="5" t="s">
        <v>27</v>
      </c>
      <c r="O408" s="5">
        <v>26270.0</v>
      </c>
      <c r="P408" s="5">
        <v>63.0</v>
      </c>
      <c r="Q408" s="5">
        <v>12813.0</v>
      </c>
      <c r="R408" s="5">
        <v>21893.0</v>
      </c>
      <c r="S408" s="5">
        <v>12.0</v>
      </c>
      <c r="T408" s="5">
        <v>6417.264564</v>
      </c>
    </row>
    <row r="409">
      <c r="A409" s="4" t="s">
        <v>1427</v>
      </c>
      <c r="B409" s="4" t="str">
        <f>IFERROR(__xludf.DUMMYFUNCTION("SPLIT(A409:A1135, ""&gt;"")"),"Online Behavior")</f>
        <v>Online Behavior</v>
      </c>
      <c r="C409" s="4" t="str">
        <f>IFERROR(__xludf.DUMMYFUNCTION("""COMPUTED_VALUE"""),"United States")</f>
        <v>United States</v>
      </c>
      <c r="D409" s="4" t="str">
        <f>IFERROR(__xludf.DUMMYFUNCTION("""COMPUTED_VALUE"""),"Intent ")</f>
        <v>Intent </v>
      </c>
      <c r="E409" s="4" t="str">
        <f>IFERROR(__xludf.DUMMYFUNCTION("""COMPUTED_VALUE""")," Auto Buyers ")</f>
        <v> Auto Buyers </v>
      </c>
      <c r="F409" s="4" t="str">
        <f>IFERROR(__xludf.DUMMYFUNCTION("""COMPUTED_VALUE""")," Type")</f>
        <v> Type</v>
      </c>
      <c r="G409" s="4" t="str">
        <f>IFERROR(__xludf.DUMMYFUNCTION("""COMPUTED_VALUE"""),"Truck")</f>
        <v>Truck</v>
      </c>
      <c r="H409" s="4"/>
      <c r="I409" s="5" t="s">
        <v>15</v>
      </c>
      <c r="J409" s="5" t="s">
        <v>31</v>
      </c>
      <c r="K409" s="5" t="s">
        <v>66</v>
      </c>
      <c r="L409" s="6" t="s">
        <v>612</v>
      </c>
      <c r="M409" s="5" t="s">
        <v>46</v>
      </c>
      <c r="N409" s="5" t="s">
        <v>27</v>
      </c>
      <c r="O409" s="5">
        <v>12974.0</v>
      </c>
      <c r="P409" s="5">
        <v>84.0</v>
      </c>
      <c r="Q409" s="5">
        <v>7521.0</v>
      </c>
      <c r="R409" s="5">
        <v>10959.0</v>
      </c>
      <c r="S409" s="5">
        <v>7.0</v>
      </c>
      <c r="T409" s="5">
        <v>6301.868847</v>
      </c>
    </row>
    <row r="410">
      <c r="A410" s="4" t="s">
        <v>1428</v>
      </c>
      <c r="B410" s="4" t="str">
        <f>IFERROR(__xludf.DUMMYFUNCTION("SPLIT(A410:A1136, ""&gt;"")"),"Online Behavior")</f>
        <v>Online Behavior</v>
      </c>
      <c r="C410" s="4" t="str">
        <f>IFERROR(__xludf.DUMMYFUNCTION("""COMPUTED_VALUE"""),"United States")</f>
        <v>United States</v>
      </c>
      <c r="D410" s="4" t="str">
        <f>IFERROR(__xludf.DUMMYFUNCTION("""COMPUTED_VALUE"""),"Intent ")</f>
        <v>Intent </v>
      </c>
      <c r="E410" s="4" t="str">
        <f>IFERROR(__xludf.DUMMYFUNCTION("""COMPUTED_VALUE""")," Shopping")</f>
        <v> Shopping</v>
      </c>
      <c r="F410" s="4" t="str">
        <f>IFERROR(__xludf.DUMMYFUNCTION("""COMPUTED_VALUE"""),"Consumer Electronics ")</f>
        <v>Consumer Electronics </v>
      </c>
      <c r="G410" s="4" t="str">
        <f>IFERROR(__xludf.DUMMYFUNCTION("""COMPUTED_VALUE""")," Televisions/TVs")</f>
        <v> Televisions/TVs</v>
      </c>
      <c r="H410" s="4"/>
      <c r="I410" s="5" t="s">
        <v>22</v>
      </c>
      <c r="J410" s="5" t="s">
        <v>16</v>
      </c>
      <c r="K410" s="5" t="s">
        <v>35</v>
      </c>
      <c r="L410" s="6" t="s">
        <v>612</v>
      </c>
      <c r="M410" s="5" t="s">
        <v>26</v>
      </c>
      <c r="N410" s="5" t="s">
        <v>27</v>
      </c>
      <c r="O410" s="5">
        <v>192201.0</v>
      </c>
      <c r="P410" s="5">
        <v>489.0</v>
      </c>
      <c r="Q410" s="5">
        <v>113707.0</v>
      </c>
      <c r="R410" s="5">
        <v>157940.0</v>
      </c>
      <c r="S410" s="5">
        <v>3.0</v>
      </c>
      <c r="T410" s="5">
        <v>6176.004154</v>
      </c>
    </row>
    <row r="411">
      <c r="A411" s="4" t="s">
        <v>1429</v>
      </c>
      <c r="B411" s="4" t="str">
        <f>IFERROR(__xludf.DUMMYFUNCTION("SPLIT(A411:A1137, ""&gt;"")"),"Online Behavior")</f>
        <v>Online Behavior</v>
      </c>
      <c r="C411" s="4" t="str">
        <f>IFERROR(__xludf.DUMMYFUNCTION("""COMPUTED_VALUE"""),"United States")</f>
        <v>United States</v>
      </c>
      <c r="D411" s="4" t="str">
        <f>IFERROR(__xludf.DUMMYFUNCTION("""COMPUTED_VALUE"""),"Intent ")</f>
        <v>Intent </v>
      </c>
      <c r="E411" s="4" t="str">
        <f>IFERROR(__xludf.DUMMYFUNCTION("""COMPUTED_VALUE""")," Services")</f>
        <v> Services</v>
      </c>
      <c r="F411" s="4" t="str">
        <f>IFERROR(__xludf.DUMMYFUNCTION("""COMPUTED_VALUE"""),"Arts and Entertainment")</f>
        <v>Arts and Entertainment</v>
      </c>
      <c r="G411" s="4"/>
      <c r="H411" s="4"/>
      <c r="I411" s="5" t="s">
        <v>15</v>
      </c>
      <c r="J411" s="5" t="s">
        <v>23</v>
      </c>
      <c r="K411" s="5" t="s">
        <v>35</v>
      </c>
      <c r="L411" s="6" t="s">
        <v>612</v>
      </c>
      <c r="M411" s="5" t="s">
        <v>19</v>
      </c>
      <c r="N411" s="5" t="s">
        <v>20</v>
      </c>
      <c r="O411" s="5">
        <v>29834.0</v>
      </c>
      <c r="P411" s="5">
        <v>99.0</v>
      </c>
      <c r="Q411" s="5">
        <v>14599.0</v>
      </c>
      <c r="R411" s="5">
        <v>24656.0</v>
      </c>
      <c r="S411" s="5">
        <v>14.0</v>
      </c>
      <c r="T411" s="5">
        <v>6032.837114</v>
      </c>
    </row>
    <row r="412">
      <c r="A412" s="4" t="s">
        <v>1430</v>
      </c>
      <c r="B412" s="4" t="str">
        <f>IFERROR(__xludf.DUMMYFUNCTION("SPLIT(A412:A1138, ""&gt;"")"),"Online Behavior")</f>
        <v>Online Behavior</v>
      </c>
      <c r="C412" s="4" t="str">
        <f>IFERROR(__xludf.DUMMYFUNCTION("""COMPUTED_VALUE"""),"United States")</f>
        <v>United States</v>
      </c>
      <c r="D412" s="4" t="str">
        <f>IFERROR(__xludf.DUMMYFUNCTION("""COMPUTED_VALUE"""),"Sports")</f>
        <v>Sports</v>
      </c>
      <c r="E412" s="4" t="str">
        <f>IFERROR(__xludf.DUMMYFUNCTION("""COMPUTED_VALUE"""),"Individual Sports ")</f>
        <v>Individual Sports </v>
      </c>
      <c r="F412" s="4" t="str">
        <f>IFERROR(__xludf.DUMMYFUNCTION("""COMPUTED_VALUE""")," Cycling")</f>
        <v> Cycling</v>
      </c>
      <c r="G412" s="4"/>
      <c r="H412" s="4"/>
      <c r="I412" s="5" t="s">
        <v>15</v>
      </c>
      <c r="J412" s="5" t="s">
        <v>42</v>
      </c>
      <c r="K412" s="5" t="s">
        <v>183</v>
      </c>
      <c r="L412" s="6" t="s">
        <v>612</v>
      </c>
      <c r="M412" s="5" t="s">
        <v>161</v>
      </c>
      <c r="N412" s="5" t="s">
        <v>52</v>
      </c>
      <c r="O412" s="5">
        <v>117518.0</v>
      </c>
      <c r="P412" s="5">
        <v>299.0</v>
      </c>
      <c r="Q412" s="5">
        <v>66458.0</v>
      </c>
      <c r="R412" s="5">
        <v>86571.0</v>
      </c>
      <c r="S412" s="5">
        <v>1.0</v>
      </c>
      <c r="T412" s="5">
        <v>5999.993781</v>
      </c>
    </row>
    <row r="413">
      <c r="A413" s="4" t="s">
        <v>1431</v>
      </c>
      <c r="B413" s="4" t="str">
        <f>IFERROR(__xludf.DUMMYFUNCTION("SPLIT(A413:A1139, ""&gt;"")"),"Online Behavior")</f>
        <v>Online Behavior</v>
      </c>
      <c r="C413" s="4" t="str">
        <f>IFERROR(__xludf.DUMMYFUNCTION("""COMPUTED_VALUE"""),"United States")</f>
        <v>United States</v>
      </c>
      <c r="D413" s="4" t="str">
        <f>IFERROR(__xludf.DUMMYFUNCTION("""COMPUTED_VALUE"""),"Autos and Vehicles ")</f>
        <v>Autos and Vehicles </v>
      </c>
      <c r="E413" s="4" t="str">
        <f>IFERROR(__xludf.DUMMYFUNCTION("""COMPUTED_VALUE""")," Brands")</f>
        <v> Brands</v>
      </c>
      <c r="F413" s="4" t="str">
        <f>IFERROR(__xludf.DUMMYFUNCTION("""COMPUTED_VALUE"""),"Porsche")</f>
        <v>Porsche</v>
      </c>
      <c r="G413" s="4"/>
      <c r="H413" s="4"/>
      <c r="I413" s="5" t="s">
        <v>22</v>
      </c>
      <c r="J413" s="5" t="s">
        <v>23</v>
      </c>
      <c r="K413" s="5" t="s">
        <v>35</v>
      </c>
      <c r="L413" s="6" t="s">
        <v>612</v>
      </c>
      <c r="M413" s="5" t="s">
        <v>48</v>
      </c>
      <c r="N413" s="5" t="s">
        <v>27</v>
      </c>
      <c r="O413" s="5">
        <v>3196231.0</v>
      </c>
      <c r="P413" s="5">
        <v>8745.0</v>
      </c>
      <c r="Q413" s="5">
        <v>2013324.0</v>
      </c>
      <c r="R413" s="5">
        <v>2669103.0</v>
      </c>
      <c r="S413" s="5">
        <v>70.0</v>
      </c>
      <c r="T413" s="5">
        <v>5756.271172</v>
      </c>
    </row>
    <row r="414">
      <c r="A414" s="4" t="s">
        <v>1432</v>
      </c>
      <c r="B414" s="4" t="str">
        <f>IFERROR(__xludf.DUMMYFUNCTION("SPLIT(A414:A1140, ""&gt;"")"),"Online Behavior")</f>
        <v>Online Behavior</v>
      </c>
      <c r="C414" s="4" t="str">
        <f>IFERROR(__xludf.DUMMYFUNCTION("""COMPUTED_VALUE"""),"United States")</f>
        <v>United States</v>
      </c>
      <c r="D414" s="4" t="str">
        <f>IFERROR(__xludf.DUMMYFUNCTION("""COMPUTED_VALUE"""),"Beauty and Fitness")</f>
        <v>Beauty and Fitness</v>
      </c>
      <c r="E414" s="4" t="str">
        <f>IFERROR(__xludf.DUMMYFUNCTION("""COMPUTED_VALUE"""),"Spas and Beauty Services ")</f>
        <v>Spas and Beauty Services </v>
      </c>
      <c r="F414" s="4" t="str">
        <f>IFERROR(__xludf.DUMMYFUNCTION("""COMPUTED_VALUE""")," Massage Therapy")</f>
        <v> Massage Therapy</v>
      </c>
      <c r="G414" s="4"/>
      <c r="H414" s="4"/>
      <c r="I414" s="5" t="s">
        <v>15</v>
      </c>
      <c r="J414" s="5" t="s">
        <v>42</v>
      </c>
      <c r="K414" s="5" t="s">
        <v>29</v>
      </c>
      <c r="L414" s="6" t="s">
        <v>612</v>
      </c>
      <c r="M414" s="5" t="s">
        <v>19</v>
      </c>
      <c r="N414" s="5" t="s">
        <v>27</v>
      </c>
      <c r="O414" s="5">
        <v>109128.0</v>
      </c>
      <c r="P414" s="5">
        <v>470.0</v>
      </c>
      <c r="Q414" s="5">
        <v>38487.0</v>
      </c>
      <c r="R414" s="5">
        <v>90615.0</v>
      </c>
      <c r="S414" s="5">
        <v>3.0</v>
      </c>
      <c r="T414" s="5">
        <v>5153.117204</v>
      </c>
    </row>
    <row r="415">
      <c r="A415" s="4" t="s">
        <v>627</v>
      </c>
      <c r="B415" s="4" t="str">
        <f>IFERROR(__xludf.DUMMYFUNCTION("SPLIT(A415:A1141, ""&gt;"")"),"Online Behavior")</f>
        <v>Online Behavior</v>
      </c>
      <c r="C415" s="4" t="str">
        <f>IFERROR(__xludf.DUMMYFUNCTION("""COMPUTED_VALUE"""),"United States")</f>
        <v>United States</v>
      </c>
      <c r="D415" s="4" t="str">
        <f>IFERROR(__xludf.DUMMYFUNCTION("""COMPUTED_VALUE"""),"Arts and Entertainment")</f>
        <v>Arts and Entertainment</v>
      </c>
      <c r="E415" s="4" t="str">
        <f>IFERROR(__xludf.DUMMYFUNCTION("""COMPUTED_VALUE"""),"TV and Video")</f>
        <v>TV and Video</v>
      </c>
      <c r="F415" s="4"/>
      <c r="G415" s="4"/>
      <c r="H415" s="4"/>
      <c r="I415" s="5" t="s">
        <v>61</v>
      </c>
      <c r="J415" s="5" t="s">
        <v>16</v>
      </c>
      <c r="K415" s="5" t="s">
        <v>78</v>
      </c>
      <c r="L415" s="6" t="s">
        <v>612</v>
      </c>
      <c r="M415" s="5" t="s">
        <v>46</v>
      </c>
      <c r="N415" s="5" t="s">
        <v>27</v>
      </c>
      <c r="O415" s="5">
        <v>13946.0</v>
      </c>
      <c r="P415" s="5">
        <v>40.0</v>
      </c>
      <c r="Q415" s="5">
        <v>3142.0</v>
      </c>
      <c r="R415" s="5">
        <v>8823.0</v>
      </c>
      <c r="S415" s="5">
        <v>8.0</v>
      </c>
      <c r="T415" s="5">
        <v>4920.23463</v>
      </c>
    </row>
    <row r="416">
      <c r="A416" s="4" t="s">
        <v>1433</v>
      </c>
      <c r="B416" s="4" t="str">
        <f>IFERROR(__xludf.DUMMYFUNCTION("SPLIT(A416:A1142, ""&gt;"")"),"Online Behavior")</f>
        <v>Online Behavior</v>
      </c>
      <c r="C416" s="4" t="str">
        <f>IFERROR(__xludf.DUMMYFUNCTION("""COMPUTED_VALUE"""),"United States")</f>
        <v>United States</v>
      </c>
      <c r="D416" s="4" t="str">
        <f>IFERROR(__xludf.DUMMYFUNCTION("""COMPUTED_VALUE"""),"Autos and Vehicles ")</f>
        <v>Autos and Vehicles </v>
      </c>
      <c r="E416" s="4" t="str">
        <f>IFERROR(__xludf.DUMMYFUNCTION("""COMPUTED_VALUE""")," Brands")</f>
        <v> Brands</v>
      </c>
      <c r="F416" s="4" t="str">
        <f>IFERROR(__xludf.DUMMYFUNCTION("""COMPUTED_VALUE"""),"Mitsubishi")</f>
        <v>Mitsubishi</v>
      </c>
      <c r="G416" s="4"/>
      <c r="H416" s="4"/>
      <c r="I416" s="5" t="s">
        <v>15</v>
      </c>
      <c r="J416" s="5" t="s">
        <v>23</v>
      </c>
      <c r="K416" s="5" t="s">
        <v>29</v>
      </c>
      <c r="L416" s="6" t="s">
        <v>612</v>
      </c>
      <c r="M416" s="5" t="s">
        <v>136</v>
      </c>
      <c r="N416" s="5" t="s">
        <v>27</v>
      </c>
      <c r="O416" s="5">
        <v>335461.0</v>
      </c>
      <c r="P416" s="5">
        <v>963.0</v>
      </c>
      <c r="Q416" s="5">
        <v>171464.0</v>
      </c>
      <c r="R416" s="5">
        <v>247450.0</v>
      </c>
      <c r="S416" s="5">
        <v>5.0</v>
      </c>
      <c r="T416" s="5">
        <v>4445.874629</v>
      </c>
    </row>
    <row r="417">
      <c r="A417" s="4" t="s">
        <v>1434</v>
      </c>
      <c r="B417" s="4" t="str">
        <f>IFERROR(__xludf.DUMMYFUNCTION("SPLIT(A417:A1143, ""&gt;"")"),"Online Behavior")</f>
        <v>Online Behavior</v>
      </c>
      <c r="C417" s="4" t="str">
        <f>IFERROR(__xludf.DUMMYFUNCTION("""COMPUTED_VALUE"""),"United States")</f>
        <v>United States</v>
      </c>
      <c r="D417" s="4" t="str">
        <f>IFERROR(__xludf.DUMMYFUNCTION("""COMPUTED_VALUE"""),"Autos and Vehicles ")</f>
        <v>Autos and Vehicles </v>
      </c>
      <c r="E417" s="4" t="str">
        <f>IFERROR(__xludf.DUMMYFUNCTION("""COMPUTED_VALUE""")," Brands")</f>
        <v> Brands</v>
      </c>
      <c r="F417" s="4" t="str">
        <f>IFERROR(__xludf.DUMMYFUNCTION("""COMPUTED_VALUE"""),"GM-Daewoo")</f>
        <v>GM-Daewoo</v>
      </c>
      <c r="G417" s="4"/>
      <c r="H417" s="4"/>
      <c r="I417" s="5" t="s">
        <v>22</v>
      </c>
      <c r="J417" s="5" t="s">
        <v>31</v>
      </c>
      <c r="K417" s="5" t="s">
        <v>155</v>
      </c>
      <c r="L417" s="6" t="s">
        <v>612</v>
      </c>
      <c r="M417" s="5" t="s">
        <v>19</v>
      </c>
      <c r="N417" s="5" t="s">
        <v>27</v>
      </c>
      <c r="O417" s="5">
        <v>48436.0</v>
      </c>
      <c r="P417" s="5">
        <v>171.0</v>
      </c>
      <c r="Q417" s="5">
        <v>16543.0</v>
      </c>
      <c r="R417" s="5">
        <v>42427.0</v>
      </c>
      <c r="S417" s="5">
        <v>6.0</v>
      </c>
      <c r="T417" s="5">
        <v>4386.648215</v>
      </c>
    </row>
    <row r="418">
      <c r="A418" s="4" t="s">
        <v>1863</v>
      </c>
      <c r="B418" s="4" t="str">
        <f>IFERROR(__xludf.DUMMYFUNCTION("SPLIT(A418:A1144, ""&gt;"")"),"US ")</f>
        <v>US </v>
      </c>
      <c r="C418" s="4" t="str">
        <f>IFERROR(__xludf.DUMMYFUNCTION("""COMPUTED_VALUE""")," Demo ")</f>
        <v> Demo </v>
      </c>
      <c r="D418" s="4" t="str">
        <f>IFERROR(__xludf.DUMMYFUNCTION("""COMPUTED_VALUE""")," Age ")</f>
        <v> Age </v>
      </c>
      <c r="E418" s="4" t="str">
        <f>IFERROR(__xludf.DUMMYFUNCTION("""COMPUTED_VALUE""")," 65+")</f>
        <v> 65+</v>
      </c>
      <c r="F418" s="4"/>
      <c r="G418" s="4"/>
      <c r="H418" s="4"/>
      <c r="I418" s="5" t="s">
        <v>22</v>
      </c>
      <c r="J418" s="5" t="s">
        <v>31</v>
      </c>
      <c r="K418" s="5" t="s">
        <v>39</v>
      </c>
      <c r="L418" s="6" t="s">
        <v>612</v>
      </c>
      <c r="M418" s="5" t="s">
        <v>19</v>
      </c>
      <c r="N418" s="5" t="s">
        <v>27</v>
      </c>
      <c r="O418" s="5">
        <v>58738.0</v>
      </c>
      <c r="P418" s="5">
        <v>165.0</v>
      </c>
      <c r="Q418" s="5">
        <v>33538.0</v>
      </c>
      <c r="R418" s="5">
        <v>47535.0</v>
      </c>
      <c r="S418" s="5">
        <v>14.0</v>
      </c>
      <c r="T418" s="5">
        <v>2801.584386</v>
      </c>
    </row>
    <row r="419">
      <c r="A419" s="4" t="s">
        <v>1864</v>
      </c>
      <c r="B419" s="4" t="str">
        <f>IFERROR(__xludf.DUMMYFUNCTION("SPLIT(A419:A1145, ""&gt;"")"),"US ")</f>
        <v>US </v>
      </c>
      <c r="C419" s="4" t="str">
        <f>IFERROR(__xludf.DUMMYFUNCTION("""COMPUTED_VALUE""")," Sociodemographic ")</f>
        <v> Sociodemographic </v>
      </c>
      <c r="D419" s="4" t="str">
        <f>IFERROR(__xludf.DUMMYFUNCTION("""COMPUTED_VALUE""")," P$YCLE Premier Lifestage ")</f>
        <v> P$YCLE Premier Lifestage </v>
      </c>
      <c r="E419" s="4" t="str">
        <f>IFERROR(__xludf.DUMMYFUNCTION("""COMPUTED_VALUE""")," Y3 Fiscal Fledglings")</f>
        <v> Y3 Fiscal Fledglings</v>
      </c>
      <c r="F419" s="4"/>
      <c r="G419" s="4"/>
      <c r="H419" s="4"/>
      <c r="I419" s="5" t="s">
        <v>22</v>
      </c>
      <c r="J419" s="5" t="s">
        <v>31</v>
      </c>
      <c r="K419" s="5" t="s">
        <v>35</v>
      </c>
      <c r="L419" s="6" t="s">
        <v>612</v>
      </c>
      <c r="M419" s="5" t="s">
        <v>19</v>
      </c>
      <c r="N419" s="5" t="s">
        <v>27</v>
      </c>
      <c r="O419" s="5">
        <v>297347.0</v>
      </c>
      <c r="P419" s="5">
        <v>751.0</v>
      </c>
      <c r="Q419" s="5">
        <v>166412.0</v>
      </c>
      <c r="R419" s="5">
        <v>251319.0</v>
      </c>
      <c r="S419" s="5">
        <v>4.0</v>
      </c>
      <c r="T419" s="5">
        <v>2255.522409</v>
      </c>
    </row>
    <row r="420">
      <c r="A420" s="4" t="s">
        <v>1437</v>
      </c>
      <c r="B420" s="4" t="str">
        <f>IFERROR(__xludf.DUMMYFUNCTION("SPLIT(A420:A1146, ""&gt;"")"),"OnAudience ")</f>
        <v>OnAudience </v>
      </c>
      <c r="C420" s="4" t="str">
        <f>IFERROR(__xludf.DUMMYFUNCTION("""COMPUTED_VALUE""")," Interest ")</f>
        <v> Interest </v>
      </c>
      <c r="D420" s="4" t="str">
        <f>IFERROR(__xludf.DUMMYFUNCTION("""COMPUTED_VALUE""")," News &amp; Magazines")</f>
        <v> News &amp; Magazines</v>
      </c>
      <c r="E420" s="4"/>
      <c r="F420" s="4"/>
      <c r="G420" s="4"/>
      <c r="H420" s="4"/>
      <c r="I420" s="5" t="s">
        <v>22</v>
      </c>
      <c r="J420" s="5" t="s">
        <v>31</v>
      </c>
      <c r="K420" s="5" t="s">
        <v>35</v>
      </c>
      <c r="L420" s="6" t="s">
        <v>612</v>
      </c>
      <c r="M420" s="5" t="s">
        <v>19</v>
      </c>
      <c r="N420" s="5" t="s">
        <v>27</v>
      </c>
      <c r="O420" s="5">
        <v>80456.0</v>
      </c>
      <c r="P420" s="5">
        <v>204.0</v>
      </c>
      <c r="Q420" s="5">
        <v>46039.0</v>
      </c>
      <c r="R420" s="5">
        <v>65383.0</v>
      </c>
      <c r="S420" s="5">
        <v>3.0</v>
      </c>
      <c r="T420" s="5">
        <v>2039.848792</v>
      </c>
    </row>
    <row r="421">
      <c r="A421" s="4" t="s">
        <v>1865</v>
      </c>
      <c r="B421" s="4" t="str">
        <f>IFERROR(__xludf.DUMMYFUNCTION("SPLIT(A421:A1147, ""&gt;"")"),"US ")</f>
        <v>US </v>
      </c>
      <c r="C421" s="4" t="str">
        <f>IFERROR(__xludf.DUMMYFUNCTION("""COMPUTED_VALUE""")," Brand Propensities ")</f>
        <v> Brand Propensities </v>
      </c>
      <c r="D421" s="4" t="str">
        <f>IFERROR(__xludf.DUMMYFUNCTION("""COMPUTED_VALUE""")," Electronics ")</f>
        <v> Electronics </v>
      </c>
      <c r="E421" s="4" t="str">
        <f>IFERROR(__xludf.DUMMYFUNCTION("""COMPUTED_VALUE""")," RadioShack Buyer Propensity")</f>
        <v> RadioShack Buyer Propensity</v>
      </c>
      <c r="F421" s="4"/>
      <c r="G421" s="4"/>
      <c r="H421" s="4"/>
      <c r="I421" s="5" t="s">
        <v>15</v>
      </c>
      <c r="J421" s="5" t="s">
        <v>42</v>
      </c>
      <c r="K421" s="5" t="s">
        <v>39</v>
      </c>
      <c r="L421" s="6" t="s">
        <v>612</v>
      </c>
      <c r="M421" s="5" t="s">
        <v>19</v>
      </c>
      <c r="N421" s="5" t="s">
        <v>52</v>
      </c>
      <c r="O421" s="5">
        <v>60412.0</v>
      </c>
      <c r="P421" s="5">
        <v>169.0</v>
      </c>
      <c r="Q421" s="5">
        <v>33457.0</v>
      </c>
      <c r="R421" s="5">
        <v>52172.0</v>
      </c>
      <c r="S421" s="5">
        <v>24.0</v>
      </c>
      <c r="T421" s="5">
        <v>1679.572708</v>
      </c>
    </row>
    <row r="422">
      <c r="A422" s="4" t="s">
        <v>1866</v>
      </c>
      <c r="B422" s="4" t="str">
        <f>IFERROR(__xludf.DUMMYFUNCTION("SPLIT(A422:A1148, ""&gt;"")"),"US ")</f>
        <v>US </v>
      </c>
      <c r="C422" s="4" t="str">
        <f>IFERROR(__xludf.DUMMYFUNCTION("""COMPUTED_VALUE""")," Interest Propensities ")</f>
        <v> Interest Propensities </v>
      </c>
      <c r="D422" s="4" t="str">
        <f>IFERROR(__xludf.DUMMYFUNCTION("""COMPUTED_VALUE""")," Activities and Interests ")</f>
        <v> Activities and Interests </v>
      </c>
      <c r="E422" s="4" t="str">
        <f>IFERROR(__xludf.DUMMYFUNCTION("""COMPUTED_VALUE""")," College Life")</f>
        <v> College Life</v>
      </c>
      <c r="F422" s="4"/>
      <c r="G422" s="4"/>
      <c r="H422" s="4"/>
      <c r="I422" s="5" t="s">
        <v>22</v>
      </c>
      <c r="J422" s="5" t="s">
        <v>16</v>
      </c>
      <c r="K422" s="5" t="s">
        <v>433</v>
      </c>
      <c r="L422" s="6" t="s">
        <v>612</v>
      </c>
      <c r="M422" s="5" t="s">
        <v>33</v>
      </c>
      <c r="N422" s="5" t="s">
        <v>27</v>
      </c>
      <c r="O422" s="5">
        <v>171575.0</v>
      </c>
      <c r="P422" s="5">
        <v>499.0</v>
      </c>
      <c r="Q422" s="5">
        <v>101487.0</v>
      </c>
      <c r="R422" s="5">
        <v>136036.0</v>
      </c>
      <c r="S422" s="5">
        <v>8.0</v>
      </c>
      <c r="T422" s="5">
        <v>1658.332426</v>
      </c>
    </row>
    <row r="423">
      <c r="A423" s="4" t="s">
        <v>1440</v>
      </c>
      <c r="B423" s="4" t="str">
        <f>IFERROR(__xludf.DUMMYFUNCTION("SPLIT(A423:A1149, ""&gt;"")"),"Lotame ")</f>
        <v>Lotame </v>
      </c>
      <c r="C423" s="4" t="str">
        <f>IFERROR(__xludf.DUMMYFUNCTION("""COMPUTED_VALUE""")," Social Media")</f>
        <v> Social Media</v>
      </c>
      <c r="D423" s="4"/>
      <c r="E423" s="4"/>
      <c r="F423" s="4"/>
      <c r="G423" s="4"/>
      <c r="H423" s="4"/>
      <c r="I423" s="5" t="s">
        <v>15</v>
      </c>
      <c r="J423" s="5" t="s">
        <v>31</v>
      </c>
      <c r="K423" s="5" t="s">
        <v>35</v>
      </c>
      <c r="L423" s="6" t="s">
        <v>612</v>
      </c>
      <c r="M423" s="5" t="s">
        <v>19</v>
      </c>
      <c r="N423" s="5" t="s">
        <v>27</v>
      </c>
      <c r="O423" s="5">
        <v>554980.0</v>
      </c>
      <c r="P423" s="5">
        <v>1542.0</v>
      </c>
      <c r="Q423" s="5">
        <v>323498.0</v>
      </c>
      <c r="R423" s="5">
        <v>467646.0</v>
      </c>
      <c r="S423" s="5">
        <v>8.0</v>
      </c>
      <c r="T423" s="5">
        <v>1600.769588</v>
      </c>
    </row>
    <row r="424">
      <c r="A424" s="4" t="s">
        <v>1867</v>
      </c>
      <c r="B424" s="4" t="str">
        <f>IFERROR(__xludf.DUMMYFUNCTION("SPLIT(A424:A1150, ""&gt;"")"),"US ")</f>
        <v>US </v>
      </c>
      <c r="C424" s="4" t="str">
        <f>IFERROR(__xludf.DUMMYFUNCTION("""COMPUTED_VALUE""")," Reach ")</f>
        <v> Reach </v>
      </c>
      <c r="D424" s="4" t="str">
        <f>IFERROR(__xludf.DUMMYFUNCTION("""COMPUTED_VALUE""")," Propensity Models ")</f>
        <v> Propensity Models </v>
      </c>
      <c r="E424" s="4" t="str">
        <f>IFERROR(__xludf.DUMMYFUNCTION("""COMPUTED_VALUE""")," Hobbies and Interest ")</f>
        <v> Hobbies and Interest </v>
      </c>
      <c r="F424" s="4" t="str">
        <f>IFERROR(__xludf.DUMMYFUNCTION("""COMPUTED_VALUE""")," Pets ")</f>
        <v> Pets </v>
      </c>
      <c r="G424" s="4" t="str">
        <f>IFERROR(__xludf.DUMMYFUNCTION("""COMPUTED_VALUE""")," Pet Enthusiast")</f>
        <v> Pet Enthusiast</v>
      </c>
      <c r="H424" s="4"/>
      <c r="I424" s="5" t="s">
        <v>15</v>
      </c>
      <c r="J424" s="5" t="s">
        <v>31</v>
      </c>
      <c r="K424" s="5" t="s">
        <v>17</v>
      </c>
      <c r="L424" s="6" t="s">
        <v>612</v>
      </c>
      <c r="M424" s="5" t="s">
        <v>19</v>
      </c>
      <c r="N424" s="5" t="s">
        <v>27</v>
      </c>
      <c r="O424" s="5">
        <v>321263.0</v>
      </c>
      <c r="P424" s="5">
        <v>852.0</v>
      </c>
      <c r="Q424" s="5">
        <v>172887.0</v>
      </c>
      <c r="R424" s="5">
        <v>263424.0</v>
      </c>
      <c r="S424" s="5">
        <v>6.0</v>
      </c>
      <c r="T424" s="5">
        <v>1576.051434</v>
      </c>
    </row>
    <row r="425">
      <c r="A425" s="4" t="s">
        <v>1868</v>
      </c>
      <c r="B425" s="4" t="str">
        <f>IFERROR(__xludf.DUMMYFUNCTION("SPLIT(A425:A1151, ""&gt;"")"),"US ")</f>
        <v>US </v>
      </c>
      <c r="C425" s="4" t="str">
        <f>IFERROR(__xludf.DUMMYFUNCTION("""COMPUTED_VALUE""")," Financially in Charge ")</f>
        <v> Financially in Charge </v>
      </c>
      <c r="D425" s="4" t="str">
        <f>IFERROR(__xludf.DUMMYFUNCTION("""COMPUTED_VALUE""")," Performance Score: Top 25%")</f>
        <v> Performance Score: Top 25%</v>
      </c>
      <c r="E425" s="4"/>
      <c r="F425" s="4"/>
      <c r="G425" s="4"/>
      <c r="H425" s="4"/>
      <c r="I425" s="5" t="s">
        <v>15</v>
      </c>
      <c r="J425" s="5" t="s">
        <v>23</v>
      </c>
      <c r="K425" s="5" t="s">
        <v>147</v>
      </c>
      <c r="L425" s="6" t="s">
        <v>612</v>
      </c>
      <c r="M425" s="5" t="s">
        <v>19</v>
      </c>
      <c r="N425" s="5" t="s">
        <v>27</v>
      </c>
      <c r="O425" s="5">
        <v>311753.0</v>
      </c>
      <c r="P425" s="5">
        <v>763.0</v>
      </c>
      <c r="Q425" s="5">
        <v>170122.0</v>
      </c>
      <c r="R425" s="5">
        <v>256841.0</v>
      </c>
      <c r="S425" s="5">
        <v>6.0</v>
      </c>
      <c r="T425" s="5">
        <v>1543.612655</v>
      </c>
    </row>
    <row r="426">
      <c r="A426" s="4" t="s">
        <v>1443</v>
      </c>
      <c r="B426" s="4" t="str">
        <f>IFERROR(__xludf.DUMMYFUNCTION("SPLIT(A426:A1152, ""&gt;"")"),"OnAudience ")</f>
        <v>OnAudience </v>
      </c>
      <c r="C426" s="4" t="str">
        <f>IFERROR(__xludf.DUMMYFUNCTION("""COMPUTED_VALUE""")," Intent ")</f>
        <v> Intent </v>
      </c>
      <c r="D426" s="4" t="str">
        <f>IFERROR(__xludf.DUMMYFUNCTION("""COMPUTED_VALUE""")," Travel")</f>
        <v> Travel</v>
      </c>
      <c r="E426" s="4"/>
      <c r="F426" s="4"/>
      <c r="G426" s="4"/>
      <c r="H426" s="4"/>
      <c r="I426" s="5" t="s">
        <v>15</v>
      </c>
      <c r="J426" s="5" t="s">
        <v>16</v>
      </c>
      <c r="K426" s="5" t="s">
        <v>35</v>
      </c>
      <c r="L426" s="6" t="s">
        <v>612</v>
      </c>
      <c r="M426" s="5" t="s">
        <v>46</v>
      </c>
      <c r="N426" s="5" t="s">
        <v>20</v>
      </c>
      <c r="O426" s="5">
        <v>96031.0</v>
      </c>
      <c r="P426" s="5">
        <v>311.0</v>
      </c>
      <c r="Q426" s="5">
        <v>57187.0</v>
      </c>
      <c r="R426" s="5">
        <v>78396.0</v>
      </c>
      <c r="S426" s="5">
        <v>21.0</v>
      </c>
      <c r="T426" s="5">
        <v>1508.90767</v>
      </c>
    </row>
    <row r="427">
      <c r="A427" s="4" t="s">
        <v>1444</v>
      </c>
      <c r="B427" s="4" t="str">
        <f>IFERROR(__xludf.DUMMYFUNCTION("SPLIT(A427:A1153, ""&gt;"")"),"Media and Entertainment ")</f>
        <v>Media and Entertainment </v>
      </c>
      <c r="C427" s="4" t="str">
        <f>IFERROR(__xludf.DUMMYFUNCTION("""COMPUTED_VALUE""")," Sports and Recreational Activities ")</f>
        <v> Sports and Recreational Activities </v>
      </c>
      <c r="D427" s="4" t="str">
        <f>IFERROR(__xludf.DUMMYFUNCTION("""COMPUTED_VALUE""")," Interest (Affinity) ")</f>
        <v> Interest (Affinity) </v>
      </c>
      <c r="E427" s="4" t="str">
        <f>IFERROR(__xludf.DUMMYFUNCTION("""COMPUTED_VALUE""")," Team Sports ")</f>
        <v> Team Sports </v>
      </c>
      <c r="F427" s="4" t="str">
        <f>IFERROR(__xludf.DUMMYFUNCTION("""COMPUTED_VALUE""")," Football (American)")</f>
        <v> Football (American)</v>
      </c>
      <c r="G427" s="4"/>
      <c r="H427" s="4"/>
      <c r="I427" s="5" t="s">
        <v>22</v>
      </c>
      <c r="J427" s="5" t="s">
        <v>16</v>
      </c>
      <c r="K427" s="5" t="s">
        <v>142</v>
      </c>
      <c r="L427" s="6" t="s">
        <v>612</v>
      </c>
      <c r="M427" s="5" t="s">
        <v>19</v>
      </c>
      <c r="N427" s="5" t="s">
        <v>27</v>
      </c>
      <c r="O427" s="5">
        <v>47931.0</v>
      </c>
      <c r="P427" s="5">
        <v>170.0</v>
      </c>
      <c r="Q427" s="5">
        <v>15989.0</v>
      </c>
      <c r="R427" s="5">
        <v>38916.0</v>
      </c>
      <c r="S427" s="5">
        <v>4.0</v>
      </c>
      <c r="T427" s="5">
        <v>1487.228625</v>
      </c>
    </row>
    <row r="428">
      <c r="A428" s="4" t="s">
        <v>1869</v>
      </c>
      <c r="B428" s="4" t="str">
        <f>IFERROR(__xludf.DUMMYFUNCTION("SPLIT(A428:A1154, ""&gt;"")"),"US Financial ")</f>
        <v>US Financial </v>
      </c>
      <c r="C428" s="4" t="str">
        <f>IFERROR(__xludf.DUMMYFUNCTION("""COMPUTED_VALUE""")," Likely Bank Account and Services ")</f>
        <v> Likely Bank Account and Services </v>
      </c>
      <c r="D428" s="4" t="str">
        <f>IFERROR(__xludf.DUMMYFUNCTION("""COMPUTED_VALUE""")," Saving Account ")</f>
        <v> Saving Account </v>
      </c>
      <c r="E428" s="4" t="str">
        <f>IFERROR(__xludf.DUMMYFUNCTION("""COMPUTED_VALUE""")," Personal or Join (Financial)")</f>
        <v> Personal or Join (Financial)</v>
      </c>
      <c r="F428" s="4"/>
      <c r="G428" s="4"/>
      <c r="H428" s="4"/>
      <c r="I428" s="5" t="s">
        <v>15</v>
      </c>
      <c r="J428" s="5" t="s">
        <v>23</v>
      </c>
      <c r="K428" s="5" t="s">
        <v>641</v>
      </c>
      <c r="L428" s="6" t="s">
        <v>612</v>
      </c>
      <c r="M428" s="5" t="s">
        <v>36</v>
      </c>
      <c r="N428" s="5" t="s">
        <v>27</v>
      </c>
      <c r="O428" s="5">
        <v>177632.0</v>
      </c>
      <c r="P428" s="5">
        <v>485.0</v>
      </c>
      <c r="Q428" s="5">
        <v>70865.0</v>
      </c>
      <c r="R428" s="5">
        <v>95871.0</v>
      </c>
      <c r="S428" s="5">
        <v>5.0</v>
      </c>
      <c r="T428" s="5">
        <v>1483.384404</v>
      </c>
    </row>
    <row r="429">
      <c r="A429" s="4" t="s">
        <v>1446</v>
      </c>
      <c r="B429" s="4" t="str">
        <f>IFERROR(__xludf.DUMMYFUNCTION("SPLIT(A429:A1155, ""&gt;"")"),"Online Behavior")</f>
        <v>Online Behavior</v>
      </c>
      <c r="C429" s="4" t="str">
        <f>IFERROR(__xludf.DUMMYFUNCTION("""COMPUTED_VALUE"""),"United States")</f>
        <v>United States</v>
      </c>
      <c r="D429" s="4" t="str">
        <f>IFERROR(__xludf.DUMMYFUNCTION("""COMPUTED_VALUE"""),"B2B ")</f>
        <v>B2B </v>
      </c>
      <c r="E429" s="4" t="str">
        <f>IFERROR(__xludf.DUMMYFUNCTION("""COMPUTED_VALUE""")," Occupation")</f>
        <v> Occupation</v>
      </c>
      <c r="F429" s="4" t="str">
        <f>IFERROR(__xludf.DUMMYFUNCTION("""COMPUTED_VALUE"""),"SupplyChainManager")</f>
        <v>SupplyChainManager</v>
      </c>
      <c r="G429" s="4"/>
      <c r="H429" s="4"/>
      <c r="I429" s="5" t="s">
        <v>15</v>
      </c>
      <c r="J429" s="5" t="s">
        <v>31</v>
      </c>
      <c r="K429" s="5" t="s">
        <v>84</v>
      </c>
      <c r="L429" s="6" t="s">
        <v>643</v>
      </c>
      <c r="M429" s="5" t="s">
        <v>19</v>
      </c>
      <c r="N429" s="5" t="s">
        <v>20</v>
      </c>
      <c r="O429" s="5">
        <v>7470.0</v>
      </c>
      <c r="P429" s="5">
        <v>0.0</v>
      </c>
      <c r="Q429" s="5">
        <v>6753.0</v>
      </c>
      <c r="R429" s="5">
        <v>7229.0</v>
      </c>
      <c r="S429" s="5">
        <v>1.0</v>
      </c>
      <c r="T429" s="5">
        <v>1738.995282</v>
      </c>
    </row>
    <row r="430">
      <c r="A430" s="4" t="s">
        <v>1447</v>
      </c>
      <c r="B430" s="4" t="str">
        <f>IFERROR(__xludf.DUMMYFUNCTION("SPLIT(A430:A1156, ""&gt;"")"),"Online Behavior")</f>
        <v>Online Behavior</v>
      </c>
      <c r="C430" s="4" t="str">
        <f>IFERROR(__xludf.DUMMYFUNCTION("""COMPUTED_VALUE"""),"United States")</f>
        <v>United States</v>
      </c>
      <c r="D430" s="4" t="str">
        <f>IFERROR(__xludf.DUMMYFUNCTION("""COMPUTED_VALUE"""),"People and Society")</f>
        <v>People and Society</v>
      </c>
      <c r="E430" s="4" t="str">
        <f>IFERROR(__xludf.DUMMYFUNCTION("""COMPUTED_VALUE"""),"Family and Relationships ")</f>
        <v>Family and Relationships </v>
      </c>
      <c r="F430" s="4" t="str">
        <f>IFERROR(__xludf.DUMMYFUNCTION("""COMPUTED_VALUE""")," Moms")</f>
        <v> Moms</v>
      </c>
      <c r="G430" s="4"/>
      <c r="H430" s="4"/>
      <c r="I430" s="5" t="s">
        <v>22</v>
      </c>
      <c r="J430" s="5" t="s">
        <v>16</v>
      </c>
      <c r="K430" s="5" t="s">
        <v>131</v>
      </c>
      <c r="L430" s="6" t="s">
        <v>645</v>
      </c>
      <c r="M430" s="5" t="s">
        <v>46</v>
      </c>
      <c r="N430" s="5" t="s">
        <v>27</v>
      </c>
      <c r="O430" s="5">
        <v>26784.0</v>
      </c>
      <c r="P430" s="5">
        <v>85.0</v>
      </c>
      <c r="Q430" s="5">
        <v>12708.0</v>
      </c>
      <c r="R430" s="5">
        <v>22261.0</v>
      </c>
      <c r="S430" s="5">
        <v>9.0</v>
      </c>
      <c r="T430" s="5">
        <v>6643.161647</v>
      </c>
    </row>
    <row r="431">
      <c r="A431" s="4" t="s">
        <v>1448</v>
      </c>
      <c r="B431" s="4" t="str">
        <f>IFERROR(__xludf.DUMMYFUNCTION("SPLIT(A431:A1157, ""&gt;"")"),"Online Behavior")</f>
        <v>Online Behavior</v>
      </c>
      <c r="C431" s="4" t="str">
        <f>IFERROR(__xludf.DUMMYFUNCTION("""COMPUTED_VALUE"""),"United States")</f>
        <v>United States</v>
      </c>
      <c r="D431" s="4" t="str">
        <f>IFERROR(__xludf.DUMMYFUNCTION("""COMPUTED_VALUE"""),"Arts and Entertainment")</f>
        <v>Arts and Entertainment</v>
      </c>
      <c r="E431" s="4" t="str">
        <f>IFERROR(__xludf.DUMMYFUNCTION("""COMPUTED_VALUE"""),"Events and Listings ")</f>
        <v>Events and Listings </v>
      </c>
      <c r="F431" s="4" t="str">
        <f>IFERROR(__xludf.DUMMYFUNCTION("""COMPUTED_VALUE""")," Live Sporting Events")</f>
        <v> Live Sporting Events</v>
      </c>
      <c r="G431" s="4"/>
      <c r="H431" s="4"/>
      <c r="I431" s="5" t="s">
        <v>22</v>
      </c>
      <c r="J431" s="5" t="s">
        <v>16</v>
      </c>
      <c r="K431" s="5" t="s">
        <v>35</v>
      </c>
      <c r="L431" s="6" t="s">
        <v>645</v>
      </c>
      <c r="M431" s="5" t="s">
        <v>19</v>
      </c>
      <c r="N431" s="5" t="s">
        <v>27</v>
      </c>
      <c r="O431" s="5">
        <v>21028.0</v>
      </c>
      <c r="P431" s="5">
        <v>10.0</v>
      </c>
      <c r="Q431" s="5">
        <v>5781.0</v>
      </c>
      <c r="R431" s="5">
        <v>16134.0</v>
      </c>
      <c r="S431" s="5">
        <v>11.0</v>
      </c>
      <c r="T431" s="5">
        <v>5101.321655</v>
      </c>
    </row>
    <row r="432">
      <c r="A432" s="4" t="s">
        <v>1449</v>
      </c>
      <c r="B432" s="4" t="str">
        <f>IFERROR(__xludf.DUMMYFUNCTION("SPLIT(A432:A1158, ""&gt;"")"),"Online Behavior")</f>
        <v>Online Behavior</v>
      </c>
      <c r="C432" s="4" t="str">
        <f>IFERROR(__xludf.DUMMYFUNCTION("""COMPUTED_VALUE"""),"United States")</f>
        <v>United States</v>
      </c>
      <c r="D432" s="4" t="str">
        <f>IFERROR(__xludf.DUMMYFUNCTION("""COMPUTED_VALUE"""),"Intent ")</f>
        <v>Intent </v>
      </c>
      <c r="E432" s="4" t="str">
        <f>IFERROR(__xludf.DUMMYFUNCTION("""COMPUTED_VALUE""")," Financial Intent")</f>
        <v> Financial Intent</v>
      </c>
      <c r="F432" s="4" t="str">
        <f>IFERROR(__xludf.DUMMYFUNCTION("""COMPUTED_VALUE"""),"Banking")</f>
        <v>Banking</v>
      </c>
      <c r="G432" s="4"/>
      <c r="H432" s="4"/>
      <c r="I432" s="5" t="s">
        <v>61</v>
      </c>
      <c r="J432" s="5" t="s">
        <v>16</v>
      </c>
      <c r="K432" s="5" t="s">
        <v>29</v>
      </c>
      <c r="L432" s="6" t="s">
        <v>648</v>
      </c>
      <c r="M432" s="5" t="s">
        <v>19</v>
      </c>
      <c r="N432" s="5" t="s">
        <v>27</v>
      </c>
      <c r="O432" s="5">
        <v>9238.0</v>
      </c>
      <c r="P432" s="5">
        <v>84.0</v>
      </c>
      <c r="Q432" s="5">
        <v>4626.0</v>
      </c>
      <c r="R432" s="5">
        <v>8264.0</v>
      </c>
      <c r="S432" s="5">
        <v>15.0</v>
      </c>
      <c r="T432" s="5">
        <v>6683.225487</v>
      </c>
    </row>
    <row r="433">
      <c r="A433" s="4" t="s">
        <v>1450</v>
      </c>
      <c r="B433" s="4" t="str">
        <f>IFERROR(__xludf.DUMMYFUNCTION("SPLIT(A433:A1159, ""&gt;"")"),"Online Behavior")</f>
        <v>Online Behavior</v>
      </c>
      <c r="C433" s="4" t="str">
        <f>IFERROR(__xludf.DUMMYFUNCTION("""COMPUTED_VALUE"""),"United States")</f>
        <v>United States</v>
      </c>
      <c r="D433" s="4" t="str">
        <f>IFERROR(__xludf.DUMMYFUNCTION("""COMPUTED_VALUE"""),"Finance ")</f>
        <v>Finance </v>
      </c>
      <c r="E433" s="4" t="str">
        <f>IFERROR(__xludf.DUMMYFUNCTION("""COMPUTED_VALUE""")," Insurance")</f>
        <v> Insurance</v>
      </c>
      <c r="F433" s="4" t="str">
        <f>IFERROR(__xludf.DUMMYFUNCTION("""COMPUTED_VALUE"""),"Health Insurance")</f>
        <v>Health Insurance</v>
      </c>
      <c r="G433" s="4"/>
      <c r="H433" s="4"/>
      <c r="I433" s="5" t="s">
        <v>22</v>
      </c>
      <c r="J433" s="5" t="s">
        <v>23</v>
      </c>
      <c r="K433" s="5" t="s">
        <v>29</v>
      </c>
      <c r="L433" s="6" t="s">
        <v>650</v>
      </c>
      <c r="M433" s="5" t="s">
        <v>26</v>
      </c>
      <c r="N433" s="5" t="s">
        <v>27</v>
      </c>
      <c r="O433" s="5">
        <v>39881.0</v>
      </c>
      <c r="P433" s="5">
        <v>125.0</v>
      </c>
      <c r="Q433" s="5">
        <v>6331.0</v>
      </c>
      <c r="R433" s="5">
        <v>36245.0</v>
      </c>
      <c r="S433" s="5">
        <v>10.0</v>
      </c>
      <c r="T433" s="5">
        <v>7098.889706</v>
      </c>
    </row>
    <row r="434">
      <c r="A434" s="4" t="s">
        <v>1451</v>
      </c>
      <c r="B434" s="4" t="str">
        <f>IFERROR(__xludf.DUMMYFUNCTION("SPLIT(A434:A1160, ""&gt;"")"),"Media and Entertainment ")</f>
        <v>Media and Entertainment </v>
      </c>
      <c r="C434" s="4" t="str">
        <f>IFERROR(__xludf.DUMMYFUNCTION("""COMPUTED_VALUE""")," Sports and Recreational Activities ")</f>
        <v> Sports and Recreational Activities </v>
      </c>
      <c r="D434" s="4" t="str">
        <f>IFERROR(__xludf.DUMMYFUNCTION("""COMPUTED_VALUE""")," Interest (Affinity) ")</f>
        <v> Interest (Affinity) </v>
      </c>
      <c r="E434" s="4" t="str">
        <f>IFERROR(__xludf.DUMMYFUNCTION("""COMPUTED_VALUE""")," Olympics")</f>
        <v> Olympics</v>
      </c>
      <c r="F434" s="4"/>
      <c r="G434" s="4"/>
      <c r="H434" s="4"/>
      <c r="I434" s="5" t="s">
        <v>15</v>
      </c>
      <c r="J434" s="5" t="s">
        <v>16</v>
      </c>
      <c r="K434" s="5" t="s">
        <v>471</v>
      </c>
      <c r="L434" s="6" t="s">
        <v>652</v>
      </c>
      <c r="M434" s="5" t="s">
        <v>19</v>
      </c>
      <c r="N434" s="5" t="s">
        <v>27</v>
      </c>
      <c r="O434" s="5">
        <v>10883.0</v>
      </c>
      <c r="P434" s="5">
        <v>46.0</v>
      </c>
      <c r="Q434" s="5">
        <v>1652.0</v>
      </c>
      <c r="R434" s="5">
        <v>8869.0</v>
      </c>
      <c r="S434" s="5">
        <v>16.0</v>
      </c>
      <c r="T434" s="5">
        <v>1942.482395</v>
      </c>
    </row>
    <row r="435">
      <c r="A435" s="4" t="s">
        <v>1870</v>
      </c>
      <c r="B435" s="4" t="str">
        <f>IFERROR(__xludf.DUMMYFUNCTION("SPLIT(A435:A1161, ""&gt;"")"),"US ")</f>
        <v>US </v>
      </c>
      <c r="C435" s="4" t="str">
        <f>IFERROR(__xludf.DUMMYFUNCTION("""COMPUTED_VALUE""")," Brand Propensities ")</f>
        <v> Brand Propensities </v>
      </c>
      <c r="D435" s="4" t="str">
        <f>IFERROR(__xludf.DUMMYFUNCTION("""COMPUTED_VALUE""")," Kids Products ")</f>
        <v> Kids Products </v>
      </c>
      <c r="E435" s="4" t="str">
        <f>IFERROR(__xludf.DUMMYFUNCTION("""COMPUTED_VALUE""")," Disney Buyer Propensity")</f>
        <v> Disney Buyer Propensity</v>
      </c>
      <c r="F435" s="4"/>
      <c r="G435" s="4"/>
      <c r="H435" s="4"/>
      <c r="I435" s="5" t="s">
        <v>15</v>
      </c>
      <c r="J435" s="5" t="s">
        <v>16</v>
      </c>
      <c r="K435" s="5" t="s">
        <v>78</v>
      </c>
      <c r="L435" s="6" t="s">
        <v>654</v>
      </c>
      <c r="M435" s="5" t="s">
        <v>19</v>
      </c>
      <c r="N435" s="5" t="s">
        <v>20</v>
      </c>
      <c r="O435" s="5">
        <v>50517.0</v>
      </c>
      <c r="P435" s="5">
        <v>270.0</v>
      </c>
      <c r="Q435" s="5">
        <v>17179.0</v>
      </c>
      <c r="R435" s="5">
        <v>48389.0</v>
      </c>
      <c r="S435" s="5">
        <v>2.0</v>
      </c>
      <c r="T435" s="5">
        <v>1718.471077</v>
      </c>
    </row>
    <row r="436">
      <c r="A436" s="4" t="s">
        <v>655</v>
      </c>
      <c r="B436" s="4" t="str">
        <f>IFERROR(__xludf.DUMMYFUNCTION("SPLIT(A436:A1162, ""&gt;"")"),"Online Behavior")</f>
        <v>Online Behavior</v>
      </c>
      <c r="C436" s="4" t="str">
        <f>IFERROR(__xludf.DUMMYFUNCTION("""COMPUTED_VALUE"""),"United States")</f>
        <v>United States</v>
      </c>
      <c r="D436" s="4" t="str">
        <f>IFERROR(__xludf.DUMMYFUNCTION("""COMPUTED_VALUE"""),"Arts and Entertainment")</f>
        <v>Arts and Entertainment</v>
      </c>
      <c r="E436" s="4" t="str">
        <f>IFERROR(__xludf.DUMMYFUNCTION("""COMPUTED_VALUE"""),"Arts and Entertainment")</f>
        <v>Arts and Entertainment</v>
      </c>
      <c r="F436" s="4"/>
      <c r="G436" s="4"/>
      <c r="H436" s="4"/>
      <c r="I436" s="5" t="s">
        <v>22</v>
      </c>
      <c r="J436" s="5" t="s">
        <v>16</v>
      </c>
      <c r="K436" s="5" t="s">
        <v>24</v>
      </c>
      <c r="L436" s="6" t="s">
        <v>654</v>
      </c>
      <c r="M436" s="5" t="s">
        <v>19</v>
      </c>
      <c r="N436" s="5" t="s">
        <v>27</v>
      </c>
      <c r="O436" s="5">
        <v>7248.0</v>
      </c>
      <c r="P436" s="5">
        <v>10.0</v>
      </c>
      <c r="Q436" s="5">
        <v>3988.0</v>
      </c>
      <c r="R436" s="5">
        <v>6863.0</v>
      </c>
      <c r="S436" s="5">
        <v>7.0</v>
      </c>
      <c r="T436" s="5">
        <v>1247.0</v>
      </c>
    </row>
    <row r="437">
      <c r="A437" s="4" t="s">
        <v>1453</v>
      </c>
      <c r="B437" s="4" t="str">
        <f>IFERROR(__xludf.DUMMYFUNCTION("SPLIT(A437:A1163, ""&gt;"")"),"Online Behavior")</f>
        <v>Online Behavior</v>
      </c>
      <c r="C437" s="4" t="str">
        <f>IFERROR(__xludf.DUMMYFUNCTION("""COMPUTED_VALUE"""),"United States")</f>
        <v>United States</v>
      </c>
      <c r="D437" s="4" t="str">
        <f>IFERROR(__xludf.DUMMYFUNCTION("""COMPUTED_VALUE"""),"Validated Demographic ")</f>
        <v>Validated Demographic </v>
      </c>
      <c r="E437" s="4" t="str">
        <f>IFERROR(__xludf.DUMMYFUNCTION("""COMPUTED_VALUE""")," Gender and Age Combined")</f>
        <v> Gender and Age Combined</v>
      </c>
      <c r="F437" s="4" t="str">
        <f>IFERROR(__xludf.DUMMYFUNCTION("""COMPUTED_VALUE"""),"Males 18-34")</f>
        <v>Males 18-34</v>
      </c>
      <c r="G437" s="4"/>
      <c r="H437" s="4"/>
      <c r="I437" s="5" t="s">
        <v>22</v>
      </c>
      <c r="J437" s="5" t="s">
        <v>42</v>
      </c>
      <c r="K437" s="5" t="s">
        <v>29</v>
      </c>
      <c r="L437" s="6" t="s">
        <v>657</v>
      </c>
      <c r="M437" s="5" t="s">
        <v>46</v>
      </c>
      <c r="N437" s="5" t="s">
        <v>27</v>
      </c>
      <c r="O437" s="5">
        <v>10835.0</v>
      </c>
      <c r="P437" s="5">
        <v>25.0</v>
      </c>
      <c r="Q437" s="5">
        <v>2888.0</v>
      </c>
      <c r="R437" s="5">
        <v>10487.0</v>
      </c>
      <c r="S437" s="5">
        <v>3.0</v>
      </c>
      <c r="T437" s="5">
        <v>4704.249956</v>
      </c>
    </row>
    <row r="438">
      <c r="A438" s="4" t="s">
        <v>1454</v>
      </c>
      <c r="B438" s="4" t="str">
        <f>IFERROR(__xludf.DUMMYFUNCTION("SPLIT(A438:A1164, ""&gt;"")"),"Online Behavior")</f>
        <v>Online Behavior</v>
      </c>
      <c r="C438" s="4" t="str">
        <f>IFERROR(__xludf.DUMMYFUNCTION("""COMPUTED_VALUE"""),"United States")</f>
        <v>United States</v>
      </c>
      <c r="D438" s="4" t="str">
        <f>IFERROR(__xludf.DUMMYFUNCTION("""COMPUTED_VALUE"""),"Finance ")</f>
        <v>Finance </v>
      </c>
      <c r="E438" s="4" t="str">
        <f>IFERROR(__xludf.DUMMYFUNCTION("""COMPUTED_VALUE""")," Investing")</f>
        <v> Investing</v>
      </c>
      <c r="F438" s="4" t="str">
        <f>IFERROR(__xludf.DUMMYFUNCTION("""COMPUTED_VALUE"""),"Commodities and Futures Trading")</f>
        <v>Commodities and Futures Trading</v>
      </c>
      <c r="G438" s="4"/>
      <c r="H438" s="4"/>
      <c r="I438" s="5" t="s">
        <v>15</v>
      </c>
      <c r="J438" s="5" t="s">
        <v>31</v>
      </c>
      <c r="K438" s="5" t="s">
        <v>17</v>
      </c>
      <c r="L438" s="6" t="s">
        <v>659</v>
      </c>
      <c r="M438" s="5" t="s">
        <v>19</v>
      </c>
      <c r="N438" s="5" t="s">
        <v>27</v>
      </c>
      <c r="O438" s="5">
        <v>11476.0</v>
      </c>
      <c r="P438" s="5">
        <v>45.0</v>
      </c>
      <c r="Q438" s="5">
        <v>4963.0</v>
      </c>
      <c r="R438" s="5">
        <v>10991.0</v>
      </c>
      <c r="S438" s="5">
        <v>8.0</v>
      </c>
      <c r="T438" s="5">
        <v>7227.417349</v>
      </c>
    </row>
    <row r="439">
      <c r="A439" s="4" t="s">
        <v>1455</v>
      </c>
      <c r="B439" s="4" t="str">
        <f>IFERROR(__xludf.DUMMYFUNCTION("SPLIT(A439:A1165, ""&gt;"")"),"Online Behavior")</f>
        <v>Online Behavior</v>
      </c>
      <c r="C439" s="4" t="str">
        <f>IFERROR(__xludf.DUMMYFUNCTION("""COMPUTED_VALUE"""),"United States")</f>
        <v>United States</v>
      </c>
      <c r="D439" s="4" t="str">
        <f>IFERROR(__xludf.DUMMYFUNCTION("""COMPUTED_VALUE"""),"Autos and Vehicles")</f>
        <v>Autos and Vehicles</v>
      </c>
      <c r="E439" s="4" t="str">
        <f>IFERROR(__xludf.DUMMYFUNCTION("""COMPUTED_VALUE"""),"Vehicle Shopping ")</f>
        <v>Vehicle Shopping </v>
      </c>
      <c r="F439" s="4" t="str">
        <f>IFERROR(__xludf.DUMMYFUNCTION("""COMPUTED_VALUE""")," Fuel Economy and Gas Prices")</f>
        <v> Fuel Economy and Gas Prices</v>
      </c>
      <c r="G439" s="4"/>
      <c r="H439" s="4"/>
      <c r="I439" s="5" t="s">
        <v>22</v>
      </c>
      <c r="J439" s="5" t="s">
        <v>23</v>
      </c>
      <c r="K439" s="5" t="s">
        <v>78</v>
      </c>
      <c r="L439" s="6" t="s">
        <v>661</v>
      </c>
      <c r="M439" s="5" t="s">
        <v>19</v>
      </c>
      <c r="N439" s="5" t="s">
        <v>27</v>
      </c>
      <c r="O439" s="5">
        <v>92764.0</v>
      </c>
      <c r="P439" s="5">
        <v>320.0</v>
      </c>
      <c r="Q439" s="5">
        <v>19625.0</v>
      </c>
      <c r="R439" s="5">
        <v>76531.0</v>
      </c>
      <c r="S439" s="5">
        <v>14.0</v>
      </c>
      <c r="T439" s="5">
        <v>6730.012549</v>
      </c>
    </row>
    <row r="440">
      <c r="A440" s="4" t="s">
        <v>1456</v>
      </c>
      <c r="B440" s="4" t="str">
        <f>IFERROR(__xludf.DUMMYFUNCTION("SPLIT(A440:A1166, ""&gt;"")"),"Online Behavior")</f>
        <v>Online Behavior</v>
      </c>
      <c r="C440" s="4" t="str">
        <f>IFERROR(__xludf.DUMMYFUNCTION("""COMPUTED_VALUE"""),"United States")</f>
        <v>United States</v>
      </c>
      <c r="D440" s="4" t="str">
        <f>IFERROR(__xludf.DUMMYFUNCTION("""COMPUTED_VALUE"""),"Travel")</f>
        <v>Travel</v>
      </c>
      <c r="E440" s="4" t="str">
        <f>IFERROR(__xludf.DUMMYFUNCTION("""COMPUTED_VALUE"""),"Travel Agencies and Services ")</f>
        <v>Travel Agencies and Services </v>
      </c>
      <c r="F440" s="4" t="str">
        <f>IFERROR(__xludf.DUMMYFUNCTION("""COMPUTED_VALUE""")," Tourist Boards and Visitor Centers")</f>
        <v> Tourist Boards and Visitor Centers</v>
      </c>
      <c r="G440" s="4"/>
      <c r="H440" s="4"/>
      <c r="I440" s="5" t="s">
        <v>22</v>
      </c>
      <c r="J440" s="5" t="s">
        <v>23</v>
      </c>
      <c r="K440" s="5" t="s">
        <v>273</v>
      </c>
      <c r="L440" s="6" t="s">
        <v>661</v>
      </c>
      <c r="M440" s="5" t="s">
        <v>36</v>
      </c>
      <c r="N440" s="5" t="s">
        <v>27</v>
      </c>
      <c r="O440" s="5">
        <v>189571.0</v>
      </c>
      <c r="P440" s="5">
        <v>500.0</v>
      </c>
      <c r="Q440" s="5">
        <v>130676.0</v>
      </c>
      <c r="R440" s="5">
        <v>183688.0</v>
      </c>
      <c r="S440" s="5">
        <v>39.0</v>
      </c>
      <c r="T440" s="5">
        <v>6335.948388</v>
      </c>
    </row>
    <row r="441">
      <c r="A441" s="4" t="s">
        <v>1457</v>
      </c>
      <c r="B441" s="4" t="str">
        <f>IFERROR(__xludf.DUMMYFUNCTION("SPLIT(A441:A1167, ""&gt;"")"),"Online Behavior")</f>
        <v>Online Behavior</v>
      </c>
      <c r="C441" s="4" t="str">
        <f>IFERROR(__xludf.DUMMYFUNCTION("""COMPUTED_VALUE"""),"United States")</f>
        <v>United States</v>
      </c>
      <c r="D441" s="4" t="str">
        <f>IFERROR(__xludf.DUMMYFUNCTION("""COMPUTED_VALUE"""),"Beauty and Fitness")</f>
        <v>Beauty and Fitness</v>
      </c>
      <c r="E441" s="4" t="str">
        <f>IFERROR(__xludf.DUMMYFUNCTION("""COMPUTED_VALUE"""),"Fitness ")</f>
        <v>Fitness </v>
      </c>
      <c r="F441" s="4" t="str">
        <f>IFERROR(__xludf.DUMMYFUNCTION("""COMPUTED_VALUE""")," Home Exercise")</f>
        <v> Home Exercise</v>
      </c>
      <c r="G441" s="4"/>
      <c r="H441" s="4"/>
      <c r="I441" s="5" t="s">
        <v>15</v>
      </c>
      <c r="J441" s="5" t="s">
        <v>42</v>
      </c>
      <c r="K441" s="5" t="s">
        <v>24</v>
      </c>
      <c r="L441" s="6" t="s">
        <v>661</v>
      </c>
      <c r="M441" s="5" t="s">
        <v>50</v>
      </c>
      <c r="N441" s="5" t="s">
        <v>27</v>
      </c>
      <c r="O441" s="5">
        <v>14224.0</v>
      </c>
      <c r="P441" s="5">
        <v>30.0</v>
      </c>
      <c r="Q441" s="5">
        <v>2549.0</v>
      </c>
      <c r="R441" s="5">
        <v>11974.0</v>
      </c>
      <c r="S441" s="5">
        <v>7.0</v>
      </c>
      <c r="T441" s="5">
        <v>5637.303497</v>
      </c>
    </row>
    <row r="442">
      <c r="A442" s="4" t="s">
        <v>1458</v>
      </c>
      <c r="B442" s="4" t="str">
        <f>IFERROR(__xludf.DUMMYFUNCTION("SPLIT(A442:A1168, ""&gt;"")"),"Media and Entertainment ")</f>
        <v>Media and Entertainment </v>
      </c>
      <c r="C442" s="4" t="str">
        <f>IFERROR(__xludf.DUMMYFUNCTION("""COMPUTED_VALUE""")," News and Current Events")</f>
        <v> News and Current Events</v>
      </c>
      <c r="D442" s="4"/>
      <c r="E442" s="4"/>
      <c r="F442" s="4"/>
      <c r="G442" s="4"/>
      <c r="H442" s="4"/>
      <c r="I442" s="5" t="s">
        <v>15</v>
      </c>
      <c r="J442" s="5" t="s">
        <v>31</v>
      </c>
      <c r="K442" s="5" t="s">
        <v>17</v>
      </c>
      <c r="L442" s="6" t="s">
        <v>661</v>
      </c>
      <c r="M442" s="5" t="s">
        <v>19</v>
      </c>
      <c r="N442" s="5" t="s">
        <v>27</v>
      </c>
      <c r="O442" s="5">
        <v>183208.0</v>
      </c>
      <c r="P442" s="5">
        <v>620.0</v>
      </c>
      <c r="Q442" s="5">
        <v>131164.0</v>
      </c>
      <c r="R442" s="5">
        <v>177952.0</v>
      </c>
      <c r="S442" s="5">
        <v>43.0</v>
      </c>
      <c r="T442" s="5">
        <v>2682.436623</v>
      </c>
    </row>
    <row r="443">
      <c r="A443" s="4" t="s">
        <v>1871</v>
      </c>
      <c r="B443" s="4" t="str">
        <f>IFERROR(__xludf.DUMMYFUNCTION("SPLIT(A443:A1169, ""&gt;"")"),"US ")</f>
        <v>US </v>
      </c>
      <c r="C443" s="4" t="str">
        <f>IFERROR(__xludf.DUMMYFUNCTION("""COMPUTED_VALUE""")," Interest Propensities ")</f>
        <v> Interest Propensities </v>
      </c>
      <c r="D443" s="4" t="str">
        <f>IFERROR(__xludf.DUMMYFUNCTION("""COMPUTED_VALUE""")," Activities and Interests ")</f>
        <v> Activities and Interests </v>
      </c>
      <c r="E443" s="4" t="str">
        <f>IFERROR(__xludf.DUMMYFUNCTION("""COMPUTED_VALUE""")," National News")</f>
        <v> National News</v>
      </c>
      <c r="F443" s="4"/>
      <c r="G443" s="4"/>
      <c r="H443" s="4"/>
      <c r="I443" s="5" t="s">
        <v>22</v>
      </c>
      <c r="J443" s="5" t="s">
        <v>42</v>
      </c>
      <c r="K443" s="5" t="s">
        <v>78</v>
      </c>
      <c r="L443" s="6" t="s">
        <v>661</v>
      </c>
      <c r="M443" s="5" t="s">
        <v>46</v>
      </c>
      <c r="N443" s="5" t="s">
        <v>27</v>
      </c>
      <c r="O443" s="5">
        <v>20486.0</v>
      </c>
      <c r="P443" s="5">
        <v>42.0</v>
      </c>
      <c r="Q443" s="5">
        <v>14583.0</v>
      </c>
      <c r="R443" s="5">
        <v>19860.0</v>
      </c>
      <c r="S443" s="5">
        <v>2.0</v>
      </c>
      <c r="T443" s="5">
        <v>1718.513762</v>
      </c>
    </row>
    <row r="444">
      <c r="A444" s="4" t="s">
        <v>1872</v>
      </c>
      <c r="B444" s="4" t="str">
        <f>IFERROR(__xludf.DUMMYFUNCTION("SPLIT(A444:A1170, ""&gt;"")"),"US ")</f>
        <v>US </v>
      </c>
      <c r="C444" s="4" t="str">
        <f>IFERROR(__xludf.DUMMYFUNCTION("""COMPUTED_VALUE""")," Interest Propensities ")</f>
        <v> Interest Propensities </v>
      </c>
      <c r="D444" s="4" t="str">
        <f>IFERROR(__xludf.DUMMYFUNCTION("""COMPUTED_VALUE""")," TV and Movies ")</f>
        <v> TV and Movies </v>
      </c>
      <c r="E444" s="4" t="str">
        <f>IFERROR(__xludf.DUMMYFUNCTION("""COMPUTED_VALUE""")," Reality ")</f>
        <v> Reality </v>
      </c>
      <c r="F444" s="4" t="str">
        <f>IFERROR(__xludf.DUMMYFUNCTION("""COMPUTED_VALUE""")," Game Shows")</f>
        <v> Game Shows</v>
      </c>
      <c r="G444" s="4"/>
      <c r="H444" s="4"/>
      <c r="I444" s="5" t="s">
        <v>15</v>
      </c>
      <c r="J444" s="5" t="s">
        <v>42</v>
      </c>
      <c r="K444" s="5" t="s">
        <v>35</v>
      </c>
      <c r="L444" s="6" t="s">
        <v>667</v>
      </c>
      <c r="M444" s="5" t="s">
        <v>117</v>
      </c>
      <c r="N444" s="5" t="s">
        <v>27</v>
      </c>
      <c r="O444" s="5">
        <v>15047.0</v>
      </c>
      <c r="P444" s="5">
        <v>84.0</v>
      </c>
      <c r="Q444" s="5">
        <v>5653.0</v>
      </c>
      <c r="R444" s="5">
        <v>14459.0</v>
      </c>
      <c r="S444" s="5">
        <v>4.0</v>
      </c>
      <c r="T444" s="5">
        <v>2127.495962</v>
      </c>
    </row>
    <row r="445">
      <c r="A445" s="4" t="s">
        <v>668</v>
      </c>
      <c r="B445" s="4" t="str">
        <f>IFERROR(__xludf.DUMMYFUNCTION("SPLIT(A445:A1171, ""&gt;"")"),"Online Behavior")</f>
        <v>Online Behavior</v>
      </c>
      <c r="C445" s="4" t="str">
        <f>IFERROR(__xludf.DUMMYFUNCTION("""COMPUTED_VALUE"""),"United States")</f>
        <v>United States</v>
      </c>
      <c r="D445" s="4" t="str">
        <f>IFERROR(__xludf.DUMMYFUNCTION("""COMPUTED_VALUE"""),"Hobbies and Leisure")</f>
        <v>Hobbies and Leisure</v>
      </c>
      <c r="E445" s="4" t="str">
        <f>IFERROR(__xludf.DUMMYFUNCTION("""COMPUTED_VALUE"""),"Crafts")</f>
        <v>Crafts</v>
      </c>
      <c r="F445" s="4"/>
      <c r="G445" s="4"/>
      <c r="H445" s="4"/>
      <c r="I445" s="5" t="s">
        <v>22</v>
      </c>
      <c r="J445" s="5" t="s">
        <v>16</v>
      </c>
      <c r="K445" s="5" t="s">
        <v>32</v>
      </c>
      <c r="L445" s="6" t="s">
        <v>669</v>
      </c>
      <c r="M445" s="5" t="s">
        <v>161</v>
      </c>
      <c r="N445" s="5" t="s">
        <v>27</v>
      </c>
      <c r="O445" s="5">
        <v>41513.0</v>
      </c>
      <c r="P445" s="5">
        <v>113.0</v>
      </c>
      <c r="Q445" s="5">
        <v>20872.0</v>
      </c>
      <c r="R445" s="5">
        <v>39250.0</v>
      </c>
      <c r="S445" s="5">
        <v>9.0</v>
      </c>
      <c r="T445" s="5">
        <v>6789.533401</v>
      </c>
    </row>
    <row r="446">
      <c r="A446" s="4" t="s">
        <v>670</v>
      </c>
      <c r="B446" s="4" t="str">
        <f>IFERROR(__xludf.DUMMYFUNCTION("SPLIT(A446:A1172, ""&gt;"")"),"Online Behavior")</f>
        <v>Online Behavior</v>
      </c>
      <c r="C446" s="4" t="str">
        <f>IFERROR(__xludf.DUMMYFUNCTION("""COMPUTED_VALUE"""),"United States")</f>
        <v>United States</v>
      </c>
      <c r="D446" s="4" t="str">
        <f>IFERROR(__xludf.DUMMYFUNCTION("""COMPUTED_VALUE"""),"Life Event")</f>
        <v>Life Event</v>
      </c>
      <c r="E446" s="4" t="str">
        <f>IFERROR(__xludf.DUMMYFUNCTION("""COMPUTED_VALUE"""),"Wedding Planning")</f>
        <v>Wedding Planning</v>
      </c>
      <c r="F446" s="4"/>
      <c r="G446" s="4"/>
      <c r="H446" s="4"/>
      <c r="I446" s="5" t="s">
        <v>15</v>
      </c>
      <c r="J446" s="5" t="s">
        <v>31</v>
      </c>
      <c r="K446" s="5" t="s">
        <v>35</v>
      </c>
      <c r="L446" s="6" t="s">
        <v>669</v>
      </c>
      <c r="M446" s="5" t="s">
        <v>46</v>
      </c>
      <c r="N446" s="5" t="s">
        <v>27</v>
      </c>
      <c r="O446" s="5">
        <v>16503.0</v>
      </c>
      <c r="P446" s="5">
        <v>69.0</v>
      </c>
      <c r="Q446" s="5">
        <v>8595.0</v>
      </c>
      <c r="R446" s="5">
        <v>14466.0</v>
      </c>
      <c r="S446" s="5">
        <v>7.0</v>
      </c>
      <c r="T446" s="5">
        <v>5714.523867</v>
      </c>
    </row>
    <row r="447">
      <c r="A447" s="4" t="s">
        <v>1461</v>
      </c>
      <c r="B447" s="4" t="str">
        <f>IFERROR(__xludf.DUMMYFUNCTION("SPLIT(A447:A1173, ""&gt;"")"),"Online Behavior")</f>
        <v>Online Behavior</v>
      </c>
      <c r="C447" s="4" t="str">
        <f>IFERROR(__xludf.DUMMYFUNCTION("""COMPUTED_VALUE"""),"United States")</f>
        <v>United States</v>
      </c>
      <c r="D447" s="4" t="str">
        <f>IFERROR(__xludf.DUMMYFUNCTION("""COMPUTED_VALUE"""),"Validated Demographic ")</f>
        <v>Validated Demographic </v>
      </c>
      <c r="E447" s="4" t="str">
        <f>IFERROR(__xludf.DUMMYFUNCTION("""COMPUTED_VALUE""")," Gender and Age Combined")</f>
        <v> Gender and Age Combined</v>
      </c>
      <c r="F447" s="4" t="str">
        <f>IFERROR(__xludf.DUMMYFUNCTION("""COMPUTED_VALUE"""),"Females 55-64")</f>
        <v>Females 55-64</v>
      </c>
      <c r="G447" s="4"/>
      <c r="H447" s="4"/>
      <c r="I447" s="5" t="s">
        <v>15</v>
      </c>
      <c r="J447" s="5" t="s">
        <v>16</v>
      </c>
      <c r="K447" s="5" t="s">
        <v>17</v>
      </c>
      <c r="L447" s="6" t="s">
        <v>669</v>
      </c>
      <c r="M447" s="5" t="s">
        <v>19</v>
      </c>
      <c r="N447" s="5" t="s">
        <v>27</v>
      </c>
      <c r="O447" s="5">
        <v>52006.0</v>
      </c>
      <c r="P447" s="5">
        <v>160.0</v>
      </c>
      <c r="Q447" s="5">
        <v>24711.0</v>
      </c>
      <c r="R447" s="5">
        <v>48019.0</v>
      </c>
      <c r="S447" s="5">
        <v>12.0</v>
      </c>
      <c r="T447" s="5">
        <v>5200.010118</v>
      </c>
    </row>
    <row r="448">
      <c r="A448" s="4" t="s">
        <v>672</v>
      </c>
      <c r="B448" s="4" t="str">
        <f>IFERROR(__xludf.DUMMYFUNCTION("SPLIT(A448:A1174, ""&gt;"")"),"Online Behavior")</f>
        <v>Online Behavior</v>
      </c>
      <c r="C448" s="4" t="str">
        <f>IFERROR(__xludf.DUMMYFUNCTION("""COMPUTED_VALUE"""),"United States")</f>
        <v>United States</v>
      </c>
      <c r="D448" s="4" t="str">
        <f>IFERROR(__xludf.DUMMYFUNCTION("""COMPUTED_VALUE"""),"Home and Garden")</f>
        <v>Home and Garden</v>
      </c>
      <c r="E448" s="4" t="str">
        <f>IFERROR(__xludf.DUMMYFUNCTION("""COMPUTED_VALUE"""),"Home Appliances")</f>
        <v>Home Appliances</v>
      </c>
      <c r="F448" s="4"/>
      <c r="G448" s="4"/>
      <c r="H448" s="4"/>
      <c r="I448" s="5" t="s">
        <v>15</v>
      </c>
      <c r="J448" s="5" t="s">
        <v>42</v>
      </c>
      <c r="K448" s="5" t="s">
        <v>66</v>
      </c>
      <c r="L448" s="6" t="s">
        <v>669</v>
      </c>
      <c r="M448" s="5" t="s">
        <v>46</v>
      </c>
      <c r="N448" s="5" t="s">
        <v>27</v>
      </c>
      <c r="O448" s="5">
        <v>8420.0</v>
      </c>
      <c r="P448" s="5">
        <v>80.0</v>
      </c>
      <c r="Q448" s="5">
        <v>4430.0</v>
      </c>
      <c r="R448" s="5">
        <v>7869.0</v>
      </c>
      <c r="S448" s="5">
        <v>8.0</v>
      </c>
      <c r="T448" s="5">
        <v>5184.585424</v>
      </c>
    </row>
    <row r="449">
      <c r="A449" s="4" t="s">
        <v>1462</v>
      </c>
      <c r="B449" s="4" t="str">
        <f>IFERROR(__xludf.DUMMYFUNCTION("SPLIT(A449:A1175, ""&gt;"")"),"OnAudience ")</f>
        <v>OnAudience </v>
      </c>
      <c r="C449" s="4" t="str">
        <f>IFERROR(__xludf.DUMMYFUNCTION("""COMPUTED_VALUE""")," Interest ")</f>
        <v> Interest </v>
      </c>
      <c r="D449" s="4" t="str">
        <f>IFERROR(__xludf.DUMMYFUNCTION("""COMPUTED_VALUE""")," Shopping")</f>
        <v> Shopping</v>
      </c>
      <c r="E449" s="4"/>
      <c r="F449" s="4"/>
      <c r="G449" s="4"/>
      <c r="H449" s="4"/>
      <c r="I449" s="5" t="s">
        <v>61</v>
      </c>
      <c r="J449" s="5" t="s">
        <v>16</v>
      </c>
      <c r="K449" s="5" t="s">
        <v>45</v>
      </c>
      <c r="L449" s="6" t="s">
        <v>669</v>
      </c>
      <c r="M449" s="5" t="s">
        <v>19</v>
      </c>
      <c r="N449" s="5" t="s">
        <v>27</v>
      </c>
      <c r="O449" s="5">
        <v>63415.0</v>
      </c>
      <c r="P449" s="5">
        <v>185.0</v>
      </c>
      <c r="Q449" s="5">
        <v>28161.0</v>
      </c>
      <c r="R449" s="5">
        <v>59169.0</v>
      </c>
      <c r="S449" s="5">
        <v>9.0</v>
      </c>
      <c r="T449" s="5">
        <v>1924.162675</v>
      </c>
    </row>
    <row r="450">
      <c r="A450" s="4" t="s">
        <v>1463</v>
      </c>
      <c r="B450" s="4" t="str">
        <f>IFERROR(__xludf.DUMMYFUNCTION("SPLIT(A450:A1176, ""&gt;"")"),"Media and Entertainment ")</f>
        <v>Media and Entertainment </v>
      </c>
      <c r="C450" s="4" t="str">
        <f>IFERROR(__xludf.DUMMYFUNCTION("""COMPUTED_VALUE""")," Sports and Recreational Activities ")</f>
        <v> Sports and Recreational Activities </v>
      </c>
      <c r="D450" s="4" t="str">
        <f>IFERROR(__xludf.DUMMYFUNCTION("""COMPUTED_VALUE""")," Interest (Affinity) ")</f>
        <v> Interest (Affinity) </v>
      </c>
      <c r="E450" s="4" t="str">
        <f>IFERROR(__xludf.DUMMYFUNCTION("""COMPUTED_VALUE""")," Team Sports ")</f>
        <v> Team Sports </v>
      </c>
      <c r="F450" s="4" t="str">
        <f>IFERROR(__xludf.DUMMYFUNCTION("""COMPUTED_VALUE""")," Baseball")</f>
        <v> Baseball</v>
      </c>
      <c r="G450" s="4"/>
      <c r="H450" s="4"/>
      <c r="I450" s="5" t="s">
        <v>22</v>
      </c>
      <c r="J450" s="5" t="s">
        <v>31</v>
      </c>
      <c r="K450" s="5" t="s">
        <v>17</v>
      </c>
      <c r="L450" s="6" t="s">
        <v>669</v>
      </c>
      <c r="M450" s="5" t="s">
        <v>26</v>
      </c>
      <c r="N450" s="5" t="s">
        <v>27</v>
      </c>
      <c r="O450" s="5">
        <v>73544.0</v>
      </c>
      <c r="P450" s="5">
        <v>223.0</v>
      </c>
      <c r="Q450" s="5">
        <v>40405.0</v>
      </c>
      <c r="R450" s="5">
        <v>67406.0</v>
      </c>
      <c r="S450" s="5">
        <v>1.0</v>
      </c>
      <c r="T450" s="5">
        <v>1465.872266</v>
      </c>
    </row>
    <row r="451">
      <c r="A451" s="4" t="s">
        <v>1464</v>
      </c>
      <c r="B451" s="4" t="str">
        <f>IFERROR(__xludf.DUMMYFUNCTION("SPLIT(A451:A1177, ""&gt;"")"),"Media and Entertainment ")</f>
        <v>Media and Entertainment </v>
      </c>
      <c r="C451" s="4" t="str">
        <f>IFERROR(__xludf.DUMMYFUNCTION("""COMPUTED_VALUE""")," News and Current Events ")</f>
        <v> News and Current Events </v>
      </c>
      <c r="D451" s="4" t="str">
        <f>IFERROR(__xludf.DUMMYFUNCTION("""COMPUTED_VALUE""")," Online News Websites")</f>
        <v> Online News Websites</v>
      </c>
      <c r="E451" s="4"/>
      <c r="F451" s="4"/>
      <c r="G451" s="4"/>
      <c r="H451" s="4"/>
      <c r="I451" s="5" t="s">
        <v>22</v>
      </c>
      <c r="J451" s="5" t="s">
        <v>31</v>
      </c>
      <c r="K451" s="5" t="s">
        <v>32</v>
      </c>
      <c r="L451" s="6" t="s">
        <v>676</v>
      </c>
      <c r="M451" s="5" t="s">
        <v>161</v>
      </c>
      <c r="N451" s="5" t="s">
        <v>27</v>
      </c>
      <c r="O451" s="5">
        <v>16288.0</v>
      </c>
      <c r="P451" s="5">
        <v>56.0</v>
      </c>
      <c r="Q451" s="5">
        <v>5304.0</v>
      </c>
      <c r="R451" s="5">
        <v>10731.0</v>
      </c>
      <c r="S451" s="5">
        <v>3.0</v>
      </c>
      <c r="T451" s="5">
        <v>2030.142709</v>
      </c>
    </row>
    <row r="452">
      <c r="A452" s="4" t="s">
        <v>1465</v>
      </c>
      <c r="B452" s="4" t="str">
        <f>IFERROR(__xludf.DUMMYFUNCTION("SPLIT(A452:A1178, ""&gt;"")"),"Online Behavior")</f>
        <v>Online Behavior</v>
      </c>
      <c r="C452" s="4" t="str">
        <f>IFERROR(__xludf.DUMMYFUNCTION("""COMPUTED_VALUE"""),"United States")</f>
        <v>United States</v>
      </c>
      <c r="D452" s="4" t="str">
        <f>IFERROR(__xludf.DUMMYFUNCTION("""COMPUTED_VALUE"""),"Finance ")</f>
        <v>Finance </v>
      </c>
      <c r="E452" s="4" t="str">
        <f>IFERROR(__xludf.DUMMYFUNCTION("""COMPUTED_VALUE""")," Investing")</f>
        <v> Investing</v>
      </c>
      <c r="F452" s="4" t="str">
        <f>IFERROR(__xludf.DUMMYFUNCTION("""COMPUTED_VALUE"""),"Brokerages and Day Trading")</f>
        <v>Brokerages and Day Trading</v>
      </c>
      <c r="G452" s="4"/>
      <c r="H452" s="4"/>
      <c r="I452" s="5" t="s">
        <v>15</v>
      </c>
      <c r="J452" s="5" t="s">
        <v>42</v>
      </c>
      <c r="K452" s="5" t="s">
        <v>183</v>
      </c>
      <c r="L452" s="6" t="s">
        <v>678</v>
      </c>
      <c r="M452" s="5" t="s">
        <v>19</v>
      </c>
      <c r="N452" s="5" t="s">
        <v>20</v>
      </c>
      <c r="O452" s="5">
        <v>7695.0</v>
      </c>
      <c r="P452" s="5">
        <v>20.0</v>
      </c>
      <c r="Q452" s="5">
        <v>3481.0</v>
      </c>
      <c r="R452" s="5">
        <v>7050.0</v>
      </c>
      <c r="S452" s="5">
        <v>14.0</v>
      </c>
      <c r="T452" s="5">
        <v>6727.440499</v>
      </c>
    </row>
    <row r="453">
      <c r="A453" s="4" t="s">
        <v>1873</v>
      </c>
      <c r="B453" s="4" t="str">
        <f>IFERROR(__xludf.DUMMYFUNCTION("SPLIT(A453:A1179, ""&gt;"")"),"US ")</f>
        <v>US </v>
      </c>
      <c r="C453" s="4" t="str">
        <f>IFERROR(__xludf.DUMMYFUNCTION("""COMPUTED_VALUE""")," Reach ")</f>
        <v> Reach </v>
      </c>
      <c r="D453" s="4" t="str">
        <f>IFERROR(__xludf.DUMMYFUNCTION("""COMPUTED_VALUE""")," Propensity Models ")</f>
        <v> Propensity Models </v>
      </c>
      <c r="E453" s="4" t="str">
        <f>IFERROR(__xludf.DUMMYFUNCTION("""COMPUTED_VALUE""")," Luxury Store Shoppers")</f>
        <v> Luxury Store Shoppers</v>
      </c>
      <c r="F453" s="4"/>
      <c r="G453" s="4"/>
      <c r="H453" s="4"/>
      <c r="I453" s="5" t="s">
        <v>61</v>
      </c>
      <c r="J453" s="5" t="s">
        <v>16</v>
      </c>
      <c r="K453" s="5" t="s">
        <v>183</v>
      </c>
      <c r="L453" s="6" t="s">
        <v>678</v>
      </c>
      <c r="M453" s="5" t="s">
        <v>19</v>
      </c>
      <c r="N453" s="5" t="s">
        <v>27</v>
      </c>
      <c r="O453" s="5">
        <v>15602.0</v>
      </c>
      <c r="P453" s="5">
        <v>50.0</v>
      </c>
      <c r="Q453" s="5">
        <v>7676.0</v>
      </c>
      <c r="R453" s="5">
        <v>13775.0</v>
      </c>
      <c r="S453" s="5">
        <v>1.0</v>
      </c>
      <c r="T453" s="5">
        <v>2600.894327</v>
      </c>
    </row>
    <row r="454">
      <c r="A454" s="4" t="s">
        <v>1467</v>
      </c>
      <c r="B454" s="4" t="str">
        <f>IFERROR(__xludf.DUMMYFUNCTION("SPLIT(A454:A1180, ""&gt;"")"),"Online Behavior")</f>
        <v>Online Behavior</v>
      </c>
      <c r="C454" s="4" t="str">
        <f>IFERROR(__xludf.DUMMYFUNCTION("""COMPUTED_VALUE"""),"United States")</f>
        <v>United States</v>
      </c>
      <c r="D454" s="4" t="str">
        <f>IFERROR(__xludf.DUMMYFUNCTION("""COMPUTED_VALUE"""),"Intent ")</f>
        <v>Intent </v>
      </c>
      <c r="E454" s="4" t="str">
        <f>IFERROR(__xludf.DUMMYFUNCTION("""COMPUTED_VALUE""")," Auto Buyers ")</f>
        <v> Auto Buyers </v>
      </c>
      <c r="F454" s="4" t="str">
        <f>IFERROR(__xludf.DUMMYFUNCTION("""COMPUTED_VALUE""")," Car Make")</f>
        <v> Car Make</v>
      </c>
      <c r="G454" s="4" t="str">
        <f>IFERROR(__xludf.DUMMYFUNCTION("""COMPUTED_VALUE"""),"Honda")</f>
        <v>Honda</v>
      </c>
      <c r="H454" s="4"/>
      <c r="I454" s="5" t="s">
        <v>15</v>
      </c>
      <c r="J454" s="5" t="s">
        <v>16</v>
      </c>
      <c r="K454" s="5" t="s">
        <v>39</v>
      </c>
      <c r="L454" s="6" t="s">
        <v>681</v>
      </c>
      <c r="M454" s="5" t="s">
        <v>50</v>
      </c>
      <c r="N454" s="5" t="s">
        <v>27</v>
      </c>
      <c r="O454" s="5">
        <v>8000.0</v>
      </c>
      <c r="P454" s="5">
        <v>10.0</v>
      </c>
      <c r="Q454" s="5">
        <v>4400.0</v>
      </c>
      <c r="R454" s="5">
        <v>6379.0</v>
      </c>
      <c r="S454" s="5">
        <v>1.0</v>
      </c>
      <c r="T454" s="5">
        <v>6159.366902</v>
      </c>
    </row>
    <row r="455">
      <c r="A455" s="4" t="s">
        <v>1468</v>
      </c>
      <c r="B455" s="4" t="str">
        <f>IFERROR(__xludf.DUMMYFUNCTION("SPLIT(A455:A1181, ""&gt;"")"),"Media and Entertainment ")</f>
        <v>Media and Entertainment </v>
      </c>
      <c r="C455" s="4" t="str">
        <f>IFERROR(__xludf.DUMMYFUNCTION("""COMPUTED_VALUE""")," Sports and Recreational Activities ")</f>
        <v> Sports and Recreational Activities </v>
      </c>
      <c r="D455" s="4" t="str">
        <f>IFERROR(__xludf.DUMMYFUNCTION("""COMPUTED_VALUE""")," Interest (Affinity) ")</f>
        <v> Interest (Affinity) </v>
      </c>
      <c r="E455" s="4" t="str">
        <f>IFERROR(__xludf.DUMMYFUNCTION("""COMPUTED_VALUE""")," Combat Sports")</f>
        <v> Combat Sports</v>
      </c>
      <c r="F455" s="4"/>
      <c r="G455" s="4"/>
      <c r="H455" s="4"/>
      <c r="I455" s="5" t="s">
        <v>22</v>
      </c>
      <c r="J455" s="5" t="s">
        <v>31</v>
      </c>
      <c r="K455" s="5" t="s">
        <v>17</v>
      </c>
      <c r="L455" s="6" t="s">
        <v>681</v>
      </c>
      <c r="M455" s="5" t="s">
        <v>136</v>
      </c>
      <c r="N455" s="5" t="s">
        <v>27</v>
      </c>
      <c r="O455" s="5">
        <v>13592.0</v>
      </c>
      <c r="P455" s="5">
        <v>85.0</v>
      </c>
      <c r="Q455" s="5">
        <v>7747.0</v>
      </c>
      <c r="R455" s="5">
        <v>10690.0</v>
      </c>
      <c r="S455" s="5">
        <v>1.0</v>
      </c>
      <c r="T455" s="5">
        <v>1555.112078</v>
      </c>
    </row>
    <row r="456">
      <c r="A456" s="4" t="s">
        <v>1874</v>
      </c>
      <c r="B456" s="4" t="str">
        <f>IFERROR(__xludf.DUMMYFUNCTION("SPLIT(A456:A1182, ""&gt;"")"),"US ")</f>
        <v>US </v>
      </c>
      <c r="C456" s="4" t="str">
        <f>IFERROR(__xludf.DUMMYFUNCTION("""COMPUTED_VALUE""")," Reach ")</f>
        <v> Reach </v>
      </c>
      <c r="D456" s="4" t="str">
        <f>IFERROR(__xludf.DUMMYFUNCTION("""COMPUTED_VALUE""")," Propensity Models ")</f>
        <v> Propensity Models </v>
      </c>
      <c r="E456" s="4" t="str">
        <f>IFERROR(__xludf.DUMMYFUNCTION("""COMPUTED_VALUE""")," Travel ")</f>
        <v> Travel </v>
      </c>
      <c r="F456" s="4" t="str">
        <f>IFERROR(__xludf.DUMMYFUNCTION("""COMPUTED_VALUE""")," High Frequency Travel ")</f>
        <v> High Frequency Travel </v>
      </c>
      <c r="G456" s="4" t="str">
        <f>IFERROR(__xludf.DUMMYFUNCTION("""COMPUTED_VALUE""")," Foreign Vacationer")</f>
        <v> Foreign Vacationer</v>
      </c>
      <c r="H456" s="4"/>
      <c r="I456" s="5" t="s">
        <v>22</v>
      </c>
      <c r="J456" s="5" t="s">
        <v>42</v>
      </c>
      <c r="K456" s="5" t="s">
        <v>78</v>
      </c>
      <c r="L456" s="6" t="s">
        <v>684</v>
      </c>
      <c r="M456" s="5" t="s">
        <v>26</v>
      </c>
      <c r="N456" s="5" t="s">
        <v>27</v>
      </c>
      <c r="O456" s="5">
        <v>15588.0</v>
      </c>
      <c r="P456" s="5">
        <v>80.0</v>
      </c>
      <c r="Q456" s="5">
        <v>2089.0</v>
      </c>
      <c r="R456" s="5">
        <v>14526.0</v>
      </c>
      <c r="S456" s="5">
        <v>9.0</v>
      </c>
      <c r="T456" s="5">
        <v>3518.533482</v>
      </c>
    </row>
    <row r="457">
      <c r="A457" s="4" t="s">
        <v>1470</v>
      </c>
      <c r="B457" s="4" t="str">
        <f>IFERROR(__xludf.DUMMYFUNCTION("SPLIT(A457:A1183, ""&gt;"")"),"Online Behavior")</f>
        <v>Online Behavior</v>
      </c>
      <c r="C457" s="4" t="str">
        <f>IFERROR(__xludf.DUMMYFUNCTION("""COMPUTED_VALUE"""),"United States")</f>
        <v>United States</v>
      </c>
      <c r="D457" s="4" t="str">
        <f>IFERROR(__xludf.DUMMYFUNCTION("""COMPUTED_VALUE"""),"Intent ")</f>
        <v>Intent </v>
      </c>
      <c r="E457" s="4" t="str">
        <f>IFERROR(__xludf.DUMMYFUNCTION("""COMPUTED_VALUE""")," Auto Buyers ")</f>
        <v> Auto Buyers </v>
      </c>
      <c r="F457" s="4" t="str">
        <f>IFERROR(__xludf.DUMMYFUNCTION("""COMPUTED_VALUE""")," Car Make")</f>
        <v> Car Make</v>
      </c>
      <c r="G457" s="4" t="str">
        <f>IFERROR(__xludf.DUMMYFUNCTION("""COMPUTED_VALUE"""),"Vauxhall")</f>
        <v>Vauxhall</v>
      </c>
      <c r="H457" s="4"/>
      <c r="I457" s="5" t="s">
        <v>22</v>
      </c>
      <c r="J457" s="5" t="s">
        <v>31</v>
      </c>
      <c r="K457" s="5" t="s">
        <v>29</v>
      </c>
      <c r="L457" s="6" t="s">
        <v>686</v>
      </c>
      <c r="M457" s="5" t="s">
        <v>19</v>
      </c>
      <c r="N457" s="5" t="s">
        <v>27</v>
      </c>
      <c r="O457" s="5">
        <v>14038.0</v>
      </c>
      <c r="P457" s="5">
        <v>63.0</v>
      </c>
      <c r="Q457" s="5">
        <v>1600.0</v>
      </c>
      <c r="R457" s="5">
        <v>11345.0</v>
      </c>
      <c r="S457" s="5">
        <v>8.0</v>
      </c>
      <c r="T457" s="5">
        <v>6368.862913</v>
      </c>
    </row>
    <row r="458">
      <c r="A458" s="4" t="s">
        <v>1471</v>
      </c>
      <c r="B458" s="4" t="str">
        <f>IFERROR(__xludf.DUMMYFUNCTION("SPLIT(A458:A1184, ""&gt;"")"),"Online Behavior")</f>
        <v>Online Behavior</v>
      </c>
      <c r="C458" s="4" t="str">
        <f>IFERROR(__xludf.DUMMYFUNCTION("""COMPUTED_VALUE"""),"United States")</f>
        <v>United States</v>
      </c>
      <c r="D458" s="4" t="str">
        <f>IFERROR(__xludf.DUMMYFUNCTION("""COMPUTED_VALUE"""),"Intent ")</f>
        <v>Intent </v>
      </c>
      <c r="E458" s="4" t="str">
        <f>IFERROR(__xludf.DUMMYFUNCTION("""COMPUTED_VALUE""")," Travel")</f>
        <v> Travel</v>
      </c>
      <c r="F458" s="4" t="str">
        <f>IFERROR(__xludf.DUMMYFUNCTION("""COMPUTED_VALUE"""),"Flights")</f>
        <v>Flights</v>
      </c>
      <c r="G458" s="4"/>
      <c r="H458" s="4"/>
      <c r="I458" s="5" t="s">
        <v>61</v>
      </c>
      <c r="J458" s="5" t="s">
        <v>31</v>
      </c>
      <c r="K458" s="5" t="s">
        <v>55</v>
      </c>
      <c r="L458" s="6" t="s">
        <v>686</v>
      </c>
      <c r="M458" s="5" t="s">
        <v>33</v>
      </c>
      <c r="N458" s="5" t="s">
        <v>27</v>
      </c>
      <c r="O458" s="5">
        <v>140359.0</v>
      </c>
      <c r="P458" s="5">
        <v>352.0</v>
      </c>
      <c r="Q458" s="5">
        <v>76130.0</v>
      </c>
      <c r="R458" s="5">
        <v>133578.0</v>
      </c>
      <c r="S458" s="5">
        <v>26.0</v>
      </c>
      <c r="T458" s="5">
        <v>6094.666799</v>
      </c>
    </row>
    <row r="459">
      <c r="A459" s="4" t="s">
        <v>688</v>
      </c>
      <c r="B459" s="4" t="str">
        <f>IFERROR(__xludf.DUMMYFUNCTION("SPLIT(A459:A1185, ""&gt;"")"),"Online Behavior")</f>
        <v>Online Behavior</v>
      </c>
      <c r="C459" s="4" t="str">
        <f>IFERROR(__xludf.DUMMYFUNCTION("""COMPUTED_VALUE"""),"United States")</f>
        <v>United States</v>
      </c>
      <c r="D459" s="4" t="str">
        <f>IFERROR(__xludf.DUMMYFUNCTION("""COMPUTED_VALUE"""),"Home and Garden")</f>
        <v>Home and Garden</v>
      </c>
      <c r="E459" s="4" t="str">
        <f>IFERROR(__xludf.DUMMYFUNCTION("""COMPUTED_VALUE"""),"Home Furnishings")</f>
        <v>Home Furnishings</v>
      </c>
      <c r="F459" s="4"/>
      <c r="G459" s="4"/>
      <c r="H459" s="4"/>
      <c r="I459" s="5" t="s">
        <v>22</v>
      </c>
      <c r="J459" s="5" t="s">
        <v>31</v>
      </c>
      <c r="K459" s="5" t="s">
        <v>35</v>
      </c>
      <c r="L459" s="6" t="s">
        <v>686</v>
      </c>
      <c r="M459" s="5" t="s">
        <v>19</v>
      </c>
      <c r="N459" s="5" t="s">
        <v>27</v>
      </c>
      <c r="O459" s="5">
        <v>25377.0</v>
      </c>
      <c r="P459" s="5">
        <v>101.0</v>
      </c>
      <c r="Q459" s="5">
        <v>16698.0</v>
      </c>
      <c r="R459" s="5">
        <v>23798.0</v>
      </c>
      <c r="S459" s="5">
        <v>2.0</v>
      </c>
      <c r="T459" s="5">
        <v>5175.142919</v>
      </c>
    </row>
    <row r="460">
      <c r="A460" s="4" t="s">
        <v>689</v>
      </c>
      <c r="B460" s="4" t="str">
        <f>IFERROR(__xludf.DUMMYFUNCTION("SPLIT(A460:A1186, ""&gt;"")"),"Tech Enthusiasts")</f>
        <v>Tech Enthusiasts</v>
      </c>
      <c r="C460" s="4"/>
      <c r="D460" s="4"/>
      <c r="E460" s="4"/>
      <c r="F460" s="4"/>
      <c r="G460" s="4"/>
      <c r="H460" s="4"/>
      <c r="I460" s="5" t="s">
        <v>22</v>
      </c>
      <c r="J460" s="5" t="s">
        <v>23</v>
      </c>
      <c r="K460" s="5" t="s">
        <v>55</v>
      </c>
      <c r="L460" s="6" t="s">
        <v>686</v>
      </c>
      <c r="M460" s="5" t="s">
        <v>19</v>
      </c>
      <c r="N460" s="5" t="s">
        <v>27</v>
      </c>
      <c r="O460" s="5">
        <v>29092.0</v>
      </c>
      <c r="P460" s="5">
        <v>75.0</v>
      </c>
      <c r="Q460" s="5">
        <v>16986.0</v>
      </c>
      <c r="R460" s="5">
        <v>26606.0</v>
      </c>
      <c r="S460" s="5">
        <v>15.0</v>
      </c>
      <c r="T460" s="5">
        <v>1801.058111</v>
      </c>
    </row>
    <row r="461">
      <c r="A461" s="4" t="s">
        <v>1875</v>
      </c>
      <c r="B461" s="4" t="str">
        <f>IFERROR(__xludf.DUMMYFUNCTION("SPLIT(A461:A1187, ""&gt;"")"),"US Interest ")</f>
        <v>US Interest </v>
      </c>
      <c r="C461" s="4" t="str">
        <f>IFERROR(__xludf.DUMMYFUNCTION("""COMPUTED_VALUE""")," Computers")</f>
        <v> Computers</v>
      </c>
      <c r="D461" s="4"/>
      <c r="E461" s="4"/>
      <c r="F461" s="4"/>
      <c r="G461" s="4"/>
      <c r="H461" s="4"/>
      <c r="I461" s="5" t="s">
        <v>15</v>
      </c>
      <c r="J461" s="5" t="s">
        <v>16</v>
      </c>
      <c r="K461" s="5" t="s">
        <v>95</v>
      </c>
      <c r="L461" s="6" t="s">
        <v>686</v>
      </c>
      <c r="M461" s="5" t="s">
        <v>26</v>
      </c>
      <c r="N461" s="5" t="s">
        <v>20</v>
      </c>
      <c r="O461" s="5">
        <v>73567.0</v>
      </c>
      <c r="P461" s="5">
        <v>197.0</v>
      </c>
      <c r="Q461" s="5">
        <v>28800.0</v>
      </c>
      <c r="R461" s="5">
        <v>68566.0</v>
      </c>
      <c r="S461" s="5">
        <v>2.0</v>
      </c>
      <c r="T461" s="5">
        <v>1567.366071</v>
      </c>
    </row>
    <row r="462">
      <c r="A462" s="4" t="s">
        <v>1876</v>
      </c>
      <c r="B462" s="4" t="str">
        <f>IFERROR(__xludf.DUMMYFUNCTION("SPLIT(A462:A1188, ""&gt;"")"),"US ")</f>
        <v>US </v>
      </c>
      <c r="C462" s="4" t="str">
        <f>IFERROR(__xludf.DUMMYFUNCTION("""COMPUTED_VALUE""")," Brand Propensities ")</f>
        <v> Brand Propensities </v>
      </c>
      <c r="D462" s="4" t="str">
        <f>IFERROR(__xludf.DUMMYFUNCTION("""COMPUTED_VALUE""")," Health ")</f>
        <v> Health </v>
      </c>
      <c r="E462" s="4" t="str">
        <f>IFERROR(__xludf.DUMMYFUNCTION("""COMPUTED_VALUE""")," Beauty and Cosmetics ")</f>
        <v> Beauty and Cosmetics </v>
      </c>
      <c r="F462" s="4" t="str">
        <f>IFERROR(__xludf.DUMMYFUNCTION("""COMPUTED_VALUE""")," Beachbody Buyer Propensity")</f>
        <v> Beachbody Buyer Propensity</v>
      </c>
      <c r="G462" s="4"/>
      <c r="H462" s="4"/>
      <c r="I462" s="5" t="s">
        <v>22</v>
      </c>
      <c r="J462" s="5" t="s">
        <v>16</v>
      </c>
      <c r="K462" s="5" t="s">
        <v>35</v>
      </c>
      <c r="L462" s="6" t="s">
        <v>686</v>
      </c>
      <c r="M462" s="5" t="s">
        <v>19</v>
      </c>
      <c r="N462" s="5" t="s">
        <v>27</v>
      </c>
      <c r="O462" s="5">
        <v>152881.0</v>
      </c>
      <c r="P462" s="5">
        <v>426.0</v>
      </c>
      <c r="Q462" s="5">
        <v>94895.0</v>
      </c>
      <c r="R462" s="5">
        <v>145113.0</v>
      </c>
      <c r="S462" s="5">
        <v>11.0</v>
      </c>
      <c r="T462" s="5">
        <v>1496.668524</v>
      </c>
    </row>
    <row r="463">
      <c r="A463" s="4" t="s">
        <v>1475</v>
      </c>
      <c r="B463" s="4" t="str">
        <f>IFERROR(__xludf.DUMMYFUNCTION("SPLIT(A463:A1189, ""&gt;"")"),"Media and Entertainment ")</f>
        <v>Media and Entertainment </v>
      </c>
      <c r="C463" s="4" t="str">
        <f>IFERROR(__xludf.DUMMYFUNCTION("""COMPUTED_VALUE""")," Audio and Video Streaming ")</f>
        <v> Audio and Video Streaming </v>
      </c>
      <c r="D463" s="4" t="str">
        <f>IFERROR(__xludf.DUMMYFUNCTION("""COMPUTED_VALUE""")," Streaming Video ")</f>
        <v> Streaming Video </v>
      </c>
      <c r="E463" s="4" t="str">
        <f>IFERROR(__xludf.DUMMYFUNCTION("""COMPUTED_VALUE""")," Interest (Affinity)")</f>
        <v> Interest (Affinity)</v>
      </c>
      <c r="F463" s="4"/>
      <c r="G463" s="4"/>
      <c r="H463" s="4"/>
      <c r="I463" s="5" t="s">
        <v>22</v>
      </c>
      <c r="J463" s="5" t="s">
        <v>23</v>
      </c>
      <c r="K463" s="5" t="s">
        <v>35</v>
      </c>
      <c r="L463" s="6" t="s">
        <v>693</v>
      </c>
      <c r="M463" s="5" t="s">
        <v>19</v>
      </c>
      <c r="N463" s="5" t="s">
        <v>27</v>
      </c>
      <c r="O463" s="5">
        <v>16239.0</v>
      </c>
      <c r="P463" s="5">
        <v>78.0</v>
      </c>
      <c r="Q463" s="5">
        <v>9375.0</v>
      </c>
      <c r="R463" s="5">
        <v>15562.0</v>
      </c>
      <c r="S463" s="5">
        <v>5.0</v>
      </c>
      <c r="T463" s="5">
        <v>2387.686295</v>
      </c>
    </row>
    <row r="464">
      <c r="A464" s="4" t="s">
        <v>1877</v>
      </c>
      <c r="B464" s="4" t="str">
        <f>IFERROR(__xludf.DUMMYFUNCTION("SPLIT(A464:A1190, ""&gt;"")"),"US ")</f>
        <v>US </v>
      </c>
      <c r="C464" s="4" t="str">
        <f>IFERROR(__xludf.DUMMYFUNCTION("""COMPUTED_VALUE""")," Interest Propensities ")</f>
        <v> Interest Propensities </v>
      </c>
      <c r="D464" s="4" t="str">
        <f>IFERROR(__xludf.DUMMYFUNCTION("""COMPUTED_VALUE""")," Insurance ")</f>
        <v> Insurance </v>
      </c>
      <c r="E464" s="4" t="str">
        <f>IFERROR(__xludf.DUMMYFUNCTION("""COMPUTED_VALUE""")," New York Life")</f>
        <v> New York Life</v>
      </c>
      <c r="F464" s="4"/>
      <c r="G464" s="4"/>
      <c r="H464" s="4"/>
      <c r="I464" s="5" t="s">
        <v>15</v>
      </c>
      <c r="J464" s="5" t="s">
        <v>16</v>
      </c>
      <c r="K464" s="5" t="s">
        <v>35</v>
      </c>
      <c r="L464" s="6" t="s">
        <v>693</v>
      </c>
      <c r="M464" s="5" t="s">
        <v>36</v>
      </c>
      <c r="N464" s="5" t="s">
        <v>27</v>
      </c>
      <c r="O464" s="5">
        <v>14932.0</v>
      </c>
      <c r="P464" s="5">
        <v>90.0</v>
      </c>
      <c r="Q464" s="5">
        <v>8947.0</v>
      </c>
      <c r="R464" s="5">
        <v>14256.0</v>
      </c>
      <c r="S464" s="5">
        <v>3.0</v>
      </c>
      <c r="T464" s="5">
        <v>1724.417704</v>
      </c>
    </row>
    <row r="465">
      <c r="A465" s="4" t="s">
        <v>1477</v>
      </c>
      <c r="B465" s="4" t="str">
        <f>IFERROR(__xludf.DUMMYFUNCTION("SPLIT(A465:A1191, ""&gt;"")"),"OnAudience ")</f>
        <v>OnAudience </v>
      </c>
      <c r="C465" s="4" t="str">
        <f>IFERROR(__xludf.DUMMYFUNCTION("""COMPUTED_VALUE""")," Interest ")</f>
        <v> Interest </v>
      </c>
      <c r="D465" s="4" t="str">
        <f>IFERROR(__xludf.DUMMYFUNCTION("""COMPUTED_VALUE""")," Science ")</f>
        <v> Science </v>
      </c>
      <c r="E465" s="4" t="str">
        <f>IFERROR(__xludf.DUMMYFUNCTION("""COMPUTED_VALUE""")," Weather")</f>
        <v> Weather</v>
      </c>
      <c r="F465" s="4"/>
      <c r="G465" s="4"/>
      <c r="H465" s="4"/>
      <c r="I465" s="5" t="s">
        <v>15</v>
      </c>
      <c r="J465" s="5" t="s">
        <v>23</v>
      </c>
      <c r="K465" s="5" t="s">
        <v>24</v>
      </c>
      <c r="L465" s="6" t="s">
        <v>696</v>
      </c>
      <c r="M465" s="5" t="s">
        <v>36</v>
      </c>
      <c r="N465" s="5" t="s">
        <v>27</v>
      </c>
      <c r="O465" s="5">
        <v>13823.0</v>
      </c>
      <c r="P465" s="5">
        <v>58.0</v>
      </c>
      <c r="Q465" s="5">
        <v>10671.0</v>
      </c>
      <c r="R465" s="5">
        <v>12937.0</v>
      </c>
      <c r="S465" s="5">
        <v>3.0</v>
      </c>
      <c r="T465" s="5">
        <v>1574.709734</v>
      </c>
    </row>
    <row r="466">
      <c r="A466" s="4" t="s">
        <v>1878</v>
      </c>
      <c r="B466" s="4" t="str">
        <f>IFERROR(__xludf.DUMMYFUNCTION("SPLIT(A466:A1192, ""&gt;"")"),"Mobile - US ")</f>
        <v>Mobile - US </v>
      </c>
      <c r="C466" s="4" t="str">
        <f>IFERROR(__xludf.DUMMYFUNCTION("""COMPUTED_VALUE""")," Demographics ")</f>
        <v> Demographics </v>
      </c>
      <c r="D466" s="4" t="str">
        <f>IFERROR(__xludf.DUMMYFUNCTION("""COMPUTED_VALUE""")," Finance ")</f>
        <v> Finance </v>
      </c>
      <c r="E466" s="4" t="str">
        <f>IFERROR(__xludf.DUMMYFUNCTION("""COMPUTED_VALUE""")," Rent Value ")</f>
        <v> Rent Value </v>
      </c>
      <c r="F466" s="4" t="str">
        <f>IFERROR(__xludf.DUMMYFUNCTION("""COMPUTED_VALUE""")," Highest Rent Value")</f>
        <v> Highest Rent Value</v>
      </c>
      <c r="G466" s="4"/>
      <c r="H466" s="4"/>
      <c r="I466" s="5" t="s">
        <v>15</v>
      </c>
      <c r="J466" s="5" t="s">
        <v>16</v>
      </c>
      <c r="K466" s="5" t="s">
        <v>32</v>
      </c>
      <c r="L466" s="6" t="s">
        <v>696</v>
      </c>
      <c r="M466" s="5" t="s">
        <v>19</v>
      </c>
      <c r="N466" s="5" t="s">
        <v>27</v>
      </c>
      <c r="O466" s="5">
        <v>11214.0</v>
      </c>
      <c r="P466" s="5">
        <v>49.0</v>
      </c>
      <c r="Q466" s="5">
        <v>5523.0</v>
      </c>
      <c r="R466" s="5">
        <v>10267.0</v>
      </c>
      <c r="S466" s="5">
        <v>2.0</v>
      </c>
      <c r="T466" s="5">
        <v>1554.389215</v>
      </c>
    </row>
    <row r="467">
      <c r="A467" s="4" t="s">
        <v>1879</v>
      </c>
      <c r="B467" s="4" t="str">
        <f>IFERROR(__xludf.DUMMYFUNCTION("SPLIT(A467:A1193, ""&gt;"")"),"US ")</f>
        <v>US </v>
      </c>
      <c r="C467" s="4" t="str">
        <f>IFERROR(__xludf.DUMMYFUNCTION("""COMPUTED_VALUE""")," AUTO ")</f>
        <v> AUTO </v>
      </c>
      <c r="D467" s="4" t="str">
        <f>IFERROR(__xludf.DUMMYFUNCTION("""COMPUTED_VALUE""")," Primary Vehicle ")</f>
        <v> Primary Vehicle </v>
      </c>
      <c r="E467" s="4" t="str">
        <f>IFERROR(__xludf.DUMMYFUNCTION("""COMPUTED_VALUE""")," Owned or Leased ")</f>
        <v> Owned or Leased </v>
      </c>
      <c r="F467" s="4" t="str">
        <f>IFERROR(__xludf.DUMMYFUNCTION("""COMPUTED_VALUE""")," Company Car")</f>
        <v> Company Car</v>
      </c>
      <c r="G467" s="4"/>
      <c r="H467" s="4"/>
      <c r="I467" s="5" t="s">
        <v>22</v>
      </c>
      <c r="J467" s="5" t="s">
        <v>42</v>
      </c>
      <c r="K467" s="5" t="s">
        <v>699</v>
      </c>
      <c r="L467" s="6" t="s">
        <v>700</v>
      </c>
      <c r="M467" s="5" t="s">
        <v>36</v>
      </c>
      <c r="N467" s="5" t="s">
        <v>27</v>
      </c>
      <c r="O467" s="5">
        <v>19829.0</v>
      </c>
      <c r="P467" s="5">
        <v>42.0</v>
      </c>
      <c r="Q467" s="5">
        <v>15071.0</v>
      </c>
      <c r="R467" s="5">
        <v>19095.0</v>
      </c>
      <c r="S467" s="5">
        <v>2.0</v>
      </c>
      <c r="T467" s="5">
        <v>1952.463773</v>
      </c>
    </row>
    <row r="468">
      <c r="A468" s="4" t="s">
        <v>1480</v>
      </c>
      <c r="B468" s="4" t="str">
        <f>IFERROR(__xludf.DUMMYFUNCTION("SPLIT(A468:A1194, ""&gt;"")"),"Online Behavior")</f>
        <v>Online Behavior</v>
      </c>
      <c r="C468" s="4" t="str">
        <f>IFERROR(__xludf.DUMMYFUNCTION("""COMPUTED_VALUE"""),"United States")</f>
        <v>United States</v>
      </c>
      <c r="D468" s="4" t="str">
        <f>IFERROR(__xludf.DUMMYFUNCTION("""COMPUTED_VALUE"""),"Finance ")</f>
        <v>Finance </v>
      </c>
      <c r="E468" s="4" t="str">
        <f>IFERROR(__xludf.DUMMYFUNCTION("""COMPUTED_VALUE""")," Credit and Lending")</f>
        <v> Credit and Lending</v>
      </c>
      <c r="F468" s="4" t="str">
        <f>IFERROR(__xludf.DUMMYFUNCTION("""COMPUTED_VALUE"""),"Credit Cards")</f>
        <v>Credit Cards</v>
      </c>
      <c r="G468" s="4"/>
      <c r="H468" s="4"/>
      <c r="I468" s="5" t="s">
        <v>22</v>
      </c>
      <c r="J468" s="5" t="s">
        <v>23</v>
      </c>
      <c r="K468" s="5" t="s">
        <v>39</v>
      </c>
      <c r="L468" s="6" t="s">
        <v>702</v>
      </c>
      <c r="M468" s="5" t="s">
        <v>33</v>
      </c>
      <c r="N468" s="5" t="s">
        <v>27</v>
      </c>
      <c r="O468" s="5">
        <v>183230.0</v>
      </c>
      <c r="P468" s="5">
        <v>666.0</v>
      </c>
      <c r="Q468" s="5">
        <v>155260.0</v>
      </c>
      <c r="R468" s="5">
        <v>169583.0</v>
      </c>
      <c r="S468" s="5">
        <v>34.0</v>
      </c>
      <c r="T468" s="5">
        <v>7863.469709</v>
      </c>
    </row>
    <row r="469">
      <c r="A469" s="4" t="s">
        <v>703</v>
      </c>
      <c r="B469" s="4" t="str">
        <f>IFERROR(__xludf.DUMMYFUNCTION("SPLIT(A469:A1195, ""&gt;"")"),"Online Behavior")</f>
        <v>Online Behavior</v>
      </c>
      <c r="C469" s="4" t="str">
        <f>IFERROR(__xludf.DUMMYFUNCTION("""COMPUTED_VALUE"""),"United States")</f>
        <v>United States</v>
      </c>
      <c r="D469" s="4" t="str">
        <f>IFERROR(__xludf.DUMMYFUNCTION("""COMPUTED_VALUE"""),"The Changing Consumer")</f>
        <v>The Changing Consumer</v>
      </c>
      <c r="E469" s="4" t="str">
        <f>IFERROR(__xludf.DUMMYFUNCTION("""COMPUTED_VALUE"""),"Trending TV Shows")</f>
        <v>Trending TV Shows</v>
      </c>
      <c r="F469" s="4"/>
      <c r="G469" s="4"/>
      <c r="H469" s="4"/>
      <c r="I469" s="5" t="s">
        <v>22</v>
      </c>
      <c r="J469" s="5" t="s">
        <v>42</v>
      </c>
      <c r="K469" s="5" t="s">
        <v>84</v>
      </c>
      <c r="L469" s="6" t="s">
        <v>702</v>
      </c>
      <c r="M469" s="5" t="s">
        <v>117</v>
      </c>
      <c r="N469" s="5" t="s">
        <v>27</v>
      </c>
      <c r="O469" s="5">
        <v>113262.0</v>
      </c>
      <c r="P469" s="5">
        <v>380.0</v>
      </c>
      <c r="Q469" s="5">
        <v>95762.0</v>
      </c>
      <c r="R469" s="5">
        <v>104612.0</v>
      </c>
      <c r="S469" s="5">
        <v>4.0</v>
      </c>
      <c r="T469" s="5">
        <v>7443.483233</v>
      </c>
    </row>
    <row r="470">
      <c r="A470" s="4" t="s">
        <v>704</v>
      </c>
      <c r="B470" s="4" t="str">
        <f>IFERROR(__xludf.DUMMYFUNCTION("SPLIT(A470:A1196, ""&gt;"")"),"Online Behavior")</f>
        <v>Online Behavior</v>
      </c>
      <c r="C470" s="4" t="str">
        <f>IFERROR(__xludf.DUMMYFUNCTION("""COMPUTED_VALUE"""),"United States")</f>
        <v>United States</v>
      </c>
      <c r="D470" s="4" t="str">
        <f>IFERROR(__xludf.DUMMYFUNCTION("""COMPUTED_VALUE"""),"Travel")</f>
        <v>Travel</v>
      </c>
      <c r="E470" s="4" t="str">
        <f>IFERROR(__xludf.DUMMYFUNCTION("""COMPUTED_VALUE"""),"Hotels and Accommodations")</f>
        <v>Hotels and Accommodations</v>
      </c>
      <c r="F470" s="4"/>
      <c r="G470" s="4"/>
      <c r="H470" s="4"/>
      <c r="I470" s="5" t="s">
        <v>15</v>
      </c>
      <c r="J470" s="5" t="s">
        <v>31</v>
      </c>
      <c r="K470" s="5" t="s">
        <v>29</v>
      </c>
      <c r="L470" s="6" t="s">
        <v>702</v>
      </c>
      <c r="M470" s="5" t="s">
        <v>19</v>
      </c>
      <c r="N470" s="5" t="s">
        <v>27</v>
      </c>
      <c r="O470" s="5">
        <v>75531.0</v>
      </c>
      <c r="P470" s="5">
        <v>200.0</v>
      </c>
      <c r="Q470" s="5">
        <v>63816.0</v>
      </c>
      <c r="R470" s="5">
        <v>70011.0</v>
      </c>
      <c r="S470" s="5">
        <v>9.0</v>
      </c>
      <c r="T470" s="5">
        <v>7261.86504</v>
      </c>
    </row>
    <row r="471">
      <c r="A471" s="4" t="s">
        <v>1481</v>
      </c>
      <c r="B471" s="4" t="str">
        <f>IFERROR(__xludf.DUMMYFUNCTION("SPLIT(A471:A1197, ""&gt;"")"),"Online Behavior")</f>
        <v>Online Behavior</v>
      </c>
      <c r="C471" s="4" t="str">
        <f>IFERROR(__xludf.DUMMYFUNCTION("""COMPUTED_VALUE"""),"United States")</f>
        <v>United States</v>
      </c>
      <c r="D471" s="4" t="str">
        <f>IFERROR(__xludf.DUMMYFUNCTION("""COMPUTED_VALUE"""),"Intent ")</f>
        <v>Intent </v>
      </c>
      <c r="E471" s="4" t="str">
        <f>IFERROR(__xludf.DUMMYFUNCTION("""COMPUTED_VALUE""")," Shopping")</f>
        <v> Shopping</v>
      </c>
      <c r="F471" s="4" t="str">
        <f>IFERROR(__xludf.DUMMYFUNCTION("""COMPUTED_VALUE"""),"Fashion")</f>
        <v>Fashion</v>
      </c>
      <c r="G471" s="4"/>
      <c r="H471" s="4"/>
      <c r="I471" s="5" t="s">
        <v>15</v>
      </c>
      <c r="J471" s="5" t="s">
        <v>42</v>
      </c>
      <c r="K471" s="5" t="s">
        <v>17</v>
      </c>
      <c r="L471" s="6" t="s">
        <v>702</v>
      </c>
      <c r="M471" s="5" t="s">
        <v>19</v>
      </c>
      <c r="N471" s="5" t="s">
        <v>52</v>
      </c>
      <c r="O471" s="5">
        <v>102958.0</v>
      </c>
      <c r="P471" s="5">
        <v>320.0</v>
      </c>
      <c r="Q471" s="5">
        <v>86884.0</v>
      </c>
      <c r="R471" s="5">
        <v>94687.0</v>
      </c>
      <c r="S471" s="5">
        <v>12.0</v>
      </c>
      <c r="T471" s="5">
        <v>6624.221175</v>
      </c>
    </row>
    <row r="472">
      <c r="A472" s="4" t="s">
        <v>706</v>
      </c>
      <c r="B472" s="4" t="str">
        <f>IFERROR(__xludf.DUMMYFUNCTION("SPLIT(A472:A1198, ""&gt;"")"),"Online Behavior")</f>
        <v>Online Behavior</v>
      </c>
      <c r="C472" s="4" t="str">
        <f>IFERROR(__xludf.DUMMYFUNCTION("""COMPUTED_VALUE"""),"United States")</f>
        <v>United States</v>
      </c>
      <c r="D472" s="4" t="str">
        <f>IFERROR(__xludf.DUMMYFUNCTION("""COMPUTED_VALUE"""),"The Changing Consumer")</f>
        <v>The Changing Consumer</v>
      </c>
      <c r="E472" s="4" t="str">
        <f>IFERROR(__xludf.DUMMYFUNCTION("""COMPUTED_VALUE"""),"Natural Disasters")</f>
        <v>Natural Disasters</v>
      </c>
      <c r="F472" s="4"/>
      <c r="G472" s="4"/>
      <c r="H472" s="4"/>
      <c r="I472" s="5" t="s">
        <v>15</v>
      </c>
      <c r="J472" s="5" t="s">
        <v>23</v>
      </c>
      <c r="K472" s="5" t="s">
        <v>35</v>
      </c>
      <c r="L472" s="6" t="s">
        <v>702</v>
      </c>
      <c r="M472" s="5" t="s">
        <v>50</v>
      </c>
      <c r="N472" s="5" t="s">
        <v>20</v>
      </c>
      <c r="O472" s="5">
        <v>42755.0</v>
      </c>
      <c r="P472" s="5">
        <v>117.0</v>
      </c>
      <c r="Q472" s="5">
        <v>36503.0</v>
      </c>
      <c r="R472" s="5">
        <v>40051.0</v>
      </c>
      <c r="S472" s="5">
        <v>12.0</v>
      </c>
      <c r="T472" s="5">
        <v>6550.30297</v>
      </c>
    </row>
    <row r="473">
      <c r="A473" s="4" t="s">
        <v>1482</v>
      </c>
      <c r="B473" s="4" t="str">
        <f>IFERROR(__xludf.DUMMYFUNCTION("SPLIT(A473:A1199, ""&gt;"")"),"Online Behavior")</f>
        <v>Online Behavior</v>
      </c>
      <c r="C473" s="4" t="str">
        <f>IFERROR(__xludf.DUMMYFUNCTION("""COMPUTED_VALUE"""),"United States")</f>
        <v>United States</v>
      </c>
      <c r="D473" s="4" t="str">
        <f>IFERROR(__xludf.DUMMYFUNCTION("""COMPUTED_VALUE"""),"Validated Demographic ")</f>
        <v>Validated Demographic </v>
      </c>
      <c r="E473" s="4" t="str">
        <f>IFERROR(__xludf.DUMMYFUNCTION("""COMPUTED_VALUE""")," Gender and Age Combined")</f>
        <v> Gender and Age Combined</v>
      </c>
      <c r="F473" s="4" t="str">
        <f>IFERROR(__xludf.DUMMYFUNCTION("""COMPUTED_VALUE"""),"Females 25-44")</f>
        <v>Females 25-44</v>
      </c>
      <c r="G473" s="4"/>
      <c r="H473" s="4"/>
      <c r="I473" s="5" t="s">
        <v>22</v>
      </c>
      <c r="J473" s="5" t="s">
        <v>31</v>
      </c>
      <c r="K473" s="5" t="s">
        <v>55</v>
      </c>
      <c r="L473" s="6" t="s">
        <v>702</v>
      </c>
      <c r="M473" s="5" t="s">
        <v>46</v>
      </c>
      <c r="N473" s="5" t="s">
        <v>27</v>
      </c>
      <c r="O473" s="5">
        <v>264580.0</v>
      </c>
      <c r="P473" s="5">
        <v>691.0</v>
      </c>
      <c r="Q473" s="5">
        <v>217526.0</v>
      </c>
      <c r="R473" s="5">
        <v>240731.0</v>
      </c>
      <c r="S473" s="5">
        <v>9.0</v>
      </c>
      <c r="T473" s="5">
        <v>4874.651722</v>
      </c>
    </row>
    <row r="474">
      <c r="A474" s="4" t="s">
        <v>1483</v>
      </c>
      <c r="B474" s="4" t="str">
        <f>IFERROR(__xludf.DUMMYFUNCTION("SPLIT(A474:A1200, ""&gt;"")"),"OnAudience ")</f>
        <v>OnAudience </v>
      </c>
      <c r="C474" s="4" t="str">
        <f>IFERROR(__xludf.DUMMYFUNCTION("""COMPUTED_VALUE""")," Interest ")</f>
        <v> Interest </v>
      </c>
      <c r="D474" s="4" t="str">
        <f>IFERROR(__xludf.DUMMYFUNCTION("""COMPUTED_VALUE""")," News")</f>
        <v> News</v>
      </c>
      <c r="E474" s="4"/>
      <c r="F474" s="4"/>
      <c r="G474" s="4"/>
      <c r="H474" s="4"/>
      <c r="I474" s="5" t="s">
        <v>22</v>
      </c>
      <c r="J474" s="5" t="s">
        <v>42</v>
      </c>
      <c r="K474" s="5" t="s">
        <v>32</v>
      </c>
      <c r="L474" s="6" t="s">
        <v>702</v>
      </c>
      <c r="M474" s="5" t="s">
        <v>19</v>
      </c>
      <c r="N474" s="5" t="s">
        <v>27</v>
      </c>
      <c r="O474" s="5">
        <v>42833.0</v>
      </c>
      <c r="P474" s="5">
        <v>120.0</v>
      </c>
      <c r="Q474" s="5">
        <v>37438.0</v>
      </c>
      <c r="R474" s="5">
        <v>40447.0</v>
      </c>
      <c r="S474" s="5">
        <v>9.0</v>
      </c>
      <c r="T474" s="5">
        <v>2040.934819</v>
      </c>
    </row>
    <row r="475">
      <c r="A475" s="4" t="s">
        <v>1880</v>
      </c>
      <c r="B475" s="4" t="str">
        <f>IFERROR(__xludf.DUMMYFUNCTION("SPLIT(A475:A1201, ""&gt;"")"),"US ")</f>
        <v>US </v>
      </c>
      <c r="C475" s="4" t="str">
        <f>IFERROR(__xludf.DUMMYFUNCTION("""COMPUTED_VALUE""")," Reach ")</f>
        <v> Reach </v>
      </c>
      <c r="D475" s="4" t="str">
        <f>IFERROR(__xludf.DUMMYFUNCTION("""COMPUTED_VALUE""")," Propensity Models ")</f>
        <v> Propensity Models </v>
      </c>
      <c r="E475" s="4" t="str">
        <f>IFERROR(__xludf.DUMMYFUNCTION("""COMPUTED_VALUE""")," Online ")</f>
        <v> Online </v>
      </c>
      <c r="F475" s="4" t="str">
        <f>IFERROR(__xludf.DUMMYFUNCTION("""COMPUTED_VALUE""")," Home Office")</f>
        <v> Home Office</v>
      </c>
      <c r="G475" s="4"/>
      <c r="H475" s="4"/>
      <c r="I475" s="5" t="s">
        <v>22</v>
      </c>
      <c r="J475" s="5" t="s">
        <v>16</v>
      </c>
      <c r="K475" s="5" t="s">
        <v>39</v>
      </c>
      <c r="L475" s="6" t="s">
        <v>702</v>
      </c>
      <c r="M475" s="5" t="s">
        <v>36</v>
      </c>
      <c r="N475" s="5" t="s">
        <v>27</v>
      </c>
      <c r="O475" s="5">
        <v>481526.0</v>
      </c>
      <c r="P475" s="5">
        <v>1235.0</v>
      </c>
      <c r="Q475" s="5">
        <v>396802.0</v>
      </c>
      <c r="R475" s="5">
        <v>437639.0</v>
      </c>
      <c r="S475" s="5">
        <v>23.0</v>
      </c>
      <c r="T475" s="5">
        <v>2037.865594</v>
      </c>
    </row>
    <row r="476">
      <c r="A476" s="4" t="s">
        <v>1881</v>
      </c>
      <c r="B476" s="4" t="str">
        <f>IFERROR(__xludf.DUMMYFUNCTION("SPLIT(A476:A1202, ""&gt;"")"),"US ")</f>
        <v>US </v>
      </c>
      <c r="C476" s="4" t="str">
        <f>IFERROR(__xludf.DUMMYFUNCTION("""COMPUTED_VALUE""")," Brand Propensities ")</f>
        <v> Brand Propensities </v>
      </c>
      <c r="D476" s="4" t="str">
        <f>IFERROR(__xludf.DUMMYFUNCTION("""COMPUTED_VALUE""")," Apparel ")</f>
        <v> Apparel </v>
      </c>
      <c r="E476" s="4" t="str">
        <f>IFERROR(__xludf.DUMMYFUNCTION("""COMPUTED_VALUE""")," TOMS Buyer Propensity")</f>
        <v> TOMS Buyer Propensity</v>
      </c>
      <c r="F476" s="4"/>
      <c r="G476" s="4"/>
      <c r="H476" s="4"/>
      <c r="I476" s="5" t="s">
        <v>15</v>
      </c>
      <c r="J476" s="5" t="s">
        <v>42</v>
      </c>
      <c r="K476" s="5" t="s">
        <v>78</v>
      </c>
      <c r="L476" s="6" t="s">
        <v>702</v>
      </c>
      <c r="M476" s="5" t="s">
        <v>19</v>
      </c>
      <c r="N476" s="5" t="s">
        <v>20</v>
      </c>
      <c r="O476" s="5">
        <v>50183.0</v>
      </c>
      <c r="P476" s="5">
        <v>199.0</v>
      </c>
      <c r="Q476" s="5">
        <v>41506.0</v>
      </c>
      <c r="R476" s="5">
        <v>46163.0</v>
      </c>
      <c r="S476" s="5">
        <v>15.0</v>
      </c>
      <c r="T476" s="5">
        <v>1628.882813</v>
      </c>
    </row>
    <row r="477">
      <c r="A477" s="4" t="s">
        <v>1882</v>
      </c>
      <c r="B477" s="4" t="str">
        <f>IFERROR(__xludf.DUMMYFUNCTION("SPLIT(A477:A1203, ""&gt;"")"),"Mobile - US ")</f>
        <v>Mobile - US </v>
      </c>
      <c r="C477" s="4" t="str">
        <f>IFERROR(__xludf.DUMMYFUNCTION("""COMPUTED_VALUE""")," Financial Services ")</f>
        <v> Financial Services </v>
      </c>
      <c r="D477" s="4" t="str">
        <f>IFERROR(__xludf.DUMMYFUNCTION("""COMPUTED_VALUE""")," Digital Payments ")</f>
        <v> Digital Payments </v>
      </c>
      <c r="E477" s="4" t="str">
        <f>IFERROR(__xludf.DUMMYFUNCTION("""COMPUTED_VALUE""")," Chase Pay")</f>
        <v> Chase Pay</v>
      </c>
      <c r="F477" s="4"/>
      <c r="G477" s="4"/>
      <c r="H477" s="4"/>
      <c r="I477" s="5" t="s">
        <v>15</v>
      </c>
      <c r="J477" s="5" t="s">
        <v>42</v>
      </c>
      <c r="K477" s="5" t="s">
        <v>17</v>
      </c>
      <c r="L477" s="6" t="s">
        <v>702</v>
      </c>
      <c r="M477" s="5" t="s">
        <v>19</v>
      </c>
      <c r="N477" s="5" t="s">
        <v>27</v>
      </c>
      <c r="O477" s="5">
        <v>21088.0</v>
      </c>
      <c r="P477" s="5">
        <v>60.0</v>
      </c>
      <c r="Q477" s="5">
        <v>17930.0</v>
      </c>
      <c r="R477" s="5">
        <v>19822.0</v>
      </c>
      <c r="S477" s="5">
        <v>4.0</v>
      </c>
      <c r="T477" s="5">
        <v>1623.681601</v>
      </c>
    </row>
    <row r="478">
      <c r="A478" s="4" t="s">
        <v>1487</v>
      </c>
      <c r="B478" s="4" t="str">
        <f>IFERROR(__xludf.DUMMYFUNCTION("SPLIT(A478:A1204, ""&gt;"")"),"Transactional ")</f>
        <v>Transactional </v>
      </c>
      <c r="C478" s="4" t="str">
        <f>IFERROR(__xludf.DUMMYFUNCTION("""COMPUTED_VALUE""")," Q3 Casual Dining Restaurant Goers")</f>
        <v> Q3 Casual Dining Restaurant Goers</v>
      </c>
      <c r="D478" s="4"/>
      <c r="E478" s="4"/>
      <c r="F478" s="4"/>
      <c r="G478" s="4"/>
      <c r="H478" s="4"/>
      <c r="I478" s="5" t="s">
        <v>15</v>
      </c>
      <c r="J478" s="5" t="s">
        <v>23</v>
      </c>
      <c r="K478" s="5" t="s">
        <v>29</v>
      </c>
      <c r="L478" s="6" t="s">
        <v>702</v>
      </c>
      <c r="M478" s="5" t="s">
        <v>19</v>
      </c>
      <c r="N478" s="5" t="s">
        <v>27</v>
      </c>
      <c r="O478" s="5">
        <v>284783.0</v>
      </c>
      <c r="P478" s="5">
        <v>756.0</v>
      </c>
      <c r="Q478" s="5">
        <v>239363.0</v>
      </c>
      <c r="R478" s="5">
        <v>261467.0</v>
      </c>
      <c r="S478" s="5">
        <v>9.0</v>
      </c>
      <c r="T478" s="5">
        <v>1605.538072</v>
      </c>
    </row>
    <row r="479">
      <c r="A479" s="4" t="s">
        <v>1488</v>
      </c>
      <c r="B479" s="4" t="str">
        <f>IFERROR(__xludf.DUMMYFUNCTION("SPLIT(A479:A1205, ""&gt;"")"),"Media and Entertainment ")</f>
        <v>Media and Entertainment </v>
      </c>
      <c r="C479" s="4" t="str">
        <f>IFERROR(__xludf.DUMMYFUNCTION("""COMPUTED_VALUE""")," Sports and Recreational Activities ")</f>
        <v> Sports and Recreational Activities </v>
      </c>
      <c r="D479" s="4" t="str">
        <f>IFERROR(__xludf.DUMMYFUNCTION("""COMPUTED_VALUE""")," Interest (Affinity) ")</f>
        <v> Interest (Affinity) </v>
      </c>
      <c r="E479" s="4" t="str">
        <f>IFERROR(__xludf.DUMMYFUNCTION("""COMPUTED_VALUE""")," Olympics ")</f>
        <v> Olympics </v>
      </c>
      <c r="F479" s="4" t="str">
        <f>IFERROR(__xludf.DUMMYFUNCTION("""COMPUTED_VALUE""")," Winter Olympics")</f>
        <v> Winter Olympics</v>
      </c>
      <c r="G479" s="4"/>
      <c r="H479" s="4"/>
      <c r="I479" s="5" t="s">
        <v>22</v>
      </c>
      <c r="J479" s="5" t="s">
        <v>42</v>
      </c>
      <c r="K479" s="5" t="s">
        <v>531</v>
      </c>
      <c r="L479" s="6" t="s">
        <v>702</v>
      </c>
      <c r="M479" s="5" t="s">
        <v>19</v>
      </c>
      <c r="N479" s="5" t="s">
        <v>27</v>
      </c>
      <c r="O479" s="5">
        <v>21229.0</v>
      </c>
      <c r="P479" s="5">
        <v>80.0</v>
      </c>
      <c r="Q479" s="5">
        <v>18073.0</v>
      </c>
      <c r="R479" s="5">
        <v>19655.0</v>
      </c>
      <c r="S479" s="5">
        <v>10.0</v>
      </c>
      <c r="T479" s="5">
        <v>1550.076655</v>
      </c>
    </row>
    <row r="480">
      <c r="A480" s="4" t="s">
        <v>1883</v>
      </c>
      <c r="B480" s="4" t="str">
        <f>IFERROR(__xludf.DUMMYFUNCTION("SPLIT(A480:A1206, ""&gt;"")"),"Mobile - US ")</f>
        <v>Mobile - US </v>
      </c>
      <c r="C480" s="4" t="str">
        <f>IFERROR(__xludf.DUMMYFUNCTION("""COMPUTED_VALUE""")," Demographics ")</f>
        <v> Demographics </v>
      </c>
      <c r="D480" s="4" t="str">
        <f>IFERROR(__xludf.DUMMYFUNCTION("""COMPUTED_VALUE""")," Finance ")</f>
        <v> Finance </v>
      </c>
      <c r="E480" s="4" t="str">
        <f>IFERROR(__xludf.DUMMYFUNCTION("""COMPUTED_VALUE""")," Rent Value ")</f>
        <v> Rent Value </v>
      </c>
      <c r="F480" s="4" t="str">
        <f>IFERROR(__xludf.DUMMYFUNCTION("""COMPUTED_VALUE""")," Lowest Rent Value")</f>
        <v> Lowest Rent Value</v>
      </c>
      <c r="G480" s="4"/>
      <c r="H480" s="4"/>
      <c r="I480" s="5" t="s">
        <v>22</v>
      </c>
      <c r="J480" s="5" t="s">
        <v>42</v>
      </c>
      <c r="K480" s="5" t="s">
        <v>214</v>
      </c>
      <c r="L480" s="6" t="s">
        <v>702</v>
      </c>
      <c r="M480" s="5" t="s">
        <v>19</v>
      </c>
      <c r="N480" s="5" t="s">
        <v>27</v>
      </c>
      <c r="O480" s="5">
        <v>55274.0</v>
      </c>
      <c r="P480" s="5">
        <v>219.0</v>
      </c>
      <c r="Q480" s="5">
        <v>47583.0</v>
      </c>
      <c r="R480" s="5">
        <v>51275.0</v>
      </c>
      <c r="S480" s="5">
        <v>3.0</v>
      </c>
      <c r="T480" s="5">
        <v>1532.757905</v>
      </c>
    </row>
    <row r="481">
      <c r="A481" s="4" t="s">
        <v>1884</v>
      </c>
      <c r="B481" s="4" t="str">
        <f>IFERROR(__xludf.DUMMYFUNCTION("SPLIT(A481:A1207, ""&gt;"")"),"US ")</f>
        <v>US </v>
      </c>
      <c r="C481" s="4" t="str">
        <f>IFERROR(__xludf.DUMMYFUNCTION("""COMPUTED_VALUE""")," Brand Propensities ")</f>
        <v> Brand Propensities </v>
      </c>
      <c r="D481" s="4" t="str">
        <f>IFERROR(__xludf.DUMMYFUNCTION("""COMPUTED_VALUE""")," Big Box Dollar Tree Buyer Propensity")</f>
        <v> Big Box Dollar Tree Buyer Propensity</v>
      </c>
      <c r="E481" s="4"/>
      <c r="F481" s="4"/>
      <c r="G481" s="4"/>
      <c r="H481" s="4"/>
      <c r="I481" s="5" t="s">
        <v>22</v>
      </c>
      <c r="J481" s="5" t="s">
        <v>31</v>
      </c>
      <c r="K481" s="5" t="s">
        <v>55</v>
      </c>
      <c r="L481" s="6" t="s">
        <v>702</v>
      </c>
      <c r="M481" s="5" t="s">
        <v>36</v>
      </c>
      <c r="N481" s="5" t="s">
        <v>27</v>
      </c>
      <c r="O481" s="5">
        <v>8278.0</v>
      </c>
      <c r="P481" s="5">
        <v>40.0</v>
      </c>
      <c r="Q481" s="5">
        <v>6758.0</v>
      </c>
      <c r="R481" s="5">
        <v>7537.0</v>
      </c>
      <c r="S481" s="5">
        <v>1.0</v>
      </c>
      <c r="T481" s="5">
        <v>1526.296619</v>
      </c>
    </row>
    <row r="482">
      <c r="A482" s="4" t="s">
        <v>1885</v>
      </c>
      <c r="B482" s="4" t="str">
        <f>IFERROR(__xludf.DUMMYFUNCTION("SPLIT(A482:A1208, ""&gt;"")"),"Mobile - US ")</f>
        <v>Mobile - US </v>
      </c>
      <c r="C482" s="4" t="str">
        <f>IFERROR(__xludf.DUMMYFUNCTION("""COMPUTED_VALUE""")," Food ")</f>
        <v> Food </v>
      </c>
      <c r="D482" s="4" t="str">
        <f>IFERROR(__xludf.DUMMYFUNCTION("""COMPUTED_VALUE""")," Restaurant ")</f>
        <v> Restaurant </v>
      </c>
      <c r="E482" s="4" t="str">
        <f>IFERROR(__xludf.DUMMYFUNCTION("""COMPUTED_VALUE""")," Brand ")</f>
        <v> Brand </v>
      </c>
      <c r="F482" s="4" t="str">
        <f>IFERROR(__xludf.DUMMYFUNCTION("""COMPUTED_VALUE""")," Chilis")</f>
        <v> Chilis</v>
      </c>
      <c r="G482" s="4"/>
      <c r="H482" s="4"/>
      <c r="I482" s="5" t="s">
        <v>15</v>
      </c>
      <c r="J482" s="5" t="s">
        <v>31</v>
      </c>
      <c r="K482" s="5" t="s">
        <v>29</v>
      </c>
      <c r="L482" s="6" t="s">
        <v>702</v>
      </c>
      <c r="M482" s="5" t="s">
        <v>46</v>
      </c>
      <c r="N482" s="5" t="s">
        <v>20</v>
      </c>
      <c r="O482" s="5">
        <v>87245.0</v>
      </c>
      <c r="P482" s="5">
        <v>350.0</v>
      </c>
      <c r="Q482" s="5">
        <v>71903.0</v>
      </c>
      <c r="R482" s="5">
        <v>80390.0</v>
      </c>
      <c r="S482" s="5">
        <v>2.0</v>
      </c>
      <c r="T482" s="5">
        <v>1500.838771</v>
      </c>
    </row>
    <row r="483">
      <c r="A483" s="4" t="s">
        <v>1492</v>
      </c>
      <c r="B483" s="4" t="str">
        <f>IFERROR(__xludf.DUMMYFUNCTION("SPLIT(A483:A1209, ""&gt;"")"),"Online Behavior")</f>
        <v>Online Behavior</v>
      </c>
      <c r="C483" s="4" t="str">
        <f>IFERROR(__xludf.DUMMYFUNCTION("""COMPUTED_VALUE"""),"United States")</f>
        <v>United States</v>
      </c>
      <c r="D483" s="4" t="str">
        <f>IFERROR(__xludf.DUMMYFUNCTION("""COMPUTED_VALUE"""),"Finance ")</f>
        <v>Finance </v>
      </c>
      <c r="E483" s="4" t="str">
        <f>IFERROR(__xludf.DUMMYFUNCTION("""COMPUTED_VALUE""")," Accounting and Auditing")</f>
        <v> Accounting and Auditing</v>
      </c>
      <c r="F483" s="4" t="str">
        <f>IFERROR(__xludf.DUMMYFUNCTION("""COMPUTED_VALUE"""),"Tax Preparation and Planning")</f>
        <v>Tax Preparation and Planning</v>
      </c>
      <c r="G483" s="4"/>
      <c r="H483" s="4"/>
      <c r="I483" s="5" t="s">
        <v>15</v>
      </c>
      <c r="J483" s="5" t="s">
        <v>42</v>
      </c>
      <c r="K483" s="5" t="s">
        <v>35</v>
      </c>
      <c r="L483" s="6" t="s">
        <v>718</v>
      </c>
      <c r="M483" s="5" t="s">
        <v>19</v>
      </c>
      <c r="N483" s="5" t="s">
        <v>52</v>
      </c>
      <c r="O483" s="5">
        <v>24962.0</v>
      </c>
      <c r="P483" s="5">
        <v>75.0</v>
      </c>
      <c r="Q483" s="5">
        <v>18450.0</v>
      </c>
      <c r="R483" s="5">
        <v>24128.0</v>
      </c>
      <c r="S483" s="5">
        <v>16.0</v>
      </c>
      <c r="T483" s="5">
        <v>6809.056051</v>
      </c>
    </row>
    <row r="484">
      <c r="A484" s="4" t="s">
        <v>1493</v>
      </c>
      <c r="B484" s="4" t="str">
        <f>IFERROR(__xludf.DUMMYFUNCTION("SPLIT(A484:A1210, ""&gt;"")"),"Online Behavior")</f>
        <v>Online Behavior</v>
      </c>
      <c r="C484" s="4" t="str">
        <f>IFERROR(__xludf.DUMMYFUNCTION("""COMPUTED_VALUE"""),"United States")</f>
        <v>United States</v>
      </c>
      <c r="D484" s="4" t="str">
        <f>IFERROR(__xludf.DUMMYFUNCTION("""COMPUTED_VALUE"""),"Beauty and Fitness")</f>
        <v>Beauty and Fitness</v>
      </c>
      <c r="E484" s="4" t="str">
        <f>IFERROR(__xludf.DUMMYFUNCTION("""COMPUTED_VALUE"""),"Fitness ")</f>
        <v>Fitness </v>
      </c>
      <c r="F484" s="4" t="str">
        <f>IFERROR(__xludf.DUMMYFUNCTION("""COMPUTED_VALUE""")," Bodybuilding")</f>
        <v> Bodybuilding</v>
      </c>
      <c r="G484" s="4"/>
      <c r="H484" s="4"/>
      <c r="I484" s="5" t="s">
        <v>15</v>
      </c>
      <c r="J484" s="5" t="s">
        <v>42</v>
      </c>
      <c r="K484" s="5" t="s">
        <v>95</v>
      </c>
      <c r="L484" s="6" t="s">
        <v>718</v>
      </c>
      <c r="M484" s="5" t="s">
        <v>36</v>
      </c>
      <c r="N484" s="5" t="s">
        <v>27</v>
      </c>
      <c r="O484" s="5">
        <v>57168.0</v>
      </c>
      <c r="P484" s="5">
        <v>160.0</v>
      </c>
      <c r="Q484" s="5">
        <v>43261.0</v>
      </c>
      <c r="R484" s="5">
        <v>55261.0</v>
      </c>
      <c r="S484" s="5">
        <v>12.0</v>
      </c>
      <c r="T484" s="5">
        <v>5841.15136</v>
      </c>
    </row>
    <row r="485">
      <c r="A485" s="4" t="s">
        <v>720</v>
      </c>
      <c r="B485" s="4" t="str">
        <f>IFERROR(__xludf.DUMMYFUNCTION("SPLIT(A485:A1211, ""&gt;"")"),"Online Behavior")</f>
        <v>Online Behavior</v>
      </c>
      <c r="C485" s="4" t="str">
        <f>IFERROR(__xludf.DUMMYFUNCTION("""COMPUTED_VALUE"""),"United States")</f>
        <v>United States</v>
      </c>
      <c r="D485" s="4" t="str">
        <f>IFERROR(__xludf.DUMMYFUNCTION("""COMPUTED_VALUE"""),"Autos and Vehicles")</f>
        <v>Autos and Vehicles</v>
      </c>
      <c r="E485" s="4" t="str">
        <f>IFERROR(__xludf.DUMMYFUNCTION("""COMPUTED_VALUE"""),"Vehicle Parts and Accessories")</f>
        <v>Vehicle Parts and Accessories</v>
      </c>
      <c r="F485" s="4"/>
      <c r="G485" s="4"/>
      <c r="H485" s="4"/>
      <c r="I485" s="5" t="s">
        <v>15</v>
      </c>
      <c r="J485" s="5" t="s">
        <v>16</v>
      </c>
      <c r="K485" s="5" t="s">
        <v>55</v>
      </c>
      <c r="L485" s="6" t="s">
        <v>718</v>
      </c>
      <c r="M485" s="5" t="s">
        <v>33</v>
      </c>
      <c r="N485" s="5" t="s">
        <v>27</v>
      </c>
      <c r="O485" s="5">
        <v>58477.0</v>
      </c>
      <c r="P485" s="5">
        <v>135.0</v>
      </c>
      <c r="Q485" s="5">
        <v>43554.0</v>
      </c>
      <c r="R485" s="5">
        <v>56558.0</v>
      </c>
      <c r="S485" s="5">
        <v>19.0</v>
      </c>
      <c r="T485" s="5">
        <v>5247.623883</v>
      </c>
    </row>
    <row r="486">
      <c r="A486" s="4" t="s">
        <v>1886</v>
      </c>
      <c r="B486" s="4" t="str">
        <f>IFERROR(__xludf.DUMMYFUNCTION("SPLIT(A486:A1212, ""&gt;"")"),"US ")</f>
        <v>US </v>
      </c>
      <c r="C486" s="4" t="str">
        <f>IFERROR(__xludf.DUMMYFUNCTION("""COMPUTED_VALUE""")," Brand Propensities ")</f>
        <v> Brand Propensities </v>
      </c>
      <c r="D486" s="4" t="str">
        <f>IFERROR(__xludf.DUMMYFUNCTION("""COMPUTED_VALUE""")," Food and Drug ")</f>
        <v> Food and Drug </v>
      </c>
      <c r="E486" s="4" t="str">
        <f>IFERROR(__xludf.DUMMYFUNCTION("""COMPUTED_VALUE""")," Postmates Buyer Propensity")</f>
        <v> Postmates Buyer Propensity</v>
      </c>
      <c r="F486" s="4"/>
      <c r="G486" s="4"/>
      <c r="H486" s="4"/>
      <c r="I486" s="5" t="s">
        <v>15</v>
      </c>
      <c r="J486" s="5" t="s">
        <v>31</v>
      </c>
      <c r="K486" s="5" t="s">
        <v>175</v>
      </c>
      <c r="L486" s="6" t="s">
        <v>718</v>
      </c>
      <c r="M486" s="5" t="s">
        <v>19</v>
      </c>
      <c r="N486" s="5" t="s">
        <v>27</v>
      </c>
      <c r="O486" s="5">
        <v>13202.0</v>
      </c>
      <c r="P486" s="5">
        <v>101.0</v>
      </c>
      <c r="Q486" s="5">
        <v>10871.0</v>
      </c>
      <c r="R486" s="5">
        <v>12885.0</v>
      </c>
      <c r="S486" s="5">
        <v>3.0</v>
      </c>
      <c r="T486" s="5">
        <v>1699.060809</v>
      </c>
    </row>
    <row r="487">
      <c r="A487" s="4" t="s">
        <v>722</v>
      </c>
      <c r="B487" s="4" t="str">
        <f>IFERROR(__xludf.DUMMYFUNCTION("SPLIT(A487:A1213, ""&gt;"")"),"Online Behavior")</f>
        <v>Online Behavior</v>
      </c>
      <c r="C487" s="4" t="str">
        <f>IFERROR(__xludf.DUMMYFUNCTION("""COMPUTED_VALUE"""),"United States")</f>
        <v>United States</v>
      </c>
      <c r="D487" s="4" t="str">
        <f>IFERROR(__xludf.DUMMYFUNCTION("""COMPUTED_VALUE"""),"Online Communities")</f>
        <v>Online Communities</v>
      </c>
      <c r="E487" s="4" t="str">
        <f>IFERROR(__xludf.DUMMYFUNCTION("""COMPUTED_VALUE"""),"Online Goodies")</f>
        <v>Online Goodies</v>
      </c>
      <c r="F487" s="4"/>
      <c r="G487" s="4"/>
      <c r="H487" s="4"/>
      <c r="I487" s="5" t="s">
        <v>15</v>
      </c>
      <c r="J487" s="5" t="s">
        <v>42</v>
      </c>
      <c r="K487" s="5" t="s">
        <v>55</v>
      </c>
      <c r="L487" s="6" t="s">
        <v>723</v>
      </c>
      <c r="M487" s="5" t="s">
        <v>48</v>
      </c>
      <c r="N487" s="5" t="s">
        <v>27</v>
      </c>
      <c r="O487" s="5">
        <v>8187.0</v>
      </c>
      <c r="P487" s="5">
        <v>20.0</v>
      </c>
      <c r="Q487" s="5">
        <v>4888.0</v>
      </c>
      <c r="R487" s="5">
        <v>7510.0</v>
      </c>
      <c r="S487" s="5">
        <v>3.0</v>
      </c>
      <c r="T487" s="5">
        <v>6980.229304</v>
      </c>
    </row>
    <row r="488">
      <c r="A488" s="4" t="s">
        <v>724</v>
      </c>
      <c r="B488" s="4" t="str">
        <f>IFERROR(__xludf.DUMMYFUNCTION("SPLIT(A488:A1214, ""&gt;"")"),"Online Behavior")</f>
        <v>Online Behavior</v>
      </c>
      <c r="C488" s="4" t="str">
        <f>IFERROR(__xludf.DUMMYFUNCTION("""COMPUTED_VALUE"""),"United States")</f>
        <v>United States</v>
      </c>
      <c r="D488" s="4" t="str">
        <f>IFERROR(__xludf.DUMMYFUNCTION("""COMPUTED_VALUE"""),"Jobs and Education")</f>
        <v>Jobs and Education</v>
      </c>
      <c r="E488" s="4" t="str">
        <f>IFERROR(__xludf.DUMMYFUNCTION("""COMPUTED_VALUE"""),"Jobs")</f>
        <v>Jobs</v>
      </c>
      <c r="F488" s="4"/>
      <c r="G488" s="4"/>
      <c r="H488" s="4"/>
      <c r="I488" s="5" t="s">
        <v>15</v>
      </c>
      <c r="J488" s="5" t="s">
        <v>23</v>
      </c>
      <c r="K488" s="5" t="s">
        <v>84</v>
      </c>
      <c r="L488" s="6" t="s">
        <v>723</v>
      </c>
      <c r="M488" s="5" t="s">
        <v>26</v>
      </c>
      <c r="N488" s="5" t="s">
        <v>27</v>
      </c>
      <c r="O488" s="5">
        <v>21280.0</v>
      </c>
      <c r="P488" s="5">
        <v>70.0</v>
      </c>
      <c r="Q488" s="5">
        <v>15309.0</v>
      </c>
      <c r="R488" s="5">
        <v>20244.0</v>
      </c>
      <c r="S488" s="5">
        <v>6.0</v>
      </c>
      <c r="T488" s="5">
        <v>6837.510602</v>
      </c>
    </row>
    <row r="489">
      <c r="A489" s="4" t="s">
        <v>1495</v>
      </c>
      <c r="B489" s="4" t="str">
        <f>IFERROR(__xludf.DUMMYFUNCTION("SPLIT(A489:A1215, ""&gt;"")"),"Online Behavior")</f>
        <v>Online Behavior</v>
      </c>
      <c r="C489" s="4" t="str">
        <f>IFERROR(__xludf.DUMMYFUNCTION("""COMPUTED_VALUE"""),"United States")</f>
        <v>United States</v>
      </c>
      <c r="D489" s="4" t="str">
        <f>IFERROR(__xludf.DUMMYFUNCTION("""COMPUTED_VALUE"""),"Intent ")</f>
        <v>Intent </v>
      </c>
      <c r="E489" s="4" t="str">
        <f>IFERROR(__xludf.DUMMYFUNCTION("""COMPUTED_VALUE""")," Auto Buyers ")</f>
        <v> Auto Buyers </v>
      </c>
      <c r="F489" s="4" t="str">
        <f>IFERROR(__xludf.DUMMYFUNCTION("""COMPUTED_VALUE""")," Category")</f>
        <v> Category</v>
      </c>
      <c r="G489" s="4" t="str">
        <f>IFERROR(__xludf.DUMMYFUNCTION("""COMPUTED_VALUE"""),"Sport Cars")</f>
        <v>Sport Cars</v>
      </c>
      <c r="H489" s="4"/>
      <c r="I489" s="5" t="s">
        <v>22</v>
      </c>
      <c r="J489" s="5" t="s">
        <v>23</v>
      </c>
      <c r="K489" s="5" t="s">
        <v>121</v>
      </c>
      <c r="L489" s="6" t="s">
        <v>723</v>
      </c>
      <c r="M489" s="5" t="s">
        <v>19</v>
      </c>
      <c r="N489" s="5" t="s">
        <v>27</v>
      </c>
      <c r="O489" s="5">
        <v>81567.0</v>
      </c>
      <c r="P489" s="5">
        <v>440.0</v>
      </c>
      <c r="Q489" s="5">
        <v>53264.0</v>
      </c>
      <c r="R489" s="5">
        <v>68123.0</v>
      </c>
      <c r="S489" s="5">
        <v>4.0</v>
      </c>
      <c r="T489" s="5">
        <v>6392.471955</v>
      </c>
    </row>
    <row r="490">
      <c r="A490" s="4" t="s">
        <v>1887</v>
      </c>
      <c r="B490" s="4" t="str">
        <f>IFERROR(__xludf.DUMMYFUNCTION("SPLIT(A490:A1216, ""&gt;"")"),"US ")</f>
        <v>US </v>
      </c>
      <c r="C490" s="4" t="str">
        <f>IFERROR(__xludf.DUMMYFUNCTION("""COMPUTED_VALUE""")," Reach ")</f>
        <v> Reach </v>
      </c>
      <c r="D490" s="4" t="str">
        <f>IFERROR(__xludf.DUMMYFUNCTION("""COMPUTED_VALUE""")," Propensity Models ")</f>
        <v> Propensity Models </v>
      </c>
      <c r="E490" s="4" t="str">
        <f>IFERROR(__xludf.DUMMYFUNCTION("""COMPUTED_VALUE""")," Hobbies and Interest ")</f>
        <v> Hobbies and Interest </v>
      </c>
      <c r="F490" s="4" t="str">
        <f>IFERROR(__xludf.DUMMYFUNCTION("""COMPUTED_VALUE""")," Cultural Arts")</f>
        <v> Cultural Arts</v>
      </c>
      <c r="G490" s="4"/>
      <c r="H490" s="4"/>
      <c r="I490" s="5" t="s">
        <v>15</v>
      </c>
      <c r="J490" s="5" t="s">
        <v>16</v>
      </c>
      <c r="K490" s="5" t="s">
        <v>356</v>
      </c>
      <c r="L490" s="6" t="s">
        <v>723</v>
      </c>
      <c r="M490" s="5" t="s">
        <v>19</v>
      </c>
      <c r="N490" s="5" t="s">
        <v>27</v>
      </c>
      <c r="O490" s="5">
        <v>17620.0</v>
      </c>
      <c r="P490" s="5">
        <v>52.0</v>
      </c>
      <c r="Q490" s="5">
        <v>11197.0</v>
      </c>
      <c r="R490" s="5">
        <v>16687.0</v>
      </c>
      <c r="S490" s="5">
        <v>9.0</v>
      </c>
      <c r="T490" s="5">
        <v>2407.794325</v>
      </c>
    </row>
    <row r="491">
      <c r="A491" s="4" t="s">
        <v>1888</v>
      </c>
      <c r="B491" s="4" t="str">
        <f>IFERROR(__xludf.DUMMYFUNCTION("SPLIT(A491:A1217, ""&gt;"")"),"US ")</f>
        <v>US </v>
      </c>
      <c r="C491" s="4" t="str">
        <f>IFERROR(__xludf.DUMMYFUNCTION("""COMPUTED_VALUE""")," B2B ")</f>
        <v> B2B </v>
      </c>
      <c r="D491" s="4" t="str">
        <f>IFERROR(__xludf.DUMMYFUNCTION("""COMPUTED_VALUE""")," B2B Decision Maker Responsibilities ")</f>
        <v> B2B Decision Maker Responsibilities </v>
      </c>
      <c r="E491" s="4" t="str">
        <f>IFERROR(__xludf.DUMMYFUNCTION("""COMPUTED_VALUE""")," Internet Services")</f>
        <v> Internet Services</v>
      </c>
      <c r="F491" s="4"/>
      <c r="G491" s="4"/>
      <c r="H491" s="4"/>
      <c r="I491" s="5" t="s">
        <v>15</v>
      </c>
      <c r="J491" s="5" t="s">
        <v>23</v>
      </c>
      <c r="K491" s="5" t="s">
        <v>17</v>
      </c>
      <c r="L491" s="6" t="s">
        <v>723</v>
      </c>
      <c r="M491" s="5" t="s">
        <v>19</v>
      </c>
      <c r="N491" s="5" t="s">
        <v>52</v>
      </c>
      <c r="O491" s="5">
        <v>31625.0</v>
      </c>
      <c r="P491" s="5">
        <v>99.0</v>
      </c>
      <c r="Q491" s="5">
        <v>23764.0</v>
      </c>
      <c r="R491" s="5">
        <v>29364.0</v>
      </c>
      <c r="S491" s="5">
        <v>6.0</v>
      </c>
      <c r="T491" s="5">
        <v>2360.555244</v>
      </c>
    </row>
    <row r="492">
      <c r="A492" s="4" t="s">
        <v>1889</v>
      </c>
      <c r="B492" s="4" t="str">
        <f>IFERROR(__xludf.DUMMYFUNCTION("SPLIT(A492:A1218, ""&gt;"")"),"Mobile - US ")</f>
        <v>Mobile - US </v>
      </c>
      <c r="C492" s="4" t="str">
        <f>IFERROR(__xludf.DUMMYFUNCTION("""COMPUTED_VALUE""")," Device Ownership ")</f>
        <v> Device Ownership </v>
      </c>
      <c r="D492" s="4" t="str">
        <f>IFERROR(__xludf.DUMMYFUNCTION("""COMPUTED_VALUE""")," Smartphones ")</f>
        <v> Smartphones </v>
      </c>
      <c r="E492" s="4" t="str">
        <f>IFERROR(__xludf.DUMMYFUNCTION("""COMPUTED_VALUE""")," iOS (Apple) ")</f>
        <v> iOS (Apple) </v>
      </c>
      <c r="F492" s="4" t="str">
        <f>IFERROR(__xludf.DUMMYFUNCTION("""COMPUTED_VALUE""")," yes")</f>
        <v> yes</v>
      </c>
      <c r="G492" s="4"/>
      <c r="H492" s="4"/>
      <c r="I492" s="5" t="s">
        <v>22</v>
      </c>
      <c r="J492" s="5" t="s">
        <v>31</v>
      </c>
      <c r="K492" s="5" t="s">
        <v>84</v>
      </c>
      <c r="L492" s="6" t="s">
        <v>723</v>
      </c>
      <c r="M492" s="5" t="s">
        <v>167</v>
      </c>
      <c r="N492" s="5" t="s">
        <v>27</v>
      </c>
      <c r="O492" s="5">
        <v>22175.0</v>
      </c>
      <c r="P492" s="5">
        <v>140.0</v>
      </c>
      <c r="Q492" s="5">
        <v>14910.0</v>
      </c>
      <c r="R492" s="5">
        <v>20074.0</v>
      </c>
      <c r="S492" s="5">
        <v>6.0</v>
      </c>
      <c r="T492" s="5">
        <v>1909.277483</v>
      </c>
    </row>
    <row r="493">
      <c r="A493" s="4" t="s">
        <v>1890</v>
      </c>
      <c r="B493" s="4" t="str">
        <f>IFERROR(__xludf.DUMMYFUNCTION("SPLIT(A493:A1219, ""&gt;"")"),"US ")</f>
        <v>US </v>
      </c>
      <c r="C493" s="4" t="str">
        <f>IFERROR(__xludf.DUMMYFUNCTION("""COMPUTED_VALUE""")," B2B ")</f>
        <v> B2B </v>
      </c>
      <c r="D493" s="4" t="str">
        <f>IFERROR(__xludf.DUMMYFUNCTION("""COMPUTED_VALUE""")," Purchase DM ")</f>
        <v> Purchase DM </v>
      </c>
      <c r="E493" s="4" t="str">
        <f>IFERROR(__xludf.DUMMYFUNCTION("""COMPUTED_VALUE""")," Technology Services, Hardware and ")</f>
        <v> Technology Services, Hardware and </v>
      </c>
      <c r="F493" s="4" t="str">
        <f>IFERROR(__xludf.DUMMYFUNCTION("""COMPUTED_VALUE""")," or Software ")</f>
        <v> or Software </v>
      </c>
      <c r="G493" s="4" t="str">
        <f>IFERROR(__xludf.DUMMYFUNCTION("""COMPUTED_VALUE""")," I am the sole decision maker")</f>
        <v> I am the sole decision maker</v>
      </c>
      <c r="H493" s="4"/>
      <c r="I493" s="5" t="s">
        <v>22</v>
      </c>
      <c r="J493" s="5" t="s">
        <v>16</v>
      </c>
      <c r="K493" s="5" t="s">
        <v>35</v>
      </c>
      <c r="L493" s="6" t="s">
        <v>730</v>
      </c>
      <c r="M493" s="5" t="s">
        <v>327</v>
      </c>
      <c r="N493" s="5" t="s">
        <v>27</v>
      </c>
      <c r="O493" s="5">
        <v>56927.0</v>
      </c>
      <c r="P493" s="5">
        <v>165.0</v>
      </c>
      <c r="Q493" s="5">
        <v>20980.0</v>
      </c>
      <c r="R493" s="5">
        <v>55050.0</v>
      </c>
      <c r="S493" s="5">
        <v>5.0</v>
      </c>
      <c r="T493" s="5">
        <v>2463.821917</v>
      </c>
    </row>
    <row r="494">
      <c r="A494" s="4" t="s">
        <v>1500</v>
      </c>
      <c r="B494" s="4" t="str">
        <f>IFERROR(__xludf.DUMMYFUNCTION("SPLIT(A494:A1220, ""&gt;"")"),"OnAudience ")</f>
        <v>OnAudience </v>
      </c>
      <c r="C494" s="4" t="str">
        <f>IFERROR(__xludf.DUMMYFUNCTION("""COMPUTED_VALUE""")," Interest ")</f>
        <v> Interest </v>
      </c>
      <c r="D494" s="4" t="str">
        <f>IFERROR(__xludf.DUMMYFUNCTION("""COMPUTED_VALUE""")," Education")</f>
        <v> Education</v>
      </c>
      <c r="E494" s="4"/>
      <c r="F494" s="4"/>
      <c r="G494" s="4"/>
      <c r="H494" s="4"/>
      <c r="I494" s="5" t="s">
        <v>22</v>
      </c>
      <c r="J494" s="5" t="s">
        <v>23</v>
      </c>
      <c r="K494" s="5" t="s">
        <v>55</v>
      </c>
      <c r="L494" s="6" t="s">
        <v>732</v>
      </c>
      <c r="M494" s="5" t="s">
        <v>46</v>
      </c>
      <c r="N494" s="5" t="s">
        <v>27</v>
      </c>
      <c r="O494" s="5">
        <v>20165.0</v>
      </c>
      <c r="P494" s="5">
        <v>60.0</v>
      </c>
      <c r="Q494" s="5">
        <v>6601.0</v>
      </c>
      <c r="R494" s="5">
        <v>18909.0</v>
      </c>
      <c r="S494" s="5">
        <v>10.0</v>
      </c>
      <c r="T494" s="5">
        <v>1743.078687</v>
      </c>
    </row>
    <row r="495">
      <c r="A495" s="4" t="s">
        <v>1501</v>
      </c>
      <c r="B495" s="4" t="str">
        <f>IFERROR(__xludf.DUMMYFUNCTION("SPLIT(A495:A1221, ""&gt;"")"),"OnAudience ")</f>
        <v>OnAudience </v>
      </c>
      <c r="C495" s="4" t="str">
        <f>IFERROR(__xludf.DUMMYFUNCTION("""COMPUTED_VALUE""")," Intent ")</f>
        <v> Intent </v>
      </c>
      <c r="D495" s="4" t="str">
        <f>IFERROR(__xludf.DUMMYFUNCTION("""COMPUTED_VALUE""")," Software")</f>
        <v> Software</v>
      </c>
      <c r="E495" s="4"/>
      <c r="F495" s="4"/>
      <c r="G495" s="4"/>
      <c r="H495" s="4"/>
      <c r="I495" s="5" t="s">
        <v>15</v>
      </c>
      <c r="J495" s="5" t="s">
        <v>23</v>
      </c>
      <c r="K495" s="5" t="s">
        <v>55</v>
      </c>
      <c r="L495" s="6" t="s">
        <v>732</v>
      </c>
      <c r="M495" s="5" t="s">
        <v>19</v>
      </c>
      <c r="N495" s="5" t="s">
        <v>52</v>
      </c>
      <c r="O495" s="5">
        <v>22501.0</v>
      </c>
      <c r="P495" s="5">
        <v>120.0</v>
      </c>
      <c r="Q495" s="5">
        <v>13003.0</v>
      </c>
      <c r="R495" s="5">
        <v>21286.0</v>
      </c>
      <c r="S495" s="5">
        <v>9.0</v>
      </c>
      <c r="T495" s="5">
        <v>1522.517949</v>
      </c>
    </row>
    <row r="496">
      <c r="A496" s="4" t="s">
        <v>734</v>
      </c>
      <c r="B496" s="4" t="str">
        <f>IFERROR(__xludf.DUMMYFUNCTION("SPLIT(A496:A1222, ""&gt;"")"),"Online Behavior")</f>
        <v>Online Behavior</v>
      </c>
      <c r="C496" s="4" t="str">
        <f>IFERROR(__xludf.DUMMYFUNCTION("""COMPUTED_VALUE"""),"United States")</f>
        <v>United States</v>
      </c>
      <c r="D496" s="4" t="str">
        <f>IFERROR(__xludf.DUMMYFUNCTION("""COMPUTED_VALUE"""),"Home and Garden")</f>
        <v>Home and Garden</v>
      </c>
      <c r="E496" s="4" t="str">
        <f>IFERROR(__xludf.DUMMYFUNCTION("""COMPUTED_VALUE"""),"Kitchen and Dining")</f>
        <v>Kitchen and Dining</v>
      </c>
      <c r="F496" s="4"/>
      <c r="G496" s="4"/>
      <c r="H496" s="4"/>
      <c r="I496" s="5" t="s">
        <v>15</v>
      </c>
      <c r="J496" s="5" t="s">
        <v>16</v>
      </c>
      <c r="K496" s="5" t="s">
        <v>32</v>
      </c>
      <c r="L496" s="6" t="s">
        <v>735</v>
      </c>
      <c r="M496" s="5" t="s">
        <v>117</v>
      </c>
      <c r="N496" s="5" t="s">
        <v>20</v>
      </c>
      <c r="O496" s="5">
        <v>123430.0</v>
      </c>
      <c r="P496" s="5">
        <v>360.0</v>
      </c>
      <c r="Q496" s="5">
        <v>45294.0</v>
      </c>
      <c r="R496" s="5">
        <v>77646.0</v>
      </c>
      <c r="S496" s="5">
        <v>15.0</v>
      </c>
      <c r="T496" s="5">
        <v>6808.562584</v>
      </c>
    </row>
    <row r="497">
      <c r="A497" s="4" t="s">
        <v>1891</v>
      </c>
      <c r="B497" s="4" t="str">
        <f>IFERROR(__xludf.DUMMYFUNCTION("SPLIT(A497:A1223, ""&gt;"")"),"US ")</f>
        <v>US </v>
      </c>
      <c r="C497" s="4" t="str">
        <f>IFERROR(__xludf.DUMMYFUNCTION("""COMPUTED_VALUE""")," Reach ")</f>
        <v> Reach </v>
      </c>
      <c r="D497" s="4" t="str">
        <f>IFERROR(__xludf.DUMMYFUNCTION("""COMPUTED_VALUE""")," Propensity Models ")</f>
        <v> Propensity Models </v>
      </c>
      <c r="E497" s="4" t="str">
        <f>IFERROR(__xludf.DUMMYFUNCTION("""COMPUTED_VALUE""")," Hobbies and Interest ")</f>
        <v> Hobbies and Interest </v>
      </c>
      <c r="F497" s="4" t="str">
        <f>IFERROR(__xludf.DUMMYFUNCTION("""COMPUTED_VALUE""")," Food and Drinks ")</f>
        <v> Food and Drinks </v>
      </c>
      <c r="G497" s="4" t="str">
        <f>IFERROR(__xludf.DUMMYFUNCTION("""COMPUTED_VALUE""")," Eats at Family Restaurants")</f>
        <v> Eats at Family Restaurants</v>
      </c>
      <c r="H497" s="4"/>
      <c r="I497" s="5" t="s">
        <v>22</v>
      </c>
      <c r="J497" s="5" t="s">
        <v>16</v>
      </c>
      <c r="K497" s="5" t="s">
        <v>131</v>
      </c>
      <c r="L497" s="6" t="s">
        <v>735</v>
      </c>
      <c r="M497" s="5" t="s">
        <v>19</v>
      </c>
      <c r="N497" s="5" t="s">
        <v>27</v>
      </c>
      <c r="O497" s="5">
        <v>268811.0</v>
      </c>
      <c r="P497" s="5">
        <v>799.0</v>
      </c>
      <c r="Q497" s="5">
        <v>95989.0</v>
      </c>
      <c r="R497" s="5">
        <v>173923.0</v>
      </c>
      <c r="S497" s="5">
        <v>4.0</v>
      </c>
      <c r="T497" s="5">
        <v>2549.115158</v>
      </c>
    </row>
    <row r="498">
      <c r="A498" s="4" t="s">
        <v>1503</v>
      </c>
      <c r="B498" s="4" t="str">
        <f>IFERROR(__xludf.DUMMYFUNCTION("SPLIT(A498:A1224, ""&gt;"")"),"OnAudience ")</f>
        <v>OnAudience </v>
      </c>
      <c r="C498" s="4" t="str">
        <f>IFERROR(__xludf.DUMMYFUNCTION("""COMPUTED_VALUE""")," Intent ")</f>
        <v> Intent </v>
      </c>
      <c r="D498" s="4" t="str">
        <f>IFERROR(__xludf.DUMMYFUNCTION("""COMPUTED_VALUE""")," Baby &amp; Toddler ")</f>
        <v> Baby &amp; Toddler </v>
      </c>
      <c r="E498" s="4" t="str">
        <f>IFERROR(__xludf.DUMMYFUNCTION("""COMPUTED_VALUE""")," Baby Toys")</f>
        <v> Baby Toys</v>
      </c>
      <c r="F498" s="4"/>
      <c r="G498" s="4"/>
      <c r="H498" s="4"/>
      <c r="I498" s="5" t="s">
        <v>15</v>
      </c>
      <c r="J498" s="5" t="s">
        <v>42</v>
      </c>
      <c r="K498" s="5" t="s">
        <v>121</v>
      </c>
      <c r="L498" s="6" t="s">
        <v>735</v>
      </c>
      <c r="M498" s="5" t="s">
        <v>36</v>
      </c>
      <c r="N498" s="5" t="s">
        <v>52</v>
      </c>
      <c r="O498" s="5">
        <v>16669.0</v>
      </c>
      <c r="P498" s="5">
        <v>26.0</v>
      </c>
      <c r="Q498" s="5">
        <v>10961.0</v>
      </c>
      <c r="R498" s="5">
        <v>15451.0</v>
      </c>
      <c r="S498" s="5">
        <v>5.0</v>
      </c>
      <c r="T498" s="5">
        <v>1658.358536</v>
      </c>
    </row>
    <row r="499">
      <c r="A499" s="4" t="s">
        <v>1504</v>
      </c>
      <c r="B499" s="4" t="str">
        <f>IFERROR(__xludf.DUMMYFUNCTION("SPLIT(A499:A1225, ""&gt;"")"),"Media and Entertainment ")</f>
        <v>Media and Entertainment </v>
      </c>
      <c r="C499" s="4" t="str">
        <f>IFERROR(__xludf.DUMMYFUNCTION("""COMPUTED_VALUE""")," Television (TV)")</f>
        <v> Television (TV)</v>
      </c>
      <c r="D499" s="4"/>
      <c r="E499" s="4"/>
      <c r="F499" s="4"/>
      <c r="G499" s="4"/>
      <c r="H499" s="4"/>
      <c r="I499" s="5" t="s">
        <v>15</v>
      </c>
      <c r="J499" s="5" t="s">
        <v>16</v>
      </c>
      <c r="K499" s="5" t="s">
        <v>32</v>
      </c>
      <c r="L499" s="6" t="s">
        <v>735</v>
      </c>
      <c r="M499" s="5" t="s">
        <v>19</v>
      </c>
      <c r="N499" s="5" t="s">
        <v>27</v>
      </c>
      <c r="O499" s="5">
        <v>9130.0</v>
      </c>
      <c r="P499" s="5">
        <v>33.0</v>
      </c>
      <c r="Q499" s="5">
        <v>3721.0</v>
      </c>
      <c r="R499" s="5">
        <v>5564.0</v>
      </c>
      <c r="S499" s="5">
        <v>1.0</v>
      </c>
      <c r="T499" s="5">
        <v>1655.792857</v>
      </c>
    </row>
    <row r="500">
      <c r="A500" s="4" t="s">
        <v>1505</v>
      </c>
      <c r="B500" s="4" t="str">
        <f>IFERROR(__xludf.DUMMYFUNCTION("SPLIT(A500:A1226, ""&gt;"")"),"Online Behavior")</f>
        <v>Online Behavior</v>
      </c>
      <c r="C500" s="4" t="str">
        <f>IFERROR(__xludf.DUMMYFUNCTION("""COMPUTED_VALUE"""),"United States")</f>
        <v>United States</v>
      </c>
      <c r="D500" s="4" t="str">
        <f>IFERROR(__xludf.DUMMYFUNCTION("""COMPUTED_VALUE"""),"Intent ")</f>
        <v>Intent </v>
      </c>
      <c r="E500" s="4" t="str">
        <f>IFERROR(__xludf.DUMMYFUNCTION("""COMPUTED_VALUE""")," Auto Buyers ")</f>
        <v> Auto Buyers </v>
      </c>
      <c r="F500" s="4" t="str">
        <f>IFERROR(__xludf.DUMMYFUNCTION("""COMPUTED_VALUE""")," Category")</f>
        <v> Category</v>
      </c>
      <c r="G500" s="4" t="str">
        <f>IFERROR(__xludf.DUMMYFUNCTION("""COMPUTED_VALUE"""),"Caravan")</f>
        <v>Caravan</v>
      </c>
      <c r="H500" s="4"/>
      <c r="I500" s="5" t="s">
        <v>15</v>
      </c>
      <c r="J500" s="5" t="s">
        <v>42</v>
      </c>
      <c r="K500" s="5" t="s">
        <v>55</v>
      </c>
      <c r="L500" s="6" t="s">
        <v>740</v>
      </c>
      <c r="M500" s="5" t="s">
        <v>19</v>
      </c>
      <c r="N500" s="5" t="s">
        <v>27</v>
      </c>
      <c r="O500" s="5">
        <v>8097.0</v>
      </c>
      <c r="P500" s="5">
        <v>20.0</v>
      </c>
      <c r="Q500" s="5">
        <v>4942.0</v>
      </c>
      <c r="R500" s="5">
        <v>6868.0</v>
      </c>
      <c r="S500" s="5">
        <v>1.0</v>
      </c>
      <c r="T500" s="5">
        <v>6177.464545</v>
      </c>
    </row>
    <row r="501">
      <c r="A501" s="4" t="s">
        <v>1892</v>
      </c>
      <c r="B501" s="4" t="str">
        <f>IFERROR(__xludf.DUMMYFUNCTION("SPLIT(A501:A1227, ""&gt;"")"),"US ")</f>
        <v>US </v>
      </c>
      <c r="C501" s="4" t="str">
        <f>IFERROR(__xludf.DUMMYFUNCTION("""COMPUTED_VALUE""")," Reach ")</f>
        <v> Reach </v>
      </c>
      <c r="D501" s="4" t="str">
        <f>IFERROR(__xludf.DUMMYFUNCTION("""COMPUTED_VALUE""")," Propensity Models ")</f>
        <v> Propensity Models </v>
      </c>
      <c r="E501" s="4" t="str">
        <f>IFERROR(__xludf.DUMMYFUNCTION("""COMPUTED_VALUE""")," Hobbies and Interest ")</f>
        <v> Hobbies and Interest </v>
      </c>
      <c r="F501" s="4" t="str">
        <f>IFERROR(__xludf.DUMMYFUNCTION("""COMPUTED_VALUE""")," Sports ")</f>
        <v> Sports </v>
      </c>
      <c r="G501" s="4" t="str">
        <f>IFERROR(__xludf.DUMMYFUNCTION("""COMPUTED_VALUE""")," Hunting Enthusiasts")</f>
        <v> Hunting Enthusiasts</v>
      </c>
      <c r="H501" s="4"/>
      <c r="I501" s="5" t="s">
        <v>15</v>
      </c>
      <c r="J501" s="5" t="s">
        <v>23</v>
      </c>
      <c r="K501" s="5" t="s">
        <v>17</v>
      </c>
      <c r="L501" s="6" t="s">
        <v>740</v>
      </c>
      <c r="M501" s="5" t="s">
        <v>46</v>
      </c>
      <c r="N501" s="5" t="s">
        <v>52</v>
      </c>
      <c r="O501" s="5">
        <v>65243.0</v>
      </c>
      <c r="P501" s="5">
        <v>120.0</v>
      </c>
      <c r="Q501" s="5">
        <v>39543.0</v>
      </c>
      <c r="R501" s="5">
        <v>54290.0</v>
      </c>
      <c r="S501" s="5">
        <v>4.0</v>
      </c>
      <c r="T501" s="5">
        <v>3754.685247</v>
      </c>
    </row>
    <row r="502">
      <c r="A502" s="4" t="s">
        <v>742</v>
      </c>
      <c r="B502" s="4" t="str">
        <f>IFERROR(__xludf.DUMMYFUNCTION("SPLIT(A502:A1228, ""&gt;"")"),"Online Behavior")</f>
        <v>Online Behavior</v>
      </c>
      <c r="C502" s="4" t="str">
        <f>IFERROR(__xludf.DUMMYFUNCTION("""COMPUTED_VALUE"""),"United States")</f>
        <v>United States</v>
      </c>
      <c r="D502" s="4" t="str">
        <f>IFERROR(__xludf.DUMMYFUNCTION("""COMPUTED_VALUE"""),"The Changing Consumer")</f>
        <v>The Changing Consumer</v>
      </c>
      <c r="E502" s="4" t="str">
        <f>IFERROR(__xludf.DUMMYFUNCTION("""COMPUTED_VALUE"""),"CPG")</f>
        <v>CPG</v>
      </c>
      <c r="F502" s="4"/>
      <c r="G502" s="4"/>
      <c r="H502" s="4"/>
      <c r="I502" s="5" t="s">
        <v>15</v>
      </c>
      <c r="J502" s="5" t="s">
        <v>16</v>
      </c>
      <c r="K502" s="5" t="s">
        <v>39</v>
      </c>
      <c r="L502" s="6" t="s">
        <v>743</v>
      </c>
      <c r="M502" s="5" t="s">
        <v>19</v>
      </c>
      <c r="N502" s="5" t="s">
        <v>27</v>
      </c>
      <c r="O502" s="5">
        <v>224877.0</v>
      </c>
      <c r="P502" s="5">
        <v>805.0</v>
      </c>
      <c r="Q502" s="5">
        <v>121175.0</v>
      </c>
      <c r="R502" s="5">
        <v>213280.0</v>
      </c>
      <c r="S502" s="5">
        <v>11.0</v>
      </c>
      <c r="T502" s="5">
        <v>7360.992969</v>
      </c>
    </row>
    <row r="503">
      <c r="A503" s="4" t="s">
        <v>744</v>
      </c>
      <c r="B503" s="4" t="str">
        <f>IFERROR(__xludf.DUMMYFUNCTION("SPLIT(A503:A1229, ""&gt;"")"),"Online Behavior")</f>
        <v>Online Behavior</v>
      </c>
      <c r="C503" s="4" t="str">
        <f>IFERROR(__xludf.DUMMYFUNCTION("""COMPUTED_VALUE"""),"United States")</f>
        <v>United States</v>
      </c>
      <c r="D503" s="4" t="str">
        <f>IFERROR(__xludf.DUMMYFUNCTION("""COMPUTED_VALUE"""),"Internet and Telecom")</f>
        <v>Internet and Telecom</v>
      </c>
      <c r="E503" s="4" t="str">
        <f>IFERROR(__xludf.DUMMYFUNCTION("""COMPUTED_VALUE"""),"Web Apps and Online Tools")</f>
        <v>Web Apps and Online Tools</v>
      </c>
      <c r="F503" s="4"/>
      <c r="G503" s="4"/>
      <c r="H503" s="4"/>
      <c r="I503" s="5" t="s">
        <v>15</v>
      </c>
      <c r="J503" s="5" t="s">
        <v>23</v>
      </c>
      <c r="K503" s="5" t="s">
        <v>78</v>
      </c>
      <c r="L503" s="6" t="s">
        <v>743</v>
      </c>
      <c r="M503" s="5" t="s">
        <v>46</v>
      </c>
      <c r="N503" s="5" t="s">
        <v>52</v>
      </c>
      <c r="O503" s="5">
        <v>109372.0</v>
      </c>
      <c r="P503" s="5">
        <v>364.0</v>
      </c>
      <c r="Q503" s="5">
        <v>58336.0</v>
      </c>
      <c r="R503" s="5">
        <v>103569.0</v>
      </c>
      <c r="S503" s="5">
        <v>21.0</v>
      </c>
      <c r="T503" s="5">
        <v>6928.006202</v>
      </c>
    </row>
    <row r="504">
      <c r="A504" s="4" t="s">
        <v>745</v>
      </c>
      <c r="B504" s="4" t="str">
        <f>IFERROR(__xludf.DUMMYFUNCTION("SPLIT(A504:A1230, ""&gt;"")"),"Online Behavior")</f>
        <v>Online Behavior</v>
      </c>
      <c r="C504" s="4" t="str">
        <f>IFERROR(__xludf.DUMMYFUNCTION("""COMPUTED_VALUE"""),"United States")</f>
        <v>United States</v>
      </c>
      <c r="D504" s="4" t="str">
        <f>IFERROR(__xludf.DUMMYFUNCTION("""COMPUTED_VALUE"""),"News")</f>
        <v>News</v>
      </c>
      <c r="E504" s="4" t="str">
        <f>IFERROR(__xludf.DUMMYFUNCTION("""COMPUTED_VALUE"""),"Local News")</f>
        <v>Local News</v>
      </c>
      <c r="F504" s="4"/>
      <c r="G504" s="4"/>
      <c r="H504" s="4"/>
      <c r="I504" s="5" t="s">
        <v>22</v>
      </c>
      <c r="J504" s="5" t="s">
        <v>23</v>
      </c>
      <c r="K504" s="5" t="s">
        <v>183</v>
      </c>
      <c r="L504" s="6" t="s">
        <v>743</v>
      </c>
      <c r="M504" s="5" t="s">
        <v>50</v>
      </c>
      <c r="N504" s="5" t="s">
        <v>27</v>
      </c>
      <c r="O504" s="5">
        <v>44889.0</v>
      </c>
      <c r="P504" s="5">
        <v>125.0</v>
      </c>
      <c r="Q504" s="5">
        <v>17477.0</v>
      </c>
      <c r="R504" s="5">
        <v>38621.0</v>
      </c>
      <c r="S504" s="5">
        <v>25.0</v>
      </c>
      <c r="T504" s="5">
        <v>6644.954146</v>
      </c>
    </row>
    <row r="505">
      <c r="A505" s="4" t="s">
        <v>1507</v>
      </c>
      <c r="B505" s="4" t="str">
        <f>IFERROR(__xludf.DUMMYFUNCTION("SPLIT(A505:A1231, ""&gt;"")"),"Online Behavior")</f>
        <v>Online Behavior</v>
      </c>
      <c r="C505" s="4" t="str">
        <f>IFERROR(__xludf.DUMMYFUNCTION("""COMPUTED_VALUE"""),"United States")</f>
        <v>United States</v>
      </c>
      <c r="D505" s="4" t="str">
        <f>IFERROR(__xludf.DUMMYFUNCTION("""COMPUTED_VALUE"""),"Intent ")</f>
        <v>Intent </v>
      </c>
      <c r="E505" s="4" t="str">
        <f>IFERROR(__xludf.DUMMYFUNCTION("""COMPUTED_VALUE""")," Auto Buyers ")</f>
        <v> Auto Buyers </v>
      </c>
      <c r="F505" s="4" t="str">
        <f>IFERROR(__xludf.DUMMYFUNCTION("""COMPUTED_VALUE""")," Car Make")</f>
        <v> Car Make</v>
      </c>
      <c r="G505" s="4" t="str">
        <f>IFERROR(__xludf.DUMMYFUNCTION("""COMPUTED_VALUE"""),"Mercedes")</f>
        <v>Mercedes</v>
      </c>
      <c r="H505" s="4"/>
      <c r="I505" s="5" t="s">
        <v>22</v>
      </c>
      <c r="J505" s="5" t="s">
        <v>16</v>
      </c>
      <c r="K505" s="5" t="s">
        <v>204</v>
      </c>
      <c r="L505" s="6" t="s">
        <v>743</v>
      </c>
      <c r="M505" s="5" t="s">
        <v>117</v>
      </c>
      <c r="N505" s="5" t="s">
        <v>27</v>
      </c>
      <c r="O505" s="5">
        <v>42459.0</v>
      </c>
      <c r="P505" s="5">
        <v>121.0</v>
      </c>
      <c r="Q505" s="5">
        <v>15187.0</v>
      </c>
      <c r="R505" s="5">
        <v>37408.0</v>
      </c>
      <c r="S505" s="5">
        <v>11.0</v>
      </c>
      <c r="T505" s="5">
        <v>6321.491689</v>
      </c>
    </row>
    <row r="506">
      <c r="A506" s="4" t="s">
        <v>1508</v>
      </c>
      <c r="B506" s="4" t="str">
        <f>IFERROR(__xludf.DUMMYFUNCTION("SPLIT(A506:A1232, ""&gt;"")"),"Online Behavior")</f>
        <v>Online Behavior</v>
      </c>
      <c r="C506" s="4" t="str">
        <f>IFERROR(__xludf.DUMMYFUNCTION("""COMPUTED_VALUE"""),"United States")</f>
        <v>United States</v>
      </c>
      <c r="D506" s="4" t="str">
        <f>IFERROR(__xludf.DUMMYFUNCTION("""COMPUTED_VALUE"""),"Sports")</f>
        <v>Sports</v>
      </c>
      <c r="E506" s="4" t="str">
        <f>IFERROR(__xludf.DUMMYFUNCTION("""COMPUTED_VALUE"""),"Individual Sports ")</f>
        <v>Individual Sports </v>
      </c>
      <c r="F506" s="4" t="str">
        <f>IFERROR(__xludf.DUMMYFUNCTION("""COMPUTED_VALUE""")," Golf")</f>
        <v> Golf</v>
      </c>
      <c r="G506" s="4"/>
      <c r="H506" s="4"/>
      <c r="I506" s="5" t="s">
        <v>15</v>
      </c>
      <c r="J506" s="5" t="s">
        <v>23</v>
      </c>
      <c r="K506" s="5" t="s">
        <v>55</v>
      </c>
      <c r="L506" s="6" t="s">
        <v>743</v>
      </c>
      <c r="M506" s="5" t="s">
        <v>117</v>
      </c>
      <c r="N506" s="5" t="s">
        <v>27</v>
      </c>
      <c r="O506" s="5">
        <v>69928.0</v>
      </c>
      <c r="P506" s="5">
        <v>210.0</v>
      </c>
      <c r="Q506" s="5">
        <v>30196.0</v>
      </c>
      <c r="R506" s="5">
        <v>62327.0</v>
      </c>
      <c r="S506" s="5">
        <v>9.0</v>
      </c>
      <c r="T506" s="5">
        <v>6318.413085</v>
      </c>
    </row>
    <row r="507">
      <c r="A507" s="4" t="s">
        <v>1509</v>
      </c>
      <c r="B507" s="4" t="str">
        <f>IFERROR(__xludf.DUMMYFUNCTION("SPLIT(A507:A1233, ""&gt;"")"),"Online Behavior")</f>
        <v>Online Behavior</v>
      </c>
      <c r="C507" s="4" t="str">
        <f>IFERROR(__xludf.DUMMYFUNCTION("""COMPUTED_VALUE"""),"United States")</f>
        <v>United States</v>
      </c>
      <c r="D507" s="4" t="str">
        <f>IFERROR(__xludf.DUMMYFUNCTION("""COMPUTED_VALUE"""),"Food and Drink")</f>
        <v>Food and Drink</v>
      </c>
      <c r="E507" s="4" t="str">
        <f>IFERROR(__xludf.DUMMYFUNCTION("""COMPUTED_VALUE"""),"Beverages ")</f>
        <v>Beverages </v>
      </c>
      <c r="F507" s="4" t="str">
        <f>IFERROR(__xludf.DUMMYFUNCTION("""COMPUTED_VALUE""")," Juice")</f>
        <v> Juice</v>
      </c>
      <c r="G507" s="4"/>
      <c r="H507" s="4"/>
      <c r="I507" s="5" t="s">
        <v>22</v>
      </c>
      <c r="J507" s="5" t="s">
        <v>31</v>
      </c>
      <c r="K507" s="5" t="s">
        <v>17</v>
      </c>
      <c r="L507" s="6" t="s">
        <v>743</v>
      </c>
      <c r="M507" s="5" t="s">
        <v>19</v>
      </c>
      <c r="N507" s="5" t="s">
        <v>27</v>
      </c>
      <c r="O507" s="5">
        <v>40859.0</v>
      </c>
      <c r="P507" s="5">
        <v>144.0</v>
      </c>
      <c r="Q507" s="5">
        <v>17695.0</v>
      </c>
      <c r="R507" s="5">
        <v>37108.0</v>
      </c>
      <c r="S507" s="5">
        <v>4.0</v>
      </c>
      <c r="T507" s="5">
        <v>6130.368425</v>
      </c>
    </row>
    <row r="508">
      <c r="A508" s="4" t="s">
        <v>1510</v>
      </c>
      <c r="B508" s="4" t="str">
        <f>IFERROR(__xludf.DUMMYFUNCTION("SPLIT(A508:A1234, ""&gt;"")"),"Online Behavior")</f>
        <v>Online Behavior</v>
      </c>
      <c r="C508" s="4" t="str">
        <f>IFERROR(__xludf.DUMMYFUNCTION("""COMPUTED_VALUE"""),"United States")</f>
        <v>United States</v>
      </c>
      <c r="D508" s="4" t="str">
        <f>IFERROR(__xludf.DUMMYFUNCTION("""COMPUTED_VALUE"""),"Autos and Vehicles ")</f>
        <v>Autos and Vehicles </v>
      </c>
      <c r="E508" s="4" t="str">
        <f>IFERROR(__xludf.DUMMYFUNCTION("""COMPUTED_VALUE""")," Brands")</f>
        <v> Brands</v>
      </c>
      <c r="F508" s="4" t="str">
        <f>IFERROR(__xludf.DUMMYFUNCTION("""COMPUTED_VALUE"""),"Isuzu")</f>
        <v>Isuzu</v>
      </c>
      <c r="G508" s="4"/>
      <c r="H508" s="4"/>
      <c r="I508" s="5" t="s">
        <v>15</v>
      </c>
      <c r="J508" s="5" t="s">
        <v>42</v>
      </c>
      <c r="K508" s="5" t="s">
        <v>35</v>
      </c>
      <c r="L508" s="6" t="s">
        <v>743</v>
      </c>
      <c r="M508" s="5" t="s">
        <v>117</v>
      </c>
      <c r="N508" s="5" t="s">
        <v>52</v>
      </c>
      <c r="O508" s="5">
        <v>16978.0</v>
      </c>
      <c r="P508" s="5">
        <v>30.0</v>
      </c>
      <c r="Q508" s="5">
        <v>8367.0</v>
      </c>
      <c r="R508" s="5">
        <v>15731.0</v>
      </c>
      <c r="S508" s="5">
        <v>9.0</v>
      </c>
      <c r="T508" s="5">
        <v>5886.071146</v>
      </c>
    </row>
    <row r="509">
      <c r="A509" s="4" t="s">
        <v>750</v>
      </c>
      <c r="B509" s="4" t="str">
        <f>IFERROR(__xludf.DUMMYFUNCTION("SPLIT(A509:A1235, ""&gt;"")"),"Online Behavior")</f>
        <v>Online Behavior</v>
      </c>
      <c r="C509" s="4" t="str">
        <f>IFERROR(__xludf.DUMMYFUNCTION("""COMPUTED_VALUE"""),"United States")</f>
        <v>United States</v>
      </c>
      <c r="D509" s="4" t="str">
        <f>IFERROR(__xludf.DUMMYFUNCTION("""COMPUTED_VALUE"""),"Internet and Telecom")</f>
        <v>Internet and Telecom</v>
      </c>
      <c r="E509" s="4" t="str">
        <f>IFERROR(__xludf.DUMMYFUNCTION("""COMPUTED_VALUE"""),"Web Services")</f>
        <v>Web Services</v>
      </c>
      <c r="F509" s="4"/>
      <c r="G509" s="4"/>
      <c r="H509" s="4"/>
      <c r="I509" s="5" t="s">
        <v>22</v>
      </c>
      <c r="J509" s="5" t="s">
        <v>16</v>
      </c>
      <c r="K509" s="5" t="s">
        <v>55</v>
      </c>
      <c r="L509" s="6" t="s">
        <v>743</v>
      </c>
      <c r="M509" s="5" t="s">
        <v>36</v>
      </c>
      <c r="N509" s="5" t="s">
        <v>27</v>
      </c>
      <c r="O509" s="5">
        <v>14581.0</v>
      </c>
      <c r="P509" s="5">
        <v>45.0</v>
      </c>
      <c r="Q509" s="5">
        <v>3821.0</v>
      </c>
      <c r="R509" s="5">
        <v>12741.0</v>
      </c>
      <c r="S509" s="5">
        <v>6.0</v>
      </c>
      <c r="T509" s="5">
        <v>5296.970091</v>
      </c>
    </row>
    <row r="510">
      <c r="A510" s="4" t="s">
        <v>1511</v>
      </c>
      <c r="B510" s="4" t="str">
        <f>IFERROR(__xludf.DUMMYFUNCTION("SPLIT(A510:A1236, ""&gt;"")"),"Online Behavior")</f>
        <v>Online Behavior</v>
      </c>
      <c r="C510" s="4" t="str">
        <f>IFERROR(__xludf.DUMMYFUNCTION("""COMPUTED_VALUE"""),"United States")</f>
        <v>United States</v>
      </c>
      <c r="D510" s="4" t="str">
        <f>IFERROR(__xludf.DUMMYFUNCTION("""COMPUTED_VALUE"""),"Validated Demographic ")</f>
        <v>Validated Demographic </v>
      </c>
      <c r="E510" s="4" t="str">
        <f>IFERROR(__xludf.DUMMYFUNCTION("""COMPUTED_VALUE""")," Gender and Age Combined")</f>
        <v> Gender and Age Combined</v>
      </c>
      <c r="F510" s="4" t="str">
        <f>IFERROR(__xludf.DUMMYFUNCTION("""COMPUTED_VALUE"""),"Males 18-44")</f>
        <v>Males 18-44</v>
      </c>
      <c r="G510" s="4"/>
      <c r="H510" s="4"/>
      <c r="I510" s="5" t="s">
        <v>15</v>
      </c>
      <c r="J510" s="5" t="s">
        <v>42</v>
      </c>
      <c r="K510" s="5" t="s">
        <v>35</v>
      </c>
      <c r="L510" s="6" t="s">
        <v>743</v>
      </c>
      <c r="M510" s="5" t="s">
        <v>46</v>
      </c>
      <c r="N510" s="5" t="s">
        <v>20</v>
      </c>
      <c r="O510" s="5">
        <v>10815.0</v>
      </c>
      <c r="P510" s="5">
        <v>25.0</v>
      </c>
      <c r="Q510" s="5">
        <v>4321.0</v>
      </c>
      <c r="R510" s="5">
        <v>9646.0</v>
      </c>
      <c r="S510" s="5">
        <v>2.0</v>
      </c>
      <c r="T510" s="5">
        <v>4921.594843</v>
      </c>
    </row>
    <row r="511">
      <c r="A511" s="4" t="s">
        <v>1512</v>
      </c>
      <c r="B511" s="4" t="str">
        <f>IFERROR(__xludf.DUMMYFUNCTION("SPLIT(A511:A1237, ""&gt;"")"),"Online Behavior")</f>
        <v>Online Behavior</v>
      </c>
      <c r="C511" s="4" t="str">
        <f>IFERROR(__xludf.DUMMYFUNCTION("""COMPUTED_VALUE"""),"United States")</f>
        <v>United States</v>
      </c>
      <c r="D511" s="4" t="str">
        <f>IFERROR(__xludf.DUMMYFUNCTION("""COMPUTED_VALUE"""),"B2B ")</f>
        <v>B2B </v>
      </c>
      <c r="E511" s="4" t="str">
        <f>IFERROR(__xludf.DUMMYFUNCTION("""COMPUTED_VALUE""")," Occupation")</f>
        <v> Occupation</v>
      </c>
      <c r="F511" s="4" t="str">
        <f>IFERROR(__xludf.DUMMYFUNCTION("""COMPUTED_VALUE"""),"ComputerProgrammer")</f>
        <v>ComputerProgrammer</v>
      </c>
      <c r="G511" s="4"/>
      <c r="H511" s="4"/>
      <c r="I511" s="5" t="s">
        <v>15</v>
      </c>
      <c r="J511" s="5" t="s">
        <v>42</v>
      </c>
      <c r="K511" s="5" t="s">
        <v>240</v>
      </c>
      <c r="L511" s="6" t="s">
        <v>743</v>
      </c>
      <c r="M511" s="5" t="s">
        <v>50</v>
      </c>
      <c r="N511" s="5" t="s">
        <v>20</v>
      </c>
      <c r="O511" s="5">
        <v>114194.0</v>
      </c>
      <c r="P511" s="5">
        <v>380.0</v>
      </c>
      <c r="Q511" s="5">
        <v>50923.0</v>
      </c>
      <c r="R511" s="5">
        <v>104074.0</v>
      </c>
      <c r="S511" s="5">
        <v>2.0</v>
      </c>
      <c r="T511" s="5">
        <v>4036.089376</v>
      </c>
    </row>
    <row r="512">
      <c r="A512" s="4" t="s">
        <v>1893</v>
      </c>
      <c r="B512" s="4" t="str">
        <f>IFERROR(__xludf.DUMMYFUNCTION("SPLIT(A512:A1238, ""&gt;"")"),"US ")</f>
        <v>US </v>
      </c>
      <c r="C512" s="4" t="str">
        <f>IFERROR(__xludf.DUMMYFUNCTION("""COMPUTED_VALUE""")," Reach ")</f>
        <v> Reach </v>
      </c>
      <c r="D512" s="4" t="str">
        <f>IFERROR(__xludf.DUMMYFUNCTION("""COMPUTED_VALUE""")," Propensity Models ")</f>
        <v> Propensity Models </v>
      </c>
      <c r="E512" s="4" t="str">
        <f>IFERROR(__xludf.DUMMYFUNCTION("""COMPUTED_VALUE""")," Lifestyle ")</f>
        <v> Lifestyle </v>
      </c>
      <c r="F512" s="4" t="str">
        <f>IFERROR(__xludf.DUMMYFUNCTION("""COMPUTED_VALUE""")," Healthy Living")</f>
        <v> Healthy Living</v>
      </c>
      <c r="G512" s="4"/>
      <c r="H512" s="4"/>
      <c r="I512" s="5" t="s">
        <v>15</v>
      </c>
      <c r="J512" s="5" t="s">
        <v>16</v>
      </c>
      <c r="K512" s="5" t="s">
        <v>356</v>
      </c>
      <c r="L512" s="6" t="s">
        <v>743</v>
      </c>
      <c r="M512" s="5" t="s">
        <v>19</v>
      </c>
      <c r="N512" s="5" t="s">
        <v>27</v>
      </c>
      <c r="O512" s="5">
        <v>15449.0</v>
      </c>
      <c r="P512" s="5">
        <v>50.0</v>
      </c>
      <c r="Q512" s="5">
        <v>4595.0</v>
      </c>
      <c r="R512" s="5">
        <v>13765.0</v>
      </c>
      <c r="S512" s="5">
        <v>1.0</v>
      </c>
      <c r="T512" s="5">
        <v>3122.942574</v>
      </c>
    </row>
    <row r="513">
      <c r="A513" s="4" t="s">
        <v>1894</v>
      </c>
      <c r="B513" s="4" t="str">
        <f>IFERROR(__xludf.DUMMYFUNCTION("SPLIT(A513:A1239, ""&gt;"")"),"US ")</f>
        <v>US </v>
      </c>
      <c r="C513" s="4" t="str">
        <f>IFERROR(__xludf.DUMMYFUNCTION("""COMPUTED_VALUE""")," Reach ")</f>
        <v> Reach </v>
      </c>
      <c r="D513" s="4" t="str">
        <f>IFERROR(__xludf.DUMMYFUNCTION("""COMPUTED_VALUE""")," Propensity Models ")</f>
        <v> Propensity Models </v>
      </c>
      <c r="E513" s="4" t="str">
        <f>IFERROR(__xludf.DUMMYFUNCTION("""COMPUTED_VALUE""")," Hobbies and Interest ")</f>
        <v> Hobbies and Interest </v>
      </c>
      <c r="F513" s="4" t="str">
        <f>IFERROR(__xludf.DUMMYFUNCTION("""COMPUTED_VALUE""")," Sports ")</f>
        <v> Sports </v>
      </c>
      <c r="G513" s="4" t="str">
        <f>IFERROR(__xludf.DUMMYFUNCTION("""COMPUTED_VALUE""")," NHL Enthusiast")</f>
        <v> NHL Enthusiast</v>
      </c>
      <c r="H513" s="4"/>
      <c r="I513" s="5" t="s">
        <v>15</v>
      </c>
      <c r="J513" s="5" t="s">
        <v>31</v>
      </c>
      <c r="K513" s="5" t="s">
        <v>78</v>
      </c>
      <c r="L513" s="6" t="s">
        <v>743</v>
      </c>
      <c r="M513" s="5" t="s">
        <v>191</v>
      </c>
      <c r="N513" s="5" t="s">
        <v>27</v>
      </c>
      <c r="O513" s="5">
        <v>114267.0</v>
      </c>
      <c r="P513" s="5">
        <v>110.0</v>
      </c>
      <c r="Q513" s="5">
        <v>60964.0</v>
      </c>
      <c r="R513" s="5">
        <v>108301.0</v>
      </c>
      <c r="S513" s="5">
        <v>5.0</v>
      </c>
      <c r="T513" s="5">
        <v>2679.154068</v>
      </c>
    </row>
    <row r="514">
      <c r="A514" s="4" t="s">
        <v>1895</v>
      </c>
      <c r="B514" s="4" t="str">
        <f>IFERROR(__xludf.DUMMYFUNCTION("SPLIT(A514:A1240, ""&gt;"")"),"US ")</f>
        <v>US </v>
      </c>
      <c r="C514" s="4" t="str">
        <f>IFERROR(__xludf.DUMMYFUNCTION("""COMPUTED_VALUE""")," Reach ")</f>
        <v> Reach </v>
      </c>
      <c r="D514" s="4" t="str">
        <f>IFERROR(__xludf.DUMMYFUNCTION("""COMPUTED_VALUE""")," Propensity Models ")</f>
        <v> Propensity Models </v>
      </c>
      <c r="E514" s="4" t="str">
        <f>IFERROR(__xludf.DUMMYFUNCTION("""COMPUTED_VALUE""")," Hobbies and Interest ")</f>
        <v> Hobbies and Interest </v>
      </c>
      <c r="F514" s="4" t="str">
        <f>IFERROR(__xludf.DUMMYFUNCTION("""COMPUTED_VALUE""")," Sports ")</f>
        <v> Sports </v>
      </c>
      <c r="G514" s="4" t="str">
        <f>IFERROR(__xludf.DUMMYFUNCTION("""COMPUTED_VALUE""")," Fishing")</f>
        <v> Fishing</v>
      </c>
      <c r="H514" s="4"/>
      <c r="I514" s="5" t="s">
        <v>15</v>
      </c>
      <c r="J514" s="5" t="s">
        <v>16</v>
      </c>
      <c r="K514" s="5" t="s">
        <v>173</v>
      </c>
      <c r="L514" s="6" t="s">
        <v>743</v>
      </c>
      <c r="M514" s="5" t="s">
        <v>26</v>
      </c>
      <c r="N514" s="5" t="s">
        <v>20</v>
      </c>
      <c r="O514" s="5">
        <v>65043.0</v>
      </c>
      <c r="P514" s="5">
        <v>160.0</v>
      </c>
      <c r="Q514" s="5">
        <v>25871.0</v>
      </c>
      <c r="R514" s="5">
        <v>53969.0</v>
      </c>
      <c r="S514" s="5">
        <v>4.0</v>
      </c>
      <c r="T514" s="5">
        <v>2347.918531</v>
      </c>
    </row>
    <row r="515">
      <c r="A515" s="4" t="s">
        <v>1896</v>
      </c>
      <c r="B515" s="4" t="str">
        <f>IFERROR(__xludf.DUMMYFUNCTION("SPLIT(A515:A1241, ""&gt;"")"),"US ")</f>
        <v>US </v>
      </c>
      <c r="C515" s="4" t="str">
        <f>IFERROR(__xludf.DUMMYFUNCTION("""COMPUTED_VALUE""")," Interest Propensities ")</f>
        <v> Interest Propensities </v>
      </c>
      <c r="D515" s="4" t="str">
        <f>IFERROR(__xludf.DUMMYFUNCTION("""COMPUTED_VALUE""")," Food and Drink ")</f>
        <v> Food and Drink </v>
      </c>
      <c r="E515" s="4" t="str">
        <f>IFERROR(__xludf.DUMMYFUNCTION("""COMPUTED_VALUE""")," American Cuisine")</f>
        <v> American Cuisine</v>
      </c>
      <c r="F515" s="4"/>
      <c r="G515" s="4"/>
      <c r="H515" s="4"/>
      <c r="I515" s="5" t="s">
        <v>22</v>
      </c>
      <c r="J515" s="5" t="s">
        <v>23</v>
      </c>
      <c r="K515" s="5" t="s">
        <v>35</v>
      </c>
      <c r="L515" s="6" t="s">
        <v>743</v>
      </c>
      <c r="M515" s="5" t="s">
        <v>19</v>
      </c>
      <c r="N515" s="5" t="s">
        <v>27</v>
      </c>
      <c r="O515" s="5">
        <v>85280.0</v>
      </c>
      <c r="P515" s="5">
        <v>211.0</v>
      </c>
      <c r="Q515" s="5">
        <v>35860.0</v>
      </c>
      <c r="R515" s="5">
        <v>79837.0</v>
      </c>
      <c r="S515" s="5">
        <v>5.0</v>
      </c>
      <c r="T515" s="5">
        <v>2217.932092</v>
      </c>
    </row>
    <row r="516">
      <c r="A516" s="4" t="s">
        <v>1897</v>
      </c>
      <c r="B516" s="4" t="str">
        <f>IFERROR(__xludf.DUMMYFUNCTION("SPLIT(A516:A1242, ""&gt;"")"),"US ")</f>
        <v>US </v>
      </c>
      <c r="C516" s="4" t="str">
        <f>IFERROR(__xludf.DUMMYFUNCTION("""COMPUTED_VALUE""")," Reach ")</f>
        <v> Reach </v>
      </c>
      <c r="D516" s="4" t="str">
        <f>IFERROR(__xludf.DUMMYFUNCTION("""COMPUTED_VALUE""")," Propensity Models ")</f>
        <v> Propensity Models </v>
      </c>
      <c r="E516" s="4" t="str">
        <f>IFERROR(__xludf.DUMMYFUNCTION("""COMPUTED_VALUE""")," Finance ")</f>
        <v> Finance </v>
      </c>
      <c r="F516" s="4" t="str">
        <f>IFERROR(__xludf.DUMMYFUNCTION("""COMPUTED_VALUE""")," Credit ")</f>
        <v> Credit </v>
      </c>
      <c r="G516" s="4" t="str">
        <f>IFERROR(__xludf.DUMMYFUNCTION("""COMPUTED_VALUE""")," Debit Card ")</f>
        <v> Debit Card </v>
      </c>
      <c r="H516" s="4" t="str">
        <f>IFERROR(__xludf.DUMMYFUNCTION("""COMPUTED_VALUE""")," Store Credit Card User")</f>
        <v> Store Credit Card User</v>
      </c>
      <c r="I516" s="5" t="s">
        <v>22</v>
      </c>
      <c r="J516" s="5" t="s">
        <v>16</v>
      </c>
      <c r="K516" s="5" t="s">
        <v>35</v>
      </c>
      <c r="L516" s="6" t="s">
        <v>743</v>
      </c>
      <c r="M516" s="5" t="s">
        <v>36</v>
      </c>
      <c r="N516" s="5" t="s">
        <v>27</v>
      </c>
      <c r="O516" s="5">
        <v>51515.0</v>
      </c>
      <c r="P516" s="5">
        <v>144.0</v>
      </c>
      <c r="Q516" s="5">
        <v>18304.0</v>
      </c>
      <c r="R516" s="5">
        <v>44891.0</v>
      </c>
      <c r="S516" s="5">
        <v>14.0</v>
      </c>
      <c r="T516" s="5">
        <v>2160.307325</v>
      </c>
    </row>
    <row r="517">
      <c r="A517" s="4" t="s">
        <v>1898</v>
      </c>
      <c r="B517" s="4" t="str">
        <f>IFERROR(__xludf.DUMMYFUNCTION("SPLIT(A517:A1243, ""&gt;"")"),"US ")</f>
        <v>US </v>
      </c>
      <c r="C517" s="4" t="str">
        <f>IFERROR(__xludf.DUMMYFUNCTION("""COMPUTED_VALUE""")," Brand Propensities ")</f>
        <v> Brand Propensities </v>
      </c>
      <c r="D517" s="4" t="str">
        <f>IFERROR(__xludf.DUMMYFUNCTION("""COMPUTED_VALUE""")," Apparel ")</f>
        <v> Apparel </v>
      </c>
      <c r="E517" s="4" t="str">
        <f>IFERROR(__xludf.DUMMYFUNCTION("""COMPUTED_VALUE""")," Shoebuy.com Buyer Propensity")</f>
        <v> Shoebuy.com Buyer Propensity</v>
      </c>
      <c r="F517" s="4"/>
      <c r="G517" s="4"/>
      <c r="H517" s="4"/>
      <c r="I517" s="5" t="s">
        <v>22</v>
      </c>
      <c r="J517" s="5" t="s">
        <v>42</v>
      </c>
      <c r="K517" s="5" t="s">
        <v>66</v>
      </c>
      <c r="L517" s="6" t="s">
        <v>743</v>
      </c>
      <c r="M517" s="5" t="s">
        <v>46</v>
      </c>
      <c r="N517" s="5" t="s">
        <v>27</v>
      </c>
      <c r="O517" s="5">
        <v>43666.0</v>
      </c>
      <c r="P517" s="5">
        <v>133.0</v>
      </c>
      <c r="Q517" s="5">
        <v>18513.0</v>
      </c>
      <c r="R517" s="5">
        <v>40506.0</v>
      </c>
      <c r="S517" s="5">
        <v>18.0</v>
      </c>
      <c r="T517" s="5">
        <v>1980.393834</v>
      </c>
    </row>
    <row r="518">
      <c r="A518" s="4" t="s">
        <v>1519</v>
      </c>
      <c r="B518" s="4" t="str">
        <f>IFERROR(__xludf.DUMMYFUNCTION("SPLIT(A518:A1244, ""&gt;"")"),"Travel and Tourism ")</f>
        <v>Travel and Tourism </v>
      </c>
      <c r="C518" s="4" t="str">
        <f>IFERROR(__xludf.DUMMYFUNCTION("""COMPUTED_VALUE""")," In-Market")</f>
        <v> In-Market</v>
      </c>
      <c r="D518" s="4"/>
      <c r="E518" s="4"/>
      <c r="F518" s="4"/>
      <c r="G518" s="4"/>
      <c r="H518" s="4"/>
      <c r="I518" s="5" t="s">
        <v>15</v>
      </c>
      <c r="J518" s="5" t="s">
        <v>31</v>
      </c>
      <c r="K518" s="5" t="s">
        <v>35</v>
      </c>
      <c r="L518" s="6" t="s">
        <v>743</v>
      </c>
      <c r="M518" s="5" t="s">
        <v>19</v>
      </c>
      <c r="N518" s="5" t="s">
        <v>20</v>
      </c>
      <c r="O518" s="5">
        <v>48892.0</v>
      </c>
      <c r="P518" s="5">
        <v>110.0</v>
      </c>
      <c r="Q518" s="5">
        <v>32060.0</v>
      </c>
      <c r="R518" s="5">
        <v>45251.0</v>
      </c>
      <c r="S518" s="5">
        <v>9.0</v>
      </c>
      <c r="T518" s="5">
        <v>1978.609661</v>
      </c>
    </row>
    <row r="519">
      <c r="A519" s="4" t="s">
        <v>1899</v>
      </c>
      <c r="B519" s="4" t="str">
        <f>IFERROR(__xludf.DUMMYFUNCTION("SPLIT(A519:A1245, ""&gt;"")"),"US ")</f>
        <v>US </v>
      </c>
      <c r="C519" s="4" t="str">
        <f>IFERROR(__xludf.DUMMYFUNCTION("""COMPUTED_VALUE""")," Interest Propensities ")</f>
        <v> Interest Propensities </v>
      </c>
      <c r="D519" s="4" t="str">
        <f>IFERROR(__xludf.DUMMYFUNCTION("""COMPUTED_VALUE""")," TV and Movies ")</f>
        <v> TV and Movies </v>
      </c>
      <c r="E519" s="4" t="str">
        <f>IFERROR(__xludf.DUMMYFUNCTION("""COMPUTED_VALUE""")," Network TV")</f>
        <v> Network TV</v>
      </c>
      <c r="F519" s="4"/>
      <c r="G519" s="4"/>
      <c r="H519" s="4"/>
      <c r="I519" s="5" t="s">
        <v>22</v>
      </c>
      <c r="J519" s="5" t="s">
        <v>16</v>
      </c>
      <c r="K519" s="5" t="s">
        <v>55</v>
      </c>
      <c r="L519" s="6" t="s">
        <v>743</v>
      </c>
      <c r="M519" s="5" t="s">
        <v>19</v>
      </c>
      <c r="N519" s="5" t="s">
        <v>27</v>
      </c>
      <c r="O519" s="5">
        <v>104814.0</v>
      </c>
      <c r="P519" s="5">
        <v>369.0</v>
      </c>
      <c r="Q519" s="5">
        <v>55984.0</v>
      </c>
      <c r="R519" s="5">
        <v>99432.0</v>
      </c>
      <c r="S519" s="5">
        <v>5.0</v>
      </c>
      <c r="T519" s="5">
        <v>1942.847513</v>
      </c>
    </row>
    <row r="520">
      <c r="A520" s="4" t="s">
        <v>1900</v>
      </c>
      <c r="B520" s="4" t="str">
        <f>IFERROR(__xludf.DUMMYFUNCTION("SPLIT(A520:A1246, ""&gt;"")"),"US ")</f>
        <v>US </v>
      </c>
      <c r="C520" s="4" t="str">
        <f>IFERROR(__xludf.DUMMYFUNCTION("""COMPUTED_VALUE""")," Sociodemographic ")</f>
        <v> Sociodemographic </v>
      </c>
      <c r="D520" s="4" t="str">
        <f>IFERROR(__xludf.DUMMYFUNCTION("""COMPUTED_VALUE""")," P$YCLE Premier Lifestage ")</f>
        <v> P$YCLE Premier Lifestage </v>
      </c>
      <c r="E520" s="4" t="str">
        <f>IFERROR(__xludf.DUMMYFUNCTION("""COMPUTED_VALUE""")," F4 Working-Class USA")</f>
        <v> F4 Working-Class USA</v>
      </c>
      <c r="F520" s="4"/>
      <c r="G520" s="4"/>
      <c r="H520" s="4"/>
      <c r="I520" s="5" t="s">
        <v>22</v>
      </c>
      <c r="J520" s="5" t="s">
        <v>42</v>
      </c>
      <c r="K520" s="5" t="s">
        <v>29</v>
      </c>
      <c r="L520" s="6" t="s">
        <v>743</v>
      </c>
      <c r="M520" s="5" t="s">
        <v>46</v>
      </c>
      <c r="N520" s="5" t="s">
        <v>27</v>
      </c>
      <c r="O520" s="5">
        <v>64577.0</v>
      </c>
      <c r="P520" s="5">
        <v>240.0</v>
      </c>
      <c r="Q520" s="5">
        <v>37732.0</v>
      </c>
      <c r="R520" s="5">
        <v>60357.0</v>
      </c>
      <c r="S520" s="5">
        <v>11.0</v>
      </c>
      <c r="T520" s="5">
        <v>1801.349131</v>
      </c>
    </row>
    <row r="521">
      <c r="A521" s="4" t="s">
        <v>1901</v>
      </c>
      <c r="B521" s="4" t="str">
        <f>IFERROR(__xludf.DUMMYFUNCTION("SPLIT(A521:A1247, ""&gt;"")"),"US ")</f>
        <v>US </v>
      </c>
      <c r="C521" s="4" t="str">
        <f>IFERROR(__xludf.DUMMYFUNCTION("""COMPUTED_VALUE""")," B2B ")</f>
        <v> B2B </v>
      </c>
      <c r="D521" s="4" t="str">
        <f>IFERROR(__xludf.DUMMYFUNCTION("""COMPUTED_VALUE""")," B2B Decision Maker Responsibilities ")</f>
        <v> B2B Decision Maker Responsibilities </v>
      </c>
      <c r="E521" s="4" t="str">
        <f>IFERROR(__xludf.DUMMYFUNCTION("""COMPUTED_VALUE""")," Office Services or Moving")</f>
        <v> Office Services or Moving</v>
      </c>
      <c r="F521" s="4"/>
      <c r="G521" s="4"/>
      <c r="H521" s="4"/>
      <c r="I521" s="5" t="s">
        <v>15</v>
      </c>
      <c r="J521" s="5" t="s">
        <v>23</v>
      </c>
      <c r="K521" s="5" t="s">
        <v>39</v>
      </c>
      <c r="L521" s="6" t="s">
        <v>743</v>
      </c>
      <c r="M521" s="5" t="s">
        <v>46</v>
      </c>
      <c r="N521" s="5" t="s">
        <v>20</v>
      </c>
      <c r="O521" s="5">
        <v>49412.0</v>
      </c>
      <c r="P521" s="5">
        <v>170.0</v>
      </c>
      <c r="Q521" s="5">
        <v>22155.0</v>
      </c>
      <c r="R521" s="5">
        <v>43802.0</v>
      </c>
      <c r="S521" s="5">
        <v>3.0</v>
      </c>
      <c r="T521" s="5">
        <v>1595.659466</v>
      </c>
    </row>
    <row r="522">
      <c r="A522" s="4" t="s">
        <v>1523</v>
      </c>
      <c r="B522" s="4" t="str">
        <f>IFERROR(__xludf.DUMMYFUNCTION("SPLIT(A522:A1248, ""&gt;"")"),"Telecommunications and Mobile Tech ")</f>
        <v>Telecommunications and Mobile Tech </v>
      </c>
      <c r="C522" s="4" t="str">
        <f>IFERROR(__xludf.DUMMYFUNCTION("""COMPUTED_VALUE""")," Mobile Devices and Connected Technology")</f>
        <v> Mobile Devices and Connected Technology</v>
      </c>
      <c r="D522" s="4"/>
      <c r="E522" s="4"/>
      <c r="F522" s="4"/>
      <c r="G522" s="4"/>
      <c r="H522" s="4"/>
      <c r="I522" s="5" t="s">
        <v>15</v>
      </c>
      <c r="J522" s="5" t="s">
        <v>16</v>
      </c>
      <c r="K522" s="5" t="s">
        <v>32</v>
      </c>
      <c r="L522" s="6" t="s">
        <v>743</v>
      </c>
      <c r="M522" s="5" t="s">
        <v>26</v>
      </c>
      <c r="N522" s="5" t="s">
        <v>20</v>
      </c>
      <c r="O522" s="5">
        <v>11269.0</v>
      </c>
      <c r="P522" s="5">
        <v>63.0</v>
      </c>
      <c r="Q522" s="5">
        <v>4992.0</v>
      </c>
      <c r="R522" s="5">
        <v>10245.0</v>
      </c>
      <c r="S522" s="5">
        <v>3.0</v>
      </c>
      <c r="T522" s="5">
        <v>1576.38921</v>
      </c>
    </row>
    <row r="523">
      <c r="A523" s="4" t="s">
        <v>1902</v>
      </c>
      <c r="B523" s="4" t="str">
        <f>IFERROR(__xludf.DUMMYFUNCTION("SPLIT(A523:A1249, ""&gt;"")"),"US Home ")</f>
        <v>US Home </v>
      </c>
      <c r="C523" s="4" t="str">
        <f>IFERROR(__xludf.DUMMYFUNCTION("""COMPUTED_VALUE""")," Property Type ")</f>
        <v> Property Type </v>
      </c>
      <c r="D523" s="4" t="str">
        <f>IFERROR(__xludf.DUMMYFUNCTION("""COMPUTED_VALUE""")," Single")</f>
        <v> Single</v>
      </c>
      <c r="E523" s="4"/>
      <c r="F523" s="4"/>
      <c r="G523" s="4"/>
      <c r="H523" s="4"/>
      <c r="I523" s="5" t="s">
        <v>22</v>
      </c>
      <c r="J523" s="5" t="s">
        <v>16</v>
      </c>
      <c r="K523" s="5" t="s">
        <v>78</v>
      </c>
      <c r="L523" s="6" t="s">
        <v>743</v>
      </c>
      <c r="M523" s="5" t="s">
        <v>46</v>
      </c>
      <c r="N523" s="5" t="s">
        <v>27</v>
      </c>
      <c r="O523" s="5">
        <v>15318.0</v>
      </c>
      <c r="P523" s="5">
        <v>30.0</v>
      </c>
      <c r="Q523" s="5">
        <v>5928.0</v>
      </c>
      <c r="R523" s="5">
        <v>13298.0</v>
      </c>
      <c r="S523" s="5">
        <v>19.0</v>
      </c>
      <c r="T523" s="5">
        <v>1570.29739</v>
      </c>
    </row>
    <row r="524">
      <c r="A524" s="4" t="s">
        <v>1903</v>
      </c>
      <c r="B524" s="4" t="str">
        <f>IFERROR(__xludf.DUMMYFUNCTION("SPLIT(A524:A1250, ""&gt;"")"),"US Health and Fitness ")</f>
        <v>US Health and Fitness </v>
      </c>
      <c r="C524" s="4" t="str">
        <f>IFERROR(__xludf.DUMMYFUNCTION("""COMPUTED_VALUE""")," Interest ")</f>
        <v> Interest </v>
      </c>
      <c r="D524" s="4" t="str">
        <f>IFERROR(__xludf.DUMMYFUNCTION("""COMPUTED_VALUE""")," Exercise ")</f>
        <v> Exercise </v>
      </c>
      <c r="E524" s="4" t="str">
        <f>IFERROR(__xludf.DUMMYFUNCTION("""COMPUTED_VALUE""")," Health")</f>
        <v> Health</v>
      </c>
      <c r="F524" s="4"/>
      <c r="G524" s="4"/>
      <c r="H524" s="4"/>
      <c r="I524" s="5" t="s">
        <v>61</v>
      </c>
      <c r="J524" s="5" t="s">
        <v>42</v>
      </c>
      <c r="K524" s="5" t="s">
        <v>29</v>
      </c>
      <c r="L524" s="6" t="s">
        <v>743</v>
      </c>
      <c r="M524" s="5" t="s">
        <v>46</v>
      </c>
      <c r="N524" s="5" t="s">
        <v>27</v>
      </c>
      <c r="O524" s="5">
        <v>10819.0</v>
      </c>
      <c r="P524" s="5">
        <v>20.0</v>
      </c>
      <c r="Q524" s="5">
        <v>4168.0</v>
      </c>
      <c r="R524" s="5">
        <v>9768.0</v>
      </c>
      <c r="S524" s="5">
        <v>2.0</v>
      </c>
      <c r="T524" s="5">
        <v>1504.329214</v>
      </c>
    </row>
    <row r="525">
      <c r="A525" s="4" t="s">
        <v>1526</v>
      </c>
      <c r="B525" s="4" t="str">
        <f>IFERROR(__xludf.DUMMYFUNCTION("SPLIT(A525:A1251, ""&gt;"")"),"OnAudience ")</f>
        <v>OnAudience </v>
      </c>
      <c r="C525" s="4" t="str">
        <f>IFERROR(__xludf.DUMMYFUNCTION("""COMPUTED_VALUE""")," Interest ")</f>
        <v> Interest </v>
      </c>
      <c r="D525" s="4" t="str">
        <f>IFERROR(__xludf.DUMMYFUNCTION("""COMPUTED_VALUE""")," Arts &amp; Entertainment ")</f>
        <v> Arts &amp; Entertainment </v>
      </c>
      <c r="E525" s="4" t="str">
        <f>IFERROR(__xludf.DUMMYFUNCTION("""COMPUTED_VALUE""")," Movies")</f>
        <v> Movies</v>
      </c>
      <c r="F525" s="4"/>
      <c r="G525" s="4"/>
      <c r="H525" s="4"/>
      <c r="I525" s="5" t="s">
        <v>15</v>
      </c>
      <c r="J525" s="5" t="s">
        <v>16</v>
      </c>
      <c r="K525" s="5" t="s">
        <v>32</v>
      </c>
      <c r="L525" s="6" t="s">
        <v>743</v>
      </c>
      <c r="M525" s="5" t="s">
        <v>46</v>
      </c>
      <c r="N525" s="5" t="s">
        <v>27</v>
      </c>
      <c r="O525" s="5">
        <v>30714.0</v>
      </c>
      <c r="P525" s="5">
        <v>111.0</v>
      </c>
      <c r="Q525" s="5">
        <v>12531.0</v>
      </c>
      <c r="R525" s="5">
        <v>28461.0</v>
      </c>
      <c r="S525" s="5">
        <v>9.0</v>
      </c>
      <c r="T525" s="5">
        <v>1503.484311</v>
      </c>
    </row>
    <row r="526">
      <c r="A526" s="4" t="s">
        <v>1527</v>
      </c>
      <c r="B526" s="4" t="str">
        <f>IFERROR(__xludf.DUMMYFUNCTION("SPLIT(A526:A1252, ""&gt;"")"),"OnAudience ")</f>
        <v>OnAudience </v>
      </c>
      <c r="C526" s="4" t="str">
        <f>IFERROR(__xludf.DUMMYFUNCTION("""COMPUTED_VALUE""")," Interest ")</f>
        <v> Interest </v>
      </c>
      <c r="D526" s="4" t="str">
        <f>IFERROR(__xludf.DUMMYFUNCTION("""COMPUTED_VALUE""")," Arts &amp; Entertainment")</f>
        <v> Arts &amp; Entertainment</v>
      </c>
      <c r="E526" s="4"/>
      <c r="F526" s="4"/>
      <c r="G526" s="4"/>
      <c r="H526" s="4"/>
      <c r="I526" s="5" t="s">
        <v>22</v>
      </c>
      <c r="J526" s="5" t="s">
        <v>16</v>
      </c>
      <c r="K526" s="5" t="s">
        <v>17</v>
      </c>
      <c r="L526" s="6" t="s">
        <v>768</v>
      </c>
      <c r="M526" s="5" t="s">
        <v>48</v>
      </c>
      <c r="N526" s="5" t="s">
        <v>27</v>
      </c>
      <c r="O526" s="5">
        <v>37617.0</v>
      </c>
      <c r="P526" s="5">
        <v>85.0</v>
      </c>
      <c r="Q526" s="5">
        <v>5092.0</v>
      </c>
      <c r="R526" s="5">
        <v>34373.0</v>
      </c>
      <c r="S526" s="5">
        <v>6.0</v>
      </c>
      <c r="T526" s="5">
        <v>1608.882952</v>
      </c>
    </row>
    <row r="527">
      <c r="A527" s="4" t="s">
        <v>1528</v>
      </c>
      <c r="B527" s="4" t="str">
        <f>IFERROR(__xludf.DUMMYFUNCTION("SPLIT(A527:A1253, ""&gt;"")"),"Online Behavior")</f>
        <v>Online Behavior</v>
      </c>
      <c r="C527" s="4" t="str">
        <f>IFERROR(__xludf.DUMMYFUNCTION("""COMPUTED_VALUE"""),"United States")</f>
        <v>United States</v>
      </c>
      <c r="D527" s="4" t="str">
        <f>IFERROR(__xludf.DUMMYFUNCTION("""COMPUTED_VALUE"""),"Validated Demographic ")</f>
        <v>Validated Demographic </v>
      </c>
      <c r="E527" s="4" t="str">
        <f>IFERROR(__xludf.DUMMYFUNCTION("""COMPUTED_VALUE""")," Age")</f>
        <v> Age</v>
      </c>
      <c r="F527" s="4" t="str">
        <f>IFERROR(__xludf.DUMMYFUNCTION("""COMPUTED_VALUE"""),"18 or older")</f>
        <v>18 or older</v>
      </c>
      <c r="G527" s="4"/>
      <c r="H527" s="4"/>
      <c r="I527" s="5" t="s">
        <v>15</v>
      </c>
      <c r="J527" s="5" t="s">
        <v>23</v>
      </c>
      <c r="K527" s="5" t="s">
        <v>55</v>
      </c>
      <c r="L527" s="6" t="s">
        <v>770</v>
      </c>
      <c r="M527" s="5" t="s">
        <v>19</v>
      </c>
      <c r="N527" s="5" t="s">
        <v>52</v>
      </c>
      <c r="O527" s="5">
        <v>219088.0</v>
      </c>
      <c r="P527" s="5">
        <v>541.0</v>
      </c>
      <c r="Q527" s="5">
        <v>75638.0</v>
      </c>
      <c r="R527" s="5">
        <v>153987.0</v>
      </c>
      <c r="S527" s="5">
        <v>17.0</v>
      </c>
      <c r="T527" s="5">
        <v>6761.073824</v>
      </c>
    </row>
    <row r="528">
      <c r="A528" s="4" t="s">
        <v>1904</v>
      </c>
      <c r="B528" s="4" t="str">
        <f>IFERROR(__xludf.DUMMYFUNCTION("SPLIT(A528:A1254, ""&gt;"")"),"US ")</f>
        <v>US </v>
      </c>
      <c r="C528" s="4" t="str">
        <f>IFERROR(__xludf.DUMMYFUNCTION("""COMPUTED_VALUE""")," Multibuyer Behaviors ")</f>
        <v> Multibuyer Behaviors </v>
      </c>
      <c r="D528" s="4" t="str">
        <f>IFERROR(__xludf.DUMMYFUNCTION("""COMPUTED_VALUE""")," Entertainment ")</f>
        <v> Entertainment </v>
      </c>
      <c r="E528" s="4" t="str">
        <f>IFERROR(__xludf.DUMMYFUNCTION("""COMPUTED_VALUE""")," Pastimes Multibuyer")</f>
        <v> Pastimes Multibuyer</v>
      </c>
      <c r="F528" s="4"/>
      <c r="G528" s="4"/>
      <c r="H528" s="4"/>
      <c r="I528" s="5" t="s">
        <v>15</v>
      </c>
      <c r="J528" s="5" t="s">
        <v>31</v>
      </c>
      <c r="K528" s="5" t="s">
        <v>24</v>
      </c>
      <c r="L528" s="6" t="s">
        <v>772</v>
      </c>
      <c r="M528" s="5" t="s">
        <v>46</v>
      </c>
      <c r="N528" s="5" t="s">
        <v>27</v>
      </c>
      <c r="O528" s="5">
        <v>15277.0</v>
      </c>
      <c r="P528" s="5">
        <v>69.0</v>
      </c>
      <c r="Q528" s="5">
        <v>3089.0</v>
      </c>
      <c r="R528" s="5">
        <v>13644.0</v>
      </c>
      <c r="S528" s="5">
        <v>4.0</v>
      </c>
      <c r="T528" s="5">
        <v>1904.564346</v>
      </c>
    </row>
    <row r="529">
      <c r="A529" s="4" t="s">
        <v>1905</v>
      </c>
      <c r="B529" s="4" t="str">
        <f>IFERROR(__xludf.DUMMYFUNCTION("SPLIT(A529:A1255, ""&gt;"")"),"US ")</f>
        <v>US </v>
      </c>
      <c r="C529" s="4" t="str">
        <f>IFERROR(__xludf.DUMMYFUNCTION("""COMPUTED_VALUE""")," Sociodemographic ")</f>
        <v> Sociodemographic </v>
      </c>
      <c r="D529" s="4" t="str">
        <f>IFERROR(__xludf.DUMMYFUNCTION("""COMPUTED_VALUE""")," PRIZM Premier Social ")</f>
        <v> PRIZM Premier Social </v>
      </c>
      <c r="E529" s="4" t="str">
        <f>IFERROR(__xludf.DUMMYFUNCTION("""COMPUTED_VALUE""")," C2 City Centers")</f>
        <v> C2 City Centers</v>
      </c>
      <c r="F529" s="4"/>
      <c r="G529" s="4"/>
      <c r="H529" s="4"/>
      <c r="I529" s="5" t="s">
        <v>15</v>
      </c>
      <c r="J529" s="5" t="s">
        <v>42</v>
      </c>
      <c r="K529" s="5" t="s">
        <v>204</v>
      </c>
      <c r="L529" s="6" t="s">
        <v>772</v>
      </c>
      <c r="M529" s="5" t="s">
        <v>19</v>
      </c>
      <c r="N529" s="5" t="s">
        <v>52</v>
      </c>
      <c r="O529" s="5">
        <v>34278.0</v>
      </c>
      <c r="P529" s="5">
        <v>100.0</v>
      </c>
      <c r="Q529" s="5">
        <v>3704.0</v>
      </c>
      <c r="R529" s="5">
        <v>30227.0</v>
      </c>
      <c r="S529" s="5">
        <v>6.0</v>
      </c>
      <c r="T529" s="5">
        <v>1689.083186</v>
      </c>
    </row>
    <row r="530">
      <c r="A530" s="4" t="s">
        <v>1531</v>
      </c>
      <c r="B530" s="4" t="str">
        <f>IFERROR(__xludf.DUMMYFUNCTION("SPLIT(A530:A1256, ""&gt;"")"),"Lotame ")</f>
        <v>Lotame </v>
      </c>
      <c r="C530" s="4" t="str">
        <f>IFERROR(__xludf.DUMMYFUNCTION("""COMPUTED_VALUE""")," Personal Finance ")</f>
        <v> Personal Finance </v>
      </c>
      <c r="D530" s="4" t="str">
        <f>IFERROR(__xludf.DUMMYFUNCTION("""COMPUTED_VALUE""")," Stocks")</f>
        <v> Stocks</v>
      </c>
      <c r="E530" s="4"/>
      <c r="F530" s="4"/>
      <c r="G530" s="4"/>
      <c r="H530" s="4"/>
      <c r="I530" s="5" t="s">
        <v>15</v>
      </c>
      <c r="J530" s="5" t="s">
        <v>31</v>
      </c>
      <c r="K530" s="5" t="s">
        <v>78</v>
      </c>
      <c r="L530" s="6" t="s">
        <v>775</v>
      </c>
      <c r="M530" s="5" t="s">
        <v>50</v>
      </c>
      <c r="N530" s="5" t="s">
        <v>27</v>
      </c>
      <c r="O530" s="5">
        <v>13382.0</v>
      </c>
      <c r="P530" s="5">
        <v>68.0</v>
      </c>
      <c r="Q530" s="5">
        <v>3340.0</v>
      </c>
      <c r="R530" s="5">
        <v>11662.0</v>
      </c>
      <c r="S530" s="5">
        <v>1.0</v>
      </c>
      <c r="T530" s="5">
        <v>1447.927193</v>
      </c>
    </row>
    <row r="531">
      <c r="A531" s="4" t="s">
        <v>1532</v>
      </c>
      <c r="B531" s="4" t="str">
        <f>IFERROR(__xludf.DUMMYFUNCTION("SPLIT(A531:A1257, ""&gt;"")"),"Online Behavior")</f>
        <v>Online Behavior</v>
      </c>
      <c r="C531" s="4" t="str">
        <f>IFERROR(__xludf.DUMMYFUNCTION("""COMPUTED_VALUE"""),"United States")</f>
        <v>United States</v>
      </c>
      <c r="D531" s="4" t="str">
        <f>IFERROR(__xludf.DUMMYFUNCTION("""COMPUTED_VALUE"""),"Autos and Vehicles ")</f>
        <v>Autos and Vehicles </v>
      </c>
      <c r="E531" s="4" t="str">
        <f>IFERROR(__xludf.DUMMYFUNCTION("""COMPUTED_VALUE""")," Brands")</f>
        <v> Brands</v>
      </c>
      <c r="F531" s="4" t="str">
        <f>IFERROR(__xludf.DUMMYFUNCTION("""COMPUTED_VALUE"""),"Citroen")</f>
        <v>Citroen</v>
      </c>
      <c r="G531" s="4"/>
      <c r="H531" s="4"/>
      <c r="I531" s="5" t="s">
        <v>22</v>
      </c>
      <c r="J531" s="5" t="s">
        <v>23</v>
      </c>
      <c r="K531" s="5" t="s">
        <v>777</v>
      </c>
      <c r="L531" s="6" t="s">
        <v>778</v>
      </c>
      <c r="M531" s="5" t="s">
        <v>36</v>
      </c>
      <c r="N531" s="5" t="s">
        <v>27</v>
      </c>
      <c r="O531" s="5">
        <v>9319.0</v>
      </c>
      <c r="P531" s="5">
        <v>30.0</v>
      </c>
      <c r="Q531" s="5">
        <v>6193.0</v>
      </c>
      <c r="R531" s="5">
        <v>8682.0</v>
      </c>
      <c r="S531" s="5">
        <v>12.0</v>
      </c>
      <c r="T531" s="5">
        <v>4594.604003</v>
      </c>
    </row>
    <row r="532">
      <c r="A532" s="4" t="s">
        <v>1533</v>
      </c>
      <c r="B532" s="4" t="str">
        <f>IFERROR(__xludf.DUMMYFUNCTION("SPLIT(A532:A1258, ""&gt;"")"),"OnAudience ")</f>
        <v>OnAudience </v>
      </c>
      <c r="C532" s="4" t="str">
        <f>IFERROR(__xludf.DUMMYFUNCTION("""COMPUTED_VALUE""")," Intent ")</f>
        <v> Intent </v>
      </c>
      <c r="D532" s="4" t="str">
        <f>IFERROR(__xludf.DUMMYFUNCTION("""COMPUTED_VALUE""")," Electronics ")</f>
        <v> Electronics </v>
      </c>
      <c r="E532" s="4" t="str">
        <f>IFERROR(__xludf.DUMMYFUNCTION("""COMPUTED_VALUE""")," Video Game Consoles")</f>
        <v> Video Game Consoles</v>
      </c>
      <c r="F532" s="4"/>
      <c r="G532" s="4"/>
      <c r="H532" s="4"/>
      <c r="I532" s="5" t="s">
        <v>22</v>
      </c>
      <c r="J532" s="5" t="s">
        <v>31</v>
      </c>
      <c r="K532" s="5" t="s">
        <v>35</v>
      </c>
      <c r="L532" s="6" t="s">
        <v>778</v>
      </c>
      <c r="M532" s="5" t="s">
        <v>80</v>
      </c>
      <c r="N532" s="5" t="s">
        <v>27</v>
      </c>
      <c r="O532" s="5">
        <v>16791.0</v>
      </c>
      <c r="P532" s="5">
        <v>40.0</v>
      </c>
      <c r="Q532" s="5">
        <v>11402.0</v>
      </c>
      <c r="R532" s="5">
        <v>14231.0</v>
      </c>
      <c r="S532" s="5">
        <v>3.0</v>
      </c>
      <c r="T532" s="5">
        <v>1522.512272</v>
      </c>
    </row>
    <row r="533">
      <c r="A533" s="4" t="s">
        <v>1534</v>
      </c>
      <c r="B533" s="4" t="str">
        <f>IFERROR(__xludf.DUMMYFUNCTION("SPLIT(A533:A1259, ""&gt;"")"),"Online Behavior")</f>
        <v>Online Behavior</v>
      </c>
      <c r="C533" s="4" t="str">
        <f>IFERROR(__xludf.DUMMYFUNCTION("""COMPUTED_VALUE"""),"United States")</f>
        <v>United States</v>
      </c>
      <c r="D533" s="4" t="str">
        <f>IFERROR(__xludf.DUMMYFUNCTION("""COMPUTED_VALUE"""),"Sports")</f>
        <v>Sports</v>
      </c>
      <c r="E533" s="4" t="str">
        <f>IFERROR(__xludf.DUMMYFUNCTION("""COMPUTED_VALUE"""),"Team Sports ")</f>
        <v>Team Sports </v>
      </c>
      <c r="F533" s="4" t="str">
        <f>IFERROR(__xludf.DUMMYFUNCTION("""COMPUTED_VALUE""")," Baseball")</f>
        <v> Baseball</v>
      </c>
      <c r="G533" s="4"/>
      <c r="H533" s="4"/>
      <c r="I533" s="5" t="s">
        <v>22</v>
      </c>
      <c r="J533" s="5" t="s">
        <v>31</v>
      </c>
      <c r="K533" s="5" t="s">
        <v>78</v>
      </c>
      <c r="L533" s="6" t="s">
        <v>781</v>
      </c>
      <c r="M533" s="5" t="s">
        <v>136</v>
      </c>
      <c r="N533" s="5" t="s">
        <v>27</v>
      </c>
      <c r="O533" s="5">
        <v>19334.0</v>
      </c>
      <c r="P533" s="5">
        <v>40.0</v>
      </c>
      <c r="Q533" s="5">
        <v>8673.0</v>
      </c>
      <c r="R533" s="5">
        <v>18578.0</v>
      </c>
      <c r="S533" s="5">
        <v>11.0</v>
      </c>
      <c r="T533" s="5">
        <v>7292.135059</v>
      </c>
    </row>
    <row r="534">
      <c r="A534" s="4" t="s">
        <v>1535</v>
      </c>
      <c r="B534" s="4" t="str">
        <f>IFERROR(__xludf.DUMMYFUNCTION("SPLIT(A534:A1260, ""&gt;"")"),"Online Behavior")</f>
        <v>Online Behavior</v>
      </c>
      <c r="C534" s="4" t="str">
        <f>IFERROR(__xludf.DUMMYFUNCTION("""COMPUTED_VALUE"""),"United States")</f>
        <v>United States</v>
      </c>
      <c r="D534" s="4" t="str">
        <f>IFERROR(__xludf.DUMMYFUNCTION("""COMPUTED_VALUE"""),"Beauty and Fitness")</f>
        <v>Beauty and Fitness</v>
      </c>
      <c r="E534" s="4" t="str">
        <f>IFERROR(__xludf.DUMMYFUNCTION("""COMPUTED_VALUE"""),"Fitness ")</f>
        <v>Fitness </v>
      </c>
      <c r="F534" s="4" t="str">
        <f>IFERROR(__xludf.DUMMYFUNCTION("""COMPUTED_VALUE""")," Gyms and Health Clubs")</f>
        <v> Gyms and Health Clubs</v>
      </c>
      <c r="G534" s="4"/>
      <c r="H534" s="4"/>
      <c r="I534" s="5" t="s">
        <v>22</v>
      </c>
      <c r="J534" s="5" t="s">
        <v>23</v>
      </c>
      <c r="K534" s="5" t="s">
        <v>78</v>
      </c>
      <c r="L534" s="6" t="s">
        <v>781</v>
      </c>
      <c r="M534" s="5" t="s">
        <v>19</v>
      </c>
      <c r="N534" s="5" t="s">
        <v>27</v>
      </c>
      <c r="O534" s="5">
        <v>25835.0</v>
      </c>
      <c r="P534" s="5">
        <v>69.0</v>
      </c>
      <c r="Q534" s="5">
        <v>3753.0</v>
      </c>
      <c r="R534" s="5">
        <v>20808.0</v>
      </c>
      <c r="S534" s="5">
        <v>11.0</v>
      </c>
      <c r="T534" s="5">
        <v>5751.912297</v>
      </c>
    </row>
    <row r="535">
      <c r="A535" s="4" t="s">
        <v>1906</v>
      </c>
      <c r="B535" s="4" t="str">
        <f>IFERROR(__xludf.DUMMYFUNCTION("SPLIT(A535:A1261, ""&gt;"")"),"US ")</f>
        <v>US </v>
      </c>
      <c r="C535" s="4" t="str">
        <f>IFERROR(__xludf.DUMMYFUNCTION("""COMPUTED_VALUE""")," Reach ")</f>
        <v> Reach </v>
      </c>
      <c r="D535" s="4" t="str">
        <f>IFERROR(__xludf.DUMMYFUNCTION("""COMPUTED_VALUE""")," Propensity Models ")</f>
        <v> Propensity Models </v>
      </c>
      <c r="E535" s="4" t="str">
        <f>IFERROR(__xludf.DUMMYFUNCTION("""COMPUTED_VALUE""")," Hobbies and Interest ")</f>
        <v> Hobbies and Interest </v>
      </c>
      <c r="F535" s="4" t="str">
        <f>IFERROR(__xludf.DUMMYFUNCTION("""COMPUTED_VALUE""")," Sports ")</f>
        <v> Sports </v>
      </c>
      <c r="G535" s="4" t="str">
        <f>IFERROR(__xludf.DUMMYFUNCTION("""COMPUTED_VALUE""")," Plays Tennis")</f>
        <v> Plays Tennis</v>
      </c>
      <c r="H535" s="4"/>
      <c r="I535" s="5" t="s">
        <v>15</v>
      </c>
      <c r="J535" s="5" t="s">
        <v>31</v>
      </c>
      <c r="K535" s="5" t="s">
        <v>78</v>
      </c>
      <c r="L535" s="6" t="s">
        <v>781</v>
      </c>
      <c r="M535" s="5" t="s">
        <v>19</v>
      </c>
      <c r="N535" s="5" t="s">
        <v>52</v>
      </c>
      <c r="O535" s="5">
        <v>33650.0</v>
      </c>
      <c r="P535" s="5">
        <v>100.0</v>
      </c>
      <c r="Q535" s="5">
        <v>15621.0</v>
      </c>
      <c r="R535" s="5">
        <v>32539.0</v>
      </c>
      <c r="S535" s="5">
        <v>9.0</v>
      </c>
      <c r="T535" s="5">
        <v>3844.991165</v>
      </c>
    </row>
    <row r="536">
      <c r="A536" s="4" t="s">
        <v>1537</v>
      </c>
      <c r="B536" s="4" t="str">
        <f>IFERROR(__xludf.DUMMYFUNCTION("SPLIT(A536:A1262, ""&gt;"")"),"Lotame ")</f>
        <v>Lotame </v>
      </c>
      <c r="C536" s="4" t="str">
        <f>IFERROR(__xludf.DUMMYFUNCTION("""COMPUTED_VALUE""")," Style, Fashion &amp; Clothing")</f>
        <v> Style, Fashion &amp; Clothing</v>
      </c>
      <c r="D536" s="4"/>
      <c r="E536" s="4"/>
      <c r="F536" s="4"/>
      <c r="G536" s="4"/>
      <c r="H536" s="4"/>
      <c r="I536" s="5" t="s">
        <v>22</v>
      </c>
      <c r="J536" s="5" t="s">
        <v>16</v>
      </c>
      <c r="K536" s="5" t="s">
        <v>147</v>
      </c>
      <c r="L536" s="6" t="s">
        <v>785</v>
      </c>
      <c r="M536" s="5" t="s">
        <v>19</v>
      </c>
      <c r="N536" s="5" t="s">
        <v>27</v>
      </c>
      <c r="O536" s="5">
        <v>13168.0</v>
      </c>
      <c r="P536" s="5">
        <v>84.0</v>
      </c>
      <c r="Q536" s="5">
        <v>8527.0</v>
      </c>
      <c r="R536" s="5">
        <v>12625.0</v>
      </c>
      <c r="S536" s="5">
        <v>4.0</v>
      </c>
      <c r="T536" s="5">
        <v>1639.72335</v>
      </c>
    </row>
    <row r="537">
      <c r="A537" s="4" t="s">
        <v>1538</v>
      </c>
      <c r="B537" s="4" t="str">
        <f>IFERROR(__xludf.DUMMYFUNCTION("SPLIT(A537:A1263, ""&gt;"")"),"Online Behavior")</f>
        <v>Online Behavior</v>
      </c>
      <c r="C537" s="4" t="str">
        <f>IFERROR(__xludf.DUMMYFUNCTION("""COMPUTED_VALUE"""),"United States")</f>
        <v>United States</v>
      </c>
      <c r="D537" s="4" t="str">
        <f>IFERROR(__xludf.DUMMYFUNCTION("""COMPUTED_VALUE"""),"Intent ")</f>
        <v>Intent </v>
      </c>
      <c r="E537" s="4" t="str">
        <f>IFERROR(__xludf.DUMMYFUNCTION("""COMPUTED_VALUE""")," Travel")</f>
        <v> Travel</v>
      </c>
      <c r="F537" s="4" t="str">
        <f>IFERROR(__xludf.DUMMYFUNCTION("""COMPUTED_VALUE"""),"Graduation Trip")</f>
        <v>Graduation Trip</v>
      </c>
      <c r="G537" s="4"/>
      <c r="H537" s="4"/>
      <c r="I537" s="5" t="s">
        <v>15</v>
      </c>
      <c r="J537" s="5" t="s">
        <v>16</v>
      </c>
      <c r="K537" s="5" t="s">
        <v>35</v>
      </c>
      <c r="L537" s="6" t="s">
        <v>787</v>
      </c>
      <c r="M537" s="5" t="s">
        <v>19</v>
      </c>
      <c r="N537" s="5" t="s">
        <v>52</v>
      </c>
      <c r="O537" s="5">
        <v>26415.0</v>
      </c>
      <c r="P537" s="5">
        <v>60.0</v>
      </c>
      <c r="Q537" s="5">
        <v>13791.0</v>
      </c>
      <c r="R537" s="5">
        <v>25315.0</v>
      </c>
      <c r="S537" s="5">
        <v>11.0</v>
      </c>
      <c r="T537" s="5">
        <v>6450.918637</v>
      </c>
    </row>
    <row r="538">
      <c r="A538" s="4" t="s">
        <v>1539</v>
      </c>
      <c r="B538" s="4" t="str">
        <f>IFERROR(__xludf.DUMMYFUNCTION("SPLIT(A538:A1264, ""&gt;"")"),"Lotame ")</f>
        <v>Lotame </v>
      </c>
      <c r="C538" s="4" t="str">
        <f>IFERROR(__xludf.DUMMYFUNCTION("""COMPUTED_VALUE""")," Online Shoppers ")</f>
        <v> Online Shoppers </v>
      </c>
      <c r="D538" s="4" t="str">
        <f>IFERROR(__xludf.DUMMYFUNCTION("""COMPUTED_VALUE""")," Online Shoppers")</f>
        <v> Online Shoppers</v>
      </c>
      <c r="E538" s="4"/>
      <c r="F538" s="4"/>
      <c r="G538" s="4"/>
      <c r="H538" s="4"/>
      <c r="I538" s="5" t="s">
        <v>15</v>
      </c>
      <c r="J538" s="5" t="s">
        <v>23</v>
      </c>
      <c r="K538" s="5" t="s">
        <v>32</v>
      </c>
      <c r="L538" s="6" t="s">
        <v>789</v>
      </c>
      <c r="M538" s="5" t="s">
        <v>46</v>
      </c>
      <c r="N538" s="5" t="s">
        <v>27</v>
      </c>
      <c r="O538" s="5">
        <v>13347.0</v>
      </c>
      <c r="P538" s="5">
        <v>80.0</v>
      </c>
      <c r="Q538" s="5">
        <v>8357.0</v>
      </c>
      <c r="R538" s="5">
        <v>11461.0</v>
      </c>
      <c r="S538" s="5">
        <v>10.0</v>
      </c>
      <c r="T538" s="5">
        <v>1543.66142</v>
      </c>
    </row>
    <row r="539">
      <c r="A539" s="4" t="s">
        <v>1907</v>
      </c>
      <c r="B539" s="4" t="str">
        <f>IFERROR(__xludf.DUMMYFUNCTION("SPLIT(A539:A1265, ""&gt;"")"),"US ")</f>
        <v>US </v>
      </c>
      <c r="C539" s="4" t="str">
        <f>IFERROR(__xludf.DUMMYFUNCTION("""COMPUTED_VALUE""")," Reach ")</f>
        <v> Reach </v>
      </c>
      <c r="D539" s="4" t="str">
        <f>IFERROR(__xludf.DUMMYFUNCTION("""COMPUTED_VALUE""")," Propensity Models ")</f>
        <v> Propensity Models </v>
      </c>
      <c r="E539" s="4" t="str">
        <f>IFERROR(__xludf.DUMMYFUNCTION("""COMPUTED_VALUE""")," Young Adult Clothing Shoppers")</f>
        <v> Young Adult Clothing Shoppers</v>
      </c>
      <c r="F539" s="4"/>
      <c r="G539" s="4"/>
      <c r="H539" s="4"/>
      <c r="I539" s="5" t="s">
        <v>22</v>
      </c>
      <c r="J539" s="5" t="s">
        <v>31</v>
      </c>
      <c r="K539" s="5" t="s">
        <v>78</v>
      </c>
      <c r="L539" s="6" t="s">
        <v>791</v>
      </c>
      <c r="M539" s="5" t="s">
        <v>48</v>
      </c>
      <c r="N539" s="5" t="s">
        <v>27</v>
      </c>
      <c r="O539" s="5">
        <v>20885.0</v>
      </c>
      <c r="P539" s="5">
        <v>99.0</v>
      </c>
      <c r="Q539" s="5">
        <v>9901.0</v>
      </c>
      <c r="R539" s="5">
        <v>16266.0</v>
      </c>
      <c r="S539" s="5">
        <v>15.0</v>
      </c>
      <c r="T539" s="5">
        <v>2496.785436</v>
      </c>
    </row>
    <row r="540">
      <c r="A540" s="4" t="s">
        <v>792</v>
      </c>
      <c r="B540" s="4" t="str">
        <f>IFERROR(__xludf.DUMMYFUNCTION("SPLIT(A540:A1266, ""&gt;"")"),"Purchase-Based")</f>
        <v>Purchase-Based</v>
      </c>
      <c r="C540" s="4"/>
      <c r="D540" s="4"/>
      <c r="E540" s="4"/>
      <c r="F540" s="4"/>
      <c r="G540" s="4"/>
      <c r="H540" s="4"/>
      <c r="I540" s="5" t="s">
        <v>15</v>
      </c>
      <c r="J540" s="5" t="s">
        <v>42</v>
      </c>
      <c r="K540" s="5" t="s">
        <v>35</v>
      </c>
      <c r="L540" s="6" t="s">
        <v>793</v>
      </c>
      <c r="M540" s="5" t="s">
        <v>117</v>
      </c>
      <c r="N540" s="5" t="s">
        <v>27</v>
      </c>
      <c r="O540" s="5">
        <v>11289.0</v>
      </c>
      <c r="P540" s="5">
        <v>97.0</v>
      </c>
      <c r="Q540" s="5">
        <v>1345.0</v>
      </c>
      <c r="R540" s="5">
        <v>8187.0</v>
      </c>
      <c r="S540" s="5">
        <v>3.0</v>
      </c>
      <c r="T540" s="5">
        <v>1665.160445</v>
      </c>
    </row>
    <row r="541">
      <c r="A541" s="4" t="s">
        <v>1908</v>
      </c>
      <c r="B541" s="4" t="str">
        <f>IFERROR(__xludf.DUMMYFUNCTION("SPLIT(A541:A1267, ""&gt;"")"),"US ")</f>
        <v>US </v>
      </c>
      <c r="C541" s="4" t="str">
        <f>IFERROR(__xludf.DUMMYFUNCTION("""COMPUTED_VALUE""")," Reach ")</f>
        <v> Reach </v>
      </c>
      <c r="D541" s="4" t="str">
        <f>IFERROR(__xludf.DUMMYFUNCTION("""COMPUTED_VALUE""")," Propensity Models ")</f>
        <v> Propensity Models </v>
      </c>
      <c r="E541" s="4" t="str">
        <f>IFERROR(__xludf.DUMMYFUNCTION("""COMPUTED_VALUE""")," Online ")</f>
        <v> Online </v>
      </c>
      <c r="F541" s="4" t="str">
        <f>IFERROR(__xludf.DUMMYFUNCTION("""COMPUTED_VALUE""")," Electronics and Gadgets")</f>
        <v> Electronics and Gadgets</v>
      </c>
      <c r="G541" s="4"/>
      <c r="H541" s="4"/>
      <c r="I541" s="5" t="s">
        <v>15</v>
      </c>
      <c r="J541" s="5" t="s">
        <v>31</v>
      </c>
      <c r="K541" s="5" t="s">
        <v>24</v>
      </c>
      <c r="L541" s="6" t="s">
        <v>795</v>
      </c>
      <c r="M541" s="5" t="s">
        <v>36</v>
      </c>
      <c r="N541" s="5" t="s">
        <v>27</v>
      </c>
      <c r="O541" s="5">
        <v>10389.0</v>
      </c>
      <c r="P541" s="5">
        <v>55.0</v>
      </c>
      <c r="Q541" s="5">
        <v>8161.0</v>
      </c>
      <c r="R541" s="5">
        <v>9951.0</v>
      </c>
      <c r="S541" s="5">
        <v>2.0</v>
      </c>
      <c r="T541" s="5">
        <v>2582.493847</v>
      </c>
    </row>
    <row r="542">
      <c r="A542" s="4" t="s">
        <v>1909</v>
      </c>
      <c r="B542" s="4" t="str">
        <f>IFERROR(__xludf.DUMMYFUNCTION("SPLIT(A542:A1268, ""&gt;"")"),"US ")</f>
        <v>US </v>
      </c>
      <c r="C542" s="4" t="str">
        <f>IFERROR(__xludf.DUMMYFUNCTION("""COMPUTED_VALUE""")," Interest Propensities ")</f>
        <v> Interest Propensities </v>
      </c>
      <c r="D542" s="4" t="str">
        <f>IFERROR(__xludf.DUMMYFUNCTION("""COMPUTED_VALUE""")," Music ")</f>
        <v> Music </v>
      </c>
      <c r="E542" s="4" t="str">
        <f>IFERROR(__xludf.DUMMYFUNCTION("""COMPUTED_VALUE""")," Classic Rock")</f>
        <v> Classic Rock</v>
      </c>
      <c r="F542" s="4"/>
      <c r="G542" s="4"/>
      <c r="H542" s="4"/>
      <c r="I542" s="5" t="s">
        <v>15</v>
      </c>
      <c r="J542" s="5" t="s">
        <v>42</v>
      </c>
      <c r="K542" s="5" t="s">
        <v>35</v>
      </c>
      <c r="L542" s="6" t="s">
        <v>795</v>
      </c>
      <c r="M542" s="5" t="s">
        <v>19</v>
      </c>
      <c r="N542" s="5" t="s">
        <v>52</v>
      </c>
      <c r="O542" s="5">
        <v>62040.0</v>
      </c>
      <c r="P542" s="5">
        <v>174.0</v>
      </c>
      <c r="Q542" s="5">
        <v>43853.0</v>
      </c>
      <c r="R542" s="5">
        <v>58642.0</v>
      </c>
      <c r="S542" s="5">
        <v>15.0</v>
      </c>
      <c r="T542" s="5">
        <v>2139.065793</v>
      </c>
    </row>
    <row r="543">
      <c r="A543" s="4" t="s">
        <v>1543</v>
      </c>
      <c r="B543" s="4" t="str">
        <f>IFERROR(__xludf.DUMMYFUNCTION("SPLIT(A543:A1269, ""&gt;"")"),"OnAudience ")</f>
        <v>OnAudience </v>
      </c>
      <c r="C543" s="4" t="str">
        <f>IFERROR(__xludf.DUMMYFUNCTION("""COMPUTED_VALUE""")," Interest ")</f>
        <v> Interest </v>
      </c>
      <c r="D543" s="4" t="str">
        <f>IFERROR(__xludf.DUMMYFUNCTION("""COMPUTED_VALUE""")," Social life")</f>
        <v> Social life</v>
      </c>
      <c r="E543" s="4"/>
      <c r="F543" s="4"/>
      <c r="G543" s="4"/>
      <c r="H543" s="4"/>
      <c r="I543" s="5" t="s">
        <v>15</v>
      </c>
      <c r="J543" s="5" t="s">
        <v>42</v>
      </c>
      <c r="K543" s="5" t="s">
        <v>78</v>
      </c>
      <c r="L543" s="6" t="s">
        <v>795</v>
      </c>
      <c r="M543" s="5" t="s">
        <v>46</v>
      </c>
      <c r="N543" s="5" t="s">
        <v>27</v>
      </c>
      <c r="O543" s="5">
        <v>83537.0</v>
      </c>
      <c r="P543" s="5">
        <v>222.0</v>
      </c>
      <c r="Q543" s="5">
        <v>67987.0</v>
      </c>
      <c r="R543" s="5">
        <v>79409.0</v>
      </c>
      <c r="S543" s="5">
        <v>4.0</v>
      </c>
      <c r="T543" s="5">
        <v>1761.079323</v>
      </c>
    </row>
    <row r="544">
      <c r="A544" s="4" t="s">
        <v>1910</v>
      </c>
      <c r="B544" s="4" t="str">
        <f>IFERROR(__xludf.DUMMYFUNCTION("SPLIT(A544:A1270, ""&gt;"")"),"US Travel ")</f>
        <v>US Travel </v>
      </c>
      <c r="C544" s="4" t="str">
        <f>IFERROR(__xludf.DUMMYFUNCTION("""COMPUTED_VALUE""")," Likely Business Travel ")</f>
        <v> Likely Business Travel </v>
      </c>
      <c r="D544" s="4" t="str">
        <f>IFERROR(__xludf.DUMMYFUNCTION("""COMPUTED_VALUE""")," Number of Nights Stayed ")</f>
        <v> Number of Nights Stayed </v>
      </c>
      <c r="E544" s="4" t="str">
        <f>IFERROR(__xludf.DUMMYFUNCTION("""COMPUTED_VALUE""")," 0 Nights")</f>
        <v> 0 Nights</v>
      </c>
      <c r="F544" s="4"/>
      <c r="G544" s="4"/>
      <c r="H544" s="4"/>
      <c r="I544" s="5" t="s">
        <v>61</v>
      </c>
      <c r="J544" s="5" t="s">
        <v>23</v>
      </c>
      <c r="K544" s="5" t="s">
        <v>45</v>
      </c>
      <c r="L544" s="6" t="s">
        <v>795</v>
      </c>
      <c r="M544" s="5" t="s">
        <v>19</v>
      </c>
      <c r="N544" s="5" t="s">
        <v>27</v>
      </c>
      <c r="O544" s="5">
        <v>81054.0</v>
      </c>
      <c r="P544" s="5">
        <v>265.0</v>
      </c>
      <c r="Q544" s="5">
        <v>56762.0</v>
      </c>
      <c r="R544" s="5">
        <v>76198.0</v>
      </c>
      <c r="S544" s="5">
        <v>16.0</v>
      </c>
      <c r="T544" s="5">
        <v>1532.357841</v>
      </c>
    </row>
    <row r="545">
      <c r="A545" s="4" t="s">
        <v>1911</v>
      </c>
      <c r="B545" s="4" t="str">
        <f>IFERROR(__xludf.DUMMYFUNCTION("SPLIT(A545:A1271, ""&gt;"")"),"US ")</f>
        <v>US </v>
      </c>
      <c r="C545" s="4" t="str">
        <f>IFERROR(__xludf.DUMMYFUNCTION("""COMPUTED_VALUE"""),"Price-Driven Traditionalist Audience")</f>
        <v>Price-Driven Traditionalist Audience</v>
      </c>
      <c r="D545" s="4"/>
      <c r="E545" s="4"/>
      <c r="F545" s="4"/>
      <c r="G545" s="4"/>
      <c r="H545" s="4"/>
      <c r="I545" s="5" t="s">
        <v>15</v>
      </c>
      <c r="J545" s="5" t="s">
        <v>42</v>
      </c>
      <c r="K545" s="5" t="s">
        <v>173</v>
      </c>
      <c r="L545" s="6" t="s">
        <v>795</v>
      </c>
      <c r="M545" s="5" t="s">
        <v>191</v>
      </c>
      <c r="N545" s="5" t="s">
        <v>52</v>
      </c>
      <c r="O545" s="5">
        <v>35043.0</v>
      </c>
      <c r="P545" s="5">
        <v>140.0</v>
      </c>
      <c r="Q545" s="5">
        <v>20942.0</v>
      </c>
      <c r="R545" s="5">
        <v>33479.0</v>
      </c>
      <c r="S545" s="5">
        <v>24.0</v>
      </c>
      <c r="T545" s="5">
        <v>1527.97628</v>
      </c>
    </row>
    <row r="546">
      <c r="A546" s="4" t="s">
        <v>1546</v>
      </c>
      <c r="B546" s="4" t="str">
        <f>IFERROR(__xludf.DUMMYFUNCTION("SPLIT(A546:A1272, ""&gt;"")"),"Online Behavior")</f>
        <v>Online Behavior</v>
      </c>
      <c r="C546" s="4" t="str">
        <f>IFERROR(__xludf.DUMMYFUNCTION("""COMPUTED_VALUE"""),"United States")</f>
        <v>United States</v>
      </c>
      <c r="D546" s="4" t="str">
        <f>IFERROR(__xludf.DUMMYFUNCTION("""COMPUTED_VALUE"""),"Intent ")</f>
        <v>Intent </v>
      </c>
      <c r="E546" s="4" t="str">
        <f>IFERROR(__xludf.DUMMYFUNCTION("""COMPUTED_VALUE""")," Travel")</f>
        <v> Travel</v>
      </c>
      <c r="F546" s="4" t="str">
        <f>IFERROR(__xludf.DUMMYFUNCTION("""COMPUTED_VALUE"""),"Luxury Travel")</f>
        <v>Luxury Travel</v>
      </c>
      <c r="G546" s="4"/>
      <c r="H546" s="4"/>
      <c r="I546" s="5" t="s">
        <v>22</v>
      </c>
      <c r="J546" s="5" t="s">
        <v>23</v>
      </c>
      <c r="K546" s="5" t="s">
        <v>181</v>
      </c>
      <c r="L546" s="6" t="s">
        <v>801</v>
      </c>
      <c r="M546" s="5" t="s">
        <v>19</v>
      </c>
      <c r="N546" s="5" t="s">
        <v>27</v>
      </c>
      <c r="O546" s="5">
        <v>14509.0</v>
      </c>
      <c r="P546" s="5">
        <v>90.0</v>
      </c>
      <c r="Q546" s="5">
        <v>866.0</v>
      </c>
      <c r="R546" s="5">
        <v>13268.0</v>
      </c>
      <c r="S546" s="5">
        <v>8.0</v>
      </c>
      <c r="T546" s="5">
        <v>5521.18913</v>
      </c>
    </row>
    <row r="547">
      <c r="A547" s="4" t="s">
        <v>1547</v>
      </c>
      <c r="B547" s="4" t="str">
        <f>IFERROR(__xludf.DUMMYFUNCTION("SPLIT(A547:A1273, ""&gt;"")"),"Media and Entertainment ")</f>
        <v>Media and Entertainment </v>
      </c>
      <c r="C547" s="4" t="str">
        <f>IFERROR(__xludf.DUMMYFUNCTION("""COMPUTED_VALUE""")," Television (TV) ")</f>
        <v> Television (TV) </v>
      </c>
      <c r="D547" s="4" t="str">
        <f>IFERROR(__xludf.DUMMYFUNCTION("""COMPUTED_VALUE""")," Viewership ")</f>
        <v> Viewership </v>
      </c>
      <c r="E547" s="4" t="str">
        <f>IFERROR(__xludf.DUMMYFUNCTION("""COMPUTED_VALUE""")," TV Genres ")</f>
        <v> TV Genres </v>
      </c>
      <c r="F547" s="4" t="str">
        <f>IFERROR(__xludf.DUMMYFUNCTION("""COMPUTED_VALUE""")," Drama")</f>
        <v> Drama</v>
      </c>
      <c r="G547" s="4"/>
      <c r="H547" s="4"/>
      <c r="I547" s="5" t="s">
        <v>15</v>
      </c>
      <c r="J547" s="5" t="s">
        <v>23</v>
      </c>
      <c r="K547" s="5" t="s">
        <v>24</v>
      </c>
      <c r="L547" s="6" t="s">
        <v>803</v>
      </c>
      <c r="M547" s="5" t="s">
        <v>48</v>
      </c>
      <c r="N547" s="5" t="s">
        <v>52</v>
      </c>
      <c r="O547" s="5">
        <v>16325.0</v>
      </c>
      <c r="P547" s="5">
        <v>78.0</v>
      </c>
      <c r="Q547" s="5">
        <v>9558.0</v>
      </c>
      <c r="R547" s="5">
        <v>15426.0</v>
      </c>
      <c r="S547" s="5">
        <v>21.0</v>
      </c>
      <c r="T547" s="5">
        <v>1814.098581</v>
      </c>
    </row>
    <row r="548">
      <c r="A548" s="4" t="s">
        <v>1912</v>
      </c>
      <c r="B548" s="4" t="str">
        <f>IFERROR(__xludf.DUMMYFUNCTION("SPLIT(A548:A1274, ""&gt;"")"),"US ")</f>
        <v>US </v>
      </c>
      <c r="C548" s="4" t="str">
        <f>IFERROR(__xludf.DUMMYFUNCTION("""COMPUTED_VALUE""")," Sociodemographic ")</f>
        <v> Sociodemographic </v>
      </c>
      <c r="D548" s="4" t="str">
        <f>IFERROR(__xludf.DUMMYFUNCTION("""COMPUTED_VALUE""")," ConneXions Lifestage ")</f>
        <v> ConneXions Lifestage </v>
      </c>
      <c r="E548" s="4" t="str">
        <f>IFERROR(__xludf.DUMMYFUNCTION("""COMPUTED_VALUE""")," Y2 Emerging Techies")</f>
        <v> Y2 Emerging Techies</v>
      </c>
      <c r="F548" s="4"/>
      <c r="G548" s="4"/>
      <c r="H548" s="4"/>
      <c r="I548" s="5" t="s">
        <v>15</v>
      </c>
      <c r="J548" s="5" t="s">
        <v>23</v>
      </c>
      <c r="K548" s="5" t="s">
        <v>183</v>
      </c>
      <c r="L548" s="6" t="s">
        <v>805</v>
      </c>
      <c r="M548" s="5" t="s">
        <v>19</v>
      </c>
      <c r="N548" s="5" t="s">
        <v>27</v>
      </c>
      <c r="O548" s="5">
        <v>10485.0</v>
      </c>
      <c r="P548" s="5">
        <v>84.0</v>
      </c>
      <c r="Q548" s="5">
        <v>4255.0</v>
      </c>
      <c r="R548" s="5">
        <v>7669.0</v>
      </c>
      <c r="S548" s="5">
        <v>2.0</v>
      </c>
      <c r="T548" s="5">
        <v>2239.262819</v>
      </c>
    </row>
    <row r="549">
      <c r="A549" s="4" t="s">
        <v>1913</v>
      </c>
      <c r="B549" s="4" t="str">
        <f>IFERROR(__xludf.DUMMYFUNCTION("SPLIT(A549:A1275, ""&gt;"")"),"US ")</f>
        <v>US </v>
      </c>
      <c r="C549" s="4" t="str">
        <f>IFERROR(__xludf.DUMMYFUNCTION("""COMPUTED_VALUE""")," Automotive ")</f>
        <v> Automotive </v>
      </c>
      <c r="D549" s="4" t="str">
        <f>IFERROR(__xludf.DUMMYFUNCTION("""COMPUTED_VALUE""")," Auto Loyalists and Defectors ")</f>
        <v> Auto Loyalists and Defectors </v>
      </c>
      <c r="E549" s="4" t="str">
        <f>IFERROR(__xludf.DUMMYFUNCTION("""COMPUTED_VALUE""")," Auto Make Defectors")</f>
        <v> Auto Make Defectors</v>
      </c>
      <c r="F549" s="4"/>
      <c r="G549" s="4"/>
      <c r="H549" s="4"/>
      <c r="I549" s="5" t="s">
        <v>22</v>
      </c>
      <c r="J549" s="5" t="s">
        <v>16</v>
      </c>
      <c r="K549" s="5" t="s">
        <v>17</v>
      </c>
      <c r="L549" s="6" t="s">
        <v>807</v>
      </c>
      <c r="M549" s="5" t="s">
        <v>161</v>
      </c>
      <c r="N549" s="5" t="s">
        <v>27</v>
      </c>
      <c r="O549" s="5">
        <v>11561.0</v>
      </c>
      <c r="P549" s="5">
        <v>87.0</v>
      </c>
      <c r="Q549" s="5">
        <v>4063.0</v>
      </c>
      <c r="R549" s="5">
        <v>9941.0</v>
      </c>
      <c r="S549" s="5">
        <v>5.0</v>
      </c>
      <c r="T549" s="5">
        <v>1911.931953</v>
      </c>
    </row>
    <row r="550">
      <c r="A550" s="4" t="s">
        <v>808</v>
      </c>
      <c r="B550" s="4" t="str">
        <f>IFERROR(__xludf.DUMMYFUNCTION("SPLIT(A550:A1276, ""&gt;"")"),"Online Behavior")</f>
        <v>Online Behavior</v>
      </c>
      <c r="C550" s="4" t="str">
        <f>IFERROR(__xludf.DUMMYFUNCTION("""COMPUTED_VALUE"""),"United States")</f>
        <v>United States</v>
      </c>
      <c r="D550" s="4" t="str">
        <f>IFERROR(__xludf.DUMMYFUNCTION("""COMPUTED_VALUE"""),"Online Communities")</f>
        <v>Online Communities</v>
      </c>
      <c r="E550" s="4" t="str">
        <f>IFERROR(__xludf.DUMMYFUNCTION("""COMPUTED_VALUE"""),"Blogging Resources and Services")</f>
        <v>Blogging Resources and Services</v>
      </c>
      <c r="F550" s="4"/>
      <c r="G550" s="4"/>
      <c r="H550" s="4"/>
      <c r="I550" s="5" t="s">
        <v>22</v>
      </c>
      <c r="J550" s="5" t="s">
        <v>31</v>
      </c>
      <c r="K550" s="5" t="s">
        <v>84</v>
      </c>
      <c r="L550" s="6" t="s">
        <v>809</v>
      </c>
      <c r="M550" s="5" t="s">
        <v>50</v>
      </c>
      <c r="N550" s="5" t="s">
        <v>27</v>
      </c>
      <c r="O550" s="5">
        <v>18136.0</v>
      </c>
      <c r="P550" s="5">
        <v>69.0</v>
      </c>
      <c r="Q550" s="5">
        <v>10842.0</v>
      </c>
      <c r="R550" s="5">
        <v>14953.0</v>
      </c>
      <c r="S550" s="5">
        <v>9.0</v>
      </c>
      <c r="T550" s="5">
        <v>6860.359597</v>
      </c>
    </row>
    <row r="551">
      <c r="A551" s="4" t="s">
        <v>1914</v>
      </c>
      <c r="B551" s="4" t="str">
        <f>IFERROR(__xludf.DUMMYFUNCTION("SPLIT(A551:A1277, ""&gt;"")"),"US ")</f>
        <v>US </v>
      </c>
      <c r="C551" s="4" t="str">
        <f>IFERROR(__xludf.DUMMYFUNCTION("""COMPUTED_VALUE""")," Brand Propensities ")</f>
        <v> Brand Propensities </v>
      </c>
      <c r="D551" s="4" t="str">
        <f>IFERROR(__xludf.DUMMYFUNCTION("""COMPUTED_VALUE""")," Electronics ")</f>
        <v> Electronics </v>
      </c>
      <c r="E551" s="4" t="str">
        <f>IFERROR(__xludf.DUMMYFUNCTION("""COMPUTED_VALUE""")," Crutchfield Buyer Propensity")</f>
        <v> Crutchfield Buyer Propensity</v>
      </c>
      <c r="F551" s="4"/>
      <c r="G551" s="4"/>
      <c r="H551" s="4"/>
      <c r="I551" s="5" t="s">
        <v>15</v>
      </c>
      <c r="J551" s="5" t="s">
        <v>23</v>
      </c>
      <c r="K551" s="5" t="s">
        <v>17</v>
      </c>
      <c r="L551" s="6" t="s">
        <v>809</v>
      </c>
      <c r="M551" s="5" t="s">
        <v>161</v>
      </c>
      <c r="N551" s="5" t="s">
        <v>27</v>
      </c>
      <c r="O551" s="5">
        <v>8437.0</v>
      </c>
      <c r="P551" s="5">
        <v>63.0</v>
      </c>
      <c r="Q551" s="5">
        <v>5271.0</v>
      </c>
      <c r="R551" s="5">
        <v>7065.0</v>
      </c>
      <c r="S551" s="5">
        <v>2.0</v>
      </c>
      <c r="T551" s="5">
        <v>1880.533168</v>
      </c>
    </row>
    <row r="552">
      <c r="A552" s="4" t="s">
        <v>1551</v>
      </c>
      <c r="B552" s="4" t="str">
        <f>IFERROR(__xludf.DUMMYFUNCTION("SPLIT(A552:A1278, ""&gt;"")"),"Online Behavior")</f>
        <v>Online Behavior</v>
      </c>
      <c r="C552" s="4" t="str">
        <f>IFERROR(__xludf.DUMMYFUNCTION("""COMPUTED_VALUE"""),"United States")</f>
        <v>United States</v>
      </c>
      <c r="D552" s="4" t="str">
        <f>IFERROR(__xludf.DUMMYFUNCTION("""COMPUTED_VALUE"""),"Intent ")</f>
        <v>Intent </v>
      </c>
      <c r="E552" s="4" t="str">
        <f>IFERROR(__xludf.DUMMYFUNCTION("""COMPUTED_VALUE""")," Auto Buyers ")</f>
        <v> Auto Buyers </v>
      </c>
      <c r="F552" s="4" t="str">
        <f>IFERROR(__xludf.DUMMYFUNCTION("""COMPUTED_VALUE""")," Car Make")</f>
        <v> Car Make</v>
      </c>
      <c r="G552" s="4" t="str">
        <f>IFERROR(__xludf.DUMMYFUNCTION("""COMPUTED_VALUE"""),"Subaru")</f>
        <v>Subaru</v>
      </c>
      <c r="H552" s="4"/>
      <c r="I552" s="5" t="s">
        <v>15</v>
      </c>
      <c r="J552" s="5" t="s">
        <v>23</v>
      </c>
      <c r="K552" s="5" t="s">
        <v>17</v>
      </c>
      <c r="L552" s="6" t="s">
        <v>812</v>
      </c>
      <c r="M552" s="5" t="s">
        <v>36</v>
      </c>
      <c r="N552" s="5" t="s">
        <v>20</v>
      </c>
      <c r="O552" s="5">
        <v>7965.0</v>
      </c>
      <c r="P552" s="5">
        <v>50.0</v>
      </c>
      <c r="Q552" s="5">
        <v>5230.0</v>
      </c>
      <c r="R552" s="5">
        <v>6923.0</v>
      </c>
      <c r="S552" s="5">
        <v>10.0</v>
      </c>
      <c r="T552" s="5">
        <v>6298.513929</v>
      </c>
    </row>
    <row r="553">
      <c r="A553" s="4" t="s">
        <v>1553</v>
      </c>
      <c r="B553" s="4" t="str">
        <f>IFERROR(__xludf.DUMMYFUNCTION("SPLIT(A553:A1279, ""&gt;"")"),"Online Behavior")</f>
        <v>Online Behavior</v>
      </c>
      <c r="C553" s="4" t="str">
        <f>IFERROR(__xludf.DUMMYFUNCTION("""COMPUTED_VALUE"""),"United States")</f>
        <v>United States</v>
      </c>
      <c r="D553" s="4" t="str">
        <f>IFERROR(__xludf.DUMMYFUNCTION("""COMPUTED_VALUE"""),"Finance ")</f>
        <v>Finance </v>
      </c>
      <c r="E553" s="4" t="str">
        <f>IFERROR(__xludf.DUMMYFUNCTION("""COMPUTED_VALUE""")," Grants, Scholarships and Financial Aid")</f>
        <v> Grants, Scholarships and Financial Aid</v>
      </c>
      <c r="F553" s="4" t="str">
        <f>IFERROR(__xludf.DUMMYFUNCTION("""COMPUTED_VALUE"""),"Government Grants")</f>
        <v>Government Grants</v>
      </c>
      <c r="G553" s="4"/>
      <c r="H553" s="4"/>
      <c r="I553" s="5" t="s">
        <v>15</v>
      </c>
      <c r="J553" s="5" t="s">
        <v>16</v>
      </c>
      <c r="K553" s="5" t="s">
        <v>84</v>
      </c>
      <c r="L553" s="6" t="s">
        <v>812</v>
      </c>
      <c r="M553" s="5" t="s">
        <v>46</v>
      </c>
      <c r="N553" s="5" t="s">
        <v>27</v>
      </c>
      <c r="O553" s="5">
        <v>14350.0</v>
      </c>
      <c r="P553" s="5">
        <v>60.0</v>
      </c>
      <c r="Q553" s="5">
        <v>8228.0</v>
      </c>
      <c r="R553" s="5">
        <v>13396.0</v>
      </c>
      <c r="S553" s="5">
        <v>6.0</v>
      </c>
      <c r="T553" s="5">
        <v>6114.034936</v>
      </c>
    </row>
    <row r="554">
      <c r="A554" s="4" t="s">
        <v>1554</v>
      </c>
      <c r="B554" s="4" t="str">
        <f>IFERROR(__xludf.DUMMYFUNCTION("SPLIT(A554:A1280, ""&gt;"")"),"Online Behavior")</f>
        <v>Online Behavior</v>
      </c>
      <c r="C554" s="4" t="str">
        <f>IFERROR(__xludf.DUMMYFUNCTION("""COMPUTED_VALUE"""),"United States")</f>
        <v>United States</v>
      </c>
      <c r="D554" s="4" t="str">
        <f>IFERROR(__xludf.DUMMYFUNCTION("""COMPUTED_VALUE"""),"Autos and Vehicles ")</f>
        <v>Autos and Vehicles </v>
      </c>
      <c r="E554" s="4" t="str">
        <f>IFERROR(__xludf.DUMMYFUNCTION("""COMPUTED_VALUE""")," Brands")</f>
        <v> Brands</v>
      </c>
      <c r="F554" s="4" t="str">
        <f>IFERROR(__xludf.DUMMYFUNCTION("""COMPUTED_VALUE"""),"Mini")</f>
        <v>Mini</v>
      </c>
      <c r="G554" s="4"/>
      <c r="H554" s="4"/>
      <c r="I554" s="5" t="s">
        <v>22</v>
      </c>
      <c r="J554" s="5" t="s">
        <v>16</v>
      </c>
      <c r="K554" s="5" t="s">
        <v>131</v>
      </c>
      <c r="L554" s="6" t="s">
        <v>812</v>
      </c>
      <c r="M554" s="5" t="s">
        <v>26</v>
      </c>
      <c r="N554" s="5" t="s">
        <v>27</v>
      </c>
      <c r="O554" s="5">
        <v>24100.0</v>
      </c>
      <c r="P554" s="5">
        <v>110.0</v>
      </c>
      <c r="Q554" s="5">
        <v>11355.0</v>
      </c>
      <c r="R554" s="5">
        <v>21740.0</v>
      </c>
      <c r="S554" s="5">
        <v>5.0</v>
      </c>
      <c r="T554" s="5">
        <v>5912.260975</v>
      </c>
    </row>
    <row r="555">
      <c r="A555" s="4" t="s">
        <v>1555</v>
      </c>
      <c r="B555" s="4" t="str">
        <f>IFERROR(__xludf.DUMMYFUNCTION("SPLIT(A555:A1281, ""&gt;"")"),"Online Behavior")</f>
        <v>Online Behavior</v>
      </c>
      <c r="C555" s="4" t="str">
        <f>IFERROR(__xludf.DUMMYFUNCTION("""COMPUTED_VALUE"""),"United States")</f>
        <v>United States</v>
      </c>
      <c r="D555" s="4" t="str">
        <f>IFERROR(__xludf.DUMMYFUNCTION("""COMPUTED_VALUE"""),"Autos and Vehicles ")</f>
        <v>Autos and Vehicles </v>
      </c>
      <c r="E555" s="4" t="str">
        <f>IFERROR(__xludf.DUMMYFUNCTION("""COMPUTED_VALUE""")," Brands")</f>
        <v> Brands</v>
      </c>
      <c r="F555" s="4" t="str">
        <f>IFERROR(__xludf.DUMMYFUNCTION("""COMPUTED_VALUE"""),"Buick")</f>
        <v>Buick</v>
      </c>
      <c r="G555" s="4"/>
      <c r="H555" s="4"/>
      <c r="I555" s="5" t="s">
        <v>15</v>
      </c>
      <c r="J555" s="5" t="s">
        <v>16</v>
      </c>
      <c r="K555" s="5" t="s">
        <v>150</v>
      </c>
      <c r="L555" s="6" t="s">
        <v>812</v>
      </c>
      <c r="M555" s="5" t="s">
        <v>19</v>
      </c>
      <c r="N555" s="5" t="s">
        <v>20</v>
      </c>
      <c r="O555" s="5">
        <v>21599.0</v>
      </c>
      <c r="P555" s="5">
        <v>66.0</v>
      </c>
      <c r="Q555" s="5">
        <v>13600.0</v>
      </c>
      <c r="R555" s="5">
        <v>20256.0</v>
      </c>
      <c r="S555" s="5">
        <v>9.0</v>
      </c>
      <c r="T555" s="5">
        <v>5551.387415</v>
      </c>
    </row>
    <row r="556">
      <c r="A556" s="4" t="s">
        <v>1915</v>
      </c>
      <c r="B556" s="4" t="str">
        <f>IFERROR(__xludf.DUMMYFUNCTION("SPLIT(A556:A1282, ""&gt;"")"),"US Financial ")</f>
        <v>US Financial </v>
      </c>
      <c r="C556" s="4" t="str">
        <f>IFERROR(__xludf.DUMMYFUNCTION("""COMPUTED_VALUE""")," Likely In Market Timing ")</f>
        <v> Likely In Market Timing </v>
      </c>
      <c r="D556" s="4" t="str">
        <f>IFERROR(__xludf.DUMMYFUNCTION("""COMPUTED_VALUE""")," Not At All Likely to Purchase ")</f>
        <v> Not At All Likely to Purchase </v>
      </c>
      <c r="E556" s="4" t="str">
        <f>IFERROR(__xludf.DUMMYFUNCTION("""COMPUTED_VALUE""")," First Home/Residence In The Next Year (Financial)")</f>
        <v> First Home/Residence In The Next Year (Financial)</v>
      </c>
      <c r="F556" s="4"/>
      <c r="G556" s="4"/>
      <c r="H556" s="4"/>
      <c r="I556" s="5" t="s">
        <v>15</v>
      </c>
      <c r="J556" s="5" t="s">
        <v>23</v>
      </c>
      <c r="K556" s="5" t="s">
        <v>35</v>
      </c>
      <c r="L556" s="6" t="s">
        <v>812</v>
      </c>
      <c r="M556" s="5" t="s">
        <v>36</v>
      </c>
      <c r="N556" s="5" t="s">
        <v>52</v>
      </c>
      <c r="O556" s="5">
        <v>35335.0</v>
      </c>
      <c r="P556" s="5">
        <v>120.0</v>
      </c>
      <c r="Q556" s="5">
        <v>22566.0</v>
      </c>
      <c r="R556" s="5">
        <v>30685.0</v>
      </c>
      <c r="S556" s="5">
        <v>15.0</v>
      </c>
      <c r="T556" s="5">
        <v>1866.34747</v>
      </c>
    </row>
    <row r="557">
      <c r="A557" s="4" t="s">
        <v>1557</v>
      </c>
      <c r="B557" s="4" t="str">
        <f>IFERROR(__xludf.DUMMYFUNCTION("SPLIT(A557:A1283, ""&gt;"")"),"Transactional ")</f>
        <v>Transactional </v>
      </c>
      <c r="C557" s="4" t="str">
        <f>IFERROR(__xludf.DUMMYFUNCTION("""COMPUTED_VALUE""")," Q3 Gardening Shoppers")</f>
        <v> Q3 Gardening Shoppers</v>
      </c>
      <c r="D557" s="4"/>
      <c r="E557" s="4"/>
      <c r="F557" s="4"/>
      <c r="G557" s="4"/>
      <c r="H557" s="4"/>
      <c r="I557" s="5" t="s">
        <v>15</v>
      </c>
      <c r="J557" s="5" t="s">
        <v>42</v>
      </c>
      <c r="K557" s="5" t="s">
        <v>29</v>
      </c>
      <c r="L557" s="6" t="s">
        <v>812</v>
      </c>
      <c r="M557" s="5" t="s">
        <v>19</v>
      </c>
      <c r="N557" s="5" t="s">
        <v>27</v>
      </c>
      <c r="O557" s="5">
        <v>14763.0</v>
      </c>
      <c r="P557" s="5">
        <v>40.0</v>
      </c>
      <c r="Q557" s="5">
        <v>8955.0</v>
      </c>
      <c r="R557" s="5">
        <v>13829.0</v>
      </c>
      <c r="S557" s="5">
        <v>2.0</v>
      </c>
      <c r="T557" s="5">
        <v>1531.926885</v>
      </c>
    </row>
    <row r="558">
      <c r="A558" s="4" t="s">
        <v>1558</v>
      </c>
      <c r="B558" s="4" t="str">
        <f>IFERROR(__xludf.DUMMYFUNCTION("SPLIT(A558:A1284, ""&gt;"")"),"Online Behavior")</f>
        <v>Online Behavior</v>
      </c>
      <c r="C558" s="4" t="str">
        <f>IFERROR(__xludf.DUMMYFUNCTION("""COMPUTED_VALUE"""),"United States")</f>
        <v>United States</v>
      </c>
      <c r="D558" s="4" t="str">
        <f>IFERROR(__xludf.DUMMYFUNCTION("""COMPUTED_VALUE"""),"Travel")</f>
        <v>Travel</v>
      </c>
      <c r="E558" s="4" t="str">
        <f>IFERROR(__xludf.DUMMYFUNCTION("""COMPUTED_VALUE"""),"Tourist Destinations ")</f>
        <v>Tourist Destinations </v>
      </c>
      <c r="F558" s="4" t="str">
        <f>IFERROR(__xludf.DUMMYFUNCTION("""COMPUTED_VALUE""")," Historical Sites and Buildings")</f>
        <v> Historical Sites and Buildings</v>
      </c>
      <c r="G558" s="4"/>
      <c r="H558" s="4"/>
      <c r="I558" s="5" t="s">
        <v>22</v>
      </c>
      <c r="J558" s="5" t="s">
        <v>42</v>
      </c>
      <c r="K558" s="5" t="s">
        <v>29</v>
      </c>
      <c r="L558" s="6" t="s">
        <v>819</v>
      </c>
      <c r="M558" s="5" t="s">
        <v>117</v>
      </c>
      <c r="N558" s="5" t="s">
        <v>27</v>
      </c>
      <c r="O558" s="5">
        <v>47360.0</v>
      </c>
      <c r="P558" s="5">
        <v>126.0</v>
      </c>
      <c r="Q558" s="5">
        <v>8047.0</v>
      </c>
      <c r="R558" s="5">
        <v>33641.0</v>
      </c>
      <c r="S558" s="5">
        <v>9.0</v>
      </c>
      <c r="T558" s="5">
        <v>6502.274933</v>
      </c>
    </row>
    <row r="559">
      <c r="A559" s="4" t="s">
        <v>820</v>
      </c>
      <c r="B559" s="4" t="str">
        <f>IFERROR(__xludf.DUMMYFUNCTION("SPLIT(A559:A1285, ""&gt;"")"),"Online Behavior")</f>
        <v>Online Behavior</v>
      </c>
      <c r="C559" s="4" t="str">
        <f>IFERROR(__xludf.DUMMYFUNCTION("""COMPUTED_VALUE"""),"United States")</f>
        <v>United States</v>
      </c>
      <c r="D559" s="4" t="str">
        <f>IFERROR(__xludf.DUMMYFUNCTION("""COMPUTED_VALUE"""),"The Changing Consumer")</f>
        <v>The Changing Consumer</v>
      </c>
      <c r="E559" s="4" t="str">
        <f>IFERROR(__xludf.DUMMYFUNCTION("""COMPUTED_VALUE"""),"Telehealth")</f>
        <v>Telehealth</v>
      </c>
      <c r="F559" s="4"/>
      <c r="G559" s="4"/>
      <c r="H559" s="4"/>
      <c r="I559" s="5" t="s">
        <v>61</v>
      </c>
      <c r="J559" s="5" t="s">
        <v>23</v>
      </c>
      <c r="K559" s="5" t="s">
        <v>84</v>
      </c>
      <c r="L559" s="6" t="s">
        <v>819</v>
      </c>
      <c r="M559" s="5" t="s">
        <v>36</v>
      </c>
      <c r="N559" s="5" t="s">
        <v>27</v>
      </c>
      <c r="O559" s="5">
        <v>19408.0</v>
      </c>
      <c r="P559" s="5">
        <v>58.0</v>
      </c>
      <c r="Q559" s="5">
        <v>6596.0</v>
      </c>
      <c r="R559" s="5">
        <v>13880.0</v>
      </c>
      <c r="S559" s="5">
        <v>2.0</v>
      </c>
      <c r="T559" s="5">
        <v>5492.821648</v>
      </c>
    </row>
    <row r="560">
      <c r="A560" s="4" t="s">
        <v>821</v>
      </c>
      <c r="B560" s="4" t="str">
        <f>IFERROR(__xludf.DUMMYFUNCTION("SPLIT(A560:A1286, ""&gt;"")"),"Online Behavior")</f>
        <v>Online Behavior</v>
      </c>
      <c r="C560" s="4" t="str">
        <f>IFERROR(__xludf.DUMMYFUNCTION("""COMPUTED_VALUE"""),"United States")</f>
        <v>United States</v>
      </c>
      <c r="D560" s="4" t="str">
        <f>IFERROR(__xludf.DUMMYFUNCTION("""COMPUTED_VALUE"""),"Travel")</f>
        <v>Travel</v>
      </c>
      <c r="E560" s="4" t="str">
        <f>IFERROR(__xludf.DUMMYFUNCTION("""COMPUTED_VALUE"""),"Carpooling and Vehicle Sharing")</f>
        <v>Carpooling and Vehicle Sharing</v>
      </c>
      <c r="F560" s="4"/>
      <c r="G560" s="4"/>
      <c r="H560" s="4"/>
      <c r="I560" s="5" t="s">
        <v>61</v>
      </c>
      <c r="J560" s="5" t="s">
        <v>23</v>
      </c>
      <c r="K560" s="5" t="s">
        <v>55</v>
      </c>
      <c r="L560" s="6" t="s">
        <v>819</v>
      </c>
      <c r="M560" s="5" t="s">
        <v>26</v>
      </c>
      <c r="N560" s="5" t="s">
        <v>27</v>
      </c>
      <c r="O560" s="5">
        <v>46190.0</v>
      </c>
      <c r="P560" s="5">
        <v>130.0</v>
      </c>
      <c r="Q560" s="5">
        <v>8618.0</v>
      </c>
      <c r="R560" s="5">
        <v>41618.0</v>
      </c>
      <c r="S560" s="5">
        <v>1.0</v>
      </c>
      <c r="T560" s="5">
        <v>5464.109817</v>
      </c>
    </row>
    <row r="561">
      <c r="A561" s="4" t="s">
        <v>822</v>
      </c>
      <c r="B561" s="4" t="str">
        <f>IFERROR(__xludf.DUMMYFUNCTION("SPLIT(A561:A1287, ""&gt;"")"),"Online Behavior")</f>
        <v>Online Behavior</v>
      </c>
      <c r="C561" s="4" t="str">
        <f>IFERROR(__xludf.DUMMYFUNCTION("""COMPUTED_VALUE"""),"United States")</f>
        <v>United States</v>
      </c>
      <c r="D561" s="4" t="str">
        <f>IFERROR(__xludf.DUMMYFUNCTION("""COMPUTED_VALUE"""),"Law and Government")</f>
        <v>Law and Government</v>
      </c>
      <c r="E561" s="4" t="str">
        <f>IFERROR(__xludf.DUMMYFUNCTION("""COMPUTED_VALUE"""),"Government")</f>
        <v>Government</v>
      </c>
      <c r="F561" s="4"/>
      <c r="G561" s="4"/>
      <c r="H561" s="4"/>
      <c r="I561" s="5" t="s">
        <v>15</v>
      </c>
      <c r="J561" s="5" t="s">
        <v>23</v>
      </c>
      <c r="K561" s="5" t="s">
        <v>35</v>
      </c>
      <c r="L561" s="6" t="s">
        <v>819</v>
      </c>
      <c r="M561" s="5" t="s">
        <v>48</v>
      </c>
      <c r="N561" s="5" t="s">
        <v>52</v>
      </c>
      <c r="O561" s="5">
        <v>18537.0</v>
      </c>
      <c r="P561" s="5">
        <v>95.0</v>
      </c>
      <c r="Q561" s="5">
        <v>6473.0</v>
      </c>
      <c r="R561" s="5">
        <v>17081.0</v>
      </c>
      <c r="S561" s="5">
        <v>4.0</v>
      </c>
      <c r="T561" s="5">
        <v>5206.238968</v>
      </c>
    </row>
    <row r="562">
      <c r="A562" s="4" t="s">
        <v>1916</v>
      </c>
      <c r="B562" s="4" t="str">
        <f>IFERROR(__xludf.DUMMYFUNCTION("SPLIT(A562:A1288, ""&gt;"")"),"US ")</f>
        <v>US </v>
      </c>
      <c r="C562" s="4" t="str">
        <f>IFERROR(__xludf.DUMMYFUNCTION("""COMPUTED_VALUE""")," B2B ")</f>
        <v> B2B </v>
      </c>
      <c r="D562" s="4" t="str">
        <f>IFERROR(__xludf.DUMMYFUNCTION("""COMPUTED_VALUE""")," B2B Decision Maker Responsibilities ")</f>
        <v> B2B Decision Maker Responsibilities </v>
      </c>
      <c r="E562" s="4" t="str">
        <f>IFERROR(__xludf.DUMMYFUNCTION("""COMPUTED_VALUE""")," Security Services")</f>
        <v> Security Services</v>
      </c>
      <c r="F562" s="4"/>
      <c r="G562" s="4"/>
      <c r="H562" s="4"/>
      <c r="I562" s="5" t="s">
        <v>22</v>
      </c>
      <c r="J562" s="5" t="s">
        <v>16</v>
      </c>
      <c r="K562" s="5" t="s">
        <v>39</v>
      </c>
      <c r="L562" s="6" t="s">
        <v>819</v>
      </c>
      <c r="M562" s="5" t="s">
        <v>26</v>
      </c>
      <c r="N562" s="5" t="s">
        <v>27</v>
      </c>
      <c r="O562" s="5">
        <v>12488.0</v>
      </c>
      <c r="P562" s="5">
        <v>99.0</v>
      </c>
      <c r="Q562" s="5">
        <v>4021.0</v>
      </c>
      <c r="R562" s="5">
        <v>11403.0</v>
      </c>
      <c r="S562" s="5">
        <v>4.0</v>
      </c>
      <c r="T562" s="5">
        <v>2176.657469</v>
      </c>
    </row>
    <row r="563">
      <c r="A563" s="4" t="s">
        <v>1560</v>
      </c>
      <c r="B563" s="4" t="str">
        <f>IFERROR(__xludf.DUMMYFUNCTION("SPLIT(A563:A1289, ""&gt;"")"),"OnAudience ")</f>
        <v>OnAudience </v>
      </c>
      <c r="C563" s="4" t="str">
        <f>IFERROR(__xludf.DUMMYFUNCTION("""COMPUTED_VALUE""")," Intent")</f>
        <v> Intent</v>
      </c>
      <c r="D563" s="4"/>
      <c r="E563" s="4"/>
      <c r="F563" s="4"/>
      <c r="G563" s="4"/>
      <c r="H563" s="4"/>
      <c r="I563" s="5" t="s">
        <v>22</v>
      </c>
      <c r="J563" s="5" t="s">
        <v>42</v>
      </c>
      <c r="K563" s="5" t="s">
        <v>35</v>
      </c>
      <c r="L563" s="6" t="s">
        <v>819</v>
      </c>
      <c r="M563" s="5" t="s">
        <v>19</v>
      </c>
      <c r="N563" s="5" t="s">
        <v>27</v>
      </c>
      <c r="O563" s="5">
        <v>19212.0</v>
      </c>
      <c r="P563" s="5">
        <v>54.0</v>
      </c>
      <c r="Q563" s="5">
        <v>6872.0</v>
      </c>
      <c r="R563" s="5">
        <v>14248.0</v>
      </c>
      <c r="S563" s="5">
        <v>10.0</v>
      </c>
      <c r="T563" s="5">
        <v>2133.077113</v>
      </c>
    </row>
    <row r="564">
      <c r="A564" s="4" t="s">
        <v>1917</v>
      </c>
      <c r="B564" s="4" t="str">
        <f>IFERROR(__xludf.DUMMYFUNCTION("SPLIT(A564:A1290, ""&gt;"")"),"US Financial ")</f>
        <v>US Financial </v>
      </c>
      <c r="C564" s="4" t="str">
        <f>IFERROR(__xludf.DUMMYFUNCTION("""COMPUTED_VALUE""")," Likely Credit Card ")</f>
        <v> Likely Credit Card </v>
      </c>
      <c r="D564" s="4" t="str">
        <f>IFERROR(__xludf.DUMMYFUNCTION("""COMPUTED_VALUE""")," Behavior ")</f>
        <v> Behavior </v>
      </c>
      <c r="E564" s="4" t="str">
        <f>IFERROR(__xludf.DUMMYFUNCTION("""COMPUTED_VALUE""")," Used for Personal Purposes")</f>
        <v> Used for Personal Purposes</v>
      </c>
      <c r="F564" s="4"/>
      <c r="G564" s="4"/>
      <c r="H564" s="4"/>
      <c r="I564" s="5" t="s">
        <v>15</v>
      </c>
      <c r="J564" s="5" t="s">
        <v>42</v>
      </c>
      <c r="K564" s="5" t="s">
        <v>183</v>
      </c>
      <c r="L564" s="6" t="s">
        <v>819</v>
      </c>
      <c r="M564" s="5" t="s">
        <v>19</v>
      </c>
      <c r="N564" s="5" t="s">
        <v>27</v>
      </c>
      <c r="O564" s="5">
        <v>37554.0</v>
      </c>
      <c r="P564" s="5">
        <v>92.0</v>
      </c>
      <c r="Q564" s="5">
        <v>13128.0</v>
      </c>
      <c r="R564" s="5">
        <v>27596.0</v>
      </c>
      <c r="S564" s="5">
        <v>8.0</v>
      </c>
      <c r="T564" s="5">
        <v>1737.843485</v>
      </c>
    </row>
    <row r="565">
      <c r="A565" s="4" t="s">
        <v>1918</v>
      </c>
      <c r="B565" s="4" t="str">
        <f>IFERROR(__xludf.DUMMYFUNCTION("SPLIT(A565:A1291, ""&gt;"")"),"US ")</f>
        <v>US </v>
      </c>
      <c r="C565" s="4" t="str">
        <f>IFERROR(__xludf.DUMMYFUNCTION("""COMPUTED_VALUE""")," Demographic ")</f>
        <v> Demographic </v>
      </c>
      <c r="D565" s="4" t="str">
        <f>IFERROR(__xludf.DUMMYFUNCTION("""COMPUTED_VALUE""")," Family ")</f>
        <v> Family </v>
      </c>
      <c r="E565" s="4" t="str">
        <f>IFERROR(__xludf.DUMMYFUNCTION("""COMPUTED_VALUE""")," Male Head of Household")</f>
        <v> Male Head of Household</v>
      </c>
      <c r="F565" s="4"/>
      <c r="G565" s="4"/>
      <c r="H565" s="4"/>
      <c r="I565" s="5" t="s">
        <v>22</v>
      </c>
      <c r="J565" s="5" t="s">
        <v>31</v>
      </c>
      <c r="K565" s="5" t="s">
        <v>55</v>
      </c>
      <c r="L565" s="6" t="s">
        <v>819</v>
      </c>
      <c r="M565" s="5" t="s">
        <v>46</v>
      </c>
      <c r="N565" s="5" t="s">
        <v>27</v>
      </c>
      <c r="O565" s="5">
        <v>12510.0</v>
      </c>
      <c r="P565" s="5">
        <v>74.0</v>
      </c>
      <c r="Q565" s="5">
        <v>4391.0</v>
      </c>
      <c r="R565" s="5">
        <v>9098.0</v>
      </c>
      <c r="S565" s="5">
        <v>6.0</v>
      </c>
      <c r="T565" s="5">
        <v>1524.470523</v>
      </c>
    </row>
    <row r="566">
      <c r="A566" s="4" t="s">
        <v>1919</v>
      </c>
      <c r="B566" s="4" t="str">
        <f>IFERROR(__xludf.DUMMYFUNCTION("SPLIT(A566:A1292, ""&gt;"")"),"US ")</f>
        <v>US </v>
      </c>
      <c r="C566" s="4" t="str">
        <f>IFERROR(__xludf.DUMMYFUNCTION("""COMPUTED_VALUE""")," Reach ")</f>
        <v> Reach </v>
      </c>
      <c r="D566" s="4" t="str">
        <f>IFERROR(__xludf.DUMMYFUNCTION("""COMPUTED_VALUE""")," Propensity Models ")</f>
        <v> Propensity Models </v>
      </c>
      <c r="E566" s="4" t="str">
        <f>IFERROR(__xludf.DUMMYFUNCTION("""COMPUTED_VALUE""")," Lifestyle ")</f>
        <v> Lifestyle </v>
      </c>
      <c r="F566" s="4" t="str">
        <f>IFERROR(__xludf.DUMMYFUNCTION("""COMPUTED_VALUE""")," Charities ")</f>
        <v> Charities </v>
      </c>
      <c r="G566" s="4" t="str">
        <f>IFERROR(__xludf.DUMMYFUNCTION("""COMPUTED_VALUE""")," Contributes by Volunteering")</f>
        <v> Contributes by Volunteering</v>
      </c>
      <c r="H566" s="4"/>
      <c r="I566" s="5" t="s">
        <v>61</v>
      </c>
      <c r="J566" s="5" t="s">
        <v>16</v>
      </c>
      <c r="K566" s="5" t="s">
        <v>29</v>
      </c>
      <c r="L566" s="6" t="s">
        <v>828</v>
      </c>
      <c r="M566" s="5" t="s">
        <v>26</v>
      </c>
      <c r="N566" s="5" t="s">
        <v>27</v>
      </c>
      <c r="O566" s="5">
        <v>15475.0</v>
      </c>
      <c r="P566" s="5">
        <v>110.0</v>
      </c>
      <c r="Q566" s="5">
        <v>6019.0</v>
      </c>
      <c r="R566" s="5">
        <v>10952.0</v>
      </c>
      <c r="S566" s="5">
        <v>9.0</v>
      </c>
      <c r="T566" s="5">
        <v>4156.713383</v>
      </c>
    </row>
    <row r="567">
      <c r="A567" s="4" t="s">
        <v>1564</v>
      </c>
      <c r="B567" s="4" t="str">
        <f>IFERROR(__xludf.DUMMYFUNCTION("SPLIT(A567:A1293, ""&gt;"")"),"OnAudience ")</f>
        <v>OnAudience </v>
      </c>
      <c r="C567" s="4" t="str">
        <f>IFERROR(__xludf.DUMMYFUNCTION("""COMPUTED_VALUE""")," Interest ")</f>
        <v> Interest </v>
      </c>
      <c r="D567" s="4" t="str">
        <f>IFERROR(__xludf.DUMMYFUNCTION("""COMPUTED_VALUE""")," Pets")</f>
        <v> Pets</v>
      </c>
      <c r="E567" s="4"/>
      <c r="F567" s="4"/>
      <c r="G567" s="4"/>
      <c r="H567" s="4"/>
      <c r="I567" s="5" t="s">
        <v>22</v>
      </c>
      <c r="J567" s="5" t="s">
        <v>23</v>
      </c>
      <c r="K567" s="5" t="s">
        <v>95</v>
      </c>
      <c r="L567" s="6" t="s">
        <v>830</v>
      </c>
      <c r="M567" s="5" t="s">
        <v>19</v>
      </c>
      <c r="N567" s="5" t="s">
        <v>27</v>
      </c>
      <c r="O567" s="5">
        <v>20572.0</v>
      </c>
      <c r="P567" s="5">
        <v>90.0</v>
      </c>
      <c r="Q567" s="5">
        <v>2226.0</v>
      </c>
      <c r="R567" s="5">
        <v>16510.0</v>
      </c>
      <c r="S567" s="5">
        <v>10.0</v>
      </c>
      <c r="T567" s="5">
        <v>1529.307229</v>
      </c>
    </row>
    <row r="568">
      <c r="A568" s="4" t="s">
        <v>1565</v>
      </c>
      <c r="B568" s="4" t="str">
        <f>IFERROR(__xludf.DUMMYFUNCTION("SPLIT(A568:A1294, ""&gt;"")"),"OnAudience ")</f>
        <v>OnAudience </v>
      </c>
      <c r="C568" s="4" t="str">
        <f>IFERROR(__xludf.DUMMYFUNCTION("""COMPUTED_VALUE""")," Interest ")</f>
        <v> Interest </v>
      </c>
      <c r="D568" s="4" t="str">
        <f>IFERROR(__xludf.DUMMYFUNCTION("""COMPUTED_VALUE""")," Technology &amp; Computing ")</f>
        <v> Technology &amp; Computing </v>
      </c>
      <c r="E568" s="4" t="str">
        <f>IFERROR(__xludf.DUMMYFUNCTION("""COMPUTED_VALUE""")," Email")</f>
        <v> Email</v>
      </c>
      <c r="F568" s="4"/>
      <c r="G568" s="4"/>
      <c r="H568" s="4"/>
      <c r="I568" s="5" t="s">
        <v>22</v>
      </c>
      <c r="J568" s="5" t="s">
        <v>23</v>
      </c>
      <c r="K568" s="5" t="s">
        <v>84</v>
      </c>
      <c r="L568" s="6" t="s">
        <v>832</v>
      </c>
      <c r="M568" s="5" t="s">
        <v>327</v>
      </c>
      <c r="N568" s="5" t="s">
        <v>27</v>
      </c>
      <c r="O568" s="5">
        <v>16956.0</v>
      </c>
      <c r="P568" s="5">
        <v>65.0</v>
      </c>
      <c r="Q568" s="5">
        <v>7553.0</v>
      </c>
      <c r="R568" s="5">
        <v>15201.0</v>
      </c>
      <c r="S568" s="5">
        <v>3.0</v>
      </c>
      <c r="T568" s="5">
        <v>1502.680139</v>
      </c>
    </row>
    <row r="569">
      <c r="A569" s="4" t="s">
        <v>1920</v>
      </c>
      <c r="B569" s="4" t="str">
        <f>IFERROR(__xludf.DUMMYFUNCTION("SPLIT(A569:A1295, ""&gt;"")"),"Online Behavior")</f>
        <v>Online Behavior</v>
      </c>
      <c r="C569" s="4" t="str">
        <f>IFERROR(__xludf.DUMMYFUNCTION("""COMPUTED_VALUE"""),"United States")</f>
        <v>United States</v>
      </c>
      <c r="D569" s="4" t="str">
        <f>IFERROR(__xludf.DUMMYFUNCTION("""COMPUTED_VALUE"""),"Autos and Vehicles ")</f>
        <v>Autos and Vehicles </v>
      </c>
      <c r="E569" s="4" t="str">
        <f>IFERROR(__xludf.DUMMYFUNCTION("""COMPUTED_VALUE""")," Brands")</f>
        <v> Brands</v>
      </c>
      <c r="F569" s="4" t="str">
        <f>IFERROR(__xludf.DUMMYFUNCTION("""COMPUTED_VALUE"""),"Lexus")</f>
        <v>Lexus</v>
      </c>
      <c r="G569" s="4"/>
      <c r="H569" s="4"/>
      <c r="I569" s="5" t="s">
        <v>15</v>
      </c>
      <c r="J569" s="5" t="s">
        <v>16</v>
      </c>
      <c r="K569" s="5" t="s">
        <v>35</v>
      </c>
      <c r="L569" s="6" t="s">
        <v>834</v>
      </c>
      <c r="M569" s="5" t="s">
        <v>117</v>
      </c>
      <c r="N569" s="5" t="s">
        <v>52</v>
      </c>
      <c r="O569" s="5">
        <v>17075.0</v>
      </c>
      <c r="P569" s="5">
        <v>44.0</v>
      </c>
      <c r="Q569" s="5">
        <v>5508.0</v>
      </c>
      <c r="R569" s="5">
        <v>11539.0</v>
      </c>
      <c r="S569" s="5">
        <v>10.0</v>
      </c>
      <c r="T569" s="5">
        <v>5086.08996</v>
      </c>
    </row>
    <row r="570">
      <c r="A570" s="4" t="s">
        <v>835</v>
      </c>
      <c r="B570" s="4" t="str">
        <f>IFERROR(__xludf.DUMMYFUNCTION("SPLIT(A570:A1296, ""&gt;"")"),"Online Behavior")</f>
        <v>Online Behavior</v>
      </c>
      <c r="C570" s="4" t="str">
        <f>IFERROR(__xludf.DUMMYFUNCTION("""COMPUTED_VALUE"""),"United States")</f>
        <v>United States</v>
      </c>
      <c r="D570" s="4" t="str">
        <f>IFERROR(__xludf.DUMMYFUNCTION("""COMPUTED_VALUE"""),"The Changing Consumer")</f>
        <v>The Changing Consumer</v>
      </c>
      <c r="E570" s="4" t="str">
        <f>IFERROR(__xludf.DUMMYFUNCTION("""COMPUTED_VALUE"""),"Streaming Services")</f>
        <v>Streaming Services</v>
      </c>
      <c r="F570" s="4"/>
      <c r="G570" s="4"/>
      <c r="H570" s="4"/>
      <c r="I570" s="5" t="s">
        <v>22</v>
      </c>
      <c r="J570" s="5" t="s">
        <v>23</v>
      </c>
      <c r="K570" s="5" t="s">
        <v>84</v>
      </c>
      <c r="L570" s="6" t="s">
        <v>836</v>
      </c>
      <c r="M570" s="5" t="s">
        <v>19</v>
      </c>
      <c r="N570" s="5" t="s">
        <v>27</v>
      </c>
      <c r="O570" s="5">
        <v>9709.0</v>
      </c>
      <c r="P570" s="5">
        <v>58.0</v>
      </c>
      <c r="Q570" s="5">
        <v>3339.0</v>
      </c>
      <c r="R570" s="5">
        <v>7891.0</v>
      </c>
      <c r="S570" s="5">
        <v>3.0</v>
      </c>
      <c r="T570" s="5">
        <v>6994.085353</v>
      </c>
    </row>
    <row r="571">
      <c r="A571" s="4" t="s">
        <v>1567</v>
      </c>
      <c r="B571" s="4" t="str">
        <f>IFERROR(__xludf.DUMMYFUNCTION("SPLIT(A571:A1297, ""&gt;"")"),"Online Behavior")</f>
        <v>Online Behavior</v>
      </c>
      <c r="C571" s="4" t="str">
        <f>IFERROR(__xludf.DUMMYFUNCTION("""COMPUTED_VALUE"""),"United States")</f>
        <v>United States</v>
      </c>
      <c r="D571" s="4" t="str">
        <f>IFERROR(__xludf.DUMMYFUNCTION("""COMPUTED_VALUE"""),"Autos and Vehicles ")</f>
        <v>Autos and Vehicles </v>
      </c>
      <c r="E571" s="4" t="str">
        <f>IFERROR(__xludf.DUMMYFUNCTION("""COMPUTED_VALUE""")," Brands")</f>
        <v> Brands</v>
      </c>
      <c r="F571" s="4" t="str">
        <f>IFERROR(__xludf.DUMMYFUNCTION("""COMPUTED_VALUE"""),"Pontiac")</f>
        <v>Pontiac</v>
      </c>
      <c r="G571" s="4"/>
      <c r="H571" s="4"/>
      <c r="I571" s="5" t="s">
        <v>22</v>
      </c>
      <c r="J571" s="5" t="s">
        <v>16</v>
      </c>
      <c r="K571" s="5" t="s">
        <v>29</v>
      </c>
      <c r="L571" s="6" t="s">
        <v>836</v>
      </c>
      <c r="M571" s="5" t="s">
        <v>46</v>
      </c>
      <c r="N571" s="5" t="s">
        <v>27</v>
      </c>
      <c r="O571" s="5">
        <v>7769.0</v>
      </c>
      <c r="P571" s="5">
        <v>10.0</v>
      </c>
      <c r="Q571" s="5">
        <v>3152.0</v>
      </c>
      <c r="R571" s="5">
        <v>6464.0</v>
      </c>
      <c r="S571" s="5">
        <v>1.0</v>
      </c>
      <c r="T571" s="5">
        <v>5603.048132</v>
      </c>
    </row>
    <row r="572">
      <c r="A572" s="4" t="s">
        <v>838</v>
      </c>
      <c r="B572" s="4" t="str">
        <f>IFERROR(__xludf.DUMMYFUNCTION("SPLIT(A572:A1298, ""&gt;"")"),"Online Behavior")</f>
        <v>Online Behavior</v>
      </c>
      <c r="C572" s="4" t="str">
        <f>IFERROR(__xludf.DUMMYFUNCTION("""COMPUTED_VALUE"""),"United States")</f>
        <v>United States</v>
      </c>
      <c r="D572" s="4" t="str">
        <f>IFERROR(__xludf.DUMMYFUNCTION("""COMPUTED_VALUE"""),"Home and Garden")</f>
        <v>Home and Garden</v>
      </c>
      <c r="E572" s="4" t="str">
        <f>IFERROR(__xludf.DUMMYFUNCTION("""COMPUTED_VALUE"""),"Bed and Bath")</f>
        <v>Bed and Bath</v>
      </c>
      <c r="F572" s="4"/>
      <c r="G572" s="4"/>
      <c r="H572" s="4"/>
      <c r="I572" s="5" t="s">
        <v>15</v>
      </c>
      <c r="J572" s="5" t="s">
        <v>42</v>
      </c>
      <c r="K572" s="5" t="s">
        <v>17</v>
      </c>
      <c r="L572" s="6" t="s">
        <v>839</v>
      </c>
      <c r="M572" s="5" t="s">
        <v>19</v>
      </c>
      <c r="N572" s="5" t="s">
        <v>20</v>
      </c>
      <c r="O572" s="5">
        <v>28888.0</v>
      </c>
      <c r="P572" s="5">
        <v>85.0</v>
      </c>
      <c r="Q572" s="5">
        <v>21437.0</v>
      </c>
      <c r="R572" s="5">
        <v>27586.0</v>
      </c>
      <c r="S572" s="5">
        <v>19.0</v>
      </c>
      <c r="T572" s="5">
        <v>6858.578118</v>
      </c>
    </row>
    <row r="573">
      <c r="A573" s="4" t="s">
        <v>1568</v>
      </c>
      <c r="B573" s="4" t="str">
        <f>IFERROR(__xludf.DUMMYFUNCTION("SPLIT(A573:A1299, ""&gt;"")"),"Media and Entertainment ")</f>
        <v>Media and Entertainment </v>
      </c>
      <c r="C573" s="4" t="str">
        <f>IFERROR(__xludf.DUMMYFUNCTION("""COMPUTED_VALUE""")," Connected TV and Over-the-Top (CTV and OTT)")</f>
        <v> Connected TV and Over-the-Top (CTV and OTT)</v>
      </c>
      <c r="D573" s="4"/>
      <c r="E573" s="4"/>
      <c r="F573" s="4"/>
      <c r="G573" s="4"/>
      <c r="H573" s="4"/>
      <c r="I573" s="5" t="s">
        <v>15</v>
      </c>
      <c r="J573" s="5" t="s">
        <v>23</v>
      </c>
      <c r="K573" s="5" t="s">
        <v>35</v>
      </c>
      <c r="L573" s="6" t="s">
        <v>839</v>
      </c>
      <c r="M573" s="5" t="s">
        <v>19</v>
      </c>
      <c r="N573" s="5" t="s">
        <v>27</v>
      </c>
      <c r="O573" s="5">
        <v>756687.0</v>
      </c>
      <c r="P573" s="5">
        <v>1984.0</v>
      </c>
      <c r="Q573" s="5">
        <v>442979.0</v>
      </c>
      <c r="R573" s="5">
        <v>611813.0</v>
      </c>
      <c r="S573" s="5">
        <v>14.0</v>
      </c>
      <c r="T573" s="5">
        <v>2452.997504</v>
      </c>
    </row>
    <row r="574">
      <c r="A574" s="4" t="s">
        <v>1921</v>
      </c>
      <c r="B574" s="4" t="str">
        <f>IFERROR(__xludf.DUMMYFUNCTION("SPLIT(A574:A1300, ""&gt;"")"),"US ")</f>
        <v>US </v>
      </c>
      <c r="C574" s="4" t="str">
        <f>IFERROR(__xludf.DUMMYFUNCTION("""COMPUTED_VALUE""")," B2B ")</f>
        <v> B2B </v>
      </c>
      <c r="D574" s="4" t="str">
        <f>IFERROR(__xludf.DUMMYFUNCTION("""COMPUTED_VALUE""")," B2B Decision Maker Responsibilities ")</f>
        <v> B2B Decision Maker Responsibilities </v>
      </c>
      <c r="E574" s="4" t="str">
        <f>IFERROR(__xludf.DUMMYFUNCTION("""COMPUTED_VALUE""")," Television providers ")</f>
        <v> Television providers </v>
      </c>
      <c r="F574" s="4" t="str">
        <f>IFERROR(__xludf.DUMMYFUNCTION("""COMPUTED_VALUE""")," services")</f>
        <v> services</v>
      </c>
      <c r="G574" s="4"/>
      <c r="H574" s="4"/>
      <c r="I574" s="5" t="s">
        <v>15</v>
      </c>
      <c r="J574" s="5" t="s">
        <v>16</v>
      </c>
      <c r="K574" s="5" t="s">
        <v>84</v>
      </c>
      <c r="L574" s="6" t="s">
        <v>839</v>
      </c>
      <c r="M574" s="5" t="s">
        <v>19</v>
      </c>
      <c r="N574" s="5" t="s">
        <v>52</v>
      </c>
      <c r="O574" s="5">
        <v>56737.0</v>
      </c>
      <c r="P574" s="5">
        <v>145.0</v>
      </c>
      <c r="Q574" s="5">
        <v>41296.0</v>
      </c>
      <c r="R574" s="5">
        <v>53472.0</v>
      </c>
      <c r="S574" s="5">
        <v>5.0</v>
      </c>
      <c r="T574" s="5">
        <v>2028.370144</v>
      </c>
    </row>
    <row r="575">
      <c r="A575" s="4" t="s">
        <v>1922</v>
      </c>
      <c r="B575" s="4" t="str">
        <f>IFERROR(__xludf.DUMMYFUNCTION("SPLIT(A575:A1301, ""&gt;"")"),"US ")</f>
        <v>US </v>
      </c>
      <c r="C575" s="4" t="str">
        <f>IFERROR(__xludf.DUMMYFUNCTION("""COMPUTED_VALUE""")," B2B ")</f>
        <v> B2B </v>
      </c>
      <c r="D575" s="4" t="str">
        <f>IFERROR(__xludf.DUMMYFUNCTION("""COMPUTED_VALUE""")," Purchase DM ")</f>
        <v> Purchase DM </v>
      </c>
      <c r="E575" s="4" t="str">
        <f>IFERROR(__xludf.DUMMYFUNCTION("""COMPUTED_VALUE""")," Technology Services, Hardware and ")</f>
        <v> Technology Services, Hardware and </v>
      </c>
      <c r="F575" s="4" t="str">
        <f>IFERROR(__xludf.DUMMYFUNCTION("""COMPUTED_VALUE""")," or Software ")</f>
        <v> or Software </v>
      </c>
      <c r="G575" s="4" t="str">
        <f>IFERROR(__xludf.DUMMYFUNCTION("""COMPUTED_VALUE""")," I make the final decision with input from staff ")</f>
        <v> I make the final decision with input from staff </v>
      </c>
      <c r="H575" s="4" t="str">
        <f>IFERROR(__xludf.DUMMYFUNCTION("""COMPUTED_VALUE""")," management")</f>
        <v> management</v>
      </c>
      <c r="I575" s="5" t="s">
        <v>15</v>
      </c>
      <c r="J575" s="5" t="s">
        <v>42</v>
      </c>
      <c r="K575" s="5" t="s">
        <v>95</v>
      </c>
      <c r="L575" s="6" t="s">
        <v>843</v>
      </c>
      <c r="M575" s="5" t="s">
        <v>161</v>
      </c>
      <c r="N575" s="5" t="s">
        <v>27</v>
      </c>
      <c r="O575" s="5">
        <v>217824.0</v>
      </c>
      <c r="P575" s="5">
        <v>560.0</v>
      </c>
      <c r="Q575" s="5">
        <v>75089.0</v>
      </c>
      <c r="R575" s="5">
        <v>179723.0</v>
      </c>
      <c r="S575" s="5">
        <v>16.0</v>
      </c>
      <c r="T575" s="5">
        <v>1451.808544</v>
      </c>
    </row>
    <row r="576">
      <c r="A576" s="4" t="s">
        <v>1571</v>
      </c>
      <c r="B576" s="4" t="str">
        <f>IFERROR(__xludf.DUMMYFUNCTION("SPLIT(A576:A1302, ""&gt;"")"),"Online Behavior")</f>
        <v>Online Behavior</v>
      </c>
      <c r="C576" s="4" t="str">
        <f>IFERROR(__xludf.DUMMYFUNCTION("""COMPUTED_VALUE"""),"United States")</f>
        <v>United States</v>
      </c>
      <c r="D576" s="4" t="str">
        <f>IFERROR(__xludf.DUMMYFUNCTION("""COMPUTED_VALUE"""),"Intent ")</f>
        <v>Intent </v>
      </c>
      <c r="E576" s="4" t="str">
        <f>IFERROR(__xludf.DUMMYFUNCTION("""COMPUTED_VALUE""")," Auto Buyers ")</f>
        <v> Auto Buyers </v>
      </c>
      <c r="F576" s="4" t="str">
        <f>IFERROR(__xludf.DUMMYFUNCTION("""COMPUTED_VALUE""")," Category")</f>
        <v> Category</v>
      </c>
      <c r="G576" s="4" t="str">
        <f>IFERROR(__xludf.DUMMYFUNCTION("""COMPUTED_VALUE"""),"Van")</f>
        <v>Van</v>
      </c>
      <c r="H576" s="4"/>
      <c r="I576" s="5" t="s">
        <v>22</v>
      </c>
      <c r="J576" s="5" t="s">
        <v>23</v>
      </c>
      <c r="K576" s="5" t="s">
        <v>35</v>
      </c>
      <c r="L576" s="6" t="s">
        <v>845</v>
      </c>
      <c r="M576" s="5" t="s">
        <v>19</v>
      </c>
      <c r="N576" s="5" t="s">
        <v>27</v>
      </c>
      <c r="O576" s="5">
        <v>9153.0</v>
      </c>
      <c r="P576" s="5">
        <v>23.0</v>
      </c>
      <c r="Q576" s="5">
        <v>4345.0</v>
      </c>
      <c r="R576" s="5">
        <v>8376.0</v>
      </c>
      <c r="S576" s="5">
        <v>14.0</v>
      </c>
      <c r="T576" s="5">
        <v>5007.525805</v>
      </c>
    </row>
    <row r="577">
      <c r="A577" s="4" t="s">
        <v>1572</v>
      </c>
      <c r="B577" s="4" t="str">
        <f>IFERROR(__xludf.DUMMYFUNCTION("SPLIT(A577:A1303, ""&gt;"")"),"Online Behavior")</f>
        <v>Online Behavior</v>
      </c>
      <c r="C577" s="4" t="str">
        <f>IFERROR(__xludf.DUMMYFUNCTION("""COMPUTED_VALUE"""),"United States")</f>
        <v>United States</v>
      </c>
      <c r="D577" s="4" t="str">
        <f>IFERROR(__xludf.DUMMYFUNCTION("""COMPUTED_VALUE"""),"B2B ")</f>
        <v>B2B </v>
      </c>
      <c r="E577" s="4" t="str">
        <f>IFERROR(__xludf.DUMMYFUNCTION("""COMPUTED_VALUE""")," Occupation")</f>
        <v> Occupation</v>
      </c>
      <c r="F577" s="4" t="str">
        <f>IFERROR(__xludf.DUMMYFUNCTION("""COMPUTED_VALUE"""),"Broker")</f>
        <v>Broker</v>
      </c>
      <c r="G577" s="4"/>
      <c r="H577" s="4"/>
      <c r="I577" s="5" t="s">
        <v>22</v>
      </c>
      <c r="J577" s="5" t="s">
        <v>31</v>
      </c>
      <c r="K577" s="5" t="s">
        <v>43</v>
      </c>
      <c r="L577" s="6" t="s">
        <v>847</v>
      </c>
      <c r="M577" s="5" t="s">
        <v>46</v>
      </c>
      <c r="N577" s="5" t="s">
        <v>27</v>
      </c>
      <c r="O577" s="5">
        <v>21962.0</v>
      </c>
      <c r="P577" s="5">
        <v>120.0</v>
      </c>
      <c r="Q577" s="5">
        <v>10702.0</v>
      </c>
      <c r="R577" s="5">
        <v>21034.0</v>
      </c>
      <c r="S577" s="5">
        <v>11.0</v>
      </c>
      <c r="T577" s="5">
        <v>6404.003128</v>
      </c>
    </row>
    <row r="578">
      <c r="A578" s="4" t="s">
        <v>848</v>
      </c>
      <c r="B578" s="4" t="str">
        <f>IFERROR(__xludf.DUMMYFUNCTION("SPLIT(A578:A1304, ""&gt;"")"),"Online Behavior")</f>
        <v>Online Behavior</v>
      </c>
      <c r="C578" s="4" t="str">
        <f>IFERROR(__xludf.DUMMYFUNCTION("""COMPUTED_VALUE"""),"United States")</f>
        <v>United States</v>
      </c>
      <c r="D578" s="4" t="str">
        <f>IFERROR(__xludf.DUMMYFUNCTION("""COMPUTED_VALUE"""),"The Changing Consumer")</f>
        <v>The Changing Consumer</v>
      </c>
      <c r="E578" s="4" t="str">
        <f>IFERROR(__xludf.DUMMYFUNCTION("""COMPUTED_VALUE"""),"DIY")</f>
        <v>DIY</v>
      </c>
      <c r="F578" s="4"/>
      <c r="G578" s="4"/>
      <c r="H578" s="4"/>
      <c r="I578" s="5" t="s">
        <v>22</v>
      </c>
      <c r="J578" s="5" t="s">
        <v>23</v>
      </c>
      <c r="K578" s="5" t="s">
        <v>32</v>
      </c>
      <c r="L578" s="6" t="s">
        <v>849</v>
      </c>
      <c r="M578" s="5" t="s">
        <v>19</v>
      </c>
      <c r="N578" s="5" t="s">
        <v>27</v>
      </c>
      <c r="O578" s="5">
        <v>12161.0</v>
      </c>
      <c r="P578" s="5">
        <v>20.0</v>
      </c>
      <c r="Q578" s="5">
        <v>6284.0</v>
      </c>
      <c r="R578" s="5">
        <v>10919.0</v>
      </c>
      <c r="S578" s="5">
        <v>4.0</v>
      </c>
      <c r="T578" s="5">
        <v>7273.265988</v>
      </c>
    </row>
    <row r="579">
      <c r="A579" s="4" t="s">
        <v>1923</v>
      </c>
      <c r="B579" s="4" t="str">
        <f>IFERROR(__xludf.DUMMYFUNCTION("SPLIT(A579:A1305, ""&gt;"")"),"US ")</f>
        <v>US </v>
      </c>
      <c r="C579" s="4" t="str">
        <f>IFERROR(__xludf.DUMMYFUNCTION("""COMPUTED_VALUE""")," Reach ")</f>
        <v> Reach </v>
      </c>
      <c r="D579" s="4" t="str">
        <f>IFERROR(__xludf.DUMMYFUNCTION("""COMPUTED_VALUE""")," Propensity Models ")</f>
        <v> Propensity Models </v>
      </c>
      <c r="E579" s="4" t="str">
        <f>IFERROR(__xludf.DUMMYFUNCTION("""COMPUTED_VALUE""")," Hobbies and Interest ")</f>
        <v> Hobbies and Interest </v>
      </c>
      <c r="F579" s="4" t="str">
        <f>IFERROR(__xludf.DUMMYFUNCTION("""COMPUTED_VALUE""")," Sports ")</f>
        <v> Sports </v>
      </c>
      <c r="G579" s="4" t="str">
        <f>IFERROR(__xludf.DUMMYFUNCTION("""COMPUTED_VALUE""")," Canoeing ")</f>
        <v> Canoeing </v>
      </c>
      <c r="H579" s="4" t="str">
        <f>IFERROR(__xludf.DUMMYFUNCTION("""COMPUTED_VALUE""")," Kayaking")</f>
        <v> Kayaking</v>
      </c>
      <c r="I579" s="5" t="s">
        <v>15</v>
      </c>
      <c r="J579" s="5" t="s">
        <v>16</v>
      </c>
      <c r="K579" s="5" t="s">
        <v>29</v>
      </c>
      <c r="L579" s="6" t="s">
        <v>851</v>
      </c>
      <c r="M579" s="5" t="s">
        <v>46</v>
      </c>
      <c r="N579" s="5" t="s">
        <v>27</v>
      </c>
      <c r="O579" s="5">
        <v>10653.0</v>
      </c>
      <c r="P579" s="5">
        <v>68.0</v>
      </c>
      <c r="Q579" s="5">
        <v>5263.0</v>
      </c>
      <c r="R579" s="5">
        <v>9921.0</v>
      </c>
      <c r="S579" s="5">
        <v>11.0</v>
      </c>
      <c r="T579" s="5">
        <v>2641.478397</v>
      </c>
    </row>
    <row r="580">
      <c r="A580" s="4" t="s">
        <v>1574</v>
      </c>
      <c r="B580" s="4" t="str">
        <f>IFERROR(__xludf.DUMMYFUNCTION("SPLIT(A580:A1306, ""&gt;"")"),"Online Behavior")</f>
        <v>Online Behavior</v>
      </c>
      <c r="C580" s="4" t="str">
        <f>IFERROR(__xludf.DUMMYFUNCTION("""COMPUTED_VALUE"""),"United States")</f>
        <v>United States</v>
      </c>
      <c r="D580" s="4" t="str">
        <f>IFERROR(__xludf.DUMMYFUNCTION("""COMPUTED_VALUE"""),"Autos and Vehicles ")</f>
        <v>Autos and Vehicles </v>
      </c>
      <c r="E580" s="4" t="str">
        <f>IFERROR(__xludf.DUMMYFUNCTION("""COMPUTED_VALUE""")," Brands")</f>
        <v> Brands</v>
      </c>
      <c r="F580" s="4" t="str">
        <f>IFERROR(__xludf.DUMMYFUNCTION("""COMPUTED_VALUE"""),"Nissan")</f>
        <v>Nissan</v>
      </c>
      <c r="G580" s="4"/>
      <c r="H580" s="4"/>
      <c r="I580" s="5" t="s">
        <v>15</v>
      </c>
      <c r="J580" s="5" t="s">
        <v>23</v>
      </c>
      <c r="K580" s="5" t="s">
        <v>35</v>
      </c>
      <c r="L580" s="6" t="s">
        <v>853</v>
      </c>
      <c r="M580" s="5" t="s">
        <v>46</v>
      </c>
      <c r="N580" s="5" t="s">
        <v>27</v>
      </c>
      <c r="O580" s="5">
        <v>7691.0</v>
      </c>
      <c r="P580" s="5">
        <v>0.0</v>
      </c>
      <c r="Q580" s="5">
        <v>3890.0</v>
      </c>
      <c r="R580" s="5">
        <v>5905.0</v>
      </c>
      <c r="S580" s="5">
        <v>1.0</v>
      </c>
      <c r="T580" s="5">
        <v>5927.806788</v>
      </c>
    </row>
    <row r="581">
      <c r="A581" s="4" t="s">
        <v>1575</v>
      </c>
      <c r="B581" s="4" t="str">
        <f>IFERROR(__xludf.DUMMYFUNCTION("SPLIT(A581:A1307, ""&gt;"")"),"Online Behavior")</f>
        <v>Online Behavior</v>
      </c>
      <c r="C581" s="4" t="str">
        <f>IFERROR(__xludf.DUMMYFUNCTION("""COMPUTED_VALUE"""),"United States")</f>
        <v>United States</v>
      </c>
      <c r="D581" s="4" t="str">
        <f>IFERROR(__xludf.DUMMYFUNCTION("""COMPUTED_VALUE"""),"Finance ")</f>
        <v>Finance </v>
      </c>
      <c r="E581" s="4" t="str">
        <f>IFERROR(__xludf.DUMMYFUNCTION("""COMPUTED_VALUE""")," Banking")</f>
        <v> Banking</v>
      </c>
      <c r="F581" s="4" t="str">
        <f>IFERROR(__xludf.DUMMYFUNCTION("""COMPUTED_VALUE"""),"Debit and Checking Services")</f>
        <v>Debit and Checking Services</v>
      </c>
      <c r="G581" s="4"/>
      <c r="H581" s="4"/>
      <c r="I581" s="5" t="s">
        <v>15</v>
      </c>
      <c r="J581" s="5" t="s">
        <v>16</v>
      </c>
      <c r="K581" s="5" t="s">
        <v>35</v>
      </c>
      <c r="L581" s="6" t="s">
        <v>855</v>
      </c>
      <c r="M581" s="5" t="s">
        <v>46</v>
      </c>
      <c r="N581" s="5" t="s">
        <v>27</v>
      </c>
      <c r="O581" s="5">
        <v>8362.0</v>
      </c>
      <c r="P581" s="5">
        <v>31.0</v>
      </c>
      <c r="Q581" s="5">
        <v>5959.0</v>
      </c>
      <c r="R581" s="5">
        <v>7947.0</v>
      </c>
      <c r="S581" s="5">
        <v>7.0</v>
      </c>
      <c r="T581" s="5">
        <v>6997.468963</v>
      </c>
    </row>
    <row r="582">
      <c r="A582" s="4" t="s">
        <v>1576</v>
      </c>
      <c r="B582" s="4" t="str">
        <f>IFERROR(__xludf.DUMMYFUNCTION("SPLIT(A582:A1308, ""&gt;"")"),"OnAudience ")</f>
        <v>OnAudience </v>
      </c>
      <c r="C582" s="4" t="str">
        <f>IFERROR(__xludf.DUMMYFUNCTION("""COMPUTED_VALUE""")," Interest ")</f>
        <v> Interest </v>
      </c>
      <c r="D582" s="4" t="str">
        <f>IFERROR(__xludf.DUMMYFUNCTION("""COMPUTED_VALUE""")," Society")</f>
        <v> Society</v>
      </c>
      <c r="E582" s="4"/>
      <c r="F582" s="4"/>
      <c r="G582" s="4"/>
      <c r="H582" s="4"/>
      <c r="I582" s="5" t="s">
        <v>61</v>
      </c>
      <c r="J582" s="5" t="s">
        <v>16</v>
      </c>
      <c r="K582" s="5" t="s">
        <v>66</v>
      </c>
      <c r="L582" s="6" t="s">
        <v>857</v>
      </c>
      <c r="M582" s="5" t="s">
        <v>26</v>
      </c>
      <c r="N582" s="5" t="s">
        <v>27</v>
      </c>
      <c r="O582" s="5">
        <v>7531.0</v>
      </c>
      <c r="P582" s="5">
        <v>10.0</v>
      </c>
      <c r="Q582" s="5">
        <v>3059.0</v>
      </c>
      <c r="R582" s="5">
        <v>6523.0</v>
      </c>
      <c r="S582" s="5">
        <v>1.0</v>
      </c>
      <c r="T582" s="5">
        <v>1937.058388</v>
      </c>
    </row>
    <row r="583">
      <c r="A583" s="4" t="s">
        <v>1577</v>
      </c>
      <c r="B583" s="4" t="str">
        <f>IFERROR(__xludf.DUMMYFUNCTION("SPLIT(A583:A1309, ""&gt;"")"),"Online Behavior")</f>
        <v>Online Behavior</v>
      </c>
      <c r="C583" s="4" t="str">
        <f>IFERROR(__xludf.DUMMYFUNCTION("""COMPUTED_VALUE"""),"United States")</f>
        <v>United States</v>
      </c>
      <c r="D583" s="4" t="str">
        <f>IFERROR(__xludf.DUMMYFUNCTION("""COMPUTED_VALUE"""),"Autos and Vehicles ")</f>
        <v>Autos and Vehicles </v>
      </c>
      <c r="E583" s="4" t="str">
        <f>IFERROR(__xludf.DUMMYFUNCTION("""COMPUTED_VALUE""")," Brands")</f>
        <v> Brands</v>
      </c>
      <c r="F583" s="4" t="str">
        <f>IFERROR(__xludf.DUMMYFUNCTION("""COMPUTED_VALUE"""),"Fiat")</f>
        <v>Fiat</v>
      </c>
      <c r="G583" s="4"/>
      <c r="H583" s="4"/>
      <c r="I583" s="5" t="s">
        <v>15</v>
      </c>
      <c r="J583" s="5" t="s">
        <v>42</v>
      </c>
      <c r="K583" s="5" t="s">
        <v>35</v>
      </c>
      <c r="L583" s="6" t="s">
        <v>859</v>
      </c>
      <c r="M583" s="5" t="s">
        <v>36</v>
      </c>
      <c r="N583" s="5" t="s">
        <v>27</v>
      </c>
      <c r="O583" s="5">
        <v>11417.0</v>
      </c>
      <c r="P583" s="5">
        <v>78.0</v>
      </c>
      <c r="Q583" s="5">
        <v>1387.0</v>
      </c>
      <c r="R583" s="5">
        <v>9924.0</v>
      </c>
      <c r="S583" s="5">
        <v>9.0</v>
      </c>
      <c r="T583" s="5">
        <v>6206.637108</v>
      </c>
    </row>
    <row r="584">
      <c r="A584" s="4" t="s">
        <v>1924</v>
      </c>
      <c r="B584" s="4" t="str">
        <f>IFERROR(__xludf.DUMMYFUNCTION("SPLIT(A584:A1310, ""&gt;"")"),"Mobile - US ")</f>
        <v>Mobile - US </v>
      </c>
      <c r="C584" s="4" t="str">
        <f>IFERROR(__xludf.DUMMYFUNCTION("""COMPUTED_VALUE""")," Automotive ")</f>
        <v> Automotive </v>
      </c>
      <c r="D584" s="4" t="str">
        <f>IFERROR(__xludf.DUMMYFUNCTION("""COMPUTED_VALUE""")," Repair &amp; Oil Change ")</f>
        <v> Repair &amp; Oil Change </v>
      </c>
      <c r="E584" s="4" t="str">
        <f>IFERROR(__xludf.DUMMYFUNCTION("""COMPUTED_VALUE""")," Intend")</f>
        <v> Intend</v>
      </c>
      <c r="F584" s="4"/>
      <c r="G584" s="4"/>
      <c r="H584" s="4"/>
      <c r="I584" s="5" t="s">
        <v>22</v>
      </c>
      <c r="J584" s="5" t="s">
        <v>16</v>
      </c>
      <c r="K584" s="5" t="s">
        <v>29</v>
      </c>
      <c r="L584" s="6" t="s">
        <v>861</v>
      </c>
      <c r="M584" s="5" t="s">
        <v>117</v>
      </c>
      <c r="N584" s="5" t="s">
        <v>27</v>
      </c>
      <c r="O584" s="5">
        <v>9157.0</v>
      </c>
      <c r="P584" s="5">
        <v>60.0</v>
      </c>
      <c r="Q584" s="5">
        <v>4520.0</v>
      </c>
      <c r="R584" s="5">
        <v>8037.0</v>
      </c>
      <c r="S584" s="5">
        <v>2.0</v>
      </c>
      <c r="T584" s="5">
        <v>1449.177804</v>
      </c>
    </row>
    <row r="585">
      <c r="A585" s="4" t="s">
        <v>1925</v>
      </c>
      <c r="B585" s="4" t="str">
        <f>IFERROR(__xludf.DUMMYFUNCTION("SPLIT(A585:A1311, ""&gt;"")"),"US ")</f>
        <v>US </v>
      </c>
      <c r="C585" s="4" t="str">
        <f>IFERROR(__xludf.DUMMYFUNCTION("""COMPUTED_VALUE""")," Home Renovation ")</f>
        <v> Home Renovation </v>
      </c>
      <c r="D585" s="4" t="str">
        <f>IFERROR(__xludf.DUMMYFUNCTION("""COMPUTED_VALUE""")," Home Renovators")</f>
        <v> Home Renovators</v>
      </c>
      <c r="E585" s="4"/>
      <c r="F585" s="4"/>
      <c r="G585" s="4"/>
      <c r="H585" s="4"/>
      <c r="I585" s="5" t="s">
        <v>15</v>
      </c>
      <c r="J585" s="5" t="s">
        <v>31</v>
      </c>
      <c r="K585" s="5" t="s">
        <v>35</v>
      </c>
      <c r="L585" s="6" t="s">
        <v>863</v>
      </c>
      <c r="M585" s="5" t="s">
        <v>19</v>
      </c>
      <c r="N585" s="5" t="s">
        <v>27</v>
      </c>
      <c r="O585" s="5">
        <v>15547.0</v>
      </c>
      <c r="P585" s="5">
        <v>70.0</v>
      </c>
      <c r="Q585" s="5">
        <v>7615.0</v>
      </c>
      <c r="R585" s="5">
        <v>14939.0</v>
      </c>
      <c r="S585" s="5">
        <v>3.0</v>
      </c>
      <c r="T585" s="5">
        <v>1767.464456</v>
      </c>
    </row>
    <row r="586">
      <c r="A586" s="4" t="s">
        <v>864</v>
      </c>
      <c r="B586" s="4" t="str">
        <f>IFERROR(__xludf.DUMMYFUNCTION("SPLIT(A586:A1312, ""&gt;"")"),"Online Behavior")</f>
        <v>Online Behavior</v>
      </c>
      <c r="C586" s="4" t="str">
        <f>IFERROR(__xludf.DUMMYFUNCTION("""COMPUTED_VALUE"""),"United States")</f>
        <v>United States</v>
      </c>
      <c r="D586" s="4" t="str">
        <f>IFERROR(__xludf.DUMMYFUNCTION("""COMPUTED_VALUE"""),"News")</f>
        <v>News</v>
      </c>
      <c r="E586" s="4" t="str">
        <f>IFERROR(__xludf.DUMMYFUNCTION("""COMPUTED_VALUE"""),"Politics")</f>
        <v>Politics</v>
      </c>
      <c r="F586" s="4"/>
      <c r="G586" s="4"/>
      <c r="H586" s="4"/>
      <c r="I586" s="5" t="s">
        <v>22</v>
      </c>
      <c r="J586" s="5" t="s">
        <v>23</v>
      </c>
      <c r="K586" s="5" t="s">
        <v>78</v>
      </c>
      <c r="L586" s="6" t="s">
        <v>865</v>
      </c>
      <c r="M586" s="5" t="s">
        <v>19</v>
      </c>
      <c r="N586" s="5" t="s">
        <v>27</v>
      </c>
      <c r="O586" s="5">
        <v>55445.0</v>
      </c>
      <c r="P586" s="5">
        <v>155.0</v>
      </c>
      <c r="Q586" s="5">
        <v>4565.0</v>
      </c>
      <c r="R586" s="5">
        <v>53407.0</v>
      </c>
      <c r="S586" s="5">
        <v>36.0</v>
      </c>
      <c r="T586" s="5">
        <v>7948.480752</v>
      </c>
    </row>
    <row r="587">
      <c r="A587" s="4" t="s">
        <v>866</v>
      </c>
      <c r="B587" s="4" t="str">
        <f>IFERROR(__xludf.DUMMYFUNCTION("SPLIT(A587:A1313, ""&gt;"")"),"Online Behavior")</f>
        <v>Online Behavior</v>
      </c>
      <c r="C587" s="4" t="str">
        <f>IFERROR(__xludf.DUMMYFUNCTION("""COMPUTED_VALUE"""),"United States")</f>
        <v>United States</v>
      </c>
      <c r="D587" s="4" t="str">
        <f>IFERROR(__xludf.DUMMYFUNCTION("""COMPUTED_VALUE"""),"Life Event")</f>
        <v>Life Event</v>
      </c>
      <c r="E587" s="4" t="str">
        <f>IFERROR(__xludf.DUMMYFUNCTION("""COMPUTED_VALUE"""),"Job Search")</f>
        <v>Job Search</v>
      </c>
      <c r="F587" s="4"/>
      <c r="G587" s="4"/>
      <c r="H587" s="4"/>
      <c r="I587" s="5" t="s">
        <v>22</v>
      </c>
      <c r="J587" s="5" t="s">
        <v>42</v>
      </c>
      <c r="K587" s="5" t="s">
        <v>78</v>
      </c>
      <c r="L587" s="6" t="s">
        <v>865</v>
      </c>
      <c r="M587" s="5" t="s">
        <v>19</v>
      </c>
      <c r="N587" s="5" t="s">
        <v>27</v>
      </c>
      <c r="O587" s="5">
        <v>18081.0</v>
      </c>
      <c r="P587" s="5">
        <v>44.0</v>
      </c>
      <c r="Q587" s="5">
        <v>4545.0</v>
      </c>
      <c r="R587" s="5">
        <v>15617.0</v>
      </c>
      <c r="S587" s="5">
        <v>15.0</v>
      </c>
      <c r="T587" s="5">
        <v>6522.637526</v>
      </c>
    </row>
    <row r="588">
      <c r="A588" s="4" t="s">
        <v>1581</v>
      </c>
      <c r="B588" s="4" t="str">
        <f>IFERROR(__xludf.DUMMYFUNCTION("SPLIT(A588:A1314, ""&gt;"")"),"Online Behavior")</f>
        <v>Online Behavior</v>
      </c>
      <c r="C588" s="4" t="str">
        <f>IFERROR(__xludf.DUMMYFUNCTION("""COMPUTED_VALUE"""),"United States")</f>
        <v>United States</v>
      </c>
      <c r="D588" s="4" t="str">
        <f>IFERROR(__xludf.DUMMYFUNCTION("""COMPUTED_VALUE"""),"Food and Drink")</f>
        <v>Food and Drink</v>
      </c>
      <c r="E588" s="4" t="str">
        <f>IFERROR(__xludf.DUMMYFUNCTION("""COMPUTED_VALUE"""),"Restaurants ")</f>
        <v>Restaurants </v>
      </c>
      <c r="F588" s="4" t="str">
        <f>IFERROR(__xludf.DUMMYFUNCTION("""COMPUTED_VALUE""")," Fine Dining")</f>
        <v> Fine Dining</v>
      </c>
      <c r="G588" s="4"/>
      <c r="H588" s="4"/>
      <c r="I588" s="5" t="s">
        <v>15</v>
      </c>
      <c r="J588" s="5" t="s">
        <v>31</v>
      </c>
      <c r="K588" s="5" t="s">
        <v>78</v>
      </c>
      <c r="L588" s="6" t="s">
        <v>865</v>
      </c>
      <c r="M588" s="5" t="s">
        <v>19</v>
      </c>
      <c r="N588" s="5" t="s">
        <v>52</v>
      </c>
      <c r="O588" s="5">
        <v>95655.0</v>
      </c>
      <c r="P588" s="5">
        <v>275.0</v>
      </c>
      <c r="Q588" s="5">
        <v>9202.0</v>
      </c>
      <c r="R588" s="5">
        <v>85273.0</v>
      </c>
      <c r="S588" s="5">
        <v>24.0</v>
      </c>
      <c r="T588" s="5">
        <v>6189.416082</v>
      </c>
    </row>
    <row r="589">
      <c r="A589" s="4" t="s">
        <v>1926</v>
      </c>
      <c r="B589" s="4" t="str">
        <f>IFERROR(__xludf.DUMMYFUNCTION("SPLIT(A589:A1315, ""&gt;"")"),"US ")</f>
        <v>US </v>
      </c>
      <c r="C589" s="4" t="str">
        <f>IFERROR(__xludf.DUMMYFUNCTION("""COMPUTED_VALUE""")," Brand Propensities ")</f>
        <v> Brand Propensities </v>
      </c>
      <c r="D589" s="4" t="str">
        <f>IFERROR(__xludf.DUMMYFUNCTION("""COMPUTED_VALUE""")," Apparel ")</f>
        <v> Apparel </v>
      </c>
      <c r="E589" s="4" t="str">
        <f>IFERROR(__xludf.DUMMYFUNCTION("""COMPUTED_VALUE""")," Lady Foot Locker Buyer Propensity")</f>
        <v> Lady Foot Locker Buyer Propensity</v>
      </c>
      <c r="F589" s="4"/>
      <c r="G589" s="4"/>
      <c r="H589" s="4"/>
      <c r="I589" s="5" t="s">
        <v>15</v>
      </c>
      <c r="J589" s="5" t="s">
        <v>16</v>
      </c>
      <c r="K589" s="5" t="s">
        <v>641</v>
      </c>
      <c r="L589" s="6" t="s">
        <v>865</v>
      </c>
      <c r="M589" s="5" t="s">
        <v>26</v>
      </c>
      <c r="N589" s="5" t="s">
        <v>52</v>
      </c>
      <c r="O589" s="5">
        <v>57257.0</v>
      </c>
      <c r="P589" s="5">
        <v>167.0</v>
      </c>
      <c r="Q589" s="5">
        <v>3797.0</v>
      </c>
      <c r="R589" s="5">
        <v>51520.0</v>
      </c>
      <c r="S589" s="5">
        <v>1.0</v>
      </c>
      <c r="T589" s="5">
        <v>1841.358126</v>
      </c>
    </row>
    <row r="590">
      <c r="A590" s="4" t="s">
        <v>1927</v>
      </c>
      <c r="B590" s="4" t="str">
        <f>IFERROR(__xludf.DUMMYFUNCTION("SPLIT(A590:A1316, ""&gt;"")"),"US ")</f>
        <v>US </v>
      </c>
      <c r="C590" s="4" t="str">
        <f>IFERROR(__xludf.DUMMYFUNCTION("""COMPUTED_VALUE""")," Demographic ")</f>
        <v> Demographic </v>
      </c>
      <c r="D590" s="4" t="str">
        <f>IFERROR(__xludf.DUMMYFUNCTION("""COMPUTED_VALUE""")," Household Income $50k+")</f>
        <v> Household Income $50k+</v>
      </c>
      <c r="E590" s="4"/>
      <c r="F590" s="4"/>
      <c r="G590" s="4"/>
      <c r="H590" s="4"/>
      <c r="I590" s="5" t="s">
        <v>61</v>
      </c>
      <c r="J590" s="5" t="s">
        <v>42</v>
      </c>
      <c r="K590" s="5" t="s">
        <v>39</v>
      </c>
      <c r="L590" s="6" t="s">
        <v>865</v>
      </c>
      <c r="M590" s="5" t="s">
        <v>36</v>
      </c>
      <c r="N590" s="5" t="s">
        <v>27</v>
      </c>
      <c r="O590" s="5">
        <v>20417.0</v>
      </c>
      <c r="P590" s="5">
        <v>86.0</v>
      </c>
      <c r="Q590" s="5">
        <v>1016.0</v>
      </c>
      <c r="R590" s="5">
        <v>13468.0</v>
      </c>
      <c r="S590" s="5">
        <v>5.0</v>
      </c>
      <c r="T590" s="5">
        <v>1805.600513</v>
      </c>
    </row>
    <row r="591">
      <c r="A591" s="4" t="s">
        <v>1928</v>
      </c>
      <c r="B591" s="4" t="str">
        <f>IFERROR(__xludf.DUMMYFUNCTION("SPLIT(A591:A1317, ""&gt;"")"),"Mobile - US ")</f>
        <v>Mobile - US </v>
      </c>
      <c r="C591" s="4" t="str">
        <f>IFERROR(__xludf.DUMMYFUNCTION("""COMPUTED_VALUE""")," Food ")</f>
        <v> Food </v>
      </c>
      <c r="D591" s="4" t="str">
        <f>IFERROR(__xludf.DUMMYFUNCTION("""COMPUTED_VALUE""")," Restaurant ")</f>
        <v> Restaurant </v>
      </c>
      <c r="E591" s="4" t="str">
        <f>IFERROR(__xludf.DUMMYFUNCTION("""COMPUTED_VALUE""")," Brand ")</f>
        <v> Brand </v>
      </c>
      <c r="F591" s="4" t="str">
        <f>IFERROR(__xludf.DUMMYFUNCTION("""COMPUTED_VALUE""")," Red Lobster")</f>
        <v> Red Lobster</v>
      </c>
      <c r="G591" s="4"/>
      <c r="H591" s="4"/>
      <c r="I591" s="5" t="s">
        <v>15</v>
      </c>
      <c r="J591" s="5" t="s">
        <v>23</v>
      </c>
      <c r="K591" s="5" t="s">
        <v>35</v>
      </c>
      <c r="L591" s="6" t="s">
        <v>865</v>
      </c>
      <c r="M591" s="5" t="s">
        <v>46</v>
      </c>
      <c r="N591" s="5" t="s">
        <v>27</v>
      </c>
      <c r="O591" s="5">
        <v>57917.0</v>
      </c>
      <c r="P591" s="5">
        <v>212.0</v>
      </c>
      <c r="Q591" s="5">
        <v>3650.0</v>
      </c>
      <c r="R591" s="5">
        <v>55128.0</v>
      </c>
      <c r="S591" s="5">
        <v>5.0</v>
      </c>
      <c r="T591" s="5">
        <v>1669.728905</v>
      </c>
    </row>
    <row r="592">
      <c r="A592" s="4" t="s">
        <v>1929</v>
      </c>
      <c r="B592" s="4" t="str">
        <f>IFERROR(__xludf.DUMMYFUNCTION("SPLIT(A592:A1318, ""&gt;"")"),"US ")</f>
        <v>US </v>
      </c>
      <c r="C592" s="4" t="str">
        <f>IFERROR(__xludf.DUMMYFUNCTION("""COMPUTED_VALUE""")," B2B ")</f>
        <v> B2B </v>
      </c>
      <c r="D592" s="4" t="str">
        <f>IFERROR(__xludf.DUMMYFUNCTION("""COMPUTED_VALUE""")," B2B Decision Maker Responsibilities ")</f>
        <v> B2B Decision Maker Responsibilities </v>
      </c>
      <c r="E592" s="4" t="str">
        <f>IFERROR(__xludf.DUMMYFUNCTION("""COMPUTED_VALUE""")," Print, Copy or Photo Services")</f>
        <v> Print, Copy or Photo Services</v>
      </c>
      <c r="F592" s="4"/>
      <c r="G592" s="4"/>
      <c r="H592" s="4"/>
      <c r="I592" s="5" t="s">
        <v>15</v>
      </c>
      <c r="J592" s="5" t="s">
        <v>16</v>
      </c>
      <c r="K592" s="5" t="s">
        <v>29</v>
      </c>
      <c r="L592" s="6" t="s">
        <v>865</v>
      </c>
      <c r="M592" s="5" t="s">
        <v>19</v>
      </c>
      <c r="N592" s="5" t="s">
        <v>27</v>
      </c>
      <c r="O592" s="5">
        <v>141157.0</v>
      </c>
      <c r="P592" s="5">
        <v>420.0</v>
      </c>
      <c r="Q592" s="5">
        <v>8280.0</v>
      </c>
      <c r="R592" s="5">
        <v>107935.0</v>
      </c>
      <c r="S592" s="5">
        <v>4.0</v>
      </c>
      <c r="T592" s="5">
        <v>1631.782949</v>
      </c>
    </row>
    <row r="593">
      <c r="A593" s="4" t="s">
        <v>1586</v>
      </c>
      <c r="B593" s="4" t="str">
        <f>IFERROR(__xludf.DUMMYFUNCTION("SPLIT(A593:A1319, ""&gt;"")"),"Online Behavior")</f>
        <v>Online Behavior</v>
      </c>
      <c r="C593" s="4" t="str">
        <f>IFERROR(__xludf.DUMMYFUNCTION("""COMPUTED_VALUE"""),"United States")</f>
        <v>United States</v>
      </c>
      <c r="D593" s="4" t="str">
        <f>IFERROR(__xludf.DUMMYFUNCTION("""COMPUTED_VALUE"""),"Beauty and Fitness")</f>
        <v>Beauty and Fitness</v>
      </c>
      <c r="E593" s="4" t="str">
        <f>IFERROR(__xludf.DUMMYFUNCTION("""COMPUTED_VALUE"""),"Face and Body Care ")</f>
        <v>Face and Body Care </v>
      </c>
      <c r="F593" s="4" t="str">
        <f>IFERROR(__xludf.DUMMYFUNCTION("""COMPUTED_VALUE""")," Hygiene and Toiletries")</f>
        <v> Hygiene and Toiletries</v>
      </c>
      <c r="G593" s="4"/>
      <c r="H593" s="4"/>
      <c r="I593" s="5" t="s">
        <v>15</v>
      </c>
      <c r="J593" s="5" t="s">
        <v>31</v>
      </c>
      <c r="K593" s="5" t="s">
        <v>35</v>
      </c>
      <c r="L593" s="6" t="s">
        <v>873</v>
      </c>
      <c r="M593" s="5" t="s">
        <v>48</v>
      </c>
      <c r="N593" s="5" t="s">
        <v>27</v>
      </c>
      <c r="O593" s="5">
        <v>247106.0</v>
      </c>
      <c r="P593" s="5">
        <v>750.0</v>
      </c>
      <c r="Q593" s="5">
        <v>159618.0</v>
      </c>
      <c r="R593" s="5">
        <v>233150.0</v>
      </c>
      <c r="S593" s="5">
        <v>32.0</v>
      </c>
      <c r="T593" s="5">
        <v>7629.94427</v>
      </c>
    </row>
    <row r="594">
      <c r="A594" s="4" t="s">
        <v>1587</v>
      </c>
      <c r="B594" s="4" t="str">
        <f>IFERROR(__xludf.DUMMYFUNCTION("SPLIT(A594:A1320, ""&gt;"")"),"Online Behavior")</f>
        <v>Online Behavior</v>
      </c>
      <c r="C594" s="4" t="str">
        <f>IFERROR(__xludf.DUMMYFUNCTION("""COMPUTED_VALUE"""),"United States")</f>
        <v>United States</v>
      </c>
      <c r="D594" s="4" t="str">
        <f>IFERROR(__xludf.DUMMYFUNCTION("""COMPUTED_VALUE"""),"Finance ")</f>
        <v>Finance </v>
      </c>
      <c r="E594" s="4" t="str">
        <f>IFERROR(__xludf.DUMMYFUNCTION("""COMPUTED_VALUE""")," Banking")</f>
        <v> Banking</v>
      </c>
      <c r="F594" s="4" t="str">
        <f>IFERROR(__xludf.DUMMYFUNCTION("""COMPUTED_VALUE"""),"Savings Accounts")</f>
        <v>Savings Accounts</v>
      </c>
      <c r="G594" s="4"/>
      <c r="H594" s="4"/>
      <c r="I594" s="5" t="s">
        <v>15</v>
      </c>
      <c r="J594" s="5" t="s">
        <v>16</v>
      </c>
      <c r="K594" s="5" t="s">
        <v>35</v>
      </c>
      <c r="L594" s="6" t="s">
        <v>873</v>
      </c>
      <c r="M594" s="5" t="s">
        <v>19</v>
      </c>
      <c r="N594" s="5" t="s">
        <v>27</v>
      </c>
      <c r="O594" s="5">
        <v>357707.0</v>
      </c>
      <c r="P594" s="5">
        <v>951.0</v>
      </c>
      <c r="Q594" s="5">
        <v>203987.0</v>
      </c>
      <c r="R594" s="5">
        <v>338107.0</v>
      </c>
      <c r="S594" s="5">
        <v>74.0</v>
      </c>
      <c r="T594" s="5">
        <v>6749.202353</v>
      </c>
    </row>
    <row r="595">
      <c r="A595" s="4" t="s">
        <v>1588</v>
      </c>
      <c r="B595" s="4" t="str">
        <f>IFERROR(__xludf.DUMMYFUNCTION("SPLIT(A595:A1321, ""&gt;"")"),"Online Behavior")</f>
        <v>Online Behavior</v>
      </c>
      <c r="C595" s="4" t="str">
        <f>IFERROR(__xludf.DUMMYFUNCTION("""COMPUTED_VALUE"""),"United States")</f>
        <v>United States</v>
      </c>
      <c r="D595" s="4" t="str">
        <f>IFERROR(__xludf.DUMMYFUNCTION("""COMPUTED_VALUE"""),"Validated Demographic ")</f>
        <v>Validated Demographic </v>
      </c>
      <c r="E595" s="4" t="str">
        <f>IFERROR(__xludf.DUMMYFUNCTION("""COMPUTED_VALUE""")," Gender and Age Combined")</f>
        <v> Gender and Age Combined</v>
      </c>
      <c r="F595" s="4" t="str">
        <f>IFERROR(__xludf.DUMMYFUNCTION("""COMPUTED_VALUE"""),"Males 25-64")</f>
        <v>Males 25-64</v>
      </c>
      <c r="G595" s="4"/>
      <c r="H595" s="4"/>
      <c r="I595" s="5" t="s">
        <v>15</v>
      </c>
      <c r="J595" s="5" t="s">
        <v>42</v>
      </c>
      <c r="K595" s="5" t="s">
        <v>35</v>
      </c>
      <c r="L595" s="6" t="s">
        <v>873</v>
      </c>
      <c r="M595" s="5" t="s">
        <v>117</v>
      </c>
      <c r="N595" s="5" t="s">
        <v>20</v>
      </c>
      <c r="O595" s="5">
        <v>48707.0</v>
      </c>
      <c r="P595" s="5">
        <v>185.0</v>
      </c>
      <c r="Q595" s="5">
        <v>25182.0</v>
      </c>
      <c r="R595" s="5">
        <v>44696.0</v>
      </c>
      <c r="S595" s="5">
        <v>13.0</v>
      </c>
      <c r="T595" s="5">
        <v>5600.355643</v>
      </c>
    </row>
    <row r="596">
      <c r="A596" s="4" t="s">
        <v>1930</v>
      </c>
      <c r="B596" s="4" t="str">
        <f>IFERROR(__xludf.DUMMYFUNCTION("SPLIT(A596:A1322, ""&gt;"")"),"Mobile - US ")</f>
        <v>Mobile - US </v>
      </c>
      <c r="C596" s="4" t="str">
        <f>IFERROR(__xludf.DUMMYFUNCTION("""COMPUTED_VALUE""")," Gamers ")</f>
        <v> Gamers </v>
      </c>
      <c r="D596" s="4" t="str">
        <f>IFERROR(__xludf.DUMMYFUNCTION("""COMPUTED_VALUE""")," Online ")</f>
        <v> Online </v>
      </c>
      <c r="E596" s="4" t="str">
        <f>IFERROR(__xludf.DUMMYFUNCTION("""COMPUTED_VALUE""")," Users")</f>
        <v> Users</v>
      </c>
      <c r="F596" s="4"/>
      <c r="G596" s="4"/>
      <c r="H596" s="4"/>
      <c r="I596" s="5" t="s">
        <v>22</v>
      </c>
      <c r="J596" s="5" t="s">
        <v>16</v>
      </c>
      <c r="K596" s="5" t="s">
        <v>155</v>
      </c>
      <c r="L596" s="6" t="s">
        <v>873</v>
      </c>
      <c r="M596" s="5" t="s">
        <v>36</v>
      </c>
      <c r="N596" s="5" t="s">
        <v>27</v>
      </c>
      <c r="O596" s="5">
        <v>16372.0</v>
      </c>
      <c r="P596" s="5">
        <v>90.0</v>
      </c>
      <c r="Q596" s="5">
        <v>4731.0</v>
      </c>
      <c r="R596" s="5">
        <v>15332.0</v>
      </c>
      <c r="S596" s="5">
        <v>9.0</v>
      </c>
      <c r="T596" s="5">
        <v>1704.511123</v>
      </c>
    </row>
    <row r="597">
      <c r="A597" s="4" t="s">
        <v>1931</v>
      </c>
      <c r="B597" s="4" t="str">
        <f>IFERROR(__xludf.DUMMYFUNCTION("SPLIT(A597:A1323, ""&gt;"")"),"US ")</f>
        <v>US </v>
      </c>
      <c r="C597" s="4" t="str">
        <f>IFERROR(__xludf.DUMMYFUNCTION("""COMPUTED_VALUE""")," Interest Propensities ")</f>
        <v> Interest Propensities </v>
      </c>
      <c r="D597" s="4" t="str">
        <f>IFERROR(__xludf.DUMMYFUNCTION("""COMPUTED_VALUE""")," Activities and Interests ")</f>
        <v> Activities and Interests </v>
      </c>
      <c r="E597" s="4" t="str">
        <f>IFERROR(__xludf.DUMMYFUNCTION("""COMPUTED_VALUE""")," Buying and Selling Homes ")</f>
        <v> Buying and Selling Homes </v>
      </c>
      <c r="F597" s="4" t="str">
        <f>IFERROR(__xludf.DUMMYFUNCTION("""COMPUTED_VALUE""")," Real Estate")</f>
        <v> Real Estate</v>
      </c>
      <c r="G597" s="4"/>
      <c r="H597" s="4"/>
      <c r="I597" s="5" t="s">
        <v>15</v>
      </c>
      <c r="J597" s="5" t="s">
        <v>16</v>
      </c>
      <c r="K597" s="5" t="s">
        <v>55</v>
      </c>
      <c r="L597" s="6" t="s">
        <v>873</v>
      </c>
      <c r="M597" s="5" t="s">
        <v>19</v>
      </c>
      <c r="N597" s="5" t="s">
        <v>27</v>
      </c>
      <c r="O597" s="5">
        <v>14799.0</v>
      </c>
      <c r="P597" s="5">
        <v>59.0</v>
      </c>
      <c r="Q597" s="5">
        <v>1403.0</v>
      </c>
      <c r="R597" s="5">
        <v>13410.0</v>
      </c>
      <c r="S597" s="5">
        <v>9.0</v>
      </c>
      <c r="T597" s="5">
        <v>1693.760435</v>
      </c>
    </row>
    <row r="598">
      <c r="A598" s="4" t="s">
        <v>1932</v>
      </c>
      <c r="B598" s="4" t="str">
        <f>IFERROR(__xludf.DUMMYFUNCTION("SPLIT(A598:A1324, ""&gt;"")"),"OnAudience ")</f>
        <v>OnAudience </v>
      </c>
      <c r="C598" s="4" t="str">
        <f>IFERROR(__xludf.DUMMYFUNCTION("""COMPUTED_VALUE""")," Interest ")</f>
        <v> Interest </v>
      </c>
      <c r="D598" s="4" t="str">
        <f>IFERROR(__xludf.DUMMYFUNCTION("""COMPUTED_VALUE""")," Shopping ")</f>
        <v> Shopping </v>
      </c>
      <c r="E598" s="4" t="str">
        <f>IFERROR(__xludf.DUMMYFUNCTION("""COMPUTED_VALUE""")," Luxurious Brands")</f>
        <v> Luxurious Brands</v>
      </c>
      <c r="F598" s="4"/>
      <c r="G598" s="4"/>
      <c r="H598" s="4"/>
      <c r="I598" s="5" t="s">
        <v>22</v>
      </c>
      <c r="J598" s="5" t="s">
        <v>42</v>
      </c>
      <c r="K598" s="5" t="s">
        <v>45</v>
      </c>
      <c r="L598" s="6" t="s">
        <v>873</v>
      </c>
      <c r="M598" s="5" t="s">
        <v>19</v>
      </c>
      <c r="N598" s="5" t="s">
        <v>27</v>
      </c>
      <c r="O598" s="5">
        <v>97346.0</v>
      </c>
      <c r="P598" s="5">
        <v>790.0</v>
      </c>
      <c r="Q598" s="5">
        <v>44118.0</v>
      </c>
      <c r="R598" s="5">
        <v>91080.0</v>
      </c>
      <c r="S598" s="5">
        <v>19.0</v>
      </c>
      <c r="T598" s="5">
        <v>1657.56487</v>
      </c>
    </row>
    <row r="599">
      <c r="A599" s="4" t="s">
        <v>1592</v>
      </c>
      <c r="B599" s="4" t="str">
        <f>IFERROR(__xludf.DUMMYFUNCTION("SPLIT(A599:A1325, ""&gt;"")"),"Online Behavior")</f>
        <v>Online Behavior</v>
      </c>
      <c r="C599" s="4" t="str">
        <f>IFERROR(__xludf.DUMMYFUNCTION("""COMPUTED_VALUE"""),"United States")</f>
        <v>United States</v>
      </c>
      <c r="D599" s="4" t="str">
        <f>IFERROR(__xludf.DUMMYFUNCTION("""COMPUTED_VALUE"""),"Validated Demographic ")</f>
        <v>Validated Demographic </v>
      </c>
      <c r="E599" s="4" t="str">
        <f>IFERROR(__xludf.DUMMYFUNCTION("""COMPUTED_VALUE""")," Gender and Age Combined")</f>
        <v> Gender and Age Combined</v>
      </c>
      <c r="F599" s="4" t="str">
        <f>IFERROR(__xludf.DUMMYFUNCTION("""COMPUTED_VALUE"""),"Males 55-64")</f>
        <v>Males 55-64</v>
      </c>
      <c r="G599" s="4"/>
      <c r="H599" s="4"/>
      <c r="I599" s="5" t="s">
        <v>22</v>
      </c>
      <c r="J599" s="5" t="s">
        <v>23</v>
      </c>
      <c r="K599" s="5" t="s">
        <v>78</v>
      </c>
      <c r="L599" s="6" t="s">
        <v>880</v>
      </c>
      <c r="M599" s="5" t="s">
        <v>50</v>
      </c>
      <c r="N599" s="5" t="s">
        <v>27</v>
      </c>
      <c r="O599" s="5">
        <v>44361.0</v>
      </c>
      <c r="P599" s="5">
        <v>166.0</v>
      </c>
      <c r="Q599" s="5">
        <v>36040.0</v>
      </c>
      <c r="R599" s="5">
        <v>40684.0</v>
      </c>
      <c r="S599" s="5">
        <v>17.0</v>
      </c>
      <c r="T599" s="5">
        <v>5048.852553</v>
      </c>
    </row>
    <row r="600">
      <c r="A600" s="4" t="s">
        <v>881</v>
      </c>
      <c r="B600" s="4" t="str">
        <f>IFERROR(__xludf.DUMMYFUNCTION("SPLIT(A600:A1326, ""&gt;"")"),"Restaurants")</f>
        <v>Restaurants</v>
      </c>
      <c r="C600" s="4"/>
      <c r="D600" s="4"/>
      <c r="E600" s="4"/>
      <c r="F600" s="4"/>
      <c r="G600" s="4"/>
      <c r="H600" s="4"/>
      <c r="I600" s="5" t="s">
        <v>15</v>
      </c>
      <c r="J600" s="5" t="s">
        <v>42</v>
      </c>
      <c r="K600" s="5" t="s">
        <v>39</v>
      </c>
      <c r="L600" s="6" t="s">
        <v>880</v>
      </c>
      <c r="M600" s="5" t="s">
        <v>19</v>
      </c>
      <c r="N600" s="5" t="s">
        <v>27</v>
      </c>
      <c r="O600" s="5">
        <v>12280.0</v>
      </c>
      <c r="P600" s="5">
        <v>40.0</v>
      </c>
      <c r="Q600" s="5">
        <v>9613.0</v>
      </c>
      <c r="R600" s="5">
        <v>11247.0</v>
      </c>
      <c r="S600" s="5">
        <v>4.0</v>
      </c>
      <c r="T600" s="5">
        <v>1765.39871</v>
      </c>
    </row>
    <row r="601">
      <c r="A601" s="4" t="s">
        <v>1593</v>
      </c>
      <c r="B601" s="4" t="str">
        <f>IFERROR(__xludf.DUMMYFUNCTION("SPLIT(A601:A1327, ""&gt;"")"),"OnAudience ")</f>
        <v>OnAudience </v>
      </c>
      <c r="C601" s="4" t="str">
        <f>IFERROR(__xludf.DUMMYFUNCTION("""COMPUTED_VALUE""")," Interest ")</f>
        <v> Interest </v>
      </c>
      <c r="D601" s="4" t="str">
        <f>IFERROR(__xludf.DUMMYFUNCTION("""COMPUTED_VALUE""")," Hobbies &amp; Interests ")</f>
        <v> Hobbies &amp; Interests </v>
      </c>
      <c r="E601" s="4" t="str">
        <f>IFERROR(__xludf.DUMMYFUNCTION("""COMPUTED_VALUE""")," Art")</f>
        <v> Art</v>
      </c>
      <c r="F601" s="4"/>
      <c r="G601" s="4"/>
      <c r="H601" s="4"/>
      <c r="I601" s="5" t="s">
        <v>15</v>
      </c>
      <c r="J601" s="5" t="s">
        <v>16</v>
      </c>
      <c r="K601" s="5" t="s">
        <v>17</v>
      </c>
      <c r="L601" s="6" t="s">
        <v>880</v>
      </c>
      <c r="M601" s="5" t="s">
        <v>36</v>
      </c>
      <c r="N601" s="5" t="s">
        <v>52</v>
      </c>
      <c r="O601" s="5">
        <v>22934.0</v>
      </c>
      <c r="P601" s="5">
        <v>81.0</v>
      </c>
      <c r="Q601" s="5">
        <v>18536.0</v>
      </c>
      <c r="R601" s="5">
        <v>21019.0</v>
      </c>
      <c r="S601" s="5">
        <v>5.0</v>
      </c>
      <c r="T601" s="5">
        <v>1711.106338</v>
      </c>
    </row>
    <row r="602">
      <c r="A602" s="4" t="s">
        <v>1594</v>
      </c>
      <c r="B602" s="4" t="str">
        <f>IFERROR(__xludf.DUMMYFUNCTION("SPLIT(A602:A1328, ""&gt;"")"),"Online Behavior")</f>
        <v>Online Behavior</v>
      </c>
      <c r="C602" s="4" t="str">
        <f>IFERROR(__xludf.DUMMYFUNCTION("""COMPUTED_VALUE"""),"United States")</f>
        <v>United States</v>
      </c>
      <c r="D602" s="4" t="str">
        <f>IFERROR(__xludf.DUMMYFUNCTION("""COMPUTED_VALUE"""),"Autos and Vehicles ")</f>
        <v>Autos and Vehicles </v>
      </c>
      <c r="E602" s="4" t="str">
        <f>IFERROR(__xludf.DUMMYFUNCTION("""COMPUTED_VALUE""")," Brands")</f>
        <v> Brands</v>
      </c>
      <c r="F602" s="4" t="str">
        <f>IFERROR(__xludf.DUMMYFUNCTION("""COMPUTED_VALUE"""),"Peugeot")</f>
        <v>Peugeot</v>
      </c>
      <c r="G602" s="4"/>
      <c r="H602" s="4"/>
      <c r="I602" s="5" t="s">
        <v>22</v>
      </c>
      <c r="J602" s="5" t="s">
        <v>42</v>
      </c>
      <c r="K602" s="5" t="s">
        <v>35</v>
      </c>
      <c r="L602" s="6" t="s">
        <v>884</v>
      </c>
      <c r="M602" s="5" t="s">
        <v>19</v>
      </c>
      <c r="N602" s="5" t="s">
        <v>27</v>
      </c>
      <c r="O602" s="5">
        <v>17317.0</v>
      </c>
      <c r="P602" s="5">
        <v>68.0</v>
      </c>
      <c r="Q602" s="5">
        <v>8055.0</v>
      </c>
      <c r="R602" s="5">
        <v>12724.0</v>
      </c>
      <c r="S602" s="5">
        <v>12.0</v>
      </c>
      <c r="T602" s="5">
        <v>5668.857079</v>
      </c>
    </row>
    <row r="603">
      <c r="A603" s="4" t="s">
        <v>1595</v>
      </c>
      <c r="B603" s="4" t="str">
        <f>IFERROR(__xludf.DUMMYFUNCTION("SPLIT(A603:A1329, ""&gt;"")"),"OnAudience ")</f>
        <v>OnAudience </v>
      </c>
      <c r="C603" s="4" t="str">
        <f>IFERROR(__xludf.DUMMYFUNCTION("""COMPUTED_VALUE""")," Interest")</f>
        <v> Interest</v>
      </c>
      <c r="D603" s="4"/>
      <c r="E603" s="4"/>
      <c r="F603" s="4"/>
      <c r="G603" s="4"/>
      <c r="H603" s="4"/>
      <c r="I603" s="5" t="s">
        <v>15</v>
      </c>
      <c r="J603" s="5" t="s">
        <v>23</v>
      </c>
      <c r="K603" s="5" t="s">
        <v>78</v>
      </c>
      <c r="L603" s="6" t="s">
        <v>886</v>
      </c>
      <c r="M603" s="5" t="s">
        <v>36</v>
      </c>
      <c r="N603" s="5" t="s">
        <v>27</v>
      </c>
      <c r="O603" s="5">
        <v>11343.0</v>
      </c>
      <c r="P603" s="5">
        <v>69.0</v>
      </c>
      <c r="Q603" s="5">
        <v>5900.0</v>
      </c>
      <c r="R603" s="5">
        <v>10175.0</v>
      </c>
      <c r="S603" s="5">
        <v>3.0</v>
      </c>
      <c r="T603" s="5">
        <v>2178.153775</v>
      </c>
    </row>
    <row r="604">
      <c r="A604" s="4" t="s">
        <v>1596</v>
      </c>
      <c r="B604" s="4" t="str">
        <f>IFERROR(__xludf.DUMMYFUNCTION("SPLIT(A604:A1330, ""&gt;"")"),"Real Estate ")</f>
        <v>Real Estate </v>
      </c>
      <c r="C604" s="4" t="str">
        <f>IFERROR(__xludf.DUMMYFUNCTION("""COMPUTED_VALUE""")," Property Type")</f>
        <v> Property Type</v>
      </c>
      <c r="D604" s="4" t="str">
        <f>IFERROR(__xludf.DUMMYFUNCTION("""COMPUTED_VALUE""")," Residential")</f>
        <v> Residential</v>
      </c>
      <c r="E604" s="4"/>
      <c r="F604" s="4"/>
      <c r="G604" s="4"/>
      <c r="H604" s="4"/>
      <c r="I604" s="5" t="s">
        <v>15</v>
      </c>
      <c r="J604" s="5" t="s">
        <v>42</v>
      </c>
      <c r="K604" s="5" t="s">
        <v>356</v>
      </c>
      <c r="L604" s="6" t="s">
        <v>886</v>
      </c>
      <c r="M604" s="5" t="s">
        <v>19</v>
      </c>
      <c r="N604" s="5" t="s">
        <v>20</v>
      </c>
      <c r="O604" s="5">
        <v>11043.0</v>
      </c>
      <c r="P604" s="5">
        <v>125.0</v>
      </c>
      <c r="Q604" s="5">
        <v>4547.0</v>
      </c>
      <c r="R604" s="5">
        <v>9666.0</v>
      </c>
      <c r="S604" s="5">
        <v>13.0</v>
      </c>
      <c r="T604" s="5">
        <v>1858.132171</v>
      </c>
    </row>
    <row r="605">
      <c r="A605" s="4" t="s">
        <v>1933</v>
      </c>
      <c r="B605" s="4" t="str">
        <f>IFERROR(__xludf.DUMMYFUNCTION("SPLIT(A605:A1331, ""&gt;"")"),"Media Source ")</f>
        <v>Media Source </v>
      </c>
      <c r="C605" s="4" t="str">
        <f>IFERROR(__xludf.DUMMYFUNCTION("""COMPUTED_VALUE""")," LBDigital ")</f>
        <v> LBDigital </v>
      </c>
      <c r="D605" s="4" t="str">
        <f>IFERROR(__xludf.DUMMYFUNCTION("""COMPUTED_VALUE""")," Open For Business B2B")</f>
        <v> Open For Business B2B</v>
      </c>
      <c r="E605" s="4"/>
      <c r="F605" s="4"/>
      <c r="G605" s="4"/>
      <c r="H605" s="4"/>
      <c r="I605" s="5" t="s">
        <v>22</v>
      </c>
      <c r="J605" s="5" t="s">
        <v>31</v>
      </c>
      <c r="K605" s="5" t="s">
        <v>17</v>
      </c>
      <c r="L605" s="6" t="s">
        <v>886</v>
      </c>
      <c r="M605" s="5" t="s">
        <v>48</v>
      </c>
      <c r="N605" s="5" t="s">
        <v>27</v>
      </c>
      <c r="O605" s="5">
        <v>21737.0</v>
      </c>
      <c r="P605" s="5">
        <v>80.0</v>
      </c>
      <c r="Q605" s="5">
        <v>11206.0</v>
      </c>
      <c r="R605" s="5">
        <v>19459.0</v>
      </c>
      <c r="S605" s="5">
        <v>4.0</v>
      </c>
      <c r="T605" s="5">
        <v>1521.576648</v>
      </c>
    </row>
    <row r="606">
      <c r="A606" s="4" t="s">
        <v>889</v>
      </c>
      <c r="B606" s="4" t="str">
        <f>IFERROR(__xludf.DUMMYFUNCTION("SPLIT(A606:A1332, ""&gt;"")"),"Online Behavior")</f>
        <v>Online Behavior</v>
      </c>
      <c r="C606" s="4" t="str">
        <f>IFERROR(__xludf.DUMMYFUNCTION("""COMPUTED_VALUE"""),"United States")</f>
        <v>United States</v>
      </c>
      <c r="D606" s="4" t="str">
        <f>IFERROR(__xludf.DUMMYFUNCTION("""COMPUTED_VALUE"""),"Life Event")</f>
        <v>Life Event</v>
      </c>
      <c r="E606" s="4" t="str">
        <f>IFERROR(__xludf.DUMMYFUNCTION("""COMPUTED_VALUE"""),"Home Buying")</f>
        <v>Home Buying</v>
      </c>
      <c r="F606" s="4"/>
      <c r="G606" s="4"/>
      <c r="H606" s="4"/>
      <c r="I606" s="5" t="s">
        <v>15</v>
      </c>
      <c r="J606" s="5" t="s">
        <v>16</v>
      </c>
      <c r="K606" s="5" t="s">
        <v>78</v>
      </c>
      <c r="L606" s="6" t="s">
        <v>890</v>
      </c>
      <c r="M606" s="5" t="s">
        <v>26</v>
      </c>
      <c r="N606" s="5" t="s">
        <v>27</v>
      </c>
      <c r="O606" s="5">
        <v>9362.0</v>
      </c>
      <c r="P606" s="5">
        <v>39.0</v>
      </c>
      <c r="Q606" s="5">
        <v>5202.0</v>
      </c>
      <c r="R606" s="5">
        <v>8928.0</v>
      </c>
      <c r="S606" s="5">
        <v>6.0</v>
      </c>
      <c r="T606" s="5">
        <v>7312.492757</v>
      </c>
    </row>
    <row r="607">
      <c r="A607" s="4" t="s">
        <v>1598</v>
      </c>
      <c r="B607" s="4" t="str">
        <f>IFERROR(__xludf.DUMMYFUNCTION("SPLIT(A607:A1333, ""&gt;"")"),"OnAudience ")</f>
        <v>OnAudience </v>
      </c>
      <c r="C607" s="4" t="str">
        <f>IFERROR(__xludf.DUMMYFUNCTION("""COMPUTED_VALUE""")," Intent ")</f>
        <v> Intent </v>
      </c>
      <c r="D607" s="4" t="str">
        <f>IFERROR(__xludf.DUMMYFUNCTION("""COMPUTED_VALUE""")," Baby &amp; Toddler")</f>
        <v> Baby &amp; Toddler</v>
      </c>
      <c r="E607" s="4"/>
      <c r="F607" s="4"/>
      <c r="G607" s="4"/>
      <c r="H607" s="4"/>
      <c r="I607" s="5" t="s">
        <v>15</v>
      </c>
      <c r="J607" s="5" t="s">
        <v>31</v>
      </c>
      <c r="K607" s="5" t="s">
        <v>183</v>
      </c>
      <c r="L607" s="6" t="s">
        <v>890</v>
      </c>
      <c r="M607" s="5" t="s">
        <v>117</v>
      </c>
      <c r="N607" s="5" t="s">
        <v>52</v>
      </c>
      <c r="O607" s="5">
        <v>16628.0</v>
      </c>
      <c r="P607" s="5">
        <v>70.0</v>
      </c>
      <c r="Q607" s="5">
        <v>7974.0</v>
      </c>
      <c r="R607" s="5">
        <v>15969.0</v>
      </c>
      <c r="S607" s="5">
        <v>13.0</v>
      </c>
      <c r="T607" s="5">
        <v>1665.965851</v>
      </c>
    </row>
    <row r="608">
      <c r="A608" s="4" t="s">
        <v>1599</v>
      </c>
      <c r="B608" s="4" t="str">
        <f>IFERROR(__xludf.DUMMYFUNCTION("SPLIT(A608:A1334, ""&gt;"")"),"Online Behavior")</f>
        <v>Online Behavior</v>
      </c>
      <c r="C608" s="4" t="str">
        <f>IFERROR(__xludf.DUMMYFUNCTION("""COMPUTED_VALUE"""),"United States")</f>
        <v>United States</v>
      </c>
      <c r="D608" s="4" t="str">
        <f>IFERROR(__xludf.DUMMYFUNCTION("""COMPUTED_VALUE"""),"Beauty and Fitness")</f>
        <v>Beauty and Fitness</v>
      </c>
      <c r="E608" s="4" t="str">
        <f>IFERROR(__xludf.DUMMYFUNCTION("""COMPUTED_VALUE"""),"Fitness ")</f>
        <v>Fitness </v>
      </c>
      <c r="F608" s="4" t="str">
        <f>IFERROR(__xludf.DUMMYFUNCTION("""COMPUTED_VALUE""")," Fitness Equipment and Accessories")</f>
        <v> Fitness Equipment and Accessories</v>
      </c>
      <c r="G608" s="4"/>
      <c r="H608" s="4"/>
      <c r="I608" s="5" t="s">
        <v>15</v>
      </c>
      <c r="J608" s="5" t="s">
        <v>31</v>
      </c>
      <c r="K608" s="5" t="s">
        <v>66</v>
      </c>
      <c r="L608" s="6" t="s">
        <v>893</v>
      </c>
      <c r="M608" s="5" t="s">
        <v>19</v>
      </c>
      <c r="N608" s="5" t="s">
        <v>52</v>
      </c>
      <c r="O608" s="5">
        <v>24875.0</v>
      </c>
      <c r="P608" s="5">
        <v>67.0</v>
      </c>
      <c r="Q608" s="5">
        <v>14213.0</v>
      </c>
      <c r="R608" s="5">
        <v>23455.0</v>
      </c>
      <c r="S608" s="5">
        <v>8.0</v>
      </c>
      <c r="T608" s="5">
        <v>4652.242051</v>
      </c>
    </row>
    <row r="609">
      <c r="A609" s="4" t="s">
        <v>1934</v>
      </c>
      <c r="B609" s="4" t="str">
        <f>IFERROR(__xludf.DUMMYFUNCTION("SPLIT(A609:A1335, ""&gt;"")"),"US Buying Channel Preference ")</f>
        <v>US Buying Channel Preference </v>
      </c>
      <c r="C609" s="4" t="str">
        <f>IFERROR(__xludf.DUMMYFUNCTION("""COMPUTED_VALUE""")," Online")</f>
        <v> Online</v>
      </c>
      <c r="D609" s="4"/>
      <c r="E609" s="4"/>
      <c r="F609" s="4"/>
      <c r="G609" s="4"/>
      <c r="H609" s="4"/>
      <c r="I609" s="5" t="s">
        <v>22</v>
      </c>
      <c r="J609" s="5" t="s">
        <v>31</v>
      </c>
      <c r="K609" s="5" t="s">
        <v>32</v>
      </c>
      <c r="L609" s="6" t="s">
        <v>893</v>
      </c>
      <c r="M609" s="5" t="s">
        <v>46</v>
      </c>
      <c r="N609" s="5" t="s">
        <v>27</v>
      </c>
      <c r="O609" s="5">
        <v>10707.0</v>
      </c>
      <c r="P609" s="5">
        <v>57.0</v>
      </c>
      <c r="Q609" s="5">
        <v>6300.0</v>
      </c>
      <c r="R609" s="5">
        <v>10089.0</v>
      </c>
      <c r="S609" s="5">
        <v>3.0</v>
      </c>
      <c r="T609" s="5">
        <v>1603.859264</v>
      </c>
    </row>
    <row r="610">
      <c r="A610" s="4" t="s">
        <v>1601</v>
      </c>
      <c r="B610" s="4" t="str">
        <f>IFERROR(__xludf.DUMMYFUNCTION("SPLIT(A610:A1336, ""&gt;"")"),"Online Behavior")</f>
        <v>Online Behavior</v>
      </c>
      <c r="C610" s="4" t="str">
        <f>IFERROR(__xludf.DUMMYFUNCTION("""COMPUTED_VALUE"""),"United States")</f>
        <v>United States</v>
      </c>
      <c r="D610" s="4" t="str">
        <f>IFERROR(__xludf.DUMMYFUNCTION("""COMPUTED_VALUE"""),"Validated Demographic ")</f>
        <v>Validated Demographic </v>
      </c>
      <c r="E610" s="4" t="str">
        <f>IFERROR(__xludf.DUMMYFUNCTION("""COMPUTED_VALUE""")," Age")</f>
        <v> Age</v>
      </c>
      <c r="F610" s="4" t="str">
        <f>IFERROR(__xludf.DUMMYFUNCTION("""COMPUTED_VALUE"""),"65 or older")</f>
        <v>65 or older</v>
      </c>
      <c r="G610" s="4"/>
      <c r="H610" s="4"/>
      <c r="I610" s="5" t="s">
        <v>22</v>
      </c>
      <c r="J610" s="5" t="s">
        <v>42</v>
      </c>
      <c r="K610" s="5" t="s">
        <v>39</v>
      </c>
      <c r="L610" s="6" t="s">
        <v>896</v>
      </c>
      <c r="M610" s="5" t="s">
        <v>167</v>
      </c>
      <c r="N610" s="5" t="s">
        <v>27</v>
      </c>
      <c r="O610" s="5">
        <v>10386.0</v>
      </c>
      <c r="P610" s="5">
        <v>65.0</v>
      </c>
      <c r="Q610" s="5">
        <v>5876.0</v>
      </c>
      <c r="R610" s="5">
        <v>10048.0</v>
      </c>
      <c r="S610" s="5">
        <v>15.0</v>
      </c>
      <c r="T610" s="5">
        <v>4439.838064</v>
      </c>
    </row>
    <row r="611">
      <c r="A611" s="4" t="s">
        <v>1935</v>
      </c>
      <c r="B611" s="4" t="str">
        <f>IFERROR(__xludf.DUMMYFUNCTION("SPLIT(A611:A1337, ""&gt;"")"),"US ")</f>
        <v>US </v>
      </c>
      <c r="C611" s="4" t="str">
        <f>IFERROR(__xludf.DUMMYFUNCTION("""COMPUTED_VALUE"""),"Made In America Audience")</f>
        <v>Made In America Audience</v>
      </c>
      <c r="D611" s="4"/>
      <c r="E611" s="4"/>
      <c r="F611" s="4"/>
      <c r="G611" s="4"/>
      <c r="H611" s="4"/>
      <c r="I611" s="5" t="s">
        <v>22</v>
      </c>
      <c r="J611" s="5" t="s">
        <v>31</v>
      </c>
      <c r="K611" s="5" t="s">
        <v>78</v>
      </c>
      <c r="L611" s="6" t="s">
        <v>898</v>
      </c>
      <c r="M611" s="5" t="s">
        <v>26</v>
      </c>
      <c r="N611" s="5" t="s">
        <v>27</v>
      </c>
      <c r="O611" s="5">
        <v>16137.0</v>
      </c>
      <c r="P611" s="5">
        <v>40.0</v>
      </c>
      <c r="Q611" s="5">
        <v>7938.0</v>
      </c>
      <c r="R611" s="5">
        <v>14030.0</v>
      </c>
      <c r="S611" s="5">
        <v>4.0</v>
      </c>
      <c r="T611" s="5">
        <v>1835.048738</v>
      </c>
    </row>
    <row r="612">
      <c r="A612" s="4" t="s">
        <v>1603</v>
      </c>
      <c r="B612" s="4" t="str">
        <f>IFERROR(__xludf.DUMMYFUNCTION("SPLIT(A612:A1338, ""&gt;"")"),"Online Behavior")</f>
        <v>Online Behavior</v>
      </c>
      <c r="C612" s="4" t="str">
        <f>IFERROR(__xludf.DUMMYFUNCTION("""COMPUTED_VALUE"""),"United States")</f>
        <v>United States</v>
      </c>
      <c r="D612" s="4" t="str">
        <f>IFERROR(__xludf.DUMMYFUNCTION("""COMPUTED_VALUE"""),"Intent ")</f>
        <v>Intent </v>
      </c>
      <c r="E612" s="4" t="str">
        <f>IFERROR(__xludf.DUMMYFUNCTION("""COMPUTED_VALUE""")," Shopping")</f>
        <v> Shopping</v>
      </c>
      <c r="F612" s="4" t="str">
        <f>IFERROR(__xludf.DUMMYFUNCTION("""COMPUTED_VALUE"""),"Drug Stores ")</f>
        <v>Drug Stores </v>
      </c>
      <c r="G612" s="4" t="str">
        <f>IFERROR(__xludf.DUMMYFUNCTION("""COMPUTED_VALUE""")," Walgreens")</f>
        <v> Walgreens</v>
      </c>
      <c r="H612" s="4"/>
      <c r="I612" s="5" t="s">
        <v>61</v>
      </c>
      <c r="J612" s="5" t="s">
        <v>16</v>
      </c>
      <c r="K612" s="5" t="s">
        <v>78</v>
      </c>
      <c r="L612" s="6" t="s">
        <v>900</v>
      </c>
      <c r="M612" s="5" t="s">
        <v>19</v>
      </c>
      <c r="N612" s="5" t="s">
        <v>27</v>
      </c>
      <c r="O612" s="5">
        <v>39373.0</v>
      </c>
      <c r="P612" s="5">
        <v>99.0</v>
      </c>
      <c r="Q612" s="5">
        <v>23152.0</v>
      </c>
      <c r="R612" s="5">
        <v>35857.0</v>
      </c>
      <c r="S612" s="5">
        <v>17.0</v>
      </c>
      <c r="T612" s="5">
        <v>6342.885786</v>
      </c>
    </row>
    <row r="613">
      <c r="A613" s="4" t="s">
        <v>1605</v>
      </c>
      <c r="B613" s="4" t="str">
        <f>IFERROR(__xludf.DUMMYFUNCTION("SPLIT(A613:A1339, ""&gt;"")"),"Online Behavior")</f>
        <v>Online Behavior</v>
      </c>
      <c r="C613" s="4" t="str">
        <f>IFERROR(__xludf.DUMMYFUNCTION("""COMPUTED_VALUE"""),"United States")</f>
        <v>United States</v>
      </c>
      <c r="D613" s="4" t="str">
        <f>IFERROR(__xludf.DUMMYFUNCTION("""COMPUTED_VALUE"""),"Validated Demographic ")</f>
        <v>Validated Demographic </v>
      </c>
      <c r="E613" s="4" t="str">
        <f>IFERROR(__xludf.DUMMYFUNCTION("""COMPUTED_VALUE""")," Gender and Age Combined")</f>
        <v> Gender and Age Combined</v>
      </c>
      <c r="F613" s="4" t="str">
        <f>IFERROR(__xludf.DUMMYFUNCTION("""COMPUTED_VALUE"""),"Males 25 or older")</f>
        <v>Males 25 or older</v>
      </c>
      <c r="G613" s="4"/>
      <c r="H613" s="4"/>
      <c r="I613" s="5" t="s">
        <v>22</v>
      </c>
      <c r="J613" s="5" t="s">
        <v>16</v>
      </c>
      <c r="K613" s="5" t="s">
        <v>35</v>
      </c>
      <c r="L613" s="6" t="s">
        <v>900</v>
      </c>
      <c r="M613" s="5" t="s">
        <v>48</v>
      </c>
      <c r="N613" s="5" t="s">
        <v>27</v>
      </c>
      <c r="O613" s="5">
        <v>47016.0</v>
      </c>
      <c r="P613" s="5">
        <v>199.0</v>
      </c>
      <c r="Q613" s="5">
        <v>12210.0</v>
      </c>
      <c r="R613" s="5">
        <v>38039.0</v>
      </c>
      <c r="S613" s="5">
        <v>13.0</v>
      </c>
      <c r="T613" s="5">
        <v>5974.87508</v>
      </c>
    </row>
    <row r="614">
      <c r="A614" s="4" t="s">
        <v>1606</v>
      </c>
      <c r="B614" s="4" t="str">
        <f>IFERROR(__xludf.DUMMYFUNCTION("SPLIT(A614:A1340, ""&gt;"")"),"Online Behavior")</f>
        <v>Online Behavior</v>
      </c>
      <c r="C614" s="4" t="str">
        <f>IFERROR(__xludf.DUMMYFUNCTION("""COMPUTED_VALUE"""),"United States")</f>
        <v>United States</v>
      </c>
      <c r="D614" s="4" t="str">
        <f>IFERROR(__xludf.DUMMYFUNCTION("""COMPUTED_VALUE"""),"Intent ")</f>
        <v>Intent </v>
      </c>
      <c r="E614" s="4" t="str">
        <f>IFERROR(__xludf.DUMMYFUNCTION("""COMPUTED_VALUE""")," Auto Buyers ")</f>
        <v> Auto Buyers </v>
      </c>
      <c r="F614" s="4" t="str">
        <f>IFERROR(__xludf.DUMMYFUNCTION("""COMPUTED_VALUE""")," Type")</f>
        <v> Type</v>
      </c>
      <c r="G614" s="4" t="str">
        <f>IFERROR(__xludf.DUMMYFUNCTION("""COMPUTED_VALUE"""),"Crossover")</f>
        <v>Crossover</v>
      </c>
      <c r="H614" s="4"/>
      <c r="I614" s="5" t="s">
        <v>22</v>
      </c>
      <c r="J614" s="5" t="s">
        <v>31</v>
      </c>
      <c r="K614" s="5" t="s">
        <v>35</v>
      </c>
      <c r="L614" s="6" t="s">
        <v>900</v>
      </c>
      <c r="M614" s="5" t="s">
        <v>19</v>
      </c>
      <c r="N614" s="5" t="s">
        <v>27</v>
      </c>
      <c r="O614" s="5">
        <v>25539.0</v>
      </c>
      <c r="P614" s="5">
        <v>78.0</v>
      </c>
      <c r="Q614" s="5">
        <v>12130.0</v>
      </c>
      <c r="R614" s="5">
        <v>24129.0</v>
      </c>
      <c r="S614" s="5">
        <v>15.0</v>
      </c>
      <c r="T614" s="5">
        <v>4804.493233</v>
      </c>
    </row>
    <row r="615">
      <c r="A615" s="4" t="s">
        <v>1607</v>
      </c>
      <c r="B615" s="4" t="str">
        <f>IFERROR(__xludf.DUMMYFUNCTION("SPLIT(A615:A1341, ""&gt;"")"),"Online Behavior")</f>
        <v>Online Behavior</v>
      </c>
      <c r="C615" s="4" t="str">
        <f>IFERROR(__xludf.DUMMYFUNCTION("""COMPUTED_VALUE"""),"United States")</f>
        <v>United States</v>
      </c>
      <c r="D615" s="4" t="str">
        <f>IFERROR(__xludf.DUMMYFUNCTION("""COMPUTED_VALUE"""),"Intent ")</f>
        <v>Intent </v>
      </c>
      <c r="E615" s="4" t="str">
        <f>IFERROR(__xludf.DUMMYFUNCTION("""COMPUTED_VALUE""")," Auto Buyers ")</f>
        <v> Auto Buyers </v>
      </c>
      <c r="F615" s="4" t="str">
        <f>IFERROR(__xludf.DUMMYFUNCTION("""COMPUTED_VALUE""")," Car Make")</f>
        <v> Car Make</v>
      </c>
      <c r="G615" s="4" t="str">
        <f>IFERROR(__xludf.DUMMYFUNCTION("""COMPUTED_VALUE"""),"Peugeot")</f>
        <v>Peugeot</v>
      </c>
      <c r="H615" s="4"/>
      <c r="I615" s="5" t="s">
        <v>15</v>
      </c>
      <c r="J615" s="5" t="s">
        <v>23</v>
      </c>
      <c r="K615" s="5" t="s">
        <v>78</v>
      </c>
      <c r="L615" s="6" t="s">
        <v>900</v>
      </c>
      <c r="M615" s="5" t="s">
        <v>19</v>
      </c>
      <c r="N615" s="5" t="s">
        <v>27</v>
      </c>
      <c r="O615" s="5">
        <v>186404.0</v>
      </c>
      <c r="P615" s="5">
        <v>940.0</v>
      </c>
      <c r="Q615" s="5">
        <v>30885.0</v>
      </c>
      <c r="R615" s="5">
        <v>151358.0</v>
      </c>
      <c r="S615" s="5">
        <v>3.0</v>
      </c>
      <c r="T615" s="5">
        <v>4702.027505</v>
      </c>
    </row>
    <row r="616">
      <c r="A616" s="4" t="s">
        <v>1608</v>
      </c>
      <c r="B616" s="4" t="str">
        <f>IFERROR(__xludf.DUMMYFUNCTION("SPLIT(A616:A1342, ""&gt;"")"),"Purchase Behaviors ")</f>
        <v>Purchase Behaviors </v>
      </c>
      <c r="C616" s="4" t="str">
        <f>IFERROR(__xludf.DUMMYFUNCTION("""COMPUTED_VALUE""")," Q2 Spring Cleaners")</f>
        <v> Q2 Spring Cleaners</v>
      </c>
      <c r="D616" s="4"/>
      <c r="E616" s="4"/>
      <c r="F616" s="4"/>
      <c r="G616" s="4"/>
      <c r="H616" s="4"/>
      <c r="I616" s="5" t="s">
        <v>22</v>
      </c>
      <c r="J616" s="5" t="s">
        <v>16</v>
      </c>
      <c r="K616" s="5" t="s">
        <v>433</v>
      </c>
      <c r="L616" s="6" t="s">
        <v>900</v>
      </c>
      <c r="M616" s="5" t="s">
        <v>46</v>
      </c>
      <c r="N616" s="5" t="s">
        <v>27</v>
      </c>
      <c r="O616" s="5">
        <v>19549.0</v>
      </c>
      <c r="P616" s="5">
        <v>84.0</v>
      </c>
      <c r="Q616" s="5">
        <v>6187.0</v>
      </c>
      <c r="R616" s="5">
        <v>17166.0</v>
      </c>
      <c r="S616" s="5">
        <v>2.0</v>
      </c>
      <c r="T616" s="5">
        <v>1844.986921</v>
      </c>
    </row>
    <row r="617">
      <c r="A617" s="4" t="s">
        <v>1936</v>
      </c>
      <c r="B617" s="4" t="str">
        <f>IFERROR(__xludf.DUMMYFUNCTION("SPLIT(A617:A1343, ""&gt;"")"),"Mobile - US ")</f>
        <v>Mobile - US </v>
      </c>
      <c r="C617" s="4" t="str">
        <f>IFERROR(__xludf.DUMMYFUNCTION("""COMPUTED_VALUE""")," Automotive ")</f>
        <v> Automotive </v>
      </c>
      <c r="D617" s="4" t="str">
        <f>IFERROR(__xludf.DUMMYFUNCTION("""COMPUTED_VALUE""")," Vehicle Ownership ")</f>
        <v> Vehicle Ownership </v>
      </c>
      <c r="E617" s="4" t="str">
        <f>IFERROR(__xludf.DUMMYFUNCTION("""COMPUTED_VALUE""")," Brand ")</f>
        <v> Brand </v>
      </c>
      <c r="F617" s="4" t="str">
        <f>IFERROR(__xludf.DUMMYFUNCTION("""COMPUTED_VALUE""")," BMW")</f>
        <v> BMW</v>
      </c>
      <c r="G617" s="4"/>
      <c r="H617" s="4"/>
      <c r="I617" s="5" t="s">
        <v>22</v>
      </c>
      <c r="J617" s="5" t="s">
        <v>42</v>
      </c>
      <c r="K617" s="5" t="s">
        <v>39</v>
      </c>
      <c r="L617" s="6" t="s">
        <v>906</v>
      </c>
      <c r="M617" s="5" t="s">
        <v>46</v>
      </c>
      <c r="N617" s="5" t="s">
        <v>27</v>
      </c>
      <c r="O617" s="5">
        <v>17561.0</v>
      </c>
      <c r="P617" s="5">
        <v>50.0</v>
      </c>
      <c r="Q617" s="5">
        <v>2960.0</v>
      </c>
      <c r="R617" s="5">
        <v>9953.0</v>
      </c>
      <c r="S617" s="5">
        <v>10.0</v>
      </c>
      <c r="T617" s="5">
        <v>1519.90401</v>
      </c>
    </row>
    <row r="618">
      <c r="A618" s="4" t="s">
        <v>1937</v>
      </c>
      <c r="B618" s="4" t="str">
        <f>IFERROR(__xludf.DUMMYFUNCTION("SPLIT(A618:A1344, ""&gt;"")"),"Mobile - US ")</f>
        <v>Mobile - US </v>
      </c>
      <c r="C618" s="4" t="str">
        <f>IFERROR(__xludf.DUMMYFUNCTION("""COMPUTED_VALUE""")," Food ")</f>
        <v> Food </v>
      </c>
      <c r="D618" s="4" t="str">
        <f>IFERROR(__xludf.DUMMYFUNCTION("""COMPUTED_VALUE""")," Restaurant ")</f>
        <v> Restaurant </v>
      </c>
      <c r="E618" s="4" t="str">
        <f>IFERROR(__xludf.DUMMYFUNCTION("""COMPUTED_VALUE""")," Brand ")</f>
        <v> Brand </v>
      </c>
      <c r="F618" s="4" t="str">
        <f>IFERROR(__xludf.DUMMYFUNCTION("""COMPUTED_VALUE""")," Krispy Kreme")</f>
        <v> Krispy Kreme</v>
      </c>
      <c r="G618" s="4"/>
      <c r="H618" s="4"/>
      <c r="I618" s="5" t="s">
        <v>61</v>
      </c>
      <c r="J618" s="5" t="s">
        <v>42</v>
      </c>
      <c r="K618" s="5" t="s">
        <v>32</v>
      </c>
      <c r="L618" s="6" t="s">
        <v>908</v>
      </c>
      <c r="M618" s="5" t="s">
        <v>26</v>
      </c>
      <c r="N618" s="5" t="s">
        <v>27</v>
      </c>
      <c r="O618" s="5">
        <v>13608.0</v>
      </c>
      <c r="P618" s="5">
        <v>66.0</v>
      </c>
      <c r="Q618" s="5">
        <v>2714.0</v>
      </c>
      <c r="R618" s="5">
        <v>9332.0</v>
      </c>
      <c r="S618" s="5">
        <v>1.0</v>
      </c>
      <c r="T618" s="5">
        <v>1762.663235</v>
      </c>
    </row>
    <row r="619">
      <c r="A619" s="4" t="s">
        <v>1938</v>
      </c>
      <c r="B619" s="4" t="str">
        <f>IFERROR(__xludf.DUMMYFUNCTION("SPLIT(A619:A1345, ""&gt;"")"),"Online Behavior")</f>
        <v>Online Behavior</v>
      </c>
      <c r="C619" s="4" t="str">
        <f>IFERROR(__xludf.DUMMYFUNCTION("""COMPUTED_VALUE"""),"United States")</f>
        <v>United States</v>
      </c>
      <c r="D619" s="4" t="str">
        <f>IFERROR(__xludf.DUMMYFUNCTION("""COMPUTED_VALUE"""),"Arts and Entertainment")</f>
        <v>Arts and Entertainment</v>
      </c>
      <c r="E619" s="4" t="str">
        <f>IFERROR(__xludf.DUMMYFUNCTION("""COMPUTED_VALUE"""),"Events and Listings ")</f>
        <v>Events and Listings </v>
      </c>
      <c r="F619" s="4" t="str">
        <f>IFERROR(__xludf.DUMMYFUNCTION("""COMPUTED_VALUE""")," Concerts and Music Festivals")</f>
        <v> Concerts and Music Festivals</v>
      </c>
      <c r="G619" s="4"/>
      <c r="H619" s="4"/>
      <c r="I619" s="5" t="s">
        <v>61</v>
      </c>
      <c r="J619" s="5" t="s">
        <v>23</v>
      </c>
      <c r="K619" s="5" t="s">
        <v>35</v>
      </c>
      <c r="L619" s="6" t="s">
        <v>910</v>
      </c>
      <c r="M619" s="5" t="s">
        <v>19</v>
      </c>
      <c r="N619" s="5" t="s">
        <v>27</v>
      </c>
      <c r="O619" s="7">
        <v>446774.0</v>
      </c>
      <c r="P619" s="5">
        <v>951.0</v>
      </c>
      <c r="Q619" s="7">
        <v>196581.0</v>
      </c>
      <c r="R619" s="7">
        <v>379758.0</v>
      </c>
      <c r="S619" s="5">
        <v>33.0</v>
      </c>
      <c r="T619" s="5">
        <v>6956.627366</v>
      </c>
    </row>
    <row r="620">
      <c r="A620" s="4" t="s">
        <v>911</v>
      </c>
      <c r="B620" s="4" t="str">
        <f>IFERROR(__xludf.DUMMYFUNCTION("SPLIT(A620:A1346, ""&gt;"")"),"Online Behavior")</f>
        <v>Online Behavior</v>
      </c>
      <c r="C620" s="4" t="str">
        <f>IFERROR(__xludf.DUMMYFUNCTION("""COMPUTED_VALUE"""),"United States")</f>
        <v>United States</v>
      </c>
      <c r="D620" s="4" t="str">
        <f>IFERROR(__xludf.DUMMYFUNCTION("""COMPUTED_VALUE"""),"Home and Garden")</f>
        <v>Home and Garden</v>
      </c>
      <c r="E620" s="4" t="str">
        <f>IFERROR(__xludf.DUMMYFUNCTION("""COMPUTED_VALUE"""),"Yard and Patio")</f>
        <v>Yard and Patio</v>
      </c>
      <c r="F620" s="4"/>
      <c r="G620" s="4"/>
      <c r="H620" s="4"/>
      <c r="I620" s="5" t="s">
        <v>15</v>
      </c>
      <c r="J620" s="5" t="s">
        <v>16</v>
      </c>
      <c r="K620" s="5" t="s">
        <v>17</v>
      </c>
      <c r="L620" s="6" t="s">
        <v>912</v>
      </c>
      <c r="M620" s="5" t="s">
        <v>117</v>
      </c>
      <c r="N620" s="5" t="s">
        <v>27</v>
      </c>
      <c r="O620" s="5">
        <v>11607.0</v>
      </c>
      <c r="P620" s="5">
        <v>184.0</v>
      </c>
      <c r="Q620" s="5">
        <v>5218.0</v>
      </c>
      <c r="R620" s="5">
        <v>10763.0</v>
      </c>
      <c r="S620" s="5">
        <v>12.0</v>
      </c>
      <c r="T620" s="5">
        <v>6909.732318</v>
      </c>
    </row>
    <row r="621">
      <c r="A621" s="4" t="s">
        <v>1939</v>
      </c>
      <c r="B621" s="4" t="str">
        <f>IFERROR(__xludf.DUMMYFUNCTION("SPLIT(A621:A1347, ""&gt;"")"),"US ")</f>
        <v>US </v>
      </c>
      <c r="C621" s="4" t="str">
        <f>IFERROR(__xludf.DUMMYFUNCTION("""COMPUTED_VALUE""")," Sociodemographic ")</f>
        <v> Sociodemographic </v>
      </c>
      <c r="D621" s="4" t="str">
        <f>IFERROR(__xludf.DUMMYFUNCTION("""COMPUTED_VALUE""")," PRIZM Premier Lifestage ")</f>
        <v> PRIZM Premier Lifestage </v>
      </c>
      <c r="E621" s="4" t="str">
        <f>IFERROR(__xludf.DUMMYFUNCTION("""COMPUTED_VALUE""")," F2 Young Accumulators")</f>
        <v> F2 Young Accumulators</v>
      </c>
      <c r="F621" s="4"/>
      <c r="G621" s="4"/>
      <c r="H621" s="4"/>
      <c r="I621" s="5" t="s">
        <v>61</v>
      </c>
      <c r="J621" s="5" t="s">
        <v>16</v>
      </c>
      <c r="K621" s="5" t="s">
        <v>78</v>
      </c>
      <c r="L621" s="6" t="s">
        <v>912</v>
      </c>
      <c r="M621" s="5" t="s">
        <v>117</v>
      </c>
      <c r="N621" s="5" t="s">
        <v>27</v>
      </c>
      <c r="O621" s="5">
        <v>72117.0</v>
      </c>
      <c r="P621" s="5">
        <v>187.0</v>
      </c>
      <c r="Q621" s="5">
        <v>9807.0</v>
      </c>
      <c r="R621" s="5">
        <v>68568.0</v>
      </c>
      <c r="S621" s="5">
        <v>16.0</v>
      </c>
      <c r="T621" s="5">
        <v>1702.317206</v>
      </c>
    </row>
    <row r="622">
      <c r="A622" s="4" t="s">
        <v>1616</v>
      </c>
      <c r="B622" s="4" t="str">
        <f>IFERROR(__xludf.DUMMYFUNCTION("SPLIT(A622:A1348, ""&gt;"")"),"OnAudience ")</f>
        <v>OnAudience </v>
      </c>
      <c r="C622" s="4" t="str">
        <f>IFERROR(__xludf.DUMMYFUNCTION("""COMPUTED_VALUE""")," Interest ")</f>
        <v> Interest </v>
      </c>
      <c r="D622" s="4" t="str">
        <f>IFERROR(__xludf.DUMMYFUNCTION("""COMPUTED_VALUE""")," Food &amp; Drink")</f>
        <v> Food &amp; Drink</v>
      </c>
      <c r="E622" s="4"/>
      <c r="F622" s="4"/>
      <c r="G622" s="4"/>
      <c r="H622" s="4"/>
      <c r="I622" s="5" t="s">
        <v>15</v>
      </c>
      <c r="J622" s="5" t="s">
        <v>42</v>
      </c>
      <c r="K622" s="5" t="s">
        <v>126</v>
      </c>
      <c r="L622" s="6" t="s">
        <v>912</v>
      </c>
      <c r="M622" s="5" t="s">
        <v>19</v>
      </c>
      <c r="N622" s="5" t="s">
        <v>52</v>
      </c>
      <c r="O622" s="5">
        <v>38070.0</v>
      </c>
      <c r="P622" s="5">
        <v>146.0</v>
      </c>
      <c r="Q622" s="5">
        <v>15253.0</v>
      </c>
      <c r="R622" s="5">
        <v>35453.0</v>
      </c>
      <c r="S622" s="5">
        <v>8.0</v>
      </c>
      <c r="T622" s="5">
        <v>1653.510777</v>
      </c>
    </row>
    <row r="623">
      <c r="A623" s="4" t="s">
        <v>1940</v>
      </c>
      <c r="B623" s="4" t="str">
        <f>IFERROR(__xludf.DUMMYFUNCTION("SPLIT(A623:A1349, ""&gt;"")"),"US ")</f>
        <v>US </v>
      </c>
      <c r="C623" s="4" t="str">
        <f>IFERROR(__xludf.DUMMYFUNCTION("""COMPUTED_VALUE""")," Brand Propensities ")</f>
        <v> Brand Propensities </v>
      </c>
      <c r="D623" s="4" t="str">
        <f>IFERROR(__xludf.DUMMYFUNCTION("""COMPUTED_VALUE""")," Travel ")</f>
        <v> Travel </v>
      </c>
      <c r="E623" s="4" t="str">
        <f>IFERROR(__xludf.DUMMYFUNCTION("""COMPUTED_VALUE""")," MGM Resorts International Buyer Propensity")</f>
        <v> MGM Resorts International Buyer Propensity</v>
      </c>
      <c r="F623" s="4"/>
      <c r="G623" s="4"/>
      <c r="H623" s="4"/>
      <c r="I623" s="5" t="s">
        <v>61</v>
      </c>
      <c r="J623" s="5" t="s">
        <v>16</v>
      </c>
      <c r="K623" s="5" t="s">
        <v>78</v>
      </c>
      <c r="L623" s="6" t="s">
        <v>912</v>
      </c>
      <c r="M623" s="5" t="s">
        <v>46</v>
      </c>
      <c r="N623" s="5" t="s">
        <v>27</v>
      </c>
      <c r="O623" s="5">
        <v>32400.0</v>
      </c>
      <c r="P623" s="5">
        <v>87.0</v>
      </c>
      <c r="Q623" s="5">
        <v>5152.0</v>
      </c>
      <c r="R623" s="5">
        <v>30383.0</v>
      </c>
      <c r="S623" s="5">
        <v>9.0</v>
      </c>
      <c r="T623" s="5">
        <v>1522.352623</v>
      </c>
    </row>
    <row r="624">
      <c r="A624" s="4" t="s">
        <v>916</v>
      </c>
      <c r="B624" s="4" t="str">
        <f>IFERROR(__xludf.DUMMYFUNCTION("SPLIT(A624:A1350, ""&gt;"")"),"Online Behavior")</f>
        <v>Online Behavior</v>
      </c>
      <c r="C624" s="4" t="str">
        <f>IFERROR(__xludf.DUMMYFUNCTION("""COMPUTED_VALUE"""),"United States")</f>
        <v>United States</v>
      </c>
      <c r="D624" s="4" t="str">
        <f>IFERROR(__xludf.DUMMYFUNCTION("""COMPUTED_VALUE"""),"Law and Government")</f>
        <v>Law and Government</v>
      </c>
      <c r="E624" s="4" t="str">
        <f>IFERROR(__xludf.DUMMYFUNCTION("""COMPUTED_VALUE"""),"Legal")</f>
        <v>Legal</v>
      </c>
      <c r="F624" s="4"/>
      <c r="G624" s="4"/>
      <c r="H624" s="4"/>
      <c r="I624" s="5" t="s">
        <v>22</v>
      </c>
      <c r="J624" s="5" t="s">
        <v>42</v>
      </c>
      <c r="K624" s="5" t="s">
        <v>35</v>
      </c>
      <c r="L624" s="6" t="s">
        <v>917</v>
      </c>
      <c r="M624" s="5" t="s">
        <v>33</v>
      </c>
      <c r="N624" s="5" t="s">
        <v>27</v>
      </c>
      <c r="O624" s="5">
        <v>9867.0</v>
      </c>
      <c r="P624" s="5">
        <v>30.0</v>
      </c>
      <c r="Q624" s="5">
        <v>6867.0</v>
      </c>
      <c r="R624" s="5">
        <v>9347.0</v>
      </c>
      <c r="S624" s="5">
        <v>12.0</v>
      </c>
      <c r="T624" s="5">
        <v>6839.569086</v>
      </c>
    </row>
    <row r="625">
      <c r="A625" s="4" t="s">
        <v>918</v>
      </c>
      <c r="B625" s="4" t="str">
        <f>IFERROR(__xludf.DUMMYFUNCTION("SPLIT(A625:A1351, ""&gt;"")"),"Online Behavior")</f>
        <v>Online Behavior</v>
      </c>
      <c r="C625" s="4" t="str">
        <f>IFERROR(__xludf.DUMMYFUNCTION("""COMPUTED_VALUE"""),"United States")</f>
        <v>United States</v>
      </c>
      <c r="D625" s="4" t="str">
        <f>IFERROR(__xludf.DUMMYFUNCTION("""COMPUTED_VALUE"""),"Sports")</f>
        <v>Sports</v>
      </c>
      <c r="E625" s="4" t="str">
        <f>IFERROR(__xludf.DUMMYFUNCTION("""COMPUTED_VALUE"""),"College Sports")</f>
        <v>College Sports</v>
      </c>
      <c r="F625" s="4"/>
      <c r="G625" s="4"/>
      <c r="H625" s="4"/>
      <c r="I625" s="5" t="s">
        <v>15</v>
      </c>
      <c r="J625" s="5" t="s">
        <v>31</v>
      </c>
      <c r="K625" s="5" t="s">
        <v>17</v>
      </c>
      <c r="L625" s="6" t="s">
        <v>919</v>
      </c>
      <c r="M625" s="5" t="s">
        <v>36</v>
      </c>
      <c r="N625" s="5" t="s">
        <v>27</v>
      </c>
      <c r="O625" s="5">
        <v>1109184.0</v>
      </c>
      <c r="P625" s="5">
        <v>3142.0</v>
      </c>
      <c r="Q625" s="5">
        <v>83035.0</v>
      </c>
      <c r="R625" s="5">
        <v>782482.0</v>
      </c>
      <c r="S625" s="5">
        <v>25.0</v>
      </c>
      <c r="T625" s="5">
        <v>7490.860779</v>
      </c>
    </row>
    <row r="626">
      <c r="A626" s="4" t="s">
        <v>1618</v>
      </c>
      <c r="B626" s="4" t="str">
        <f>IFERROR(__xludf.DUMMYFUNCTION("SPLIT(A626:A1352, ""&gt;"")"),"Online Behavior")</f>
        <v>Online Behavior</v>
      </c>
      <c r="C626" s="4" t="str">
        <f>IFERROR(__xludf.DUMMYFUNCTION("""COMPUTED_VALUE"""),"United States")</f>
        <v>United States</v>
      </c>
      <c r="D626" s="4" t="str">
        <f>IFERROR(__xludf.DUMMYFUNCTION("""COMPUTED_VALUE"""),"B2B ")</f>
        <v>B2B </v>
      </c>
      <c r="E626" s="4" t="str">
        <f>IFERROR(__xludf.DUMMYFUNCTION("""COMPUTED_VALUE""")," Occupation")</f>
        <v> Occupation</v>
      </c>
      <c r="F626" s="4" t="str">
        <f>IFERROR(__xludf.DUMMYFUNCTION("""COMPUTED_VALUE"""),"Entrepreneur")</f>
        <v>Entrepreneur</v>
      </c>
      <c r="G626" s="4"/>
      <c r="H626" s="4"/>
      <c r="I626" s="5" t="s">
        <v>22</v>
      </c>
      <c r="J626" s="5" t="s">
        <v>42</v>
      </c>
      <c r="K626" s="5" t="s">
        <v>29</v>
      </c>
      <c r="L626" s="6" t="s">
        <v>919</v>
      </c>
      <c r="M626" s="5" t="s">
        <v>26</v>
      </c>
      <c r="N626" s="5" t="s">
        <v>27</v>
      </c>
      <c r="O626" s="5">
        <v>686858.0</v>
      </c>
      <c r="P626" s="5">
        <v>2085.0</v>
      </c>
      <c r="Q626" s="5">
        <v>81956.0</v>
      </c>
      <c r="R626" s="5">
        <v>624118.0</v>
      </c>
      <c r="S626" s="5">
        <v>19.0</v>
      </c>
      <c r="T626" s="5">
        <v>7467.081487</v>
      </c>
    </row>
    <row r="627">
      <c r="A627" s="4" t="s">
        <v>921</v>
      </c>
      <c r="B627" s="4" t="str">
        <f>IFERROR(__xludf.DUMMYFUNCTION("SPLIT(A627:A1353, ""&gt;"")"),"Online Behavior")</f>
        <v>Online Behavior</v>
      </c>
      <c r="C627" s="4" t="str">
        <f>IFERROR(__xludf.DUMMYFUNCTION("""COMPUTED_VALUE"""),"United States")</f>
        <v>United States</v>
      </c>
      <c r="D627" s="4" t="str">
        <f>IFERROR(__xludf.DUMMYFUNCTION("""COMPUTED_VALUE"""),"Food and Drink")</f>
        <v>Food and Drink</v>
      </c>
      <c r="E627" s="4" t="str">
        <f>IFERROR(__xludf.DUMMYFUNCTION("""COMPUTED_VALUE"""),"Cooking and Recipes")</f>
        <v>Cooking and Recipes</v>
      </c>
      <c r="F627" s="4"/>
      <c r="G627" s="4"/>
      <c r="H627" s="4"/>
      <c r="I627" s="5" t="s">
        <v>61</v>
      </c>
      <c r="J627" s="5" t="s">
        <v>23</v>
      </c>
      <c r="K627" s="5" t="s">
        <v>35</v>
      </c>
      <c r="L627" s="6" t="s">
        <v>919</v>
      </c>
      <c r="M627" s="5" t="s">
        <v>46</v>
      </c>
      <c r="N627" s="5" t="s">
        <v>27</v>
      </c>
      <c r="O627" s="5">
        <v>40929.0</v>
      </c>
      <c r="P627" s="5">
        <v>142.0</v>
      </c>
      <c r="Q627" s="5">
        <v>9249.0</v>
      </c>
      <c r="R627" s="5">
        <v>31564.0</v>
      </c>
      <c r="S627" s="5">
        <v>8.0</v>
      </c>
      <c r="T627" s="5">
        <v>6764.520637</v>
      </c>
    </row>
    <row r="628">
      <c r="A628" s="4" t="s">
        <v>922</v>
      </c>
      <c r="B628" s="4" t="str">
        <f>IFERROR(__xludf.DUMMYFUNCTION("SPLIT(A628:A1354, ""&gt;"")"),"Online Behavior")</f>
        <v>Online Behavior</v>
      </c>
      <c r="C628" s="4" t="str">
        <f>IFERROR(__xludf.DUMMYFUNCTION("""COMPUTED_VALUE"""),"United States")</f>
        <v>United States</v>
      </c>
      <c r="D628" s="4" t="str">
        <f>IFERROR(__xludf.DUMMYFUNCTION("""COMPUTED_VALUE"""),"Online Communities")</f>
        <v>Online Communities</v>
      </c>
      <c r="E628" s="4" t="str">
        <f>IFERROR(__xludf.DUMMYFUNCTION("""COMPUTED_VALUE"""),"Dating and Personals")</f>
        <v>Dating and Personals</v>
      </c>
      <c r="F628" s="4"/>
      <c r="G628" s="4"/>
      <c r="H628" s="4"/>
      <c r="I628" s="5" t="s">
        <v>22</v>
      </c>
      <c r="J628" s="5" t="s">
        <v>23</v>
      </c>
      <c r="K628" s="5" t="s">
        <v>39</v>
      </c>
      <c r="L628" s="6" t="s">
        <v>919</v>
      </c>
      <c r="M628" s="5" t="s">
        <v>19</v>
      </c>
      <c r="N628" s="5" t="s">
        <v>27</v>
      </c>
      <c r="O628" s="5">
        <v>39844.0</v>
      </c>
      <c r="P628" s="5">
        <v>99.0</v>
      </c>
      <c r="Q628" s="5">
        <v>11077.0</v>
      </c>
      <c r="R628" s="5">
        <v>30190.0</v>
      </c>
      <c r="S628" s="5">
        <v>9.0</v>
      </c>
      <c r="T628" s="5">
        <v>6367.869929</v>
      </c>
    </row>
    <row r="629">
      <c r="A629" s="4" t="s">
        <v>1941</v>
      </c>
      <c r="B629" s="4" t="str">
        <f>IFERROR(__xludf.DUMMYFUNCTION("SPLIT(A629:A1355, ""&gt;"")"),"Online Behavior")</f>
        <v>Online Behavior</v>
      </c>
      <c r="C629" s="4" t="str">
        <f>IFERROR(__xludf.DUMMYFUNCTION("""COMPUTED_VALUE"""),"United States")</f>
        <v>United States</v>
      </c>
      <c r="D629" s="4" t="str">
        <f>IFERROR(__xludf.DUMMYFUNCTION("""COMPUTED_VALUE"""),"Intent ")</f>
        <v>Intent </v>
      </c>
      <c r="E629" s="4" t="str">
        <f>IFERROR(__xludf.DUMMYFUNCTION("""COMPUTED_VALUE""")," Shopping")</f>
        <v> Shopping</v>
      </c>
      <c r="F629" s="4" t="str">
        <f>IFERROR(__xludf.DUMMYFUNCTION("""COMPUTED_VALUE"""),"CPG� Home Care")</f>
        <v>CPG� Home Care</v>
      </c>
      <c r="G629" s="4"/>
      <c r="H629" s="4"/>
      <c r="I629" s="5" t="s">
        <v>22</v>
      </c>
      <c r="J629" s="5" t="s">
        <v>16</v>
      </c>
      <c r="K629" s="5" t="s">
        <v>66</v>
      </c>
      <c r="L629" s="6" t="s">
        <v>919</v>
      </c>
      <c r="M629" s="5" t="s">
        <v>19</v>
      </c>
      <c r="N629" s="5" t="s">
        <v>27</v>
      </c>
      <c r="O629" s="5">
        <v>210700.0</v>
      </c>
      <c r="P629" s="5">
        <v>704.0</v>
      </c>
      <c r="Q629" s="5">
        <v>94625.0</v>
      </c>
      <c r="R629" s="5">
        <v>180681.0</v>
      </c>
      <c r="S629" s="5">
        <v>3.0</v>
      </c>
      <c r="T629" s="5">
        <v>6341.879301</v>
      </c>
    </row>
    <row r="630">
      <c r="A630" s="4" t="s">
        <v>1620</v>
      </c>
      <c r="B630" s="4" t="str">
        <f>IFERROR(__xludf.DUMMYFUNCTION("SPLIT(A630:A1356, ""&gt;"")"),"Online Behavior")</f>
        <v>Online Behavior</v>
      </c>
      <c r="C630" s="4" t="str">
        <f>IFERROR(__xludf.DUMMYFUNCTION("""COMPUTED_VALUE"""),"United States")</f>
        <v>United States</v>
      </c>
      <c r="D630" s="4" t="str">
        <f>IFERROR(__xludf.DUMMYFUNCTION("""COMPUTED_VALUE"""),"Intent ")</f>
        <v>Intent </v>
      </c>
      <c r="E630" s="4" t="str">
        <f>IFERROR(__xludf.DUMMYFUNCTION("""COMPUTED_VALUE""")," Financial Intent")</f>
        <v> Financial Intent</v>
      </c>
      <c r="F630" s="4" t="str">
        <f>IFERROR(__xludf.DUMMYFUNCTION("""COMPUTED_VALUE"""),"Insurance ")</f>
        <v>Insurance </v>
      </c>
      <c r="G630" s="4" t="str">
        <f>IFERROR(__xludf.DUMMYFUNCTION("""COMPUTED_VALUE""")," Auto")</f>
        <v> Auto</v>
      </c>
      <c r="H630" s="4"/>
      <c r="I630" s="5" t="s">
        <v>22</v>
      </c>
      <c r="J630" s="5" t="s">
        <v>23</v>
      </c>
      <c r="K630" s="5" t="s">
        <v>142</v>
      </c>
      <c r="L630" s="6" t="s">
        <v>919</v>
      </c>
      <c r="M630" s="5" t="s">
        <v>26</v>
      </c>
      <c r="N630" s="5" t="s">
        <v>27</v>
      </c>
      <c r="O630" s="5">
        <v>42884.0</v>
      </c>
      <c r="P630" s="5">
        <v>104.0</v>
      </c>
      <c r="Q630" s="5">
        <v>4345.0</v>
      </c>
      <c r="R630" s="5">
        <v>25153.0</v>
      </c>
      <c r="S630" s="5">
        <v>9.0</v>
      </c>
      <c r="T630" s="5">
        <v>6322.152655</v>
      </c>
    </row>
    <row r="631">
      <c r="A631" s="4" t="s">
        <v>1621</v>
      </c>
      <c r="B631" s="4" t="str">
        <f>IFERROR(__xludf.DUMMYFUNCTION("SPLIT(A631:A1357, ""&gt;"")"),"Online Behavior")</f>
        <v>Online Behavior</v>
      </c>
      <c r="C631" s="4" t="str">
        <f>IFERROR(__xludf.DUMMYFUNCTION("""COMPUTED_VALUE"""),"United States")</f>
        <v>United States</v>
      </c>
      <c r="D631" s="4" t="str">
        <f>IFERROR(__xludf.DUMMYFUNCTION("""COMPUTED_VALUE"""),"Intent ")</f>
        <v>Intent </v>
      </c>
      <c r="E631" s="4" t="str">
        <f>IFERROR(__xludf.DUMMYFUNCTION("""COMPUTED_VALUE""")," Auto Buyers ")</f>
        <v> Auto Buyers </v>
      </c>
      <c r="F631" s="4" t="str">
        <f>IFERROR(__xludf.DUMMYFUNCTION("""COMPUTED_VALUE""")," Car Make")</f>
        <v> Car Make</v>
      </c>
      <c r="G631" s="4" t="str">
        <f>IFERROR(__xludf.DUMMYFUNCTION("""COMPUTED_VALUE"""),"Jeep")</f>
        <v>Jeep</v>
      </c>
      <c r="H631" s="4"/>
      <c r="I631" s="5" t="s">
        <v>15</v>
      </c>
      <c r="J631" s="5" t="s">
        <v>23</v>
      </c>
      <c r="K631" s="5" t="s">
        <v>78</v>
      </c>
      <c r="L631" s="6" t="s">
        <v>919</v>
      </c>
      <c r="M631" s="5" t="s">
        <v>136</v>
      </c>
      <c r="N631" s="5" t="s">
        <v>52</v>
      </c>
      <c r="O631" s="5">
        <v>96779.0</v>
      </c>
      <c r="P631" s="5">
        <v>299.0</v>
      </c>
      <c r="Q631" s="5">
        <v>9831.0</v>
      </c>
      <c r="R631" s="5">
        <v>63640.0</v>
      </c>
      <c r="S631" s="5">
        <v>12.0</v>
      </c>
      <c r="T631" s="5">
        <v>6317.510754</v>
      </c>
    </row>
    <row r="632">
      <c r="A632" s="4" t="s">
        <v>926</v>
      </c>
      <c r="B632" s="4" t="str">
        <f>IFERROR(__xludf.DUMMYFUNCTION("SPLIT(A632:A1358, ""&gt;"")"),"Online Behavior")</f>
        <v>Online Behavior</v>
      </c>
      <c r="C632" s="4" t="str">
        <f>IFERROR(__xludf.DUMMYFUNCTION("""COMPUTED_VALUE"""),"United States")</f>
        <v>United States</v>
      </c>
      <c r="D632" s="4" t="str">
        <f>IFERROR(__xludf.DUMMYFUNCTION("""COMPUTED_VALUE"""),"Travel")</f>
        <v>Travel</v>
      </c>
      <c r="E632" s="4" t="str">
        <f>IFERROR(__xludf.DUMMYFUNCTION("""COMPUTED_VALUE"""),"Specialty Travel")</f>
        <v>Specialty Travel</v>
      </c>
      <c r="F632" s="4"/>
      <c r="G632" s="4"/>
      <c r="H632" s="4"/>
      <c r="I632" s="5" t="s">
        <v>15</v>
      </c>
      <c r="J632" s="5" t="s">
        <v>23</v>
      </c>
      <c r="K632" s="5" t="s">
        <v>35</v>
      </c>
      <c r="L632" s="6" t="s">
        <v>919</v>
      </c>
      <c r="M632" s="5" t="s">
        <v>19</v>
      </c>
      <c r="N632" s="5" t="s">
        <v>27</v>
      </c>
      <c r="O632" s="5">
        <v>182114.0</v>
      </c>
      <c r="P632" s="5">
        <v>500.0</v>
      </c>
      <c r="Q632" s="5">
        <v>14477.0</v>
      </c>
      <c r="R632" s="5">
        <v>139167.0</v>
      </c>
      <c r="S632" s="5">
        <v>29.0</v>
      </c>
      <c r="T632" s="5">
        <v>6307.900751</v>
      </c>
    </row>
    <row r="633">
      <c r="A633" s="4" t="s">
        <v>927</v>
      </c>
      <c r="B633" s="4" t="str">
        <f>IFERROR(__xludf.DUMMYFUNCTION("SPLIT(A633:A1359, ""&gt;"")"),"Online Behavior")</f>
        <v>Online Behavior</v>
      </c>
      <c r="C633" s="4" t="str">
        <f>IFERROR(__xludf.DUMMYFUNCTION("""COMPUTED_VALUE"""),"United States")</f>
        <v>United States</v>
      </c>
      <c r="D633" s="4" t="str">
        <f>IFERROR(__xludf.DUMMYFUNCTION("""COMPUTED_VALUE"""),"Hobbies and Leisure")</f>
        <v>Hobbies and Leisure</v>
      </c>
      <c r="E633" s="4" t="str">
        <f>IFERROR(__xludf.DUMMYFUNCTION("""COMPUTED_VALUE"""),"Clubs and Organizations")</f>
        <v>Clubs and Organizations</v>
      </c>
      <c r="F633" s="4"/>
      <c r="G633" s="4"/>
      <c r="H633" s="4"/>
      <c r="I633" s="5" t="s">
        <v>61</v>
      </c>
      <c r="J633" s="5" t="s">
        <v>16</v>
      </c>
      <c r="K633" s="5" t="s">
        <v>35</v>
      </c>
      <c r="L633" s="6" t="s">
        <v>919</v>
      </c>
      <c r="M633" s="5" t="s">
        <v>19</v>
      </c>
      <c r="N633" s="5" t="s">
        <v>27</v>
      </c>
      <c r="O633" s="5">
        <v>207823.0</v>
      </c>
      <c r="P633" s="5">
        <v>600.0</v>
      </c>
      <c r="Q633" s="5">
        <v>33602.0</v>
      </c>
      <c r="R633" s="5">
        <v>167814.0</v>
      </c>
      <c r="S633" s="5">
        <v>13.0</v>
      </c>
      <c r="T633" s="5">
        <v>6048.955611</v>
      </c>
    </row>
    <row r="634">
      <c r="A634" s="4" t="s">
        <v>1622</v>
      </c>
      <c r="B634" s="4" t="str">
        <f>IFERROR(__xludf.DUMMYFUNCTION("SPLIT(A634:A1360, ""&gt;"")"),"Online Behavior")</f>
        <v>Online Behavior</v>
      </c>
      <c r="C634" s="4" t="str">
        <f>IFERROR(__xludf.DUMMYFUNCTION("""COMPUTED_VALUE"""),"United States")</f>
        <v>United States</v>
      </c>
      <c r="D634" s="4" t="str">
        <f>IFERROR(__xludf.DUMMYFUNCTION("""COMPUTED_VALUE"""),"Autos and Vehicles ")</f>
        <v>Autos and Vehicles </v>
      </c>
      <c r="E634" s="4" t="str">
        <f>IFERROR(__xludf.DUMMYFUNCTION("""COMPUTED_VALUE""")," Brands")</f>
        <v> Brands</v>
      </c>
      <c r="F634" s="4" t="str">
        <f>IFERROR(__xludf.DUMMYFUNCTION("""COMPUTED_VALUE"""),"Kia")</f>
        <v>Kia</v>
      </c>
      <c r="G634" s="4"/>
      <c r="H634" s="4"/>
      <c r="I634" s="5" t="s">
        <v>61</v>
      </c>
      <c r="J634" s="5" t="s">
        <v>16</v>
      </c>
      <c r="K634" s="5" t="s">
        <v>29</v>
      </c>
      <c r="L634" s="6" t="s">
        <v>919</v>
      </c>
      <c r="M634" s="5" t="s">
        <v>19</v>
      </c>
      <c r="N634" s="5" t="s">
        <v>27</v>
      </c>
      <c r="O634" s="5">
        <v>257862.0</v>
      </c>
      <c r="P634" s="5">
        <v>700.0</v>
      </c>
      <c r="Q634" s="5">
        <v>105048.0</v>
      </c>
      <c r="R634" s="5">
        <v>238629.0</v>
      </c>
      <c r="S634" s="5">
        <v>21.0</v>
      </c>
      <c r="T634" s="5">
        <v>5899.429483</v>
      </c>
    </row>
    <row r="635">
      <c r="A635" s="4" t="s">
        <v>929</v>
      </c>
      <c r="B635" s="4" t="str">
        <f>IFERROR(__xludf.DUMMYFUNCTION("SPLIT(A635:A1361, ""&gt;"")"),"Online Behavior")</f>
        <v>Online Behavior</v>
      </c>
      <c r="C635" s="4" t="str">
        <f>IFERROR(__xludf.DUMMYFUNCTION("""COMPUTED_VALUE"""),"United States")</f>
        <v>United States</v>
      </c>
      <c r="D635" s="4" t="str">
        <f>IFERROR(__xludf.DUMMYFUNCTION("""COMPUTED_VALUE"""),"Internet and Telecom")</f>
        <v>Internet and Telecom</v>
      </c>
      <c r="E635" s="4" t="str">
        <f>IFERROR(__xludf.DUMMYFUNCTION("""COMPUTED_VALUE"""),"Search Engines")</f>
        <v>Search Engines</v>
      </c>
      <c r="F635" s="4"/>
      <c r="G635" s="4"/>
      <c r="H635" s="4"/>
      <c r="I635" s="5" t="s">
        <v>15</v>
      </c>
      <c r="J635" s="5" t="s">
        <v>42</v>
      </c>
      <c r="K635" s="5" t="s">
        <v>35</v>
      </c>
      <c r="L635" s="6" t="s">
        <v>919</v>
      </c>
      <c r="M635" s="5" t="s">
        <v>26</v>
      </c>
      <c r="N635" s="5" t="s">
        <v>52</v>
      </c>
      <c r="O635" s="5">
        <v>26439.0</v>
      </c>
      <c r="P635" s="5">
        <v>95.0</v>
      </c>
      <c r="Q635" s="5">
        <v>7093.0</v>
      </c>
      <c r="R635" s="5">
        <v>19681.0</v>
      </c>
      <c r="S635" s="5">
        <v>7.0</v>
      </c>
      <c r="T635" s="5">
        <v>5330.781969</v>
      </c>
    </row>
    <row r="636">
      <c r="A636" s="4" t="s">
        <v>930</v>
      </c>
      <c r="B636" s="4" t="str">
        <f>IFERROR(__xludf.DUMMYFUNCTION("SPLIT(A636:A1362, ""&gt;"")"),"Online Behavior")</f>
        <v>Online Behavior</v>
      </c>
      <c r="C636" s="4" t="str">
        <f>IFERROR(__xludf.DUMMYFUNCTION("""COMPUTED_VALUE"""),"United States")</f>
        <v>United States</v>
      </c>
      <c r="D636" s="4" t="str">
        <f>IFERROR(__xludf.DUMMYFUNCTION("""COMPUTED_VALUE"""),"Internet and Telecom")</f>
        <v>Internet and Telecom</v>
      </c>
      <c r="E636" s="4" t="str">
        <f>IFERROR(__xludf.DUMMYFUNCTION("""COMPUTED_VALUE"""),"Web Portals")</f>
        <v>Web Portals</v>
      </c>
      <c r="F636" s="4"/>
      <c r="G636" s="4"/>
      <c r="H636" s="4"/>
      <c r="I636" s="5" t="s">
        <v>22</v>
      </c>
      <c r="J636" s="5" t="s">
        <v>42</v>
      </c>
      <c r="K636" s="5" t="s">
        <v>204</v>
      </c>
      <c r="L636" s="6" t="s">
        <v>919</v>
      </c>
      <c r="M636" s="5" t="s">
        <v>19</v>
      </c>
      <c r="N636" s="5" t="s">
        <v>27</v>
      </c>
      <c r="O636" s="5">
        <v>96508.0</v>
      </c>
      <c r="P636" s="5">
        <v>351.0</v>
      </c>
      <c r="Q636" s="5">
        <v>47065.0</v>
      </c>
      <c r="R636" s="5">
        <v>73640.0</v>
      </c>
      <c r="S636" s="5">
        <v>15.0</v>
      </c>
      <c r="T636" s="5">
        <v>5310.769572</v>
      </c>
    </row>
    <row r="637">
      <c r="A637" s="4" t="s">
        <v>1623</v>
      </c>
      <c r="B637" s="4" t="str">
        <f>IFERROR(__xludf.DUMMYFUNCTION("SPLIT(A637:A1363, ""&gt;"")"),"Online Behavior")</f>
        <v>Online Behavior</v>
      </c>
      <c r="C637" s="4" t="str">
        <f>IFERROR(__xludf.DUMMYFUNCTION("""COMPUTED_VALUE"""),"United States")</f>
        <v>United States</v>
      </c>
      <c r="D637" s="4" t="str">
        <f>IFERROR(__xludf.DUMMYFUNCTION("""COMPUTED_VALUE"""),"Validated Demographic ")</f>
        <v>Validated Demographic </v>
      </c>
      <c r="E637" s="4" t="str">
        <f>IFERROR(__xludf.DUMMYFUNCTION("""COMPUTED_VALUE""")," Age")</f>
        <v> Age</v>
      </c>
      <c r="F637" s="4" t="str">
        <f>IFERROR(__xludf.DUMMYFUNCTION("""COMPUTED_VALUE"""),"25-54")</f>
        <v>25-54</v>
      </c>
      <c r="G637" s="4"/>
      <c r="H637" s="4"/>
      <c r="I637" s="5" t="s">
        <v>15</v>
      </c>
      <c r="J637" s="5" t="s">
        <v>16</v>
      </c>
      <c r="K637" s="5" t="s">
        <v>78</v>
      </c>
      <c r="L637" s="6" t="s">
        <v>919</v>
      </c>
      <c r="M637" s="5" t="s">
        <v>19</v>
      </c>
      <c r="N637" s="5" t="s">
        <v>27</v>
      </c>
      <c r="O637" s="5">
        <v>198163.0</v>
      </c>
      <c r="P637" s="5">
        <v>469.0</v>
      </c>
      <c r="Q637" s="5">
        <v>76695.0</v>
      </c>
      <c r="R637" s="5">
        <v>183585.0</v>
      </c>
      <c r="S637" s="5">
        <v>31.0</v>
      </c>
      <c r="T637" s="5">
        <v>5204.313768</v>
      </c>
    </row>
    <row r="638">
      <c r="A638" s="4" t="s">
        <v>932</v>
      </c>
      <c r="B638" s="4" t="str">
        <f>IFERROR(__xludf.DUMMYFUNCTION("SPLIT(A638:A1364, ""&gt;"")"),"Online Behavior")</f>
        <v>Online Behavior</v>
      </c>
      <c r="C638" s="4" t="str">
        <f>IFERROR(__xludf.DUMMYFUNCTION("""COMPUTED_VALUE"""),"United States")</f>
        <v>United States</v>
      </c>
      <c r="D638" s="4" t="str">
        <f>IFERROR(__xludf.DUMMYFUNCTION("""COMPUTED_VALUE"""),"Hobbies and Leisure")</f>
        <v>Hobbies and Leisure</v>
      </c>
      <c r="E638" s="4" t="str">
        <f>IFERROR(__xludf.DUMMYFUNCTION("""COMPUTED_VALUE"""),"Water Activities")</f>
        <v>Water Activities</v>
      </c>
      <c r="F638" s="4"/>
      <c r="G638" s="4"/>
      <c r="H638" s="4"/>
      <c r="I638" s="5" t="s">
        <v>22</v>
      </c>
      <c r="J638" s="5" t="s">
        <v>31</v>
      </c>
      <c r="K638" s="5" t="s">
        <v>214</v>
      </c>
      <c r="L638" s="6" t="s">
        <v>919</v>
      </c>
      <c r="M638" s="5" t="s">
        <v>19</v>
      </c>
      <c r="N638" s="5" t="s">
        <v>27</v>
      </c>
      <c r="O638" s="5">
        <v>156427.0</v>
      </c>
      <c r="P638" s="5">
        <v>512.0</v>
      </c>
      <c r="Q638" s="5">
        <v>61821.0</v>
      </c>
      <c r="R638" s="5">
        <v>145505.0</v>
      </c>
      <c r="S638" s="5">
        <v>3.0</v>
      </c>
      <c r="T638" s="5">
        <v>5159.747494</v>
      </c>
    </row>
    <row r="639">
      <c r="A639" s="4" t="s">
        <v>1624</v>
      </c>
      <c r="B639" s="4" t="str">
        <f>IFERROR(__xludf.DUMMYFUNCTION("SPLIT(A639:A1365, ""&gt;"")"),"Online Behavior")</f>
        <v>Online Behavior</v>
      </c>
      <c r="C639" s="4" t="str">
        <f>IFERROR(__xludf.DUMMYFUNCTION("""COMPUTED_VALUE"""),"United States")</f>
        <v>United States</v>
      </c>
      <c r="D639" s="4" t="str">
        <f>IFERROR(__xludf.DUMMYFUNCTION("""COMPUTED_VALUE"""),"Finance ")</f>
        <v>Finance </v>
      </c>
      <c r="E639" s="4" t="str">
        <f>IFERROR(__xludf.DUMMYFUNCTION("""COMPUTED_VALUE""")," Insurance")</f>
        <v> Insurance</v>
      </c>
      <c r="F639" s="4" t="str">
        <f>IFERROR(__xludf.DUMMYFUNCTION("""COMPUTED_VALUE"""),"Travel Insurance")</f>
        <v>Travel Insurance</v>
      </c>
      <c r="G639" s="4"/>
      <c r="H639" s="4"/>
      <c r="I639" s="5" t="s">
        <v>15</v>
      </c>
      <c r="J639" s="5" t="s">
        <v>42</v>
      </c>
      <c r="K639" s="5" t="s">
        <v>39</v>
      </c>
      <c r="L639" s="6" t="s">
        <v>919</v>
      </c>
      <c r="M639" s="5" t="s">
        <v>36</v>
      </c>
      <c r="N639" s="5" t="s">
        <v>27</v>
      </c>
      <c r="O639" s="5">
        <v>61574.0</v>
      </c>
      <c r="P639" s="5">
        <v>280.0</v>
      </c>
      <c r="Q639" s="5">
        <v>18717.0</v>
      </c>
      <c r="R639" s="5">
        <v>46367.0</v>
      </c>
      <c r="S639" s="5">
        <v>8.0</v>
      </c>
      <c r="T639" s="5">
        <v>4999.665205</v>
      </c>
    </row>
    <row r="640">
      <c r="A640" s="4" t="s">
        <v>1625</v>
      </c>
      <c r="B640" s="4" t="str">
        <f>IFERROR(__xludf.DUMMYFUNCTION("SPLIT(A640:A1366, ""&gt;"")"),"Online Behavior")</f>
        <v>Online Behavior</v>
      </c>
      <c r="C640" s="4" t="str">
        <f>IFERROR(__xludf.DUMMYFUNCTION("""COMPUTED_VALUE"""),"United States")</f>
        <v>United States</v>
      </c>
      <c r="D640" s="4" t="str">
        <f>IFERROR(__xludf.DUMMYFUNCTION("""COMPUTED_VALUE"""),"Intent ")</f>
        <v>Intent </v>
      </c>
      <c r="E640" s="4" t="str">
        <f>IFERROR(__xludf.DUMMYFUNCTION("""COMPUTED_VALUE""")," Services")</f>
        <v> Services</v>
      </c>
      <c r="F640" s="4" t="str">
        <f>IFERROR(__xludf.DUMMYFUNCTION("""COMPUTED_VALUE"""),"Restaurants")</f>
        <v>Restaurants</v>
      </c>
      <c r="G640" s="4"/>
      <c r="H640" s="4"/>
      <c r="I640" s="5" t="s">
        <v>15</v>
      </c>
      <c r="J640" s="5" t="s">
        <v>31</v>
      </c>
      <c r="K640" s="5" t="s">
        <v>29</v>
      </c>
      <c r="L640" s="6" t="s">
        <v>919</v>
      </c>
      <c r="M640" s="5" t="s">
        <v>19</v>
      </c>
      <c r="N640" s="5" t="s">
        <v>20</v>
      </c>
      <c r="O640" s="5">
        <v>29856.0</v>
      </c>
      <c r="P640" s="5">
        <v>111.0</v>
      </c>
      <c r="Q640" s="5">
        <v>7664.0</v>
      </c>
      <c r="R640" s="5">
        <v>21698.0</v>
      </c>
      <c r="S640" s="5">
        <v>9.0</v>
      </c>
      <c r="T640" s="5">
        <v>4851.394446</v>
      </c>
    </row>
    <row r="641">
      <c r="A641" s="4" t="s">
        <v>1626</v>
      </c>
      <c r="B641" s="4" t="str">
        <f>IFERROR(__xludf.DUMMYFUNCTION("SPLIT(A641:A1367, ""&gt;"")"),"Online Behavior")</f>
        <v>Online Behavior</v>
      </c>
      <c r="C641" s="4" t="str">
        <f>IFERROR(__xludf.DUMMYFUNCTION("""COMPUTED_VALUE"""),"United States")</f>
        <v>United States</v>
      </c>
      <c r="D641" s="4" t="str">
        <f>IFERROR(__xludf.DUMMYFUNCTION("""COMPUTED_VALUE"""),"Intent ")</f>
        <v>Intent </v>
      </c>
      <c r="E641" s="4" t="str">
        <f>IFERROR(__xludf.DUMMYFUNCTION("""COMPUTED_VALUE""")," Travel")</f>
        <v> Travel</v>
      </c>
      <c r="F641" s="4" t="str">
        <f>IFERROR(__xludf.DUMMYFUNCTION("""COMPUTED_VALUE"""),"Future Travel")</f>
        <v>Future Travel</v>
      </c>
      <c r="G641" s="4"/>
      <c r="H641" s="4"/>
      <c r="I641" s="5" t="s">
        <v>15</v>
      </c>
      <c r="J641" s="5" t="s">
        <v>31</v>
      </c>
      <c r="K641" s="5" t="s">
        <v>35</v>
      </c>
      <c r="L641" s="6" t="s">
        <v>919</v>
      </c>
      <c r="M641" s="5" t="s">
        <v>19</v>
      </c>
      <c r="N641" s="5" t="s">
        <v>27</v>
      </c>
      <c r="O641" s="5">
        <v>100991.0</v>
      </c>
      <c r="P641" s="5">
        <v>286.0</v>
      </c>
      <c r="Q641" s="5">
        <v>56138.0</v>
      </c>
      <c r="R641" s="5">
        <v>88836.0</v>
      </c>
      <c r="S641" s="5">
        <v>9.0</v>
      </c>
      <c r="T641" s="5">
        <v>4652.367629</v>
      </c>
    </row>
    <row r="642">
      <c r="A642" s="4" t="s">
        <v>1942</v>
      </c>
      <c r="B642" s="4" t="str">
        <f>IFERROR(__xludf.DUMMYFUNCTION("SPLIT(A642:A1368, ""&gt;"")"),"Online Behavior")</f>
        <v>Online Behavior</v>
      </c>
      <c r="C642" s="4" t="str">
        <f>IFERROR(__xludf.DUMMYFUNCTION("""COMPUTED_VALUE"""),"United States")</f>
        <v>United States</v>
      </c>
      <c r="D642" s="4" t="str">
        <f>IFERROR(__xludf.DUMMYFUNCTION("""COMPUTED_VALUE"""),"Intent ")</f>
        <v>Intent </v>
      </c>
      <c r="E642" s="4" t="str">
        <f>IFERROR(__xludf.DUMMYFUNCTION("""COMPUTED_VALUE""")," Shopping")</f>
        <v> Shopping</v>
      </c>
      <c r="F642" s="4" t="str">
        <f>IFERROR(__xludf.DUMMYFUNCTION("""COMPUTED_VALUE"""),"CPG� Cosmetics")</f>
        <v>CPG� Cosmetics</v>
      </c>
      <c r="G642" s="4"/>
      <c r="H642" s="4"/>
      <c r="I642" s="5" t="s">
        <v>22</v>
      </c>
      <c r="J642" s="5" t="s">
        <v>16</v>
      </c>
      <c r="K642" s="5" t="s">
        <v>35</v>
      </c>
      <c r="L642" s="6" t="s">
        <v>919</v>
      </c>
      <c r="M642" s="5" t="s">
        <v>19</v>
      </c>
      <c r="N642" s="5" t="s">
        <v>27</v>
      </c>
      <c r="O642" s="5">
        <v>43327.0</v>
      </c>
      <c r="P642" s="5">
        <v>140.0</v>
      </c>
      <c r="Q642" s="5">
        <v>4689.0</v>
      </c>
      <c r="R642" s="5">
        <v>31363.0</v>
      </c>
      <c r="S642" s="5">
        <v>14.0</v>
      </c>
      <c r="T642" s="5">
        <v>4554.876884</v>
      </c>
    </row>
    <row r="643">
      <c r="A643" s="4" t="s">
        <v>937</v>
      </c>
      <c r="B643" s="4" t="str">
        <f>IFERROR(__xludf.DUMMYFUNCTION("SPLIT(A643:A1369, ""&gt;"")"),"Online Behavior")</f>
        <v>Online Behavior</v>
      </c>
      <c r="C643" s="4" t="str">
        <f>IFERROR(__xludf.DUMMYFUNCTION("""COMPUTED_VALUE"""),"United States")</f>
        <v>United States</v>
      </c>
      <c r="D643" s="4" t="str">
        <f>IFERROR(__xludf.DUMMYFUNCTION("""COMPUTED_VALUE"""),"Travel")</f>
        <v>Travel</v>
      </c>
      <c r="E643" s="4" t="str">
        <f>IFERROR(__xludf.DUMMYFUNCTION("""COMPUTED_VALUE"""),"Travel Guides and Travelogues")</f>
        <v>Travel Guides and Travelogues</v>
      </c>
      <c r="F643" s="4"/>
      <c r="G643" s="4"/>
      <c r="H643" s="4"/>
      <c r="I643" s="5" t="s">
        <v>22</v>
      </c>
      <c r="J643" s="5" t="s">
        <v>16</v>
      </c>
      <c r="K643" s="5" t="s">
        <v>29</v>
      </c>
      <c r="L643" s="6" t="s">
        <v>919</v>
      </c>
      <c r="M643" s="5" t="s">
        <v>19</v>
      </c>
      <c r="N643" s="5" t="s">
        <v>27</v>
      </c>
      <c r="O643" s="5">
        <v>212009.0</v>
      </c>
      <c r="P643" s="5">
        <v>555.0</v>
      </c>
      <c r="Q643" s="5">
        <v>16903.0</v>
      </c>
      <c r="R643" s="5">
        <v>149653.0</v>
      </c>
      <c r="S643" s="5">
        <v>15.0</v>
      </c>
      <c r="T643" s="5">
        <v>3983.621797</v>
      </c>
    </row>
    <row r="644">
      <c r="A644" s="4" t="s">
        <v>938</v>
      </c>
      <c r="B644" s="4" t="str">
        <f>IFERROR(__xludf.DUMMYFUNCTION("SPLIT(A644:A1370, ""&gt;"")"),"Online Behavior")</f>
        <v>Online Behavior</v>
      </c>
      <c r="C644" s="4" t="str">
        <f>IFERROR(__xludf.DUMMYFUNCTION("""COMPUTED_VALUE"""),"United States")</f>
        <v>United States</v>
      </c>
      <c r="D644" s="4" t="str">
        <f>IFERROR(__xludf.DUMMYFUNCTION("""COMPUTED_VALUE"""),"The Changing Consumer")</f>
        <v>The Changing Consumer</v>
      </c>
      <c r="E644" s="4" t="str">
        <f>IFERROR(__xludf.DUMMYFUNCTION("""COMPUTED_VALUE"""),"Pet Adoption")</f>
        <v>Pet Adoption</v>
      </c>
      <c r="F644" s="4"/>
      <c r="G644" s="4"/>
      <c r="H644" s="4"/>
      <c r="I644" s="5" t="s">
        <v>15</v>
      </c>
      <c r="J644" s="5" t="s">
        <v>16</v>
      </c>
      <c r="K644" s="5" t="s">
        <v>66</v>
      </c>
      <c r="L644" s="6" t="s">
        <v>919</v>
      </c>
      <c r="M644" s="5" t="s">
        <v>19</v>
      </c>
      <c r="N644" s="5" t="s">
        <v>20</v>
      </c>
      <c r="O644" s="5">
        <v>45668.0</v>
      </c>
      <c r="P644" s="5">
        <v>130.0</v>
      </c>
      <c r="Q644" s="5">
        <v>16872.0</v>
      </c>
      <c r="R644" s="5">
        <v>32085.0</v>
      </c>
      <c r="S644" s="5">
        <v>9.0</v>
      </c>
      <c r="T644" s="5">
        <v>3444.202946</v>
      </c>
    </row>
    <row r="645">
      <c r="A645" s="4" t="s">
        <v>939</v>
      </c>
      <c r="B645" s="4" t="str">
        <f>IFERROR(__xludf.DUMMYFUNCTION("SPLIT(A645:A1371, ""&gt;"")"),"Media and Entertainment")</f>
        <v>Media and Entertainment</v>
      </c>
      <c r="C645" s="4"/>
      <c r="D645" s="4"/>
      <c r="E645" s="4"/>
      <c r="F645" s="4"/>
      <c r="G645" s="4"/>
      <c r="H645" s="4"/>
      <c r="I645" s="5" t="s">
        <v>22</v>
      </c>
      <c r="J645" s="5" t="s">
        <v>42</v>
      </c>
      <c r="K645" s="5" t="s">
        <v>78</v>
      </c>
      <c r="L645" s="6" t="s">
        <v>919</v>
      </c>
      <c r="M645" s="5" t="s">
        <v>19</v>
      </c>
      <c r="N645" s="5" t="s">
        <v>27</v>
      </c>
      <c r="O645" s="5">
        <v>654902.0</v>
      </c>
      <c r="P645" s="5">
        <v>1874.0</v>
      </c>
      <c r="Q645" s="5">
        <v>40733.0</v>
      </c>
      <c r="R645" s="5">
        <v>477114.0</v>
      </c>
      <c r="S645" s="5">
        <v>14.0</v>
      </c>
      <c r="T645" s="5">
        <v>3178.610315</v>
      </c>
    </row>
    <row r="646">
      <c r="A646" s="4" t="s">
        <v>940</v>
      </c>
      <c r="B646" s="4" t="str">
        <f>IFERROR(__xludf.DUMMYFUNCTION("SPLIT(A646:A1372, ""&gt;"")"),"Retail")</f>
        <v>Retail</v>
      </c>
      <c r="C646" s="4"/>
      <c r="D646" s="4"/>
      <c r="E646" s="4"/>
      <c r="F646" s="4"/>
      <c r="G646" s="4"/>
      <c r="H646" s="4"/>
      <c r="I646" s="5" t="s">
        <v>22</v>
      </c>
      <c r="J646" s="5" t="s">
        <v>23</v>
      </c>
      <c r="K646" s="5" t="s">
        <v>150</v>
      </c>
      <c r="L646" s="6" t="s">
        <v>919</v>
      </c>
      <c r="M646" s="5" t="s">
        <v>26</v>
      </c>
      <c r="N646" s="5" t="s">
        <v>27</v>
      </c>
      <c r="O646" s="5">
        <v>239164.0</v>
      </c>
      <c r="P646" s="5">
        <v>699.0</v>
      </c>
      <c r="Q646" s="5">
        <v>86250.0</v>
      </c>
      <c r="R646" s="5">
        <v>198209.0</v>
      </c>
      <c r="S646" s="5">
        <v>41.0</v>
      </c>
      <c r="T646" s="5">
        <v>2819.935266</v>
      </c>
    </row>
    <row r="647">
      <c r="A647" s="4" t="s">
        <v>1943</v>
      </c>
      <c r="B647" s="4" t="str">
        <f>IFERROR(__xludf.DUMMYFUNCTION("SPLIT(A647:A1373, ""&gt;"")"),"US ")</f>
        <v>US </v>
      </c>
      <c r="C647" s="4" t="str">
        <f>IFERROR(__xludf.DUMMYFUNCTION("""COMPUTED_VALUE""")," Reach ")</f>
        <v> Reach </v>
      </c>
      <c r="D647" s="4" t="str">
        <f>IFERROR(__xludf.DUMMYFUNCTION("""COMPUTED_VALUE""")," Propensity Models ")</f>
        <v> Propensity Models </v>
      </c>
      <c r="E647" s="4" t="str">
        <f>IFERROR(__xludf.DUMMYFUNCTION("""COMPUTED_VALUE""")," Hobbies and Interest ")</f>
        <v> Hobbies and Interest </v>
      </c>
      <c r="F647" s="4" t="str">
        <f>IFERROR(__xludf.DUMMYFUNCTION("""COMPUTED_VALUE""")," Sports ")</f>
        <v> Sports </v>
      </c>
      <c r="G647" s="4" t="str">
        <f>IFERROR(__xludf.DUMMYFUNCTION("""COMPUTED_VALUE""")," Boating")</f>
        <v> Boating</v>
      </c>
      <c r="H647" s="4"/>
      <c r="I647" s="5" t="s">
        <v>15</v>
      </c>
      <c r="J647" s="5" t="s">
        <v>16</v>
      </c>
      <c r="K647" s="5" t="s">
        <v>35</v>
      </c>
      <c r="L647" s="6" t="s">
        <v>919</v>
      </c>
      <c r="M647" s="5" t="s">
        <v>36</v>
      </c>
      <c r="N647" s="5" t="s">
        <v>27</v>
      </c>
      <c r="O647" s="5">
        <v>564387.0</v>
      </c>
      <c r="P647" s="5">
        <v>1984.0</v>
      </c>
      <c r="Q647" s="5">
        <v>78234.0</v>
      </c>
      <c r="R647" s="5">
        <v>438695.0</v>
      </c>
      <c r="S647" s="5">
        <v>6.0</v>
      </c>
      <c r="T647" s="5">
        <v>2712.379678</v>
      </c>
    </row>
    <row r="648">
      <c r="A648" s="4" t="s">
        <v>1944</v>
      </c>
      <c r="B648" s="4" t="str">
        <f>IFERROR(__xludf.DUMMYFUNCTION("SPLIT(A648:A1374, ""&gt;"")"),"US ")</f>
        <v>US </v>
      </c>
      <c r="C648" s="4" t="str">
        <f>IFERROR(__xludf.DUMMYFUNCTION("""COMPUTED_VALUE""")," Financially in Charge ")</f>
        <v> Financially in Charge </v>
      </c>
      <c r="D648" s="4" t="str">
        <f>IFERROR(__xludf.DUMMYFUNCTION("""COMPUTED_VALUE""")," Performance Score: Top 50%")</f>
        <v> Performance Score: Top 50%</v>
      </c>
      <c r="E648" s="4"/>
      <c r="F648" s="4"/>
      <c r="G648" s="4"/>
      <c r="H648" s="4"/>
      <c r="I648" s="5" t="s">
        <v>22</v>
      </c>
      <c r="J648" s="5" t="s">
        <v>42</v>
      </c>
      <c r="K648" s="5" t="s">
        <v>78</v>
      </c>
      <c r="L648" s="6" t="s">
        <v>919</v>
      </c>
      <c r="M648" s="5" t="s">
        <v>19</v>
      </c>
      <c r="N648" s="5" t="s">
        <v>27</v>
      </c>
      <c r="O648" s="5">
        <v>12512.0</v>
      </c>
      <c r="P648" s="5">
        <v>69.0</v>
      </c>
      <c r="Q648" s="5">
        <v>6240.0</v>
      </c>
      <c r="R648" s="5">
        <v>9672.0</v>
      </c>
      <c r="S648" s="5">
        <v>1.0</v>
      </c>
      <c r="T648" s="5">
        <v>2298.888965</v>
      </c>
    </row>
    <row r="649">
      <c r="A649" s="4" t="s">
        <v>1945</v>
      </c>
      <c r="B649" s="4" t="str">
        <f>IFERROR(__xludf.DUMMYFUNCTION("SPLIT(A649:A1375, ""&gt;"")"),"US ")</f>
        <v>US </v>
      </c>
      <c r="C649" s="4" t="str">
        <f>IFERROR(__xludf.DUMMYFUNCTION("""COMPUTED_VALUE""")," Reach ")</f>
        <v> Reach </v>
      </c>
      <c r="D649" s="4" t="str">
        <f>IFERROR(__xludf.DUMMYFUNCTION("""COMPUTED_VALUE""")," Propensity Models ")</f>
        <v> Propensity Models </v>
      </c>
      <c r="E649" s="4" t="str">
        <f>IFERROR(__xludf.DUMMYFUNCTION("""COMPUTED_VALUE""")," Online ")</f>
        <v> Online </v>
      </c>
      <c r="F649" s="4" t="str">
        <f>IFERROR(__xludf.DUMMYFUNCTION("""COMPUTED_VALUE""")," Pets")</f>
        <v> Pets</v>
      </c>
      <c r="G649" s="4"/>
      <c r="H649" s="4"/>
      <c r="I649" s="5" t="s">
        <v>22</v>
      </c>
      <c r="J649" s="5" t="s">
        <v>16</v>
      </c>
      <c r="K649" s="5" t="s">
        <v>17</v>
      </c>
      <c r="L649" s="6" t="s">
        <v>919</v>
      </c>
      <c r="M649" s="5" t="s">
        <v>19</v>
      </c>
      <c r="N649" s="5" t="s">
        <v>27</v>
      </c>
      <c r="O649" s="5">
        <v>68008.0</v>
      </c>
      <c r="P649" s="5">
        <v>204.0</v>
      </c>
      <c r="Q649" s="5">
        <v>2996.0</v>
      </c>
      <c r="R649" s="5">
        <v>49686.0</v>
      </c>
      <c r="S649" s="5">
        <v>9.0</v>
      </c>
      <c r="T649" s="5">
        <v>1923.808141</v>
      </c>
    </row>
    <row r="650">
      <c r="A650" s="4" t="s">
        <v>1946</v>
      </c>
      <c r="B650" s="4" t="str">
        <f>IFERROR(__xludf.DUMMYFUNCTION("SPLIT(A650:A1376, ""&gt;"")"),"US ")</f>
        <v>US </v>
      </c>
      <c r="C650" s="4" t="str">
        <f>IFERROR(__xludf.DUMMYFUNCTION("""COMPUTED_VALUE""")," Interest Propensities ")</f>
        <v> Interest Propensities </v>
      </c>
      <c r="D650" s="4" t="str">
        <f>IFERROR(__xludf.DUMMYFUNCTION("""COMPUTED_VALUE""")," Insurance ")</f>
        <v> Insurance </v>
      </c>
      <c r="E650" s="4" t="str">
        <f>IFERROR(__xludf.DUMMYFUNCTION("""COMPUTED_VALUE""")," Lincoln Heritage")</f>
        <v> Lincoln Heritage</v>
      </c>
      <c r="F650" s="4"/>
      <c r="G650" s="4"/>
      <c r="H650" s="4"/>
      <c r="I650" s="5" t="s">
        <v>22</v>
      </c>
      <c r="J650" s="5" t="s">
        <v>23</v>
      </c>
      <c r="K650" s="5" t="s">
        <v>78</v>
      </c>
      <c r="L650" s="6" t="s">
        <v>919</v>
      </c>
      <c r="M650" s="5" t="s">
        <v>26</v>
      </c>
      <c r="N650" s="5" t="s">
        <v>27</v>
      </c>
      <c r="O650" s="5">
        <v>61848.0</v>
      </c>
      <c r="P650" s="5">
        <v>213.0</v>
      </c>
      <c r="Q650" s="5">
        <v>6581.0</v>
      </c>
      <c r="R650" s="5">
        <v>44917.0</v>
      </c>
      <c r="S650" s="5">
        <v>15.0</v>
      </c>
      <c r="T650" s="5">
        <v>1819.893602</v>
      </c>
    </row>
    <row r="651">
      <c r="A651" s="4" t="s">
        <v>1632</v>
      </c>
      <c r="B651" s="4" t="str">
        <f>IFERROR(__xludf.DUMMYFUNCTION("SPLIT(A651:A1377, ""&gt;"")"),"Real Estate ")</f>
        <v>Real Estate </v>
      </c>
      <c r="C651" s="4" t="str">
        <f>IFERROR(__xludf.DUMMYFUNCTION("""COMPUTED_VALUE""")," Lot Size ")</f>
        <v> Lot Size </v>
      </c>
      <c r="D651" s="4" t="str">
        <f>IFERROR(__xludf.DUMMYFUNCTION("""COMPUTED_VALUE""")," Cozy Outdoor Living Space (Less than  an Acre)")</f>
        <v> Cozy Outdoor Living Space (Less than  an Acre)</v>
      </c>
      <c r="E651" s="4"/>
      <c r="F651" s="4"/>
      <c r="G651" s="4"/>
      <c r="H651" s="4"/>
      <c r="I651" s="5" t="s">
        <v>15</v>
      </c>
      <c r="J651" s="5" t="s">
        <v>31</v>
      </c>
      <c r="K651" s="5" t="s">
        <v>78</v>
      </c>
      <c r="L651" s="6" t="s">
        <v>919</v>
      </c>
      <c r="M651" s="5" t="s">
        <v>36</v>
      </c>
      <c r="N651" s="5" t="s">
        <v>27</v>
      </c>
      <c r="O651" s="5">
        <v>232635.0</v>
      </c>
      <c r="P651" s="5">
        <v>666.0</v>
      </c>
      <c r="Q651" s="5">
        <v>34008.0</v>
      </c>
      <c r="R651" s="5">
        <v>195803.0</v>
      </c>
      <c r="S651" s="5">
        <v>39.0</v>
      </c>
      <c r="T651" s="5">
        <v>1773.991882</v>
      </c>
    </row>
    <row r="652">
      <c r="A652" s="4" t="s">
        <v>1947</v>
      </c>
      <c r="B652" s="4" t="str">
        <f>IFERROR(__xludf.DUMMYFUNCTION("SPLIT(A652:A1378, ""&gt;"")"),"US Demographic ")</f>
        <v>US Demographic </v>
      </c>
      <c r="C652" s="4" t="str">
        <f>IFERROR(__xludf.DUMMYFUNCTION("""COMPUTED_VALUE""")," Age ")</f>
        <v> Age </v>
      </c>
      <c r="D652" s="4" t="str">
        <f>IFERROR(__xludf.DUMMYFUNCTION("""COMPUTED_VALUE""")," Specialty Age Range ")</f>
        <v> Specialty Age Range </v>
      </c>
      <c r="E652" s="4" t="str">
        <f>IFERROR(__xludf.DUMMYFUNCTION("""COMPUTED_VALUE""")," 21+")</f>
        <v> 21+</v>
      </c>
      <c r="F652" s="4"/>
      <c r="G652" s="4"/>
      <c r="H652" s="4"/>
      <c r="I652" s="5" t="s">
        <v>15</v>
      </c>
      <c r="J652" s="5" t="s">
        <v>16</v>
      </c>
      <c r="K652" s="5" t="s">
        <v>35</v>
      </c>
      <c r="L652" s="6" t="s">
        <v>919</v>
      </c>
      <c r="M652" s="5" t="s">
        <v>26</v>
      </c>
      <c r="N652" s="5" t="s">
        <v>27</v>
      </c>
      <c r="O652" s="5">
        <v>180353.0</v>
      </c>
      <c r="P652" s="5">
        <v>471.0</v>
      </c>
      <c r="Q652" s="5">
        <v>67637.0</v>
      </c>
      <c r="R652" s="5">
        <v>145416.0</v>
      </c>
      <c r="S652" s="5">
        <v>8.0</v>
      </c>
      <c r="T652" s="5">
        <v>1720.881985</v>
      </c>
    </row>
    <row r="653">
      <c r="A653" s="4" t="s">
        <v>947</v>
      </c>
      <c r="B653" s="4" t="str">
        <f>IFERROR(__xludf.DUMMYFUNCTION("SPLIT(A653:A1379, ""&gt;"")"),"US Mail Order Buyer")</f>
        <v>US Mail Order Buyer</v>
      </c>
      <c r="C653" s="4"/>
      <c r="D653" s="4"/>
      <c r="E653" s="4"/>
      <c r="F653" s="4"/>
      <c r="G653" s="4"/>
      <c r="H653" s="4"/>
      <c r="I653" s="5" t="s">
        <v>22</v>
      </c>
      <c r="J653" s="5" t="s">
        <v>16</v>
      </c>
      <c r="K653" s="5" t="s">
        <v>78</v>
      </c>
      <c r="L653" s="6" t="s">
        <v>919</v>
      </c>
      <c r="M653" s="5" t="s">
        <v>19</v>
      </c>
      <c r="N653" s="5" t="s">
        <v>27</v>
      </c>
      <c r="O653" s="5">
        <v>78433.0</v>
      </c>
      <c r="P653" s="5">
        <v>204.0</v>
      </c>
      <c r="Q653" s="5">
        <v>24067.0</v>
      </c>
      <c r="R653" s="5">
        <v>58308.0</v>
      </c>
      <c r="S653" s="5">
        <v>16.0</v>
      </c>
      <c r="T653" s="5">
        <v>1612.549327</v>
      </c>
    </row>
    <row r="654">
      <c r="A654" s="4" t="s">
        <v>1948</v>
      </c>
      <c r="B654" s="4" t="str">
        <f>IFERROR(__xludf.DUMMYFUNCTION("SPLIT(A654:A1380, ""&gt;"")"),"US ")</f>
        <v>US </v>
      </c>
      <c r="C654" s="4" t="str">
        <f>IFERROR(__xludf.DUMMYFUNCTION("""COMPUTED_VALUE""")," Brand Propensities ")</f>
        <v> Brand Propensities </v>
      </c>
      <c r="D654" s="4" t="str">
        <f>IFERROR(__xludf.DUMMYFUNCTION("""COMPUTED_VALUE""")," Big Box Dollar General Buyer Propensity")</f>
        <v> Big Box Dollar General Buyer Propensity</v>
      </c>
      <c r="E654" s="4"/>
      <c r="F654" s="4"/>
      <c r="G654" s="4"/>
      <c r="H654" s="4"/>
      <c r="I654" s="5" t="s">
        <v>22</v>
      </c>
      <c r="J654" s="5" t="s">
        <v>23</v>
      </c>
      <c r="K654" s="5" t="s">
        <v>35</v>
      </c>
      <c r="L654" s="6" t="s">
        <v>919</v>
      </c>
      <c r="M654" s="5" t="s">
        <v>117</v>
      </c>
      <c r="N654" s="5" t="s">
        <v>27</v>
      </c>
      <c r="O654" s="5">
        <v>194833.0</v>
      </c>
      <c r="P654" s="5">
        <v>499.0</v>
      </c>
      <c r="Q654" s="5">
        <v>29091.0</v>
      </c>
      <c r="R654" s="5">
        <v>143813.0</v>
      </c>
      <c r="S654" s="5">
        <v>4.0</v>
      </c>
      <c r="T654" s="5">
        <v>1586.314519</v>
      </c>
    </row>
    <row r="655">
      <c r="A655" s="4" t="s">
        <v>1636</v>
      </c>
      <c r="B655" s="4" t="str">
        <f>IFERROR(__xludf.DUMMYFUNCTION("SPLIT(A655:A1381, ""&gt;"")"),"OnAudience ")</f>
        <v>OnAudience </v>
      </c>
      <c r="C655" s="4" t="str">
        <f>IFERROR(__xludf.DUMMYFUNCTION("""COMPUTED_VALUE""")," Interest ")</f>
        <v> Interest </v>
      </c>
      <c r="D655" s="4" t="str">
        <f>IFERROR(__xludf.DUMMYFUNCTION("""COMPUTED_VALUE""")," News ")</f>
        <v> News </v>
      </c>
      <c r="E655" s="4" t="str">
        <f>IFERROR(__xludf.DUMMYFUNCTION("""COMPUTED_VALUE""")," International News")</f>
        <v> International News</v>
      </c>
      <c r="F655" s="4"/>
      <c r="G655" s="4"/>
      <c r="H655" s="4"/>
      <c r="I655" s="5" t="s">
        <v>15</v>
      </c>
      <c r="J655" s="5" t="s">
        <v>31</v>
      </c>
      <c r="K655" s="5" t="s">
        <v>142</v>
      </c>
      <c r="L655" s="6" t="s">
        <v>919</v>
      </c>
      <c r="M655" s="5" t="s">
        <v>117</v>
      </c>
      <c r="N655" s="5" t="s">
        <v>27</v>
      </c>
      <c r="O655" s="5">
        <v>197192.0</v>
      </c>
      <c r="P655" s="5">
        <v>519.0</v>
      </c>
      <c r="Q655" s="5">
        <v>80623.0</v>
      </c>
      <c r="R655" s="5">
        <v>181763.0</v>
      </c>
      <c r="S655" s="5">
        <v>5.0</v>
      </c>
      <c r="T655" s="5">
        <v>1584.731757</v>
      </c>
    </row>
    <row r="656">
      <c r="A656" s="4" t="s">
        <v>1949</v>
      </c>
      <c r="B656" s="4" t="str">
        <f>IFERROR(__xludf.DUMMYFUNCTION("SPLIT(A656:A1382, ""&gt;"")"),"Mobile Audience ")</f>
        <v>Mobile Audience </v>
      </c>
      <c r="C656" s="4" t="str">
        <f>IFERROR(__xludf.DUMMYFUNCTION("""COMPUTED_VALUE""")," Lifestyle ")</f>
        <v> Lifestyle </v>
      </c>
      <c r="D656" s="4" t="str">
        <f>IFERROR(__xludf.DUMMYFUNCTION("""COMPUTED_VALUE""")," Arts Enthusiasts")</f>
        <v> Arts Enthusiasts</v>
      </c>
      <c r="E656" s="4"/>
      <c r="F656" s="4"/>
      <c r="G656" s="4"/>
      <c r="H656" s="4"/>
      <c r="I656" s="5" t="s">
        <v>15</v>
      </c>
      <c r="J656" s="5" t="s">
        <v>42</v>
      </c>
      <c r="K656" s="5" t="s">
        <v>55</v>
      </c>
      <c r="L656" s="6" t="s">
        <v>919</v>
      </c>
      <c r="M656" s="5" t="s">
        <v>26</v>
      </c>
      <c r="N656" s="5" t="s">
        <v>27</v>
      </c>
      <c r="O656" s="5">
        <v>40519.0</v>
      </c>
      <c r="P656" s="5">
        <v>111.0</v>
      </c>
      <c r="Q656" s="5">
        <v>6105.0</v>
      </c>
      <c r="R656" s="5">
        <v>26283.0</v>
      </c>
      <c r="S656" s="5">
        <v>10.0</v>
      </c>
      <c r="T656" s="5">
        <v>1582.410977</v>
      </c>
    </row>
    <row r="657">
      <c r="A657" s="4" t="s">
        <v>1950</v>
      </c>
      <c r="B657" s="4" t="str">
        <f>IFERROR(__xludf.DUMMYFUNCTION("SPLIT(A657:A1383, ""&gt;"")"),"US ")</f>
        <v>US </v>
      </c>
      <c r="C657" s="4" t="str">
        <f>IFERROR(__xludf.DUMMYFUNCTION("""COMPUTED_VALUE""")," Interest Propensities ")</f>
        <v> Interest Propensities </v>
      </c>
      <c r="D657" s="4" t="str">
        <f>IFERROR(__xludf.DUMMYFUNCTION("""COMPUTED_VALUE""")," Music ")</f>
        <v> Music </v>
      </c>
      <c r="E657" s="4" t="str">
        <f>IFERROR(__xludf.DUMMYFUNCTION("""COMPUTED_VALUE""")," Hip Hop and Rap")</f>
        <v> Hip Hop and Rap</v>
      </c>
      <c r="F657" s="4"/>
      <c r="G657" s="4"/>
      <c r="H657" s="4"/>
      <c r="I657" s="5" t="s">
        <v>22</v>
      </c>
      <c r="J657" s="5" t="s">
        <v>23</v>
      </c>
      <c r="K657" s="5" t="s">
        <v>173</v>
      </c>
      <c r="L657" s="6" t="s">
        <v>919</v>
      </c>
      <c r="M657" s="5" t="s">
        <v>19</v>
      </c>
      <c r="N657" s="5" t="s">
        <v>27</v>
      </c>
      <c r="O657" s="5">
        <v>254780.0</v>
      </c>
      <c r="P657" s="5">
        <v>699.0</v>
      </c>
      <c r="Q657" s="5">
        <v>19169.0</v>
      </c>
      <c r="R657" s="5">
        <v>182583.0</v>
      </c>
      <c r="S657" s="5">
        <v>4.0</v>
      </c>
      <c r="T657" s="5">
        <v>1561.021915</v>
      </c>
    </row>
    <row r="658">
      <c r="A658" s="4" t="s">
        <v>1639</v>
      </c>
      <c r="B658" s="4" t="str">
        <f>IFERROR(__xludf.DUMMYFUNCTION("SPLIT(A658:A1384, ""&gt;"")"),"Lotame ")</f>
        <v>Lotame </v>
      </c>
      <c r="C658" s="4" t="str">
        <f>IFERROR(__xludf.DUMMYFUNCTION("""COMPUTED_VALUE""")," Travel ")</f>
        <v> Travel </v>
      </c>
      <c r="D658" s="4" t="str">
        <f>IFERROR(__xludf.DUMMYFUNCTION("""COMPUTED_VALUE""")," Thanksgiving Travel")</f>
        <v> Thanksgiving Travel</v>
      </c>
      <c r="E658" s="4"/>
      <c r="F658" s="4"/>
      <c r="G658" s="4"/>
      <c r="H658" s="4"/>
      <c r="I658" s="5" t="s">
        <v>22</v>
      </c>
      <c r="J658" s="5" t="s">
        <v>31</v>
      </c>
      <c r="K658" s="5" t="s">
        <v>953</v>
      </c>
      <c r="L658" s="6" t="s">
        <v>919</v>
      </c>
      <c r="M658" s="5" t="s">
        <v>19</v>
      </c>
      <c r="N658" s="5" t="s">
        <v>27</v>
      </c>
      <c r="O658" s="5">
        <v>36543.0</v>
      </c>
      <c r="P658" s="5">
        <v>147.0</v>
      </c>
      <c r="Q658" s="5">
        <v>18046.0</v>
      </c>
      <c r="R658" s="5">
        <v>27358.0</v>
      </c>
      <c r="S658" s="5">
        <v>6.0</v>
      </c>
      <c r="T658" s="5">
        <v>1513.088728</v>
      </c>
    </row>
    <row r="659">
      <c r="A659" s="4" t="s">
        <v>1951</v>
      </c>
      <c r="B659" s="4" t="str">
        <f>IFERROR(__xludf.DUMMYFUNCTION("SPLIT(A659:A1385, ""&gt;"")"),"US ")</f>
        <v>US </v>
      </c>
      <c r="C659" s="4" t="str">
        <f>IFERROR(__xludf.DUMMYFUNCTION("""COMPUTED_VALUE""")," Sociodemographic ")</f>
        <v> Sociodemographic </v>
      </c>
      <c r="D659" s="4" t="str">
        <f>IFERROR(__xludf.DUMMYFUNCTION("""COMPUTED_VALUE""")," ConneXions Lifestage ")</f>
        <v> ConneXions Lifestage </v>
      </c>
      <c r="E659" s="4" t="str">
        <f>IFERROR(__xludf.DUMMYFUNCTION("""COMPUTED_VALUE""")," F2 Suburban Spenders")</f>
        <v> F2 Suburban Spenders</v>
      </c>
      <c r="F659" s="4"/>
      <c r="G659" s="4"/>
      <c r="H659" s="4"/>
      <c r="I659" s="5" t="s">
        <v>22</v>
      </c>
      <c r="J659" s="5" t="s">
        <v>23</v>
      </c>
      <c r="K659" s="5" t="s">
        <v>29</v>
      </c>
      <c r="L659" s="6" t="s">
        <v>919</v>
      </c>
      <c r="M659" s="5" t="s">
        <v>19</v>
      </c>
      <c r="N659" s="5" t="s">
        <v>27</v>
      </c>
      <c r="O659" s="5">
        <v>292885.0</v>
      </c>
      <c r="P659" s="5">
        <v>796.0</v>
      </c>
      <c r="Q659" s="5">
        <v>12733.0</v>
      </c>
      <c r="R659" s="5">
        <v>203986.0</v>
      </c>
      <c r="S659" s="5">
        <v>4.0</v>
      </c>
      <c r="T659" s="5">
        <v>1503.913054</v>
      </c>
    </row>
    <row r="660">
      <c r="A660" s="4" t="s">
        <v>1641</v>
      </c>
      <c r="B660" s="4" t="str">
        <f>IFERROR(__xludf.DUMMYFUNCTION("SPLIT(A660:A1386, ""&gt;"")"),"Travel and Tourism ")</f>
        <v>Travel and Tourism </v>
      </c>
      <c r="C660" s="4" t="str">
        <f>IFERROR(__xludf.DUMMYFUNCTION("""COMPUTED_VALUE""")," Interest (Affinity) ")</f>
        <v> Interest (Affinity) </v>
      </c>
      <c r="D660" s="4" t="str">
        <f>IFERROR(__xludf.DUMMYFUNCTION("""COMPUTED_VALUE""")," Destinations ")</f>
        <v> Destinations </v>
      </c>
      <c r="E660" s="4" t="str">
        <f>IFERROR(__xludf.DUMMYFUNCTION("""COMPUTED_VALUE""")," Africa")</f>
        <v> Africa</v>
      </c>
      <c r="F660" s="4"/>
      <c r="G660" s="4"/>
      <c r="H660" s="4"/>
      <c r="I660" s="5" t="s">
        <v>15</v>
      </c>
      <c r="J660" s="5" t="s">
        <v>16</v>
      </c>
      <c r="K660" s="5" t="s">
        <v>55</v>
      </c>
      <c r="L660" s="6" t="s">
        <v>919</v>
      </c>
      <c r="M660" s="5" t="s">
        <v>136</v>
      </c>
      <c r="N660" s="5" t="s">
        <v>27</v>
      </c>
      <c r="O660" s="5">
        <v>253577.0</v>
      </c>
      <c r="P660" s="5">
        <v>890.0</v>
      </c>
      <c r="Q660" s="5">
        <v>66972.0</v>
      </c>
      <c r="R660" s="5">
        <v>191183.0</v>
      </c>
      <c r="S660" s="5">
        <v>44.0</v>
      </c>
      <c r="T660" s="5">
        <v>1493.074494</v>
      </c>
    </row>
    <row r="661">
      <c r="A661" s="4" t="s">
        <v>1642</v>
      </c>
      <c r="B661" s="4" t="str">
        <f>IFERROR(__xludf.DUMMYFUNCTION("SPLIT(A661:A1387, ""&gt;"")"),"Purchase-Based ")</f>
        <v>Purchase-Based </v>
      </c>
      <c r="C661" s="4" t="str">
        <f>IFERROR(__xludf.DUMMYFUNCTION("""COMPUTED_VALUE""")," Categories ")</f>
        <v> Categories </v>
      </c>
      <c r="D661" s="4" t="str">
        <f>IFERROR(__xludf.DUMMYFUNCTION("""COMPUTED_VALUE""")," Office Supplies Buyers")</f>
        <v> Office Supplies Buyers</v>
      </c>
      <c r="E661" s="4"/>
      <c r="F661" s="4"/>
      <c r="G661" s="4"/>
      <c r="H661" s="4"/>
      <c r="I661" s="5" t="s">
        <v>15</v>
      </c>
      <c r="J661" s="5" t="s">
        <v>16</v>
      </c>
      <c r="K661" s="5" t="s">
        <v>35</v>
      </c>
      <c r="L661" s="6" t="s">
        <v>919</v>
      </c>
      <c r="M661" s="5" t="s">
        <v>184</v>
      </c>
      <c r="N661" s="5" t="s">
        <v>27</v>
      </c>
      <c r="O661" s="5">
        <v>12280.0</v>
      </c>
      <c r="P661" s="5">
        <v>90.0</v>
      </c>
      <c r="Q661" s="5">
        <v>7633.0</v>
      </c>
      <c r="R661" s="5">
        <v>11053.0</v>
      </c>
      <c r="S661" s="5">
        <v>5.0</v>
      </c>
      <c r="T661" s="5">
        <v>1452.207361</v>
      </c>
    </row>
    <row r="662">
      <c r="A662" s="4" t="s">
        <v>957</v>
      </c>
      <c r="B662" s="4" t="str">
        <f>IFERROR(__xludf.DUMMYFUNCTION("SPLIT(A662:A1388, ""&gt;"")"),"Online Behavior")</f>
        <v>Online Behavior</v>
      </c>
      <c r="C662" s="4" t="str">
        <f>IFERROR(__xludf.DUMMYFUNCTION("""COMPUTED_VALUE"""),"United States")</f>
        <v>United States</v>
      </c>
      <c r="D662" s="4" t="str">
        <f>IFERROR(__xludf.DUMMYFUNCTION("""COMPUTED_VALUE"""),"Sports")</f>
        <v>Sports</v>
      </c>
      <c r="E662" s="4" t="str">
        <f>IFERROR(__xludf.DUMMYFUNCTION("""COMPUTED_VALUE"""),"Extreme Sports")</f>
        <v>Extreme Sports</v>
      </c>
      <c r="F662" s="4"/>
      <c r="G662" s="4"/>
      <c r="H662" s="4"/>
      <c r="I662" s="5" t="s">
        <v>15</v>
      </c>
      <c r="J662" s="5" t="s">
        <v>16</v>
      </c>
      <c r="K662" s="5" t="s">
        <v>55</v>
      </c>
      <c r="L662" s="6" t="s">
        <v>958</v>
      </c>
      <c r="M662" s="5" t="s">
        <v>50</v>
      </c>
      <c r="N662" s="5" t="s">
        <v>27</v>
      </c>
      <c r="O662" s="5">
        <v>14599.0</v>
      </c>
      <c r="P662" s="5">
        <v>33.0</v>
      </c>
      <c r="Q662" s="5">
        <v>1779.0</v>
      </c>
      <c r="R662" s="5">
        <v>12458.0</v>
      </c>
      <c r="S662" s="5">
        <v>4.0</v>
      </c>
      <c r="T662" s="5">
        <v>5092.559215</v>
      </c>
    </row>
    <row r="663">
      <c r="A663" s="4" t="s">
        <v>1952</v>
      </c>
      <c r="B663" s="4" t="str">
        <f>IFERROR(__xludf.DUMMYFUNCTION("SPLIT(A663:A1389, ""&gt;"")"),"US Financial ")</f>
        <v>US Financial </v>
      </c>
      <c r="C663" s="4" t="str">
        <f>IFERROR(__xludf.DUMMYFUNCTION("""COMPUTED_VALUE""")," Likely Attitude and Behavior ")</f>
        <v> Likely Attitude and Behavior </v>
      </c>
      <c r="D663" s="4" t="str">
        <f>IFERROR(__xludf.DUMMYFUNCTION("""COMPUTED_VALUE""")," Completely Disagree ")</f>
        <v> Completely Disagree </v>
      </c>
      <c r="E663" s="4" t="str">
        <f>IFERROR(__xludf.DUMMYFUNCTION("""COMPUTED_VALUE""")," When I Find A Financial Product/Service I Like I Typically Recommend It To People I Know (Financial)")</f>
        <v> When I Find A Financial Product/Service I Like I Typically Recommend It To People I Know (Financial)</v>
      </c>
      <c r="F663" s="4"/>
      <c r="G663" s="4"/>
      <c r="H663" s="4"/>
      <c r="I663" s="5" t="s">
        <v>15</v>
      </c>
      <c r="J663" s="5" t="s">
        <v>16</v>
      </c>
      <c r="K663" s="5" t="s">
        <v>78</v>
      </c>
      <c r="L663" s="6" t="s">
        <v>958</v>
      </c>
      <c r="M663" s="5" t="s">
        <v>19</v>
      </c>
      <c r="N663" s="5" t="s">
        <v>52</v>
      </c>
      <c r="O663" s="5">
        <v>16175.0</v>
      </c>
      <c r="P663" s="5">
        <v>35.0</v>
      </c>
      <c r="Q663" s="5">
        <v>1923.0</v>
      </c>
      <c r="R663" s="5">
        <v>15085.0</v>
      </c>
      <c r="S663" s="5">
        <v>2.0</v>
      </c>
      <c r="T663" s="5">
        <v>1649.069475</v>
      </c>
    </row>
    <row r="664">
      <c r="A664" s="4" t="s">
        <v>1644</v>
      </c>
      <c r="B664" s="4" t="str">
        <f>IFERROR(__xludf.DUMMYFUNCTION("SPLIT(A664:A1390, ""&gt;"")"),"Online Behavior")</f>
        <v>Online Behavior</v>
      </c>
      <c r="C664" s="4" t="str">
        <f>IFERROR(__xludf.DUMMYFUNCTION("""COMPUTED_VALUE"""),"United States")</f>
        <v>United States</v>
      </c>
      <c r="D664" s="4" t="str">
        <f>IFERROR(__xludf.DUMMYFUNCTION("""COMPUTED_VALUE"""),"Intent ")</f>
        <v>Intent </v>
      </c>
      <c r="E664" s="4" t="str">
        <f>IFERROR(__xludf.DUMMYFUNCTION("""COMPUTED_VALUE""")," Auto Buyers")</f>
        <v> Auto Buyers</v>
      </c>
      <c r="F664" s="4" t="str">
        <f>IFERROR(__xludf.DUMMYFUNCTION("""COMPUTED_VALUE"""),"New")</f>
        <v>New</v>
      </c>
      <c r="G664" s="4"/>
      <c r="H664" s="4"/>
      <c r="I664" s="5" t="s">
        <v>22</v>
      </c>
      <c r="J664" s="5" t="s">
        <v>31</v>
      </c>
      <c r="K664" s="5" t="s">
        <v>17</v>
      </c>
      <c r="L664" s="6" t="s">
        <v>961</v>
      </c>
      <c r="M664" s="5" t="s">
        <v>19</v>
      </c>
      <c r="N664" s="5" t="s">
        <v>27</v>
      </c>
      <c r="O664" s="5">
        <v>42830.0</v>
      </c>
      <c r="P664" s="5">
        <v>160.0</v>
      </c>
      <c r="Q664" s="5">
        <v>24499.0</v>
      </c>
      <c r="R664" s="5">
        <v>34496.0</v>
      </c>
      <c r="S664" s="5">
        <v>5.0</v>
      </c>
      <c r="T664" s="5">
        <v>6261.575724</v>
      </c>
    </row>
    <row r="665">
      <c r="A665" s="4" t="s">
        <v>962</v>
      </c>
      <c r="B665" s="4" t="str">
        <f>IFERROR(__xludf.DUMMYFUNCTION("SPLIT(A665:A1391, ""&gt;"")"),"Online Behavior")</f>
        <v>Online Behavior</v>
      </c>
      <c r="C665" s="4" t="str">
        <f>IFERROR(__xludf.DUMMYFUNCTION("""COMPUTED_VALUE"""),"United States")</f>
        <v>United States</v>
      </c>
      <c r="D665" s="4" t="str">
        <f>IFERROR(__xludf.DUMMYFUNCTION("""COMPUTED_VALUE"""),"The Changing Consumer")</f>
        <v>The Changing Consumer</v>
      </c>
      <c r="E665" s="4" t="str">
        <f>IFERROR(__xludf.DUMMYFUNCTION("""COMPUTED_VALUE"""),"Home Learning")</f>
        <v>Home Learning</v>
      </c>
      <c r="F665" s="4"/>
      <c r="G665" s="4"/>
      <c r="H665" s="4"/>
      <c r="I665" s="5" t="s">
        <v>22</v>
      </c>
      <c r="J665" s="5" t="s">
        <v>31</v>
      </c>
      <c r="K665" s="5" t="s">
        <v>35</v>
      </c>
      <c r="L665" s="6" t="s">
        <v>961</v>
      </c>
      <c r="M665" s="5" t="s">
        <v>19</v>
      </c>
      <c r="N665" s="5" t="s">
        <v>27</v>
      </c>
      <c r="O665" s="5">
        <v>12209.0</v>
      </c>
      <c r="P665" s="5">
        <v>147.0</v>
      </c>
      <c r="Q665" s="5">
        <v>3976.0</v>
      </c>
      <c r="R665" s="5">
        <v>5219.0</v>
      </c>
      <c r="S665" s="5">
        <v>4.0</v>
      </c>
      <c r="T665" s="5">
        <v>3818.955182</v>
      </c>
    </row>
    <row r="666">
      <c r="A666" s="4" t="s">
        <v>1645</v>
      </c>
      <c r="B666" s="4" t="str">
        <f>IFERROR(__xludf.DUMMYFUNCTION("SPLIT(A666:A1392, ""&gt;"")"),"Online Behavior")</f>
        <v>Online Behavior</v>
      </c>
      <c r="C666" s="4" t="str">
        <f>IFERROR(__xludf.DUMMYFUNCTION("""COMPUTED_VALUE"""),"United States")</f>
        <v>United States</v>
      </c>
      <c r="D666" s="4" t="str">
        <f>IFERROR(__xludf.DUMMYFUNCTION("""COMPUTED_VALUE"""),"B2B ")</f>
        <v>B2B </v>
      </c>
      <c r="E666" s="4" t="str">
        <f>IFERROR(__xludf.DUMMYFUNCTION("""COMPUTED_VALUE""")," Occupation")</f>
        <v> Occupation</v>
      </c>
      <c r="F666" s="4" t="str">
        <f>IFERROR(__xludf.DUMMYFUNCTION("""COMPUTED_VALUE"""),"PropertyManager")</f>
        <v>PropertyManager</v>
      </c>
      <c r="G666" s="4"/>
      <c r="H666" s="4"/>
      <c r="I666" s="5" t="s">
        <v>15</v>
      </c>
      <c r="J666" s="5" t="s">
        <v>42</v>
      </c>
      <c r="K666" s="5" t="s">
        <v>35</v>
      </c>
      <c r="L666" s="6" t="s">
        <v>961</v>
      </c>
      <c r="M666" s="5" t="s">
        <v>19</v>
      </c>
      <c r="N666" s="5" t="s">
        <v>20</v>
      </c>
      <c r="O666" s="5">
        <v>7447.0</v>
      </c>
      <c r="P666" s="5">
        <v>10.0</v>
      </c>
      <c r="Q666" s="5">
        <v>4163.0</v>
      </c>
      <c r="R666" s="5">
        <v>5586.0</v>
      </c>
      <c r="S666" s="5">
        <v>19.0</v>
      </c>
      <c r="T666" s="5">
        <v>3311.941246</v>
      </c>
    </row>
    <row r="667">
      <c r="A667" s="4" t="s">
        <v>1953</v>
      </c>
      <c r="B667" s="4" t="str">
        <f>IFERROR(__xludf.DUMMYFUNCTION("SPLIT(A667:A1393, ""&gt;"")"),"US ")</f>
        <v>US </v>
      </c>
      <c r="C667" s="4" t="str">
        <f>IFERROR(__xludf.DUMMYFUNCTION("""COMPUTED_VALUE""")," Entertainment and Pastimes ")</f>
        <v> Entertainment and Pastimes </v>
      </c>
      <c r="D667" s="4" t="str">
        <f>IFERROR(__xludf.DUMMYFUNCTION("""COMPUTED_VALUE""")," Entertainment and Pastimes")</f>
        <v> Entertainment and Pastimes</v>
      </c>
      <c r="E667" s="4"/>
      <c r="F667" s="4"/>
      <c r="G667" s="4"/>
      <c r="H667" s="4"/>
      <c r="I667" s="5" t="s">
        <v>15</v>
      </c>
      <c r="J667" s="5" t="s">
        <v>42</v>
      </c>
      <c r="K667" s="5" t="s">
        <v>84</v>
      </c>
      <c r="L667" s="6" t="s">
        <v>961</v>
      </c>
      <c r="M667" s="5" t="s">
        <v>36</v>
      </c>
      <c r="N667" s="5" t="s">
        <v>27</v>
      </c>
      <c r="O667" s="5">
        <v>8545.0</v>
      </c>
      <c r="P667" s="5">
        <v>20.0</v>
      </c>
      <c r="Q667" s="5">
        <v>3454.0</v>
      </c>
      <c r="R667" s="5">
        <v>5510.0</v>
      </c>
      <c r="S667" s="5">
        <v>2.0</v>
      </c>
      <c r="T667" s="5">
        <v>2181.247949</v>
      </c>
    </row>
    <row r="668">
      <c r="A668" s="4" t="s">
        <v>965</v>
      </c>
      <c r="B668" s="4" t="str">
        <f>IFERROR(__xludf.DUMMYFUNCTION("SPLIT(A668:A1394, ""&gt;"")"),"Travel")</f>
        <v>Travel</v>
      </c>
      <c r="C668" s="4"/>
      <c r="D668" s="4"/>
      <c r="E668" s="4"/>
      <c r="F668" s="4"/>
      <c r="G668" s="4"/>
      <c r="H668" s="4"/>
      <c r="I668" s="5" t="s">
        <v>15</v>
      </c>
      <c r="J668" s="5" t="s">
        <v>23</v>
      </c>
      <c r="K668" s="5" t="s">
        <v>55</v>
      </c>
      <c r="L668" s="6" t="s">
        <v>961</v>
      </c>
      <c r="M668" s="5" t="s">
        <v>46</v>
      </c>
      <c r="N668" s="5" t="s">
        <v>27</v>
      </c>
      <c r="O668" s="5">
        <v>12319.0</v>
      </c>
      <c r="P668" s="5">
        <v>40.0</v>
      </c>
      <c r="Q668" s="5">
        <v>7028.0</v>
      </c>
      <c r="R668" s="5">
        <v>10191.0</v>
      </c>
      <c r="S668" s="5">
        <v>7.0</v>
      </c>
      <c r="T668" s="5">
        <v>1668.016</v>
      </c>
    </row>
    <row r="669">
      <c r="A669" s="4" t="s">
        <v>1954</v>
      </c>
      <c r="B669" s="4" t="str">
        <f>IFERROR(__xludf.DUMMYFUNCTION("SPLIT(A669:A1395, ""&gt;"")"),"US ")</f>
        <v>US </v>
      </c>
      <c r="C669" s="4" t="str">
        <f>IFERROR(__xludf.DUMMYFUNCTION("""COMPUTED_VALUE""")," AUTO ")</f>
        <v> AUTO </v>
      </c>
      <c r="D669" s="4" t="str">
        <f>IFERROR(__xludf.DUMMYFUNCTION("""COMPUTED_VALUE""")," Auto Car Purchase Next Year ")</f>
        <v> Auto Car Purchase Next Year </v>
      </c>
      <c r="E669" s="4" t="str">
        <f>IFERROR(__xludf.DUMMYFUNCTION("""COMPUTED_VALUE""")," Yes")</f>
        <v> Yes</v>
      </c>
      <c r="F669" s="4"/>
      <c r="G669" s="4"/>
      <c r="H669" s="4"/>
      <c r="I669" s="5" t="s">
        <v>22</v>
      </c>
      <c r="J669" s="5" t="s">
        <v>16</v>
      </c>
      <c r="K669" s="5" t="s">
        <v>32</v>
      </c>
      <c r="L669" s="6" t="s">
        <v>961</v>
      </c>
      <c r="M669" s="5" t="s">
        <v>117</v>
      </c>
      <c r="N669" s="5" t="s">
        <v>27</v>
      </c>
      <c r="O669" s="5">
        <v>31359.0</v>
      </c>
      <c r="P669" s="5">
        <v>66.0</v>
      </c>
      <c r="Q669" s="5">
        <v>18348.0</v>
      </c>
      <c r="R669" s="5">
        <v>25950.0</v>
      </c>
      <c r="S669" s="5">
        <v>24.0</v>
      </c>
      <c r="T669" s="5">
        <v>1623.614838</v>
      </c>
    </row>
    <row r="670">
      <c r="A670" s="4" t="s">
        <v>1955</v>
      </c>
      <c r="B670" s="4" t="str">
        <f>IFERROR(__xludf.DUMMYFUNCTION("SPLIT(A670:A1396, ""&gt;"")"),"US Financial ")</f>
        <v>US Financial </v>
      </c>
      <c r="C670" s="4" t="str">
        <f>IFERROR(__xludf.DUMMYFUNCTION("""COMPUTED_VALUE""")," Method of Payment ")</f>
        <v> Method of Payment </v>
      </c>
      <c r="D670" s="4" t="str">
        <f>IFERROR(__xludf.DUMMYFUNCTION("""COMPUTED_VALUE""")," Other")</f>
        <v> Other</v>
      </c>
      <c r="E670" s="4"/>
      <c r="F670" s="4"/>
      <c r="G670" s="4"/>
      <c r="H670" s="4"/>
      <c r="I670" s="5" t="s">
        <v>22</v>
      </c>
      <c r="J670" s="5" t="s">
        <v>16</v>
      </c>
      <c r="K670" s="5" t="s">
        <v>29</v>
      </c>
      <c r="L670" s="6" t="s">
        <v>961</v>
      </c>
      <c r="M670" s="5" t="s">
        <v>36</v>
      </c>
      <c r="N670" s="5" t="s">
        <v>27</v>
      </c>
      <c r="O670" s="5">
        <v>15311.0</v>
      </c>
      <c r="P670" s="5">
        <v>10.0</v>
      </c>
      <c r="Q670" s="5">
        <v>7757.0</v>
      </c>
      <c r="R670" s="5">
        <v>12630.0</v>
      </c>
      <c r="S670" s="5">
        <v>19.0</v>
      </c>
      <c r="T670" s="5">
        <v>1471.187144</v>
      </c>
    </row>
    <row r="671">
      <c r="A671" s="4" t="s">
        <v>1649</v>
      </c>
      <c r="B671" s="4" t="str">
        <f>IFERROR(__xludf.DUMMYFUNCTION("SPLIT(A671:A1397, ""&gt;"")"),"Online Behavior")</f>
        <v>Online Behavior</v>
      </c>
      <c r="C671" s="4" t="str">
        <f>IFERROR(__xludf.DUMMYFUNCTION("""COMPUTED_VALUE"""),"United States")</f>
        <v>United States</v>
      </c>
      <c r="D671" s="4" t="str">
        <f>IFERROR(__xludf.DUMMYFUNCTION("""COMPUTED_VALUE"""),"Arts and Entertainment")</f>
        <v>Arts and Entertainment</v>
      </c>
      <c r="E671" s="4" t="str">
        <f>IFERROR(__xludf.DUMMYFUNCTION("""COMPUTED_VALUE"""),"Events and Listings ")</f>
        <v>Events and Listings </v>
      </c>
      <c r="F671" s="4" t="str">
        <f>IFERROR(__xludf.DUMMYFUNCTION("""COMPUTED_VALUE""")," Event Ticket Sales")</f>
        <v> Event Ticket Sales</v>
      </c>
      <c r="G671" s="4"/>
      <c r="H671" s="4"/>
      <c r="I671" s="5" t="s">
        <v>61</v>
      </c>
      <c r="J671" s="5" t="s">
        <v>23</v>
      </c>
      <c r="K671" s="5" t="s">
        <v>39</v>
      </c>
      <c r="L671" s="6" t="s">
        <v>969</v>
      </c>
      <c r="M671" s="5" t="s">
        <v>36</v>
      </c>
      <c r="N671" s="5" t="s">
        <v>27</v>
      </c>
      <c r="O671" s="5">
        <v>23488.0</v>
      </c>
      <c r="P671" s="5">
        <v>75.0</v>
      </c>
      <c r="Q671" s="5">
        <v>4620.0</v>
      </c>
      <c r="R671" s="5">
        <v>22254.0</v>
      </c>
      <c r="S671" s="5">
        <v>9.0</v>
      </c>
      <c r="T671" s="5">
        <v>6667.727715</v>
      </c>
    </row>
    <row r="672">
      <c r="A672" s="4" t="s">
        <v>1650</v>
      </c>
      <c r="B672" s="4" t="str">
        <f>IFERROR(__xludf.DUMMYFUNCTION("SPLIT(A672:A1398, ""&gt;"")"),"Online Behavior")</f>
        <v>Online Behavior</v>
      </c>
      <c r="C672" s="4" t="str">
        <f>IFERROR(__xludf.DUMMYFUNCTION("""COMPUTED_VALUE"""),"United States")</f>
        <v>United States</v>
      </c>
      <c r="D672" s="4" t="str">
        <f>IFERROR(__xludf.DUMMYFUNCTION("""COMPUTED_VALUE"""),"Intent ")</f>
        <v>Intent </v>
      </c>
      <c r="E672" s="4" t="str">
        <f>IFERROR(__xludf.DUMMYFUNCTION("""COMPUTED_VALUE""")," Travel")</f>
        <v> Travel</v>
      </c>
      <c r="F672" s="4" t="str">
        <f>IFERROR(__xludf.DUMMYFUNCTION("""COMPUTED_VALUE"""),"Travel")</f>
        <v>Travel</v>
      </c>
      <c r="G672" s="4"/>
      <c r="H672" s="4"/>
      <c r="I672" s="5" t="s">
        <v>61</v>
      </c>
      <c r="J672" s="5" t="s">
        <v>16</v>
      </c>
      <c r="K672" s="5" t="s">
        <v>78</v>
      </c>
      <c r="L672" s="6" t="s">
        <v>969</v>
      </c>
      <c r="M672" s="5" t="s">
        <v>26</v>
      </c>
      <c r="N672" s="5" t="s">
        <v>27</v>
      </c>
      <c r="O672" s="5">
        <v>11789.0</v>
      </c>
      <c r="P672" s="5">
        <v>20.0</v>
      </c>
      <c r="Q672" s="5">
        <v>6187.0</v>
      </c>
      <c r="R672" s="5">
        <v>10028.0</v>
      </c>
      <c r="S672" s="5">
        <v>3.0</v>
      </c>
      <c r="T672" s="5">
        <v>6505.526456</v>
      </c>
    </row>
    <row r="673">
      <c r="A673" s="4" t="s">
        <v>1956</v>
      </c>
      <c r="B673" s="4" t="str">
        <f>IFERROR(__xludf.DUMMYFUNCTION("SPLIT(A673:A1399, ""&gt;"")"),"US ")</f>
        <v>US </v>
      </c>
      <c r="C673" s="4" t="str">
        <f>IFERROR(__xludf.DUMMYFUNCTION("""COMPUTED_VALUE"""),"Quality-First Shopper Audience")</f>
        <v>Quality-First Shopper Audience</v>
      </c>
      <c r="D673" s="4"/>
      <c r="E673" s="4"/>
      <c r="F673" s="4"/>
      <c r="G673" s="4"/>
      <c r="H673" s="4"/>
      <c r="I673" s="5" t="s">
        <v>15</v>
      </c>
      <c r="J673" s="5" t="s">
        <v>42</v>
      </c>
      <c r="K673" s="5" t="s">
        <v>39</v>
      </c>
      <c r="L673" s="6" t="s">
        <v>969</v>
      </c>
      <c r="M673" s="5" t="s">
        <v>19</v>
      </c>
      <c r="N673" s="5" t="s">
        <v>52</v>
      </c>
      <c r="O673" s="5">
        <v>16142.0</v>
      </c>
      <c r="P673" s="5">
        <v>30.0</v>
      </c>
      <c r="Q673" s="5">
        <v>7064.0</v>
      </c>
      <c r="R673" s="5">
        <v>15433.0</v>
      </c>
      <c r="S673" s="5">
        <v>5.0</v>
      </c>
      <c r="T673" s="5">
        <v>2209.650957</v>
      </c>
    </row>
    <row r="674">
      <c r="A674" s="4" t="s">
        <v>1957</v>
      </c>
      <c r="B674" s="4" t="str">
        <f>IFERROR(__xludf.DUMMYFUNCTION("SPLIT(A674:A1400, ""&gt;"")"),"US Demographic ")</f>
        <v>US Demographic </v>
      </c>
      <c r="C674" s="4" t="str">
        <f>IFERROR(__xludf.DUMMYFUNCTION("""COMPUTED_VALUE""")," Preferred Language ")</f>
        <v> Preferred Language </v>
      </c>
      <c r="D674" s="4" t="str">
        <f>IFERROR(__xludf.DUMMYFUNCTION("""COMPUTED_VALUE""")," Non-Hispanic")</f>
        <v> Non-Hispanic</v>
      </c>
      <c r="E674" s="4"/>
      <c r="F674" s="4"/>
      <c r="G674" s="4"/>
      <c r="H674" s="4"/>
      <c r="I674" s="5" t="s">
        <v>15</v>
      </c>
      <c r="J674" s="5" t="s">
        <v>16</v>
      </c>
      <c r="K674" s="5" t="s">
        <v>39</v>
      </c>
      <c r="L674" s="6" t="s">
        <v>969</v>
      </c>
      <c r="M674" s="5" t="s">
        <v>46</v>
      </c>
      <c r="N674" s="5" t="s">
        <v>27</v>
      </c>
      <c r="O674" s="5">
        <v>37355.0</v>
      </c>
      <c r="P674" s="5">
        <v>145.0</v>
      </c>
      <c r="Q674" s="5">
        <v>17138.0</v>
      </c>
      <c r="R674" s="5">
        <v>35689.0</v>
      </c>
      <c r="S674" s="5">
        <v>3.0</v>
      </c>
      <c r="T674" s="5">
        <v>1577.366086</v>
      </c>
    </row>
    <row r="675">
      <c r="A675" s="4" t="s">
        <v>973</v>
      </c>
      <c r="B675" s="4" t="str">
        <f>IFERROR(__xludf.DUMMYFUNCTION("SPLIT(A675:A1401, ""&gt;"")"),"Online Behavior")</f>
        <v>Online Behavior</v>
      </c>
      <c r="C675" s="4" t="str">
        <f>IFERROR(__xludf.DUMMYFUNCTION("""COMPUTED_VALUE"""),"United States")</f>
        <v>United States</v>
      </c>
      <c r="D675" s="4" t="str">
        <f>IFERROR(__xludf.DUMMYFUNCTION("""COMPUTED_VALUE"""),"News")</f>
        <v>News</v>
      </c>
      <c r="E675" s="4" t="str">
        <f>IFERROR(__xludf.DUMMYFUNCTION("""COMPUTED_VALUE"""),"Weather")</f>
        <v>Weather</v>
      </c>
      <c r="F675" s="4"/>
      <c r="G675" s="4"/>
      <c r="H675" s="4"/>
      <c r="I675" s="5" t="s">
        <v>15</v>
      </c>
      <c r="J675" s="5" t="s">
        <v>31</v>
      </c>
      <c r="K675" s="5" t="s">
        <v>78</v>
      </c>
      <c r="L675" s="6" t="s">
        <v>969</v>
      </c>
      <c r="M675" s="5" t="s">
        <v>19</v>
      </c>
      <c r="N675" s="5" t="s">
        <v>27</v>
      </c>
      <c r="O675" s="5">
        <v>9404.0</v>
      </c>
      <c r="P675" s="5">
        <v>30.0</v>
      </c>
      <c r="Q675" s="5">
        <v>4781.0</v>
      </c>
      <c r="R675" s="5">
        <v>7943.0</v>
      </c>
      <c r="S675" s="5">
        <v>4.0</v>
      </c>
      <c r="T675" s="5">
        <v>1345.369</v>
      </c>
    </row>
    <row r="676">
      <c r="A676" s="4" t="s">
        <v>1958</v>
      </c>
      <c r="B676" s="4" t="str">
        <f>IFERROR(__xludf.DUMMYFUNCTION("SPLIT(A676:A1402, ""&gt;"")"),"Mobile - US ")</f>
        <v>Mobile - US </v>
      </c>
      <c r="C676" s="4" t="str">
        <f>IFERROR(__xludf.DUMMYFUNCTION("""COMPUTED_VALUE""")," Sports ")</f>
        <v> Sports </v>
      </c>
      <c r="D676" s="4" t="str">
        <f>IFERROR(__xludf.DUMMYFUNCTION("""COMPUTED_VALUE""")," Basketball ")</f>
        <v> Basketball </v>
      </c>
      <c r="E676" s="4" t="str">
        <f>IFERROR(__xludf.DUMMYFUNCTION("""COMPUTED_VALUE""")," NCAA College Basketball")</f>
        <v> NCAA College Basketball</v>
      </c>
      <c r="F676" s="4"/>
      <c r="G676" s="4"/>
      <c r="H676" s="4"/>
      <c r="I676" s="5" t="s">
        <v>15</v>
      </c>
      <c r="J676" s="5" t="s">
        <v>16</v>
      </c>
      <c r="K676" s="5" t="s">
        <v>78</v>
      </c>
      <c r="L676" s="6" t="s">
        <v>975</v>
      </c>
      <c r="M676" s="5" t="s">
        <v>36</v>
      </c>
      <c r="N676" s="5" t="s">
        <v>27</v>
      </c>
      <c r="O676" s="5">
        <v>13642.0</v>
      </c>
      <c r="P676" s="5">
        <v>40.0</v>
      </c>
      <c r="Q676" s="5">
        <v>9830.0</v>
      </c>
      <c r="R676" s="5">
        <v>11658.0</v>
      </c>
      <c r="S676" s="5">
        <v>3.0</v>
      </c>
      <c r="T676" s="5">
        <v>1731.271848</v>
      </c>
    </row>
    <row r="677">
      <c r="A677" s="4" t="s">
        <v>1654</v>
      </c>
      <c r="B677" s="4" t="str">
        <f>IFERROR(__xludf.DUMMYFUNCTION("SPLIT(A677:A1403, ""&gt;"")"),"Media and Entertainment ")</f>
        <v>Media and Entertainment </v>
      </c>
      <c r="C677" s="4" t="str">
        <f>IFERROR(__xludf.DUMMYFUNCTION("""COMPUTED_VALUE""")," Television (TV) ")</f>
        <v> Television (TV) </v>
      </c>
      <c r="D677" s="4" t="str">
        <f>IFERROR(__xludf.DUMMYFUNCTION("""COMPUTED_VALUE""")," Viewership")</f>
        <v> Viewership</v>
      </c>
      <c r="E677" s="4"/>
      <c r="F677" s="4"/>
      <c r="G677" s="4"/>
      <c r="H677" s="4"/>
      <c r="I677" s="5" t="s">
        <v>15</v>
      </c>
      <c r="J677" s="5" t="s">
        <v>23</v>
      </c>
      <c r="K677" s="5" t="s">
        <v>78</v>
      </c>
      <c r="L677" s="6" t="s">
        <v>977</v>
      </c>
      <c r="M677" s="5" t="s">
        <v>46</v>
      </c>
      <c r="N677" s="5" t="s">
        <v>27</v>
      </c>
      <c r="O677" s="5">
        <v>14693.0</v>
      </c>
      <c r="P677" s="5">
        <v>70.0</v>
      </c>
      <c r="Q677" s="5">
        <v>6597.0</v>
      </c>
      <c r="R677" s="5">
        <v>13508.0</v>
      </c>
      <c r="S677" s="5">
        <v>4.0</v>
      </c>
      <c r="T677" s="5">
        <v>2047.348924</v>
      </c>
    </row>
    <row r="678">
      <c r="A678" s="4" t="s">
        <v>1655</v>
      </c>
      <c r="B678" s="4" t="str">
        <f>IFERROR(__xludf.DUMMYFUNCTION("SPLIT(A678:A1404, ""&gt;"")"),"Online Behavior")</f>
        <v>Online Behavior</v>
      </c>
      <c r="C678" s="4" t="str">
        <f>IFERROR(__xludf.DUMMYFUNCTION("""COMPUTED_VALUE"""),"United States")</f>
        <v>United States</v>
      </c>
      <c r="D678" s="4" t="str">
        <f>IFERROR(__xludf.DUMMYFUNCTION("""COMPUTED_VALUE"""),"Intent ")</f>
        <v>Intent </v>
      </c>
      <c r="E678" s="4" t="str">
        <f>IFERROR(__xludf.DUMMYFUNCTION("""COMPUTED_VALUE""")," Shopping")</f>
        <v> Shopping</v>
      </c>
      <c r="F678" s="4" t="str">
        <f>IFERROR(__xludf.DUMMYFUNCTION("""COMPUTED_VALUE"""),"Home Improvement")</f>
        <v>Home Improvement</v>
      </c>
      <c r="G678" s="4"/>
      <c r="H678" s="4"/>
      <c r="I678" s="5" t="s">
        <v>22</v>
      </c>
      <c r="J678" s="5" t="s">
        <v>16</v>
      </c>
      <c r="K678" s="5" t="s">
        <v>24</v>
      </c>
      <c r="L678" s="6" t="s">
        <v>979</v>
      </c>
      <c r="M678" s="5" t="s">
        <v>19</v>
      </c>
      <c r="N678" s="5" t="s">
        <v>27</v>
      </c>
      <c r="O678" s="5">
        <v>9357.0</v>
      </c>
      <c r="P678" s="5">
        <v>60.0</v>
      </c>
      <c r="Q678" s="5">
        <v>1754.0</v>
      </c>
      <c r="R678" s="5">
        <v>8343.0</v>
      </c>
      <c r="S678" s="5">
        <v>10.0</v>
      </c>
      <c r="T678" s="5">
        <v>6559.477756</v>
      </c>
    </row>
    <row r="679">
      <c r="A679" s="4" t="s">
        <v>1959</v>
      </c>
      <c r="B679" s="4" t="str">
        <f>IFERROR(__xludf.DUMMYFUNCTION("SPLIT(A679:A1405, ""&gt;"")"),"US ")</f>
        <v>US </v>
      </c>
      <c r="C679" s="4" t="str">
        <f>IFERROR(__xludf.DUMMYFUNCTION("""COMPUTED_VALUE""")," Interest Propensities ")</f>
        <v> Interest Propensities </v>
      </c>
      <c r="D679" s="4" t="str">
        <f>IFERROR(__xludf.DUMMYFUNCTION("""COMPUTED_VALUE""")," Activities and Interests ")</f>
        <v> Activities and Interests </v>
      </c>
      <c r="E679" s="4" t="str">
        <f>IFERROR(__xludf.DUMMYFUNCTION("""COMPUTED_VALUE""")," Ecommerce")</f>
        <v> Ecommerce</v>
      </c>
      <c r="F679" s="4"/>
      <c r="G679" s="4"/>
      <c r="H679" s="4"/>
      <c r="I679" s="5" t="s">
        <v>15</v>
      </c>
      <c r="J679" s="5" t="s">
        <v>16</v>
      </c>
      <c r="K679" s="5" t="s">
        <v>78</v>
      </c>
      <c r="L679" s="6" t="s">
        <v>981</v>
      </c>
      <c r="M679" s="5" t="s">
        <v>19</v>
      </c>
      <c r="N679" s="5" t="s">
        <v>52</v>
      </c>
      <c r="O679" s="5">
        <v>20459.0</v>
      </c>
      <c r="P679" s="5">
        <v>40.0</v>
      </c>
      <c r="Q679" s="5">
        <v>12668.0</v>
      </c>
      <c r="R679" s="5">
        <v>18613.0</v>
      </c>
      <c r="S679" s="5">
        <v>4.0</v>
      </c>
      <c r="T679" s="5">
        <v>1842.606513</v>
      </c>
    </row>
    <row r="680">
      <c r="A680" s="4" t="s">
        <v>1657</v>
      </c>
      <c r="B680" s="4" t="str">
        <f>IFERROR(__xludf.DUMMYFUNCTION("SPLIT(A680:A1406, ""&gt;"")"),"Online Behavior")</f>
        <v>Online Behavior</v>
      </c>
      <c r="C680" s="4" t="str">
        <f>IFERROR(__xludf.DUMMYFUNCTION("""COMPUTED_VALUE"""),"United States")</f>
        <v>United States</v>
      </c>
      <c r="D680" s="4" t="str">
        <f>IFERROR(__xludf.DUMMYFUNCTION("""COMPUTED_VALUE"""),"Autos and Vehicles ")</f>
        <v>Autos and Vehicles </v>
      </c>
      <c r="E680" s="4" t="str">
        <f>IFERROR(__xludf.DUMMYFUNCTION("""COMPUTED_VALUE""")," Brands")</f>
        <v> Brands</v>
      </c>
      <c r="F680" s="4" t="str">
        <f>IFERROR(__xludf.DUMMYFUNCTION("""COMPUTED_VALUE"""),"Vauxhall-Opel")</f>
        <v>Vauxhall-Opel</v>
      </c>
      <c r="G680" s="4"/>
      <c r="H680" s="4"/>
      <c r="I680" s="5" t="s">
        <v>61</v>
      </c>
      <c r="J680" s="5" t="s">
        <v>23</v>
      </c>
      <c r="K680" s="5" t="s">
        <v>17</v>
      </c>
      <c r="L680" s="6" t="s">
        <v>983</v>
      </c>
      <c r="M680" s="5" t="s">
        <v>19</v>
      </c>
      <c r="N680" s="5" t="s">
        <v>27</v>
      </c>
      <c r="O680" s="5">
        <v>17382.0</v>
      </c>
      <c r="P680" s="5">
        <v>100.0</v>
      </c>
      <c r="Q680" s="5">
        <v>7411.0</v>
      </c>
      <c r="R680" s="5">
        <v>16576.0</v>
      </c>
      <c r="S680" s="5">
        <v>8.0</v>
      </c>
      <c r="T680" s="5">
        <v>5797.219977</v>
      </c>
    </row>
    <row r="681">
      <c r="A681" s="4" t="s">
        <v>1960</v>
      </c>
      <c r="B681" s="4" t="str">
        <f>IFERROR(__xludf.DUMMYFUNCTION("SPLIT(A681:A1407, ""&gt;"")"),"Media and Entertainment ")</f>
        <v>Media and Entertainment </v>
      </c>
      <c r="C681" s="4" t="str">
        <f>IFERROR(__xludf.DUMMYFUNCTION("""COMPUTED_VALUE""")," Movies ")</f>
        <v> Movies </v>
      </c>
      <c r="D681" s="4" t="str">
        <f>IFERROR(__xludf.DUMMYFUNCTION("""COMPUTED_VALUE""")," Enthusiasts")</f>
        <v> Enthusiasts</v>
      </c>
      <c r="E681" s="4"/>
      <c r="F681" s="4"/>
      <c r="G681" s="4"/>
      <c r="H681" s="4"/>
      <c r="I681" s="5" t="s">
        <v>22</v>
      </c>
      <c r="J681" s="5" t="s">
        <v>16</v>
      </c>
      <c r="K681" s="5" t="s">
        <v>84</v>
      </c>
      <c r="L681" s="6" t="s">
        <v>985</v>
      </c>
      <c r="M681" s="5" t="s">
        <v>46</v>
      </c>
      <c r="N681" s="5" t="s">
        <v>27</v>
      </c>
      <c r="O681" s="5">
        <v>13466.0</v>
      </c>
      <c r="P681" s="5">
        <v>150.0</v>
      </c>
      <c r="Q681" s="5">
        <v>8684.0</v>
      </c>
      <c r="R681" s="5">
        <v>11766.0</v>
      </c>
      <c r="S681" s="5">
        <v>1.0</v>
      </c>
      <c r="T681" s="5">
        <v>1527.176274</v>
      </c>
    </row>
    <row r="682">
      <c r="A682" s="4" t="s">
        <v>1659</v>
      </c>
      <c r="B682" s="4" t="str">
        <f>IFERROR(__xludf.DUMMYFUNCTION("SPLIT(A682:A1408, ""&gt;"")"),"OnAudience ")</f>
        <v>OnAudience </v>
      </c>
      <c r="C682" s="4" t="str">
        <f>IFERROR(__xludf.DUMMYFUNCTION("""COMPUTED_VALUE""")," Interest ")</f>
        <v> Interest </v>
      </c>
      <c r="D682" s="4" t="str">
        <f>IFERROR(__xludf.DUMMYFUNCTION("""COMPUTED_VALUE""")," Technology &amp; Computing")</f>
        <v> Technology &amp; Computing</v>
      </c>
      <c r="E682" s="4"/>
      <c r="F682" s="4"/>
      <c r="G682" s="4"/>
      <c r="H682" s="4"/>
      <c r="I682" s="5" t="s">
        <v>61</v>
      </c>
      <c r="J682" s="5" t="s">
        <v>42</v>
      </c>
      <c r="K682" s="5" t="s">
        <v>131</v>
      </c>
      <c r="L682" s="6" t="s">
        <v>987</v>
      </c>
      <c r="M682" s="5" t="s">
        <v>26</v>
      </c>
      <c r="N682" s="5" t="s">
        <v>27</v>
      </c>
      <c r="O682" s="5">
        <v>23410.0</v>
      </c>
      <c r="P682" s="5">
        <v>66.0</v>
      </c>
      <c r="Q682" s="5">
        <v>13626.0</v>
      </c>
      <c r="R682" s="5">
        <v>22109.0</v>
      </c>
      <c r="S682" s="5">
        <v>6.0</v>
      </c>
      <c r="T682" s="5">
        <v>1930.180523</v>
      </c>
    </row>
    <row r="683">
      <c r="A683" s="4" t="s">
        <v>1660</v>
      </c>
      <c r="B683" s="4" t="str">
        <f>IFERROR(__xludf.DUMMYFUNCTION("SPLIT(A683:A1409, ""&gt;"")"),"Media and Entertainment ")</f>
        <v>Media and Entertainment </v>
      </c>
      <c r="C683" s="4" t="str">
        <f>IFERROR(__xludf.DUMMYFUNCTION("""COMPUTED_VALUE""")," Audio and Video Streaming ")</f>
        <v> Audio and Video Streaming </v>
      </c>
      <c r="D683" s="4" t="str">
        <f>IFERROR(__xludf.DUMMYFUNCTION("""COMPUTED_VALUE""")," Streaming Video")</f>
        <v> Streaming Video</v>
      </c>
      <c r="E683" s="4"/>
      <c r="F683" s="4"/>
      <c r="G683" s="4"/>
      <c r="H683" s="4"/>
      <c r="I683" s="5" t="s">
        <v>22</v>
      </c>
      <c r="J683" s="5" t="s">
        <v>16</v>
      </c>
      <c r="K683" s="5" t="s">
        <v>32</v>
      </c>
      <c r="L683" s="6" t="s">
        <v>987</v>
      </c>
      <c r="M683" s="5" t="s">
        <v>48</v>
      </c>
      <c r="N683" s="5" t="s">
        <v>27</v>
      </c>
      <c r="O683" s="5">
        <v>13713.0</v>
      </c>
      <c r="P683" s="5">
        <v>151.0</v>
      </c>
      <c r="Q683" s="5">
        <v>8339.0</v>
      </c>
      <c r="R683" s="5">
        <v>13051.0</v>
      </c>
      <c r="S683" s="5">
        <v>5.0</v>
      </c>
      <c r="T683" s="5">
        <v>1490.006197</v>
      </c>
    </row>
    <row r="684">
      <c r="A684" s="4" t="s">
        <v>1661</v>
      </c>
      <c r="B684" s="4" t="str">
        <f>IFERROR(__xludf.DUMMYFUNCTION("SPLIT(A684:A1410, ""&gt;"")"),"Online Behavior")</f>
        <v>Online Behavior</v>
      </c>
      <c r="C684" s="4" t="str">
        <f>IFERROR(__xludf.DUMMYFUNCTION("""COMPUTED_VALUE"""),"United States")</f>
        <v>United States</v>
      </c>
      <c r="D684" s="4" t="str">
        <f>IFERROR(__xludf.DUMMYFUNCTION("""COMPUTED_VALUE"""),"Intent ")</f>
        <v>Intent </v>
      </c>
      <c r="E684" s="4" t="str">
        <f>IFERROR(__xludf.DUMMYFUNCTION("""COMPUTED_VALUE""")," Travel")</f>
        <v> Travel</v>
      </c>
      <c r="F684" s="4" t="str">
        <f>IFERROR(__xludf.DUMMYFUNCTION("""COMPUTED_VALUE"""),"Budget Travel")</f>
        <v>Budget Travel</v>
      </c>
      <c r="G684" s="4"/>
      <c r="H684" s="4"/>
      <c r="I684" s="5" t="s">
        <v>61</v>
      </c>
      <c r="J684" s="5" t="s">
        <v>16</v>
      </c>
      <c r="K684" s="5" t="s">
        <v>17</v>
      </c>
      <c r="L684" s="6" t="s">
        <v>990</v>
      </c>
      <c r="M684" s="5" t="s">
        <v>26</v>
      </c>
      <c r="N684" s="5" t="s">
        <v>27</v>
      </c>
      <c r="O684" s="5">
        <v>10565.0</v>
      </c>
      <c r="P684" s="5">
        <v>66.0</v>
      </c>
      <c r="Q684" s="5">
        <v>6248.0</v>
      </c>
      <c r="R684" s="5">
        <v>10141.0</v>
      </c>
      <c r="S684" s="5">
        <v>9.0</v>
      </c>
      <c r="T684" s="5">
        <v>6236.113094</v>
      </c>
    </row>
    <row r="685">
      <c r="A685" s="4" t="s">
        <v>991</v>
      </c>
      <c r="B685" s="4" t="str">
        <f>IFERROR(__xludf.DUMMYFUNCTION("SPLIT(A685:A1411, ""&gt;"")"),"Online Behavior")</f>
        <v>Online Behavior</v>
      </c>
      <c r="C685" s="4" t="str">
        <f>IFERROR(__xludf.DUMMYFUNCTION("""COMPUTED_VALUE"""),"United States")</f>
        <v>United States</v>
      </c>
      <c r="D685" s="4" t="str">
        <f>IFERROR(__xludf.DUMMYFUNCTION("""COMPUTED_VALUE"""),"Beauty and Fitness")</f>
        <v>Beauty and Fitness</v>
      </c>
      <c r="E685" s="4" t="str">
        <f>IFERROR(__xludf.DUMMYFUNCTION("""COMPUTED_VALUE"""),"Spas and Beauty Services")</f>
        <v>Spas and Beauty Services</v>
      </c>
      <c r="F685" s="4"/>
      <c r="G685" s="4"/>
      <c r="H685" s="4"/>
      <c r="I685" s="5" t="s">
        <v>22</v>
      </c>
      <c r="J685" s="5" t="s">
        <v>23</v>
      </c>
      <c r="K685" s="5" t="s">
        <v>35</v>
      </c>
      <c r="L685" s="6" t="s">
        <v>992</v>
      </c>
      <c r="M685" s="5" t="s">
        <v>26</v>
      </c>
      <c r="N685" s="5" t="s">
        <v>27</v>
      </c>
      <c r="O685" s="5">
        <v>888037.0</v>
      </c>
      <c r="P685" s="5">
        <v>2841.0</v>
      </c>
      <c r="Q685" s="5">
        <v>370429.0</v>
      </c>
      <c r="R685" s="5">
        <v>820340.0</v>
      </c>
      <c r="S685" s="5">
        <v>42.0</v>
      </c>
      <c r="T685" s="5">
        <v>8134.350524</v>
      </c>
    </row>
    <row r="686">
      <c r="A686" s="4" t="s">
        <v>1662</v>
      </c>
      <c r="B686" s="4" t="str">
        <f>IFERROR(__xludf.DUMMYFUNCTION("SPLIT(A686:A1412, ""&gt;"")"),"Online Behavior")</f>
        <v>Online Behavior</v>
      </c>
      <c r="C686" s="4" t="str">
        <f>IFERROR(__xludf.DUMMYFUNCTION("""COMPUTED_VALUE"""),"United States")</f>
        <v>United States</v>
      </c>
      <c r="D686" s="4" t="str">
        <f>IFERROR(__xludf.DUMMYFUNCTION("""COMPUTED_VALUE"""),"Finance ")</f>
        <v>Finance </v>
      </c>
      <c r="E686" s="4" t="str">
        <f>IFERROR(__xludf.DUMMYFUNCTION("""COMPUTED_VALUE""")," Accounting and Auditing")</f>
        <v> Accounting and Auditing</v>
      </c>
      <c r="F686" s="4" t="str">
        <f>IFERROR(__xludf.DUMMYFUNCTION("""COMPUTED_VALUE"""),"Accounting and Auditing")</f>
        <v>Accounting and Auditing</v>
      </c>
      <c r="G686" s="4"/>
      <c r="H686" s="4"/>
      <c r="I686" s="5" t="s">
        <v>15</v>
      </c>
      <c r="J686" s="5" t="s">
        <v>16</v>
      </c>
      <c r="K686" s="5" t="s">
        <v>35</v>
      </c>
      <c r="L686" s="6" t="s">
        <v>992</v>
      </c>
      <c r="M686" s="5" t="s">
        <v>50</v>
      </c>
      <c r="N686" s="5" t="s">
        <v>27</v>
      </c>
      <c r="O686" s="5">
        <v>1767940.0</v>
      </c>
      <c r="P686" s="5">
        <v>4852.0</v>
      </c>
      <c r="Q686" s="5">
        <v>881525.0</v>
      </c>
      <c r="R686" s="5">
        <v>1550866.0</v>
      </c>
      <c r="S686" s="5">
        <v>78.0</v>
      </c>
      <c r="T686" s="5">
        <v>7511.656191</v>
      </c>
    </row>
    <row r="687">
      <c r="A687" s="4" t="s">
        <v>994</v>
      </c>
      <c r="B687" s="4" t="str">
        <f>IFERROR(__xludf.DUMMYFUNCTION("SPLIT(A687:A1413, ""&gt;"")"),"Online Behavior")</f>
        <v>Online Behavior</v>
      </c>
      <c r="C687" s="4" t="str">
        <f>IFERROR(__xludf.DUMMYFUNCTION("""COMPUTED_VALUE"""),"United States")</f>
        <v>United States</v>
      </c>
      <c r="D687" s="4" t="str">
        <f>IFERROR(__xludf.DUMMYFUNCTION("""COMPUTED_VALUE"""),"Life Event")</f>
        <v>Life Event</v>
      </c>
      <c r="E687" s="4" t="str">
        <f>IFERROR(__xludf.DUMMYFUNCTION("""COMPUTED_VALUE"""),"University Graduation")</f>
        <v>University Graduation</v>
      </c>
      <c r="F687" s="4"/>
      <c r="G687" s="4"/>
      <c r="H687" s="4"/>
      <c r="I687" s="5" t="s">
        <v>15</v>
      </c>
      <c r="J687" s="5" t="s">
        <v>23</v>
      </c>
      <c r="K687" s="5" t="s">
        <v>78</v>
      </c>
      <c r="L687" s="6" t="s">
        <v>992</v>
      </c>
      <c r="M687" s="5" t="s">
        <v>19</v>
      </c>
      <c r="N687" s="5" t="s">
        <v>27</v>
      </c>
      <c r="O687" s="5">
        <v>1221746.0</v>
      </c>
      <c r="P687" s="5">
        <v>3874.0</v>
      </c>
      <c r="Q687" s="5">
        <v>512107.0</v>
      </c>
      <c r="R687" s="5">
        <v>1088748.0</v>
      </c>
      <c r="S687" s="5">
        <v>19.0</v>
      </c>
      <c r="T687" s="5">
        <v>7483.887187</v>
      </c>
    </row>
    <row r="688">
      <c r="A688" s="4" t="s">
        <v>995</v>
      </c>
      <c r="B688" s="4" t="str">
        <f>IFERROR(__xludf.DUMMYFUNCTION("SPLIT(A688:A1414, ""&gt;"")"),"Online Behavior")</f>
        <v>Online Behavior</v>
      </c>
      <c r="C688" s="4" t="str">
        <f>IFERROR(__xludf.DUMMYFUNCTION("""COMPUTED_VALUE"""),"United States")</f>
        <v>United States</v>
      </c>
      <c r="D688" s="4" t="str">
        <f>IFERROR(__xludf.DUMMYFUNCTION("""COMPUTED_VALUE"""),"Life Event")</f>
        <v>Life Event</v>
      </c>
      <c r="E688" s="4" t="str">
        <f>IFERROR(__xludf.DUMMYFUNCTION("""COMPUTED_VALUE"""),"College Applications")</f>
        <v>College Applications</v>
      </c>
      <c r="F688" s="4"/>
      <c r="G688" s="4"/>
      <c r="H688" s="4"/>
      <c r="I688" s="5" t="s">
        <v>22</v>
      </c>
      <c r="J688" s="5" t="s">
        <v>16</v>
      </c>
      <c r="K688" s="5" t="s">
        <v>35</v>
      </c>
      <c r="L688" s="6" t="s">
        <v>992</v>
      </c>
      <c r="M688" s="5" t="s">
        <v>33</v>
      </c>
      <c r="N688" s="5" t="s">
        <v>27</v>
      </c>
      <c r="O688" s="5">
        <v>446774.0</v>
      </c>
      <c r="P688" s="5">
        <v>1245.0</v>
      </c>
      <c r="Q688" s="5">
        <v>163786.0</v>
      </c>
      <c r="R688" s="5">
        <v>374116.0</v>
      </c>
      <c r="S688" s="5">
        <v>12.0</v>
      </c>
      <c r="T688" s="5">
        <v>7248.231612</v>
      </c>
    </row>
    <row r="689">
      <c r="A689" s="4" t="s">
        <v>996</v>
      </c>
      <c r="B689" s="4" t="str">
        <f>IFERROR(__xludf.DUMMYFUNCTION("SPLIT(A689:A1415, ""&gt;"")"),"Online Behavior")</f>
        <v>Online Behavior</v>
      </c>
      <c r="C689" s="4" t="str">
        <f>IFERROR(__xludf.DUMMYFUNCTION("""COMPUTED_VALUE"""),"United States")</f>
        <v>United States</v>
      </c>
      <c r="D689" s="4" t="str">
        <f>IFERROR(__xludf.DUMMYFUNCTION("""COMPUTED_VALUE"""),"Games")</f>
        <v>Games</v>
      </c>
      <c r="E689" s="4" t="str">
        <f>IFERROR(__xludf.DUMMYFUNCTION("""COMPUTED_VALUE"""),"Arcade and Coin-Op Games")</f>
        <v>Arcade and Coin-Op Games</v>
      </c>
      <c r="F689" s="4"/>
      <c r="G689" s="4"/>
      <c r="H689" s="4"/>
      <c r="I689" s="5" t="s">
        <v>22</v>
      </c>
      <c r="J689" s="5" t="s">
        <v>23</v>
      </c>
      <c r="K689" s="5" t="s">
        <v>45</v>
      </c>
      <c r="L689" s="6" t="s">
        <v>992</v>
      </c>
      <c r="M689" s="5" t="s">
        <v>46</v>
      </c>
      <c r="N689" s="5" t="s">
        <v>27</v>
      </c>
      <c r="O689" s="5">
        <v>120603.0</v>
      </c>
      <c r="P689" s="5">
        <v>298.0</v>
      </c>
      <c r="Q689" s="5">
        <v>47405.0</v>
      </c>
      <c r="R689" s="5">
        <v>100881.0</v>
      </c>
      <c r="S689" s="5">
        <v>10.0</v>
      </c>
      <c r="T689" s="5">
        <v>6633.532635</v>
      </c>
    </row>
    <row r="690">
      <c r="A690" s="4" t="s">
        <v>997</v>
      </c>
      <c r="B690" s="4" t="str">
        <f>IFERROR(__xludf.DUMMYFUNCTION("SPLIT(A690:A1416, ""&gt;"")"),"Online Behavior")</f>
        <v>Online Behavior</v>
      </c>
      <c r="C690" s="4" t="str">
        <f>IFERROR(__xludf.DUMMYFUNCTION("""COMPUTED_VALUE"""),"United States")</f>
        <v>United States</v>
      </c>
      <c r="D690" s="4" t="str">
        <f>IFERROR(__xludf.DUMMYFUNCTION("""COMPUTED_VALUE"""),"Life Event")</f>
        <v>Life Event</v>
      </c>
      <c r="E690" s="4" t="str">
        <f>IFERROR(__xludf.DUMMYFUNCTION("""COMPUTED_VALUE"""),"Movers")</f>
        <v>Movers</v>
      </c>
      <c r="F690" s="4"/>
      <c r="G690" s="4"/>
      <c r="H690" s="4"/>
      <c r="I690" s="5" t="s">
        <v>15</v>
      </c>
      <c r="J690" s="5" t="s">
        <v>16</v>
      </c>
      <c r="K690" s="5" t="s">
        <v>32</v>
      </c>
      <c r="L690" s="6" t="s">
        <v>992</v>
      </c>
      <c r="M690" s="5" t="s">
        <v>19</v>
      </c>
      <c r="N690" s="5" t="s">
        <v>27</v>
      </c>
      <c r="O690" s="5">
        <v>310255.0</v>
      </c>
      <c r="P690" s="5">
        <v>970.0</v>
      </c>
      <c r="Q690" s="5">
        <v>105054.0</v>
      </c>
      <c r="R690" s="5">
        <v>260998.0</v>
      </c>
      <c r="S690" s="5">
        <v>14.0</v>
      </c>
      <c r="T690" s="5">
        <v>6057.856722</v>
      </c>
    </row>
    <row r="691">
      <c r="A691" s="4" t="s">
        <v>1663</v>
      </c>
      <c r="B691" s="4" t="str">
        <f>IFERROR(__xludf.DUMMYFUNCTION("SPLIT(A691:A1417, ""&gt;"")"),"Online Behavior")</f>
        <v>Online Behavior</v>
      </c>
      <c r="C691" s="4" t="str">
        <f>IFERROR(__xludf.DUMMYFUNCTION("""COMPUTED_VALUE"""),"United States")</f>
        <v>United States</v>
      </c>
      <c r="D691" s="4" t="str">
        <f>IFERROR(__xludf.DUMMYFUNCTION("""COMPUTED_VALUE"""),"Intent ")</f>
        <v>Intent </v>
      </c>
      <c r="E691" s="4" t="str">
        <f>IFERROR(__xludf.DUMMYFUNCTION("""COMPUTED_VALUE""")," Services")</f>
        <v> Services</v>
      </c>
      <c r="F691" s="4" t="str">
        <f>IFERROR(__xludf.DUMMYFUNCTION("""COMPUTED_VALUE"""),"Pets")</f>
        <v>Pets</v>
      </c>
      <c r="G691" s="4"/>
      <c r="H691" s="4"/>
      <c r="I691" s="5" t="s">
        <v>15</v>
      </c>
      <c r="J691" s="5" t="s">
        <v>31</v>
      </c>
      <c r="K691" s="5" t="s">
        <v>183</v>
      </c>
      <c r="L691" s="6" t="s">
        <v>992</v>
      </c>
      <c r="M691" s="5" t="s">
        <v>36</v>
      </c>
      <c r="N691" s="5" t="s">
        <v>27</v>
      </c>
      <c r="O691" s="5">
        <v>818919.0</v>
      </c>
      <c r="P691" s="5">
        <v>1987.0</v>
      </c>
      <c r="Q691" s="5">
        <v>395852.0</v>
      </c>
      <c r="R691" s="5">
        <v>699064.0</v>
      </c>
      <c r="S691" s="5">
        <v>22.0</v>
      </c>
      <c r="T691" s="5">
        <v>6012.102465</v>
      </c>
    </row>
    <row r="692">
      <c r="A692" s="4" t="s">
        <v>1664</v>
      </c>
      <c r="B692" s="4" t="str">
        <f>IFERROR(__xludf.DUMMYFUNCTION("SPLIT(A692:A1418, ""&gt;"")"),"Online Behavior")</f>
        <v>Online Behavior</v>
      </c>
      <c r="C692" s="4" t="str">
        <f>IFERROR(__xludf.DUMMYFUNCTION("""COMPUTED_VALUE"""),"United States")</f>
        <v>United States</v>
      </c>
      <c r="D692" s="4" t="str">
        <f>IFERROR(__xludf.DUMMYFUNCTION("""COMPUTED_VALUE"""),"Hobbies and Leisure")</f>
        <v>Hobbies and Leisure</v>
      </c>
      <c r="E692" s="4" t="str">
        <f>IFERROR(__xludf.DUMMYFUNCTION("""COMPUTED_VALUE"""),"Special Occasions ")</f>
        <v>Special Occasions </v>
      </c>
      <c r="F692" s="4" t="str">
        <f>IFERROR(__xludf.DUMMYFUNCTION("""COMPUTED_VALUE""")," Holidays and Seasonal Events")</f>
        <v> Holidays and Seasonal Events</v>
      </c>
      <c r="G692" s="4"/>
      <c r="H692" s="4"/>
      <c r="I692" s="5" t="s">
        <v>22</v>
      </c>
      <c r="J692" s="5" t="s">
        <v>16</v>
      </c>
      <c r="K692" s="5" t="s">
        <v>78</v>
      </c>
      <c r="L692" s="6" t="s">
        <v>992</v>
      </c>
      <c r="M692" s="5" t="s">
        <v>327</v>
      </c>
      <c r="N692" s="5" t="s">
        <v>27</v>
      </c>
      <c r="O692" s="5">
        <v>760502.0</v>
      </c>
      <c r="P692" s="5">
        <v>2140.0</v>
      </c>
      <c r="Q692" s="5">
        <v>326721.0</v>
      </c>
      <c r="R692" s="5">
        <v>700814.0</v>
      </c>
      <c r="S692" s="5">
        <v>17.0</v>
      </c>
      <c r="T692" s="5">
        <v>5179.041532</v>
      </c>
    </row>
    <row r="693">
      <c r="A693" s="4" t="s">
        <v>1000</v>
      </c>
      <c r="B693" s="4" t="str">
        <f>IFERROR(__xludf.DUMMYFUNCTION("SPLIT(A693:A1419, ""&gt;"")"),"Online Behavior")</f>
        <v>Online Behavior</v>
      </c>
      <c r="C693" s="4" t="str">
        <f>IFERROR(__xludf.DUMMYFUNCTION("""COMPUTED_VALUE"""),"United States")</f>
        <v>United States</v>
      </c>
      <c r="D693" s="4" t="str">
        <f>IFERROR(__xludf.DUMMYFUNCTION("""COMPUTED_VALUE"""),"The Changing Consumer")</f>
        <v>The Changing Consumer</v>
      </c>
      <c r="E693" s="4" t="str">
        <f>IFERROR(__xludf.DUMMYFUNCTION("""COMPUTED_VALUE"""),"Virtual Events")</f>
        <v>Virtual Events</v>
      </c>
      <c r="F693" s="4"/>
      <c r="G693" s="4"/>
      <c r="H693" s="4"/>
      <c r="I693" s="5" t="s">
        <v>22</v>
      </c>
      <c r="J693" s="5" t="s">
        <v>42</v>
      </c>
      <c r="K693" s="5" t="s">
        <v>55</v>
      </c>
      <c r="L693" s="6" t="s">
        <v>992</v>
      </c>
      <c r="M693" s="5" t="s">
        <v>19</v>
      </c>
      <c r="N693" s="5" t="s">
        <v>27</v>
      </c>
      <c r="O693" s="5">
        <v>571090.0</v>
      </c>
      <c r="P693" s="5">
        <v>1541.0</v>
      </c>
      <c r="Q693" s="5">
        <v>246243.0</v>
      </c>
      <c r="R693" s="5">
        <v>532325.0</v>
      </c>
      <c r="S693" s="5">
        <v>11.0</v>
      </c>
      <c r="T693" s="5">
        <v>4733.618783</v>
      </c>
    </row>
    <row r="694">
      <c r="A694" s="4" t="s">
        <v>1001</v>
      </c>
      <c r="B694" s="4" t="str">
        <f>IFERROR(__xludf.DUMMYFUNCTION("SPLIT(A694:A1420, ""&gt;"")"),"Online Behavior")</f>
        <v>Online Behavior</v>
      </c>
      <c r="C694" s="4" t="str">
        <f>IFERROR(__xludf.DUMMYFUNCTION("""COMPUTED_VALUE"""),"United States")</f>
        <v>United States</v>
      </c>
      <c r="D694" s="4" t="str">
        <f>IFERROR(__xludf.DUMMYFUNCTION("""COMPUTED_VALUE"""),"Beauty and Fitness")</f>
        <v>Beauty and Fitness</v>
      </c>
      <c r="E694" s="4" t="str">
        <f>IFERROR(__xludf.DUMMYFUNCTION("""COMPUTED_VALUE"""),"Beauty Pageants")</f>
        <v>Beauty Pageants</v>
      </c>
      <c r="F694" s="4"/>
      <c r="G694" s="4"/>
      <c r="H694" s="4"/>
      <c r="I694" s="5" t="s">
        <v>15</v>
      </c>
      <c r="J694" s="5" t="s">
        <v>23</v>
      </c>
      <c r="K694" s="5" t="s">
        <v>35</v>
      </c>
      <c r="L694" s="6" t="s">
        <v>992</v>
      </c>
      <c r="M694" s="5" t="s">
        <v>46</v>
      </c>
      <c r="N694" s="5" t="s">
        <v>20</v>
      </c>
      <c r="O694" s="5">
        <v>7584.0</v>
      </c>
      <c r="P694" s="5">
        <v>40.0</v>
      </c>
      <c r="Q694" s="5">
        <v>3093.0</v>
      </c>
      <c r="R694" s="5">
        <v>6897.0</v>
      </c>
      <c r="S694" s="5">
        <v>2.0</v>
      </c>
      <c r="T694" s="5">
        <v>4467.080758</v>
      </c>
    </row>
    <row r="695">
      <c r="A695" s="4" t="s">
        <v>1665</v>
      </c>
      <c r="B695" s="4" t="str">
        <f>IFERROR(__xludf.DUMMYFUNCTION("SPLIT(A695:A1421, ""&gt;"")"),"Online Behavior")</f>
        <v>Online Behavior</v>
      </c>
      <c r="C695" s="4" t="str">
        <f>IFERROR(__xludf.DUMMYFUNCTION("""COMPUTED_VALUE"""),"United States")</f>
        <v>United States</v>
      </c>
      <c r="D695" s="4" t="str">
        <f>IFERROR(__xludf.DUMMYFUNCTION("""COMPUTED_VALUE"""),"Autos and Vehicles ")</f>
        <v>Autos and Vehicles </v>
      </c>
      <c r="E695" s="4" t="str">
        <f>IFERROR(__xludf.DUMMYFUNCTION("""COMPUTED_VALUE""")," Brands")</f>
        <v> Brands</v>
      </c>
      <c r="F695" s="4" t="str">
        <f>IFERROR(__xludf.DUMMYFUNCTION("""COMPUTED_VALUE"""),"Aston Martin")</f>
        <v>Aston Martin</v>
      </c>
      <c r="G695" s="4"/>
      <c r="H695" s="4"/>
      <c r="I695" s="5" t="s">
        <v>15</v>
      </c>
      <c r="J695" s="5" t="s">
        <v>16</v>
      </c>
      <c r="K695" s="5" t="s">
        <v>24</v>
      </c>
      <c r="L695" s="6" t="s">
        <v>992</v>
      </c>
      <c r="M695" s="5" t="s">
        <v>19</v>
      </c>
      <c r="N695" s="5" t="s">
        <v>52</v>
      </c>
      <c r="O695" s="5">
        <v>84460.0</v>
      </c>
      <c r="P695" s="5">
        <v>209.0</v>
      </c>
      <c r="Q695" s="5">
        <v>13169.0</v>
      </c>
      <c r="R695" s="5">
        <v>26688.0</v>
      </c>
      <c r="S695" s="5">
        <v>1.0</v>
      </c>
      <c r="T695" s="5">
        <v>4279.230955</v>
      </c>
    </row>
    <row r="696">
      <c r="A696" s="4" t="s">
        <v>1961</v>
      </c>
      <c r="B696" s="4" t="str">
        <f>IFERROR(__xludf.DUMMYFUNCTION("SPLIT(A696:A1422, ""&gt;"")"),"US ")</f>
        <v>US </v>
      </c>
      <c r="C696" s="4" t="str">
        <f>IFERROR(__xludf.DUMMYFUNCTION("""COMPUTED_VALUE""")," Reach ")</f>
        <v> Reach </v>
      </c>
      <c r="D696" s="4" t="str">
        <f>IFERROR(__xludf.DUMMYFUNCTION("""COMPUTED_VALUE""")," Propensity Models ")</f>
        <v> Propensity Models </v>
      </c>
      <c r="E696" s="4" t="str">
        <f>IFERROR(__xludf.DUMMYFUNCTION("""COMPUTED_VALUE""")," Hobbies and Interest ")</f>
        <v> Hobbies and Interest </v>
      </c>
      <c r="F696" s="4" t="str">
        <f>IFERROR(__xludf.DUMMYFUNCTION("""COMPUTED_VALUE""")," Books ")</f>
        <v> Books </v>
      </c>
      <c r="G696" s="4" t="str">
        <f>IFERROR(__xludf.DUMMYFUNCTION("""COMPUTED_VALUE""")," E-Book Reader")</f>
        <v> E-Book Reader</v>
      </c>
      <c r="H696" s="4"/>
      <c r="I696" s="5" t="s">
        <v>15</v>
      </c>
      <c r="J696" s="5" t="s">
        <v>42</v>
      </c>
      <c r="K696" s="5" t="s">
        <v>214</v>
      </c>
      <c r="L696" s="6" t="s">
        <v>992</v>
      </c>
      <c r="M696" s="5" t="s">
        <v>36</v>
      </c>
      <c r="N696" s="5" t="s">
        <v>27</v>
      </c>
      <c r="O696" s="5">
        <v>90123.0</v>
      </c>
      <c r="P696" s="5">
        <v>60.0</v>
      </c>
      <c r="Q696" s="5">
        <v>33421.0</v>
      </c>
      <c r="R696" s="5">
        <v>66729.0</v>
      </c>
      <c r="S696" s="5">
        <v>9.0</v>
      </c>
      <c r="T696" s="5">
        <v>3433.914287</v>
      </c>
    </row>
    <row r="697">
      <c r="A697" s="4" t="s">
        <v>1962</v>
      </c>
      <c r="B697" s="4" t="str">
        <f>IFERROR(__xludf.DUMMYFUNCTION("SPLIT(A697:A1423, ""&gt;"")"),"US ")</f>
        <v>US </v>
      </c>
      <c r="C697" s="4" t="str">
        <f>IFERROR(__xludf.DUMMYFUNCTION("""COMPUTED_VALUE""")," AUTO ")</f>
        <v> AUTO </v>
      </c>
      <c r="D697" s="4" t="str">
        <f>IFERROR(__xludf.DUMMYFUNCTION("""COMPUTED_VALUE""")," Decision Maker for Auto Purchase ")</f>
        <v> Decision Maker for Auto Purchase </v>
      </c>
      <c r="E697" s="4" t="str">
        <f>IFERROR(__xludf.DUMMYFUNCTION("""COMPUTED_VALUE""")," I was the sole decision-maker")</f>
        <v> I was the sole decision-maker</v>
      </c>
      <c r="F697" s="4"/>
      <c r="G697" s="4"/>
      <c r="H697" s="4"/>
      <c r="I697" s="5" t="s">
        <v>15</v>
      </c>
      <c r="J697" s="5" t="s">
        <v>16</v>
      </c>
      <c r="K697" s="5" t="s">
        <v>78</v>
      </c>
      <c r="L697" s="6" t="s">
        <v>992</v>
      </c>
      <c r="M697" s="5" t="s">
        <v>19</v>
      </c>
      <c r="N697" s="5" t="s">
        <v>27</v>
      </c>
      <c r="O697" s="5">
        <v>1116343.0</v>
      </c>
      <c r="P697" s="5">
        <v>3104.0</v>
      </c>
      <c r="Q697" s="5">
        <v>550519.0</v>
      </c>
      <c r="R697" s="5">
        <v>977978.0</v>
      </c>
      <c r="S697" s="5">
        <v>9.0</v>
      </c>
      <c r="T697" s="5">
        <v>2494.217596</v>
      </c>
    </row>
    <row r="698">
      <c r="A698" s="4" t="s">
        <v>1963</v>
      </c>
      <c r="B698" s="4" t="str">
        <f>IFERROR(__xludf.DUMMYFUNCTION("SPLIT(A698:A1424, ""&gt;"")"),"US ")</f>
        <v>US </v>
      </c>
      <c r="C698" s="4" t="str">
        <f>IFERROR(__xludf.DUMMYFUNCTION("""COMPUTED_VALUE""")," B2B ")</f>
        <v> B2B </v>
      </c>
      <c r="D698" s="4" t="str">
        <f>IFERROR(__xludf.DUMMYFUNCTION("""COMPUTED_VALUE""")," B2B Decision Maker Responsibilities ")</f>
        <v> B2B Decision Maker Responsibilities </v>
      </c>
      <c r="E698" s="4" t="str">
        <f>IFERROR(__xludf.DUMMYFUNCTION("""COMPUTED_VALUE""")," Purchasing Vehicles or Automobile Services")</f>
        <v> Purchasing Vehicles or Automobile Services</v>
      </c>
      <c r="F698" s="4"/>
      <c r="G698" s="4"/>
      <c r="H698" s="4"/>
      <c r="I698" s="5" t="s">
        <v>15</v>
      </c>
      <c r="J698" s="5" t="s">
        <v>16</v>
      </c>
      <c r="K698" s="5" t="s">
        <v>273</v>
      </c>
      <c r="L698" s="6" t="s">
        <v>992</v>
      </c>
      <c r="M698" s="5" t="s">
        <v>26</v>
      </c>
      <c r="N698" s="5" t="s">
        <v>27</v>
      </c>
      <c r="O698" s="5">
        <v>276716.0</v>
      </c>
      <c r="P698" s="5">
        <v>799.0</v>
      </c>
      <c r="Q698" s="5">
        <v>114927.0</v>
      </c>
      <c r="R698" s="5">
        <v>255481.0</v>
      </c>
      <c r="S698" s="5">
        <v>49.0</v>
      </c>
      <c r="T698" s="5">
        <v>2276.277471</v>
      </c>
    </row>
    <row r="699">
      <c r="A699" s="4" t="s">
        <v>1669</v>
      </c>
      <c r="B699" s="4" t="str">
        <f>IFERROR(__xludf.DUMMYFUNCTION("SPLIT(A699:A1425, ""&gt;"")"),"Media and Entertainment ")</f>
        <v>Media and Entertainment </v>
      </c>
      <c r="C699" s="4" t="str">
        <f>IFERROR(__xludf.DUMMYFUNCTION("""COMPUTED_VALUE""")," Audio and Video Streaming ")</f>
        <v> Audio and Video Streaming </v>
      </c>
      <c r="D699" s="4" t="str">
        <f>IFERROR(__xludf.DUMMYFUNCTION("""COMPUTED_VALUE""")," Streaming Video ")</f>
        <v> Streaming Video </v>
      </c>
      <c r="E699" s="4" t="str">
        <f>IFERROR(__xludf.DUMMYFUNCTION("""COMPUTED_VALUE""")," Interest (Affinity) ")</f>
        <v> Interest (Affinity) </v>
      </c>
      <c r="F699" s="4" t="str">
        <f>IFERROR(__xludf.DUMMYFUNCTION("""COMPUTED_VALUE""")," Streaming Services")</f>
        <v> Streaming Services</v>
      </c>
      <c r="G699" s="4"/>
      <c r="H699" s="4"/>
      <c r="I699" s="5" t="s">
        <v>15</v>
      </c>
      <c r="J699" s="5" t="s">
        <v>23</v>
      </c>
      <c r="K699" s="5" t="s">
        <v>24</v>
      </c>
      <c r="L699" s="6" t="s">
        <v>992</v>
      </c>
      <c r="M699" s="5" t="s">
        <v>19</v>
      </c>
      <c r="N699" s="5" t="s">
        <v>20</v>
      </c>
      <c r="O699" s="5">
        <v>17049.0</v>
      </c>
      <c r="P699" s="5">
        <v>84.0</v>
      </c>
      <c r="Q699" s="5">
        <v>191.0</v>
      </c>
      <c r="R699" s="5">
        <v>15564.0</v>
      </c>
      <c r="S699" s="5">
        <v>15.0</v>
      </c>
      <c r="T699" s="5">
        <v>2144.489587</v>
      </c>
    </row>
    <row r="700">
      <c r="A700" s="4" t="s">
        <v>1964</v>
      </c>
      <c r="B700" s="4" t="str">
        <f>IFERROR(__xludf.DUMMYFUNCTION("SPLIT(A700:A1426, ""&gt;"")"),"Mobile - US ")</f>
        <v>Mobile - US </v>
      </c>
      <c r="C700" s="4" t="str">
        <f>IFERROR(__xludf.DUMMYFUNCTION("""COMPUTED_VALUE""")," Demographics ")</f>
        <v> Demographics </v>
      </c>
      <c r="D700" s="4" t="str">
        <f>IFERROR(__xludf.DUMMYFUNCTION("""COMPUTED_VALUE""")," Education ")</f>
        <v> Education </v>
      </c>
      <c r="E700" s="4" t="str">
        <f>IFERROR(__xludf.DUMMYFUNCTION("""COMPUTED_VALUE""")," High Education Achievement")</f>
        <v> High Education Achievement</v>
      </c>
      <c r="F700" s="4"/>
      <c r="G700" s="4"/>
      <c r="H700" s="4"/>
      <c r="I700" s="5" t="s">
        <v>15</v>
      </c>
      <c r="J700" s="5" t="s">
        <v>23</v>
      </c>
      <c r="K700" s="5" t="s">
        <v>17</v>
      </c>
      <c r="L700" s="6" t="s">
        <v>992</v>
      </c>
      <c r="M700" s="5" t="s">
        <v>19</v>
      </c>
      <c r="N700" s="5" t="s">
        <v>52</v>
      </c>
      <c r="O700" s="5">
        <v>74164.0</v>
      </c>
      <c r="P700" s="5">
        <v>241.0</v>
      </c>
      <c r="Q700" s="5">
        <v>25104.0</v>
      </c>
      <c r="R700" s="5">
        <v>61242.0</v>
      </c>
      <c r="S700" s="5">
        <v>19.0</v>
      </c>
      <c r="T700" s="5">
        <v>1902.301443</v>
      </c>
    </row>
    <row r="701">
      <c r="A701" s="4" t="s">
        <v>1671</v>
      </c>
      <c r="B701" s="4" t="str">
        <f>IFERROR(__xludf.DUMMYFUNCTION("SPLIT(A701:A1427, ""&gt;"")"),"Media and Entertainment ")</f>
        <v>Media and Entertainment </v>
      </c>
      <c r="C701" s="4" t="str">
        <f>IFERROR(__xludf.DUMMYFUNCTION("""COMPUTED_VALUE""")," Sports and Recreational Activities ")</f>
        <v> Sports and Recreational Activities </v>
      </c>
      <c r="D701" s="4" t="str">
        <f>IFERROR(__xludf.DUMMYFUNCTION("""COMPUTED_VALUE""")," Interest (Affinity) ")</f>
        <v> Interest (Affinity) </v>
      </c>
      <c r="E701" s="4" t="str">
        <f>IFERROR(__xludf.DUMMYFUNCTION("""COMPUTED_VALUE""")," Individual Sports")</f>
        <v> Individual Sports</v>
      </c>
      <c r="F701" s="4"/>
      <c r="G701" s="4"/>
      <c r="H701" s="4"/>
      <c r="I701" s="5" t="s">
        <v>22</v>
      </c>
      <c r="J701" s="5" t="s">
        <v>16</v>
      </c>
      <c r="K701" s="5" t="s">
        <v>35</v>
      </c>
      <c r="L701" s="6" t="s">
        <v>992</v>
      </c>
      <c r="M701" s="5" t="s">
        <v>161</v>
      </c>
      <c r="N701" s="5" t="s">
        <v>27</v>
      </c>
      <c r="O701" s="5">
        <v>37227.0</v>
      </c>
      <c r="P701" s="5">
        <v>130.0</v>
      </c>
      <c r="Q701" s="5">
        <v>13542.0</v>
      </c>
      <c r="R701" s="5">
        <v>32456.0</v>
      </c>
      <c r="S701" s="5">
        <v>4.0</v>
      </c>
      <c r="T701" s="5">
        <v>1901.094691</v>
      </c>
    </row>
    <row r="702">
      <c r="A702" s="4" t="s">
        <v>1965</v>
      </c>
      <c r="B702" s="4" t="str">
        <f>IFERROR(__xludf.DUMMYFUNCTION("SPLIT(A702:A1428, ""&gt;"")"),"US ")</f>
        <v>US </v>
      </c>
      <c r="C702" s="4" t="str">
        <f>IFERROR(__xludf.DUMMYFUNCTION("""COMPUTED_VALUE""")," Interest Propensities ")</f>
        <v> Interest Propensities </v>
      </c>
      <c r="D702" s="4" t="str">
        <f>IFERROR(__xludf.DUMMYFUNCTION("""COMPUTED_VALUE""")," TV and Movies ")</f>
        <v> TV and Movies </v>
      </c>
      <c r="E702" s="4" t="str">
        <f>IFERROR(__xludf.DUMMYFUNCTION("""COMPUTED_VALUE""")," Drama")</f>
        <v> Drama</v>
      </c>
      <c r="F702" s="4"/>
      <c r="G702" s="4"/>
      <c r="H702" s="4"/>
      <c r="I702" s="5" t="s">
        <v>15</v>
      </c>
      <c r="J702" s="5" t="s">
        <v>42</v>
      </c>
      <c r="K702" s="5" t="s">
        <v>17</v>
      </c>
      <c r="L702" s="6" t="s">
        <v>992</v>
      </c>
      <c r="M702" s="5" t="s">
        <v>26</v>
      </c>
      <c r="N702" s="5" t="s">
        <v>27</v>
      </c>
      <c r="O702" s="5">
        <v>556152.0</v>
      </c>
      <c r="P702" s="5">
        <v>1867.0</v>
      </c>
      <c r="Q702" s="5">
        <v>221833.0</v>
      </c>
      <c r="R702" s="5">
        <v>480882.0</v>
      </c>
      <c r="S702" s="5">
        <v>7.0</v>
      </c>
      <c r="T702" s="5">
        <v>1818.100044</v>
      </c>
    </row>
    <row r="703">
      <c r="A703" s="4" t="s">
        <v>1966</v>
      </c>
      <c r="B703" s="4" t="str">
        <f>IFERROR(__xludf.DUMMYFUNCTION("SPLIT(A703:A1429, ""&gt;"")"),"US ")</f>
        <v>US </v>
      </c>
      <c r="C703" s="4" t="str">
        <f>IFERROR(__xludf.DUMMYFUNCTION("""COMPUTED_VALUE""")," Interest Propensities ")</f>
        <v> Interest Propensities </v>
      </c>
      <c r="D703" s="4" t="str">
        <f>IFERROR(__xludf.DUMMYFUNCTION("""COMPUTED_VALUE""")," Insurance ")</f>
        <v> Insurance </v>
      </c>
      <c r="E703" s="4" t="str">
        <f>IFERROR(__xludf.DUMMYFUNCTION("""COMPUTED_VALUE""")," Transamerica")</f>
        <v> Transamerica</v>
      </c>
      <c r="F703" s="4"/>
      <c r="G703" s="4"/>
      <c r="H703" s="4"/>
      <c r="I703" s="5" t="s">
        <v>15</v>
      </c>
      <c r="J703" s="5" t="s">
        <v>31</v>
      </c>
      <c r="K703" s="5" t="s">
        <v>35</v>
      </c>
      <c r="L703" s="6" t="s">
        <v>992</v>
      </c>
      <c r="M703" s="5" t="s">
        <v>19</v>
      </c>
      <c r="N703" s="5" t="s">
        <v>20</v>
      </c>
      <c r="O703" s="5">
        <v>598460.0</v>
      </c>
      <c r="P703" s="5">
        <v>1654.0</v>
      </c>
      <c r="Q703" s="5">
        <v>201153.0</v>
      </c>
      <c r="R703" s="5">
        <v>557263.0</v>
      </c>
      <c r="S703" s="5">
        <v>13.0</v>
      </c>
      <c r="T703" s="5">
        <v>1689.744507</v>
      </c>
    </row>
    <row r="704">
      <c r="A704" s="4" t="s">
        <v>1011</v>
      </c>
      <c r="B704" s="4" t="str">
        <f>IFERROR(__xludf.DUMMYFUNCTION("SPLIT(A704:A1430, ""&gt;"")"),"Media &amp; Entertainment")</f>
        <v>Media &amp; Entertainment</v>
      </c>
      <c r="C704" s="4"/>
      <c r="D704" s="4"/>
      <c r="E704" s="4"/>
      <c r="F704" s="4"/>
      <c r="G704" s="4"/>
      <c r="H704" s="4"/>
      <c r="I704" s="5" t="s">
        <v>15</v>
      </c>
      <c r="J704" s="5" t="s">
        <v>16</v>
      </c>
      <c r="K704" s="5" t="s">
        <v>35</v>
      </c>
      <c r="L704" s="6" t="s">
        <v>992</v>
      </c>
      <c r="M704" s="5" t="s">
        <v>19</v>
      </c>
      <c r="N704" s="5" t="s">
        <v>27</v>
      </c>
      <c r="O704" s="5">
        <v>421110.0</v>
      </c>
      <c r="P704" s="5">
        <v>984.0</v>
      </c>
      <c r="Q704" s="5">
        <v>212140.0</v>
      </c>
      <c r="R704" s="5">
        <v>389474.0</v>
      </c>
      <c r="S704" s="5">
        <v>4.0</v>
      </c>
      <c r="T704" s="5">
        <v>1635.920216</v>
      </c>
    </row>
    <row r="705">
      <c r="A705" s="4" t="s">
        <v>1967</v>
      </c>
      <c r="B705" s="4" t="str">
        <f>IFERROR(__xludf.DUMMYFUNCTION("SPLIT(A705:A1431, ""&gt;"")"),"US ")</f>
        <v>US </v>
      </c>
      <c r="C705" s="4" t="str">
        <f>IFERROR(__xludf.DUMMYFUNCTION("""COMPUTED_VALUE""")," Brand Propensities ")</f>
        <v> Brand Propensities </v>
      </c>
      <c r="D705" s="4" t="str">
        <f>IFERROR(__xludf.DUMMYFUNCTION("""COMPUTED_VALUE""")," Apparel ")</f>
        <v> Apparel </v>
      </c>
      <c r="E705" s="4" t="str">
        <f>IFERROR(__xludf.DUMMYFUNCTION("""COMPUTED_VALUE""")," The Men's Wearhouse Buyer Propensity")</f>
        <v> The Men's Wearhouse Buyer Propensity</v>
      </c>
      <c r="F705" s="4"/>
      <c r="G705" s="4"/>
      <c r="H705" s="4"/>
      <c r="I705" s="5" t="s">
        <v>15</v>
      </c>
      <c r="J705" s="5" t="s">
        <v>31</v>
      </c>
      <c r="K705" s="5" t="s">
        <v>45</v>
      </c>
      <c r="L705" s="6" t="s">
        <v>992</v>
      </c>
      <c r="M705" s="5" t="s">
        <v>46</v>
      </c>
      <c r="N705" s="5" t="s">
        <v>52</v>
      </c>
      <c r="O705" s="5">
        <v>59296.0</v>
      </c>
      <c r="P705" s="5">
        <v>170.0</v>
      </c>
      <c r="Q705" s="5">
        <v>25482.0</v>
      </c>
      <c r="R705" s="5">
        <v>54149.0</v>
      </c>
      <c r="S705" s="5">
        <v>4.0</v>
      </c>
      <c r="T705" s="5">
        <v>1568.715259</v>
      </c>
    </row>
    <row r="706">
      <c r="A706" s="4" t="s">
        <v>1675</v>
      </c>
      <c r="B706" s="4" t="str">
        <f>IFERROR(__xludf.DUMMYFUNCTION("SPLIT(A706:A1432, ""&gt;"")"),"Travel and Tourism ")</f>
        <v>Travel and Tourism </v>
      </c>
      <c r="C706" s="4" t="str">
        <f>IFERROR(__xludf.DUMMYFUNCTION("""COMPUTED_VALUE""")," Interest (Affinity) ")</f>
        <v> Interest (Affinity) </v>
      </c>
      <c r="D706" s="4" t="str">
        <f>IFERROR(__xludf.DUMMYFUNCTION("""COMPUTED_VALUE""")," Products ")</f>
        <v> Products </v>
      </c>
      <c r="E706" s="4" t="str">
        <f>IFERROR(__xludf.DUMMYFUNCTION("""COMPUTED_VALUE""")," Air Travel")</f>
        <v> Air Travel</v>
      </c>
      <c r="F706" s="4"/>
      <c r="G706" s="4"/>
      <c r="H706" s="4"/>
      <c r="I706" s="5" t="s">
        <v>15</v>
      </c>
      <c r="J706" s="5" t="s">
        <v>42</v>
      </c>
      <c r="K706" s="5" t="s">
        <v>398</v>
      </c>
      <c r="L706" s="6" t="s">
        <v>992</v>
      </c>
      <c r="M706" s="5" t="s">
        <v>46</v>
      </c>
      <c r="N706" s="5" t="s">
        <v>52</v>
      </c>
      <c r="O706" s="5">
        <v>307888.0</v>
      </c>
      <c r="P706" s="5">
        <v>863.0</v>
      </c>
      <c r="Q706" s="5">
        <v>134959.0</v>
      </c>
      <c r="R706" s="5">
        <v>274790.0</v>
      </c>
      <c r="S706" s="5">
        <v>11.0</v>
      </c>
      <c r="T706" s="5">
        <v>1559.643865</v>
      </c>
    </row>
    <row r="707">
      <c r="A707" s="4" t="s">
        <v>1676</v>
      </c>
      <c r="B707" s="4" t="str">
        <f>IFERROR(__xludf.DUMMYFUNCTION("SPLIT(A707:A1433, ""&gt;"")"),"OnAudience ")</f>
        <v>OnAudience </v>
      </c>
      <c r="C707" s="4" t="str">
        <f>IFERROR(__xludf.DUMMYFUNCTION("""COMPUTED_VALUE""")," Interest ")</f>
        <v> Interest </v>
      </c>
      <c r="D707" s="4" t="str">
        <f>IFERROR(__xludf.DUMMYFUNCTION("""COMPUTED_VALUE""")," Technology &amp; Computing ")</f>
        <v> Technology &amp; Computing </v>
      </c>
      <c r="E707" s="4" t="str">
        <f>IFERROR(__xludf.DUMMYFUNCTION("""COMPUTED_VALUE""")," Entertainment")</f>
        <v> Entertainment</v>
      </c>
      <c r="F707" s="4"/>
      <c r="G707" s="4"/>
      <c r="H707" s="4"/>
      <c r="I707" s="5" t="s">
        <v>15</v>
      </c>
      <c r="J707" s="5" t="s">
        <v>23</v>
      </c>
      <c r="K707" s="5" t="s">
        <v>24</v>
      </c>
      <c r="L707" s="6" t="s">
        <v>992</v>
      </c>
      <c r="M707" s="5" t="s">
        <v>46</v>
      </c>
      <c r="N707" s="5" t="s">
        <v>27</v>
      </c>
      <c r="O707" s="5">
        <v>85965.0</v>
      </c>
      <c r="P707" s="5">
        <v>233.0</v>
      </c>
      <c r="Q707" s="5">
        <v>33865.0</v>
      </c>
      <c r="R707" s="5">
        <v>78662.0</v>
      </c>
      <c r="S707" s="5">
        <v>3.0</v>
      </c>
      <c r="T707" s="5">
        <v>1555.534812</v>
      </c>
    </row>
    <row r="708">
      <c r="A708" s="4" t="s">
        <v>1968</v>
      </c>
      <c r="B708" s="4" t="str">
        <f>IFERROR(__xludf.DUMMYFUNCTION("SPLIT(A708:A1434, ""&gt;"")"),"US ")</f>
        <v>US </v>
      </c>
      <c r="C708" s="4" t="str">
        <f>IFERROR(__xludf.DUMMYFUNCTION("""COMPUTED_VALUE""")," Brand Propensities ")</f>
        <v> Brand Propensities </v>
      </c>
      <c r="D708" s="4" t="str">
        <f>IFERROR(__xludf.DUMMYFUNCTION("""COMPUTED_VALUE""")," Restaurants and Dining ")</f>
        <v> Restaurants and Dining </v>
      </c>
      <c r="E708" s="4" t="str">
        <f>IFERROR(__xludf.DUMMYFUNCTION("""COMPUTED_VALUE""")," Seamless Buyer Propensity")</f>
        <v> Seamless Buyer Propensity</v>
      </c>
      <c r="F708" s="4"/>
      <c r="G708" s="4"/>
      <c r="H708" s="4"/>
      <c r="I708" s="5" t="s">
        <v>15</v>
      </c>
      <c r="J708" s="5" t="s">
        <v>31</v>
      </c>
      <c r="K708" s="5" t="s">
        <v>55</v>
      </c>
      <c r="L708" s="6" t="s">
        <v>992</v>
      </c>
      <c r="M708" s="5" t="s">
        <v>46</v>
      </c>
      <c r="N708" s="5" t="s">
        <v>27</v>
      </c>
      <c r="O708" s="5">
        <v>335664.0</v>
      </c>
      <c r="P708" s="5">
        <v>852.0</v>
      </c>
      <c r="Q708" s="5">
        <v>148742.0</v>
      </c>
      <c r="R708" s="5">
        <v>313071.0</v>
      </c>
      <c r="S708" s="5">
        <v>25.0</v>
      </c>
      <c r="T708" s="5">
        <v>1542.500216</v>
      </c>
    </row>
    <row r="709">
      <c r="A709" s="4" t="s">
        <v>1969</v>
      </c>
      <c r="B709" s="4" t="str">
        <f>IFERROR(__xludf.DUMMYFUNCTION("SPLIT(A709:A1435, ""&gt;"")"),"Mobile - US ")</f>
        <v>Mobile - US </v>
      </c>
      <c r="C709" s="4" t="str">
        <f>IFERROR(__xludf.DUMMYFUNCTION("""COMPUTED_VALUE""")," Sports ")</f>
        <v> Sports </v>
      </c>
      <c r="D709" s="4" t="str">
        <f>IFERROR(__xludf.DUMMYFUNCTION("""COMPUTED_VALUE""")," Motor Sports ")</f>
        <v> Motor Sports </v>
      </c>
      <c r="E709" s="4" t="str">
        <f>IFERROR(__xludf.DUMMYFUNCTION("""COMPUTED_VALUE""")," NASCAR")</f>
        <v> NASCAR</v>
      </c>
      <c r="F709" s="4"/>
      <c r="G709" s="4"/>
      <c r="H709" s="4"/>
      <c r="I709" s="5" t="s">
        <v>22</v>
      </c>
      <c r="J709" s="5" t="s">
        <v>31</v>
      </c>
      <c r="K709" s="5" t="s">
        <v>273</v>
      </c>
      <c r="L709" s="6" t="s">
        <v>992</v>
      </c>
      <c r="M709" s="5" t="s">
        <v>19</v>
      </c>
      <c r="N709" s="5" t="s">
        <v>27</v>
      </c>
      <c r="O709" s="5">
        <v>74516.0</v>
      </c>
      <c r="P709" s="5">
        <v>200.0</v>
      </c>
      <c r="Q709" s="5">
        <v>23985.0</v>
      </c>
      <c r="R709" s="5">
        <v>63853.0</v>
      </c>
      <c r="S709" s="5">
        <v>24.0</v>
      </c>
      <c r="T709" s="5">
        <v>1523.783909</v>
      </c>
    </row>
    <row r="710">
      <c r="A710" s="4" t="s">
        <v>1970</v>
      </c>
      <c r="B710" s="4" t="str">
        <f>IFERROR(__xludf.DUMMYFUNCTION("SPLIT(A710:A1436, ""&gt;"")"),"US ")</f>
        <v>US </v>
      </c>
      <c r="C710" s="4" t="str">
        <f>IFERROR(__xludf.DUMMYFUNCTION("""COMPUTED_VALUE""")," Reach ")</f>
        <v> Reach </v>
      </c>
      <c r="D710" s="4" t="str">
        <f>IFERROR(__xludf.DUMMYFUNCTION("""COMPUTED_VALUE""")," Propensity Models ")</f>
        <v> Propensity Models </v>
      </c>
      <c r="E710" s="4" t="str">
        <f>IFERROR(__xludf.DUMMYFUNCTION("""COMPUTED_VALUE""")," Hobbies and Interest ")</f>
        <v> Hobbies and Interest </v>
      </c>
      <c r="F710" s="4" t="str">
        <f>IFERROR(__xludf.DUMMYFUNCTION("""COMPUTED_VALUE""")," Food and Drinks ")</f>
        <v> Food and Drinks </v>
      </c>
      <c r="G710" s="4" t="str">
        <f>IFERROR(__xludf.DUMMYFUNCTION("""COMPUTED_VALUE""")," Coffee Connoisseurs")</f>
        <v> Coffee Connoisseurs</v>
      </c>
      <c r="H710" s="4"/>
      <c r="I710" s="5" t="s">
        <v>22</v>
      </c>
      <c r="J710" s="5" t="s">
        <v>42</v>
      </c>
      <c r="K710" s="5" t="s">
        <v>55</v>
      </c>
      <c r="L710" s="6" t="s">
        <v>992</v>
      </c>
      <c r="M710" s="5" t="s">
        <v>19</v>
      </c>
      <c r="N710" s="5" t="s">
        <v>27</v>
      </c>
      <c r="O710" s="5">
        <v>263752.0</v>
      </c>
      <c r="P710" s="5">
        <v>702.0</v>
      </c>
      <c r="Q710" s="5">
        <v>127042.0</v>
      </c>
      <c r="R710" s="5">
        <v>225121.0</v>
      </c>
      <c r="S710" s="5">
        <v>4.0</v>
      </c>
      <c r="T710" s="5">
        <v>1465.51471</v>
      </c>
    </row>
    <row r="711">
      <c r="A711" s="4" t="s">
        <v>1971</v>
      </c>
      <c r="B711" s="4" t="str">
        <f>IFERROR(__xludf.DUMMYFUNCTION("SPLIT(A711:A1437, ""&gt;"")"),"US ")</f>
        <v>US </v>
      </c>
      <c r="C711" s="4" t="str">
        <f>IFERROR(__xludf.DUMMYFUNCTION("""COMPUTED_VALUE""")," Demographic ")</f>
        <v> Demographic </v>
      </c>
      <c r="D711" s="4" t="str">
        <f>IFERROR(__xludf.DUMMYFUNCTION("""COMPUTED_VALUE""")," Family ")</f>
        <v> Family </v>
      </c>
      <c r="E711" s="4" t="str">
        <f>IFERROR(__xludf.DUMMYFUNCTION("""COMPUTED_VALUE""")," Households with 2 Adults")</f>
        <v> Households with 2 Adults</v>
      </c>
      <c r="F711" s="4"/>
      <c r="G711" s="4"/>
      <c r="H711" s="4"/>
      <c r="I711" s="5" t="s">
        <v>22</v>
      </c>
      <c r="J711" s="5" t="s">
        <v>42</v>
      </c>
      <c r="K711" s="5" t="s">
        <v>398</v>
      </c>
      <c r="L711" s="6" t="s">
        <v>992</v>
      </c>
      <c r="M711" s="5" t="s">
        <v>46</v>
      </c>
      <c r="N711" s="5" t="s">
        <v>27</v>
      </c>
      <c r="O711" s="5">
        <v>507889.0</v>
      </c>
      <c r="P711" s="5">
        <v>823.0</v>
      </c>
      <c r="Q711" s="5">
        <v>176329.0</v>
      </c>
      <c r="R711" s="5">
        <v>450103.0</v>
      </c>
      <c r="S711" s="5">
        <v>78.0</v>
      </c>
      <c r="T711" s="5">
        <v>1440.745362</v>
      </c>
    </row>
    <row r="712">
      <c r="A712" s="4" t="s">
        <v>1972</v>
      </c>
      <c r="B712" s="4" t="str">
        <f>IFERROR(__xludf.DUMMYFUNCTION("SPLIT(A712:A1438, ""&gt;"")"),"US ")</f>
        <v>US </v>
      </c>
      <c r="C712" s="4" t="str">
        <f>IFERROR(__xludf.DUMMYFUNCTION("""COMPUTED_VALUE""")," Interest Propensities ")</f>
        <v> Interest Propensities </v>
      </c>
      <c r="D712" s="4" t="str">
        <f>IFERROR(__xludf.DUMMYFUNCTION("""COMPUTED_VALUE""")," Brands ")</f>
        <v> Brands </v>
      </c>
      <c r="E712" s="4" t="str">
        <f>IFERROR(__xludf.DUMMYFUNCTION("""COMPUTED_VALUE""")," Big Box Retail")</f>
        <v> Big Box Retail</v>
      </c>
      <c r="F712" s="4"/>
      <c r="G712" s="4"/>
      <c r="H712" s="4"/>
      <c r="I712" s="5" t="s">
        <v>22</v>
      </c>
      <c r="J712" s="5" t="s">
        <v>23</v>
      </c>
      <c r="K712" s="5" t="s">
        <v>84</v>
      </c>
      <c r="L712" s="6" t="s">
        <v>1020</v>
      </c>
      <c r="M712" s="5" t="s">
        <v>19</v>
      </c>
      <c r="N712" s="5" t="s">
        <v>27</v>
      </c>
      <c r="O712" s="5">
        <v>61474.0</v>
      </c>
      <c r="P712" s="5">
        <v>250.0</v>
      </c>
      <c r="Q712" s="5">
        <v>31245.0</v>
      </c>
      <c r="R712" s="5">
        <v>49089.0</v>
      </c>
      <c r="S712" s="5">
        <v>15.0</v>
      </c>
      <c r="T712" s="5">
        <v>2189.341349</v>
      </c>
    </row>
    <row r="713">
      <c r="A713" s="4" t="s">
        <v>1682</v>
      </c>
      <c r="B713" s="4" t="str">
        <f>IFERROR(__xludf.DUMMYFUNCTION("SPLIT(A713:A1439, ""&gt;"")"),"Travel and Tourism ")</f>
        <v>Travel and Tourism </v>
      </c>
      <c r="C713" s="4" t="str">
        <f>IFERROR(__xludf.DUMMYFUNCTION("""COMPUTED_VALUE""")," Interest (Affinity)")</f>
        <v> Interest (Affinity)</v>
      </c>
      <c r="D713" s="4"/>
      <c r="E713" s="4"/>
      <c r="F713" s="4"/>
      <c r="G713" s="4"/>
      <c r="H713" s="4"/>
      <c r="I713" s="5" t="s">
        <v>22</v>
      </c>
      <c r="J713" s="5" t="s">
        <v>16</v>
      </c>
      <c r="K713" s="5" t="s">
        <v>29</v>
      </c>
      <c r="L713" s="6" t="s">
        <v>1020</v>
      </c>
      <c r="M713" s="5" t="s">
        <v>19</v>
      </c>
      <c r="N713" s="5" t="s">
        <v>27</v>
      </c>
      <c r="O713" s="5">
        <v>14890.0</v>
      </c>
      <c r="P713" s="5">
        <v>60.0</v>
      </c>
      <c r="Q713" s="5">
        <v>6248.0</v>
      </c>
      <c r="R713" s="5">
        <v>11493.0</v>
      </c>
      <c r="S713" s="5">
        <v>6.0</v>
      </c>
      <c r="T713" s="5">
        <v>1982.416484</v>
      </c>
    </row>
    <row r="714">
      <c r="A714" s="4" t="s">
        <v>1973</v>
      </c>
      <c r="B714" s="4" t="str">
        <f>IFERROR(__xludf.DUMMYFUNCTION("SPLIT(A714:A1440, ""&gt;"")"),"US ")</f>
        <v>US </v>
      </c>
      <c r="C714" s="4" t="str">
        <f>IFERROR(__xludf.DUMMYFUNCTION("""COMPUTED_VALUE""")," Brand Propensities ")</f>
        <v> Brand Propensities </v>
      </c>
      <c r="D714" s="4" t="str">
        <f>IFERROR(__xludf.DUMMYFUNCTION("""COMPUTED_VALUE""")," Media and Entertainment ")</f>
        <v> Media and Entertainment </v>
      </c>
      <c r="E714" s="4" t="str">
        <f>IFERROR(__xludf.DUMMYFUNCTION("""COMPUTED_VALUE""")," pokerstars.net Buyer Propensity")</f>
        <v> pokerstars.net Buyer Propensity</v>
      </c>
      <c r="F714" s="4"/>
      <c r="G714" s="4"/>
      <c r="H714" s="4"/>
      <c r="I714" s="5" t="s">
        <v>15</v>
      </c>
      <c r="J714" s="5" t="s">
        <v>42</v>
      </c>
      <c r="K714" s="5" t="s">
        <v>35</v>
      </c>
      <c r="L714" s="6" t="s">
        <v>1020</v>
      </c>
      <c r="M714" s="5" t="s">
        <v>117</v>
      </c>
      <c r="N714" s="5" t="s">
        <v>27</v>
      </c>
      <c r="O714" s="5">
        <v>61227.0</v>
      </c>
      <c r="P714" s="5">
        <v>174.0</v>
      </c>
      <c r="Q714" s="5">
        <v>10434.0</v>
      </c>
      <c r="R714" s="5">
        <v>53104.0</v>
      </c>
      <c r="S714" s="5">
        <v>8.0</v>
      </c>
      <c r="T714" s="5">
        <v>1919.553678</v>
      </c>
    </row>
    <row r="715">
      <c r="A715" s="4" t="s">
        <v>1684</v>
      </c>
      <c r="B715" s="4" t="str">
        <f>IFERROR(__xludf.DUMMYFUNCTION("SPLIT(A715:A1441, ""&gt;"")"),"Online Behavior")</f>
        <v>Online Behavior</v>
      </c>
      <c r="C715" s="4" t="str">
        <f>IFERROR(__xludf.DUMMYFUNCTION("""COMPUTED_VALUE"""),"United States")</f>
        <v>United States</v>
      </c>
      <c r="D715" s="4" t="str">
        <f>IFERROR(__xludf.DUMMYFUNCTION("""COMPUTED_VALUE"""),"Intent ")</f>
        <v>Intent </v>
      </c>
      <c r="E715" s="4" t="str">
        <f>IFERROR(__xludf.DUMMYFUNCTION("""COMPUTED_VALUE""")," Shopping")</f>
        <v> Shopping</v>
      </c>
      <c r="F715" s="4" t="str">
        <f>IFERROR(__xludf.DUMMYFUNCTION("""COMPUTED_VALUE"""),"Pet Food ")</f>
        <v>Pet Food </v>
      </c>
      <c r="G715" s="4" t="str">
        <f>IFERROR(__xludf.DUMMYFUNCTION("""COMPUTED_VALUE""")," Dog")</f>
        <v> Dog</v>
      </c>
      <c r="H715" s="4"/>
      <c r="I715" s="5" t="s">
        <v>22</v>
      </c>
      <c r="J715" s="5" t="s">
        <v>16</v>
      </c>
      <c r="K715" s="5" t="s">
        <v>35</v>
      </c>
      <c r="L715" s="6" t="s">
        <v>1024</v>
      </c>
      <c r="M715" s="5" t="s">
        <v>19</v>
      </c>
      <c r="N715" s="5" t="s">
        <v>27</v>
      </c>
      <c r="O715" s="5">
        <v>18516.0</v>
      </c>
      <c r="P715" s="5">
        <v>68.0</v>
      </c>
      <c r="Q715" s="5">
        <v>8191.0</v>
      </c>
      <c r="R715" s="5">
        <v>13641.0</v>
      </c>
      <c r="S715" s="5">
        <v>13.0</v>
      </c>
      <c r="T715" s="5">
        <v>5087.561715</v>
      </c>
    </row>
    <row r="716">
      <c r="A716" s="4" t="s">
        <v>1685</v>
      </c>
      <c r="B716" s="4" t="str">
        <f>IFERROR(__xludf.DUMMYFUNCTION("SPLIT(A716:A1442, ""&gt;"")"),"Online Behavior")</f>
        <v>Online Behavior</v>
      </c>
      <c r="C716" s="4" t="str">
        <f>IFERROR(__xludf.DUMMYFUNCTION("""COMPUTED_VALUE"""),"United States")</f>
        <v>United States</v>
      </c>
      <c r="D716" s="4" t="str">
        <f>IFERROR(__xludf.DUMMYFUNCTION("""COMPUTED_VALUE"""),"B2B ")</f>
        <v>B2B </v>
      </c>
      <c r="E716" s="4" t="str">
        <f>IFERROR(__xludf.DUMMYFUNCTION("""COMPUTED_VALUE""")," Occupation")</f>
        <v> Occupation</v>
      </c>
      <c r="F716" s="4" t="str">
        <f>IFERROR(__xludf.DUMMYFUNCTION("""COMPUTED_VALUE"""),"Architect")</f>
        <v>Architect</v>
      </c>
      <c r="G716" s="4"/>
      <c r="H716" s="4"/>
      <c r="I716" s="5" t="s">
        <v>15</v>
      </c>
      <c r="J716" s="5" t="s">
        <v>16</v>
      </c>
      <c r="K716" s="5" t="s">
        <v>55</v>
      </c>
      <c r="L716" s="6" t="s">
        <v>1024</v>
      </c>
      <c r="M716" s="5" t="s">
        <v>19</v>
      </c>
      <c r="N716" s="5" t="s">
        <v>27</v>
      </c>
      <c r="O716" s="5">
        <v>11420.0</v>
      </c>
      <c r="P716" s="5">
        <v>67.0</v>
      </c>
      <c r="Q716" s="5">
        <v>4647.0</v>
      </c>
      <c r="R716" s="5">
        <v>9909.0</v>
      </c>
      <c r="S716" s="5">
        <v>9.0</v>
      </c>
      <c r="T716" s="5">
        <v>3804.64417</v>
      </c>
    </row>
    <row r="717">
      <c r="A717" s="4" t="s">
        <v>1686</v>
      </c>
      <c r="B717" s="4" t="str">
        <f>IFERROR(__xludf.DUMMYFUNCTION("SPLIT(A717:A1443, ""&gt;"")"),"Online Behavior")</f>
        <v>Online Behavior</v>
      </c>
      <c r="C717" s="4" t="str">
        <f>IFERROR(__xludf.DUMMYFUNCTION("""COMPUTED_VALUE"""),"United States")</f>
        <v>United States</v>
      </c>
      <c r="D717" s="4" t="str">
        <f>IFERROR(__xludf.DUMMYFUNCTION("""COMPUTED_VALUE"""),"Validated Demographic ")</f>
        <v>Validated Demographic </v>
      </c>
      <c r="E717" s="4" t="str">
        <f>IFERROR(__xludf.DUMMYFUNCTION("""COMPUTED_VALUE""")," Gender")</f>
        <v> Gender</v>
      </c>
      <c r="F717" s="4" t="str">
        <f>IFERROR(__xludf.DUMMYFUNCTION("""COMPUTED_VALUE"""),"Female")</f>
        <v>Female</v>
      </c>
      <c r="G717" s="4"/>
      <c r="H717" s="4"/>
      <c r="I717" s="5" t="s">
        <v>61</v>
      </c>
      <c r="J717" s="5" t="s">
        <v>16</v>
      </c>
      <c r="K717" s="5" t="s">
        <v>55</v>
      </c>
      <c r="L717" s="6" t="s">
        <v>1027</v>
      </c>
      <c r="M717" s="5" t="s">
        <v>19</v>
      </c>
      <c r="N717" s="5" t="s">
        <v>27</v>
      </c>
      <c r="O717" s="5">
        <v>10906.0</v>
      </c>
      <c r="P717" s="5">
        <v>46.0</v>
      </c>
      <c r="Q717" s="5">
        <v>4735.0</v>
      </c>
      <c r="R717" s="5">
        <v>6390.0</v>
      </c>
      <c r="S717" s="5">
        <v>3.0</v>
      </c>
      <c r="T717" s="5">
        <v>5694.27094</v>
      </c>
    </row>
    <row r="718">
      <c r="A718" s="4" t="s">
        <v>1687</v>
      </c>
      <c r="B718" s="4" t="str">
        <f>IFERROR(__xludf.DUMMYFUNCTION("SPLIT(A718:A1444, ""&gt;"")"),"Online Behavior")</f>
        <v>Online Behavior</v>
      </c>
      <c r="C718" s="4" t="str">
        <f>IFERROR(__xludf.DUMMYFUNCTION("""COMPUTED_VALUE"""),"United States")</f>
        <v>United States</v>
      </c>
      <c r="D718" s="4" t="str">
        <f>IFERROR(__xludf.DUMMYFUNCTION("""COMPUTED_VALUE"""),"Beauty and Fitness")</f>
        <v>Beauty and Fitness</v>
      </c>
      <c r="E718" s="4" t="str">
        <f>IFERROR(__xludf.DUMMYFUNCTION("""COMPUTED_VALUE"""),"Face and Body Care ")</f>
        <v>Face and Body Care </v>
      </c>
      <c r="F718" s="4" t="str">
        <f>IFERROR(__xludf.DUMMYFUNCTION("""COMPUTED_VALUE""")," Make-Up and Cosmetics")</f>
        <v> Make-Up and Cosmetics</v>
      </c>
      <c r="G718" s="4"/>
      <c r="H718" s="4"/>
      <c r="I718" s="5" t="s">
        <v>15</v>
      </c>
      <c r="J718" s="5" t="s">
        <v>42</v>
      </c>
      <c r="K718" s="5" t="s">
        <v>29</v>
      </c>
      <c r="L718" s="6" t="s">
        <v>1029</v>
      </c>
      <c r="M718" s="5" t="s">
        <v>46</v>
      </c>
      <c r="N718" s="5" t="s">
        <v>20</v>
      </c>
      <c r="O718" s="5">
        <v>7585.0</v>
      </c>
      <c r="P718" s="5">
        <v>13.0</v>
      </c>
      <c r="Q718" s="5">
        <v>5396.0</v>
      </c>
      <c r="R718" s="5">
        <v>7417.0</v>
      </c>
      <c r="S718" s="5">
        <v>24.0</v>
      </c>
      <c r="T718" s="5">
        <v>7082.653802</v>
      </c>
    </row>
    <row r="719">
      <c r="A719" s="4" t="s">
        <v>1974</v>
      </c>
      <c r="B719" s="4" t="str">
        <f>IFERROR(__xludf.DUMMYFUNCTION("SPLIT(A719:A1445, ""&gt;"")"),"US ")</f>
        <v>US </v>
      </c>
      <c r="C719" s="4" t="str">
        <f>IFERROR(__xludf.DUMMYFUNCTION("""COMPUTED_VALUE""")," Multibuyer Behaviors ")</f>
        <v> Multibuyer Behaviors </v>
      </c>
      <c r="D719" s="4" t="str">
        <f>IFERROR(__xludf.DUMMYFUNCTION("""COMPUTED_VALUE""")," Club ")</f>
        <v> Club </v>
      </c>
      <c r="E719" s="4" t="str">
        <f>IFERROR(__xludf.DUMMYFUNCTION("""COMPUTED_VALUE""")," Continuity Buyers")</f>
        <v> Continuity Buyers</v>
      </c>
      <c r="F719" s="4"/>
      <c r="G719" s="4"/>
      <c r="H719" s="4"/>
      <c r="I719" s="5" t="s">
        <v>22</v>
      </c>
      <c r="J719" s="5" t="s">
        <v>16</v>
      </c>
      <c r="K719" s="5" t="s">
        <v>55</v>
      </c>
      <c r="L719" s="6" t="s">
        <v>1029</v>
      </c>
      <c r="M719" s="5" t="s">
        <v>117</v>
      </c>
      <c r="N719" s="5" t="s">
        <v>27</v>
      </c>
      <c r="O719" s="5">
        <v>12692.0</v>
      </c>
      <c r="P719" s="5">
        <v>105.0</v>
      </c>
      <c r="Q719" s="5">
        <v>9048.0</v>
      </c>
      <c r="R719" s="5">
        <v>12326.0</v>
      </c>
      <c r="S719" s="5">
        <v>14.0</v>
      </c>
      <c r="T719" s="5">
        <v>1541.719598</v>
      </c>
    </row>
    <row r="720">
      <c r="A720" s="4" t="s">
        <v>1689</v>
      </c>
      <c r="B720" s="4" t="str">
        <f>IFERROR(__xludf.DUMMYFUNCTION("SPLIT(A720:A1446, ""&gt;"")"),"Online Behavior")</f>
        <v>Online Behavior</v>
      </c>
      <c r="C720" s="4" t="str">
        <f>IFERROR(__xludf.DUMMYFUNCTION("""COMPUTED_VALUE"""),"United States")</f>
        <v>United States</v>
      </c>
      <c r="D720" s="4" t="str">
        <f>IFERROR(__xludf.DUMMYFUNCTION("""COMPUTED_VALUE"""),"Travel")</f>
        <v>Travel</v>
      </c>
      <c r="E720" s="4" t="str">
        <f>IFERROR(__xludf.DUMMYFUNCTION("""COMPUTED_VALUE"""),"Tourist Destinations ")</f>
        <v>Tourist Destinations </v>
      </c>
      <c r="F720" s="4" t="str">
        <f>IFERROR(__xludf.DUMMYFUNCTION("""COMPUTED_VALUE""")," Theme Parks")</f>
        <v> Theme Parks</v>
      </c>
      <c r="G720" s="4"/>
      <c r="H720" s="4"/>
      <c r="I720" s="5" t="s">
        <v>22</v>
      </c>
      <c r="J720" s="5" t="s">
        <v>31</v>
      </c>
      <c r="K720" s="5" t="s">
        <v>17</v>
      </c>
      <c r="L720" s="6" t="s">
        <v>1032</v>
      </c>
      <c r="M720" s="5" t="s">
        <v>19</v>
      </c>
      <c r="N720" s="5" t="s">
        <v>27</v>
      </c>
      <c r="O720" s="5">
        <v>318269.0</v>
      </c>
      <c r="P720" s="5">
        <v>914.0</v>
      </c>
      <c r="Q720" s="5">
        <v>33355.0</v>
      </c>
      <c r="R720" s="5">
        <v>295405.0</v>
      </c>
      <c r="S720" s="5">
        <v>44.0</v>
      </c>
      <c r="T720" s="5">
        <v>7854.731991</v>
      </c>
    </row>
    <row r="721">
      <c r="A721" s="4" t="s">
        <v>1690</v>
      </c>
      <c r="B721" s="4" t="str">
        <f>IFERROR(__xludf.DUMMYFUNCTION("SPLIT(A721:A1447, ""&gt;"")"),"Online Behavior")</f>
        <v>Online Behavior</v>
      </c>
      <c r="C721" s="4" t="str">
        <f>IFERROR(__xludf.DUMMYFUNCTION("""COMPUTED_VALUE"""),"United States")</f>
        <v>United States</v>
      </c>
      <c r="D721" s="4" t="str">
        <f>IFERROR(__xludf.DUMMYFUNCTION("""COMPUTED_VALUE"""),"Food and Drink")</f>
        <v>Food and Drink</v>
      </c>
      <c r="E721" s="4" t="str">
        <f>IFERROR(__xludf.DUMMYFUNCTION("""COMPUTED_VALUE"""),"Beverages ")</f>
        <v>Beverages </v>
      </c>
      <c r="F721" s="4" t="str">
        <f>IFERROR(__xludf.DUMMYFUNCTION("""COMPUTED_VALUE""")," Beer")</f>
        <v> Beer</v>
      </c>
      <c r="G721" s="4"/>
      <c r="H721" s="4"/>
      <c r="I721" s="5" t="s">
        <v>15</v>
      </c>
      <c r="J721" s="5" t="s">
        <v>42</v>
      </c>
      <c r="K721" s="5" t="s">
        <v>35</v>
      </c>
      <c r="L721" s="6" t="s">
        <v>1032</v>
      </c>
      <c r="M721" s="5" t="s">
        <v>117</v>
      </c>
      <c r="N721" s="5" t="s">
        <v>20</v>
      </c>
      <c r="O721" s="5">
        <v>26212.0</v>
      </c>
      <c r="P721" s="5">
        <v>77.0</v>
      </c>
      <c r="Q721" s="5">
        <v>12726.0</v>
      </c>
      <c r="R721" s="5">
        <v>24442.0</v>
      </c>
      <c r="S721" s="5">
        <v>15.0</v>
      </c>
      <c r="T721" s="5">
        <v>6452.93501</v>
      </c>
    </row>
    <row r="722">
      <c r="A722" s="4" t="s">
        <v>1691</v>
      </c>
      <c r="B722" s="4" t="str">
        <f>IFERROR(__xludf.DUMMYFUNCTION("SPLIT(A722:A1448, ""&gt;"")"),"Online Behavior")</f>
        <v>Online Behavior</v>
      </c>
      <c r="C722" s="4" t="str">
        <f>IFERROR(__xludf.DUMMYFUNCTION("""COMPUTED_VALUE"""),"United States")</f>
        <v>United States</v>
      </c>
      <c r="D722" s="4" t="str">
        <f>IFERROR(__xludf.DUMMYFUNCTION("""COMPUTED_VALUE"""),"Arts and Entertainment")</f>
        <v>Arts and Entertainment</v>
      </c>
      <c r="E722" s="4" t="str">
        <f>IFERROR(__xludf.DUMMYFUNCTION("""COMPUTED_VALUE"""),"Events and Listings ")</f>
        <v>Events and Listings </v>
      </c>
      <c r="F722" s="4" t="str">
        <f>IFERROR(__xludf.DUMMYFUNCTION("""COMPUTED_VALUE""")," Expos and Conventions")</f>
        <v> Expos and Conventions</v>
      </c>
      <c r="G722" s="4"/>
      <c r="H722" s="4"/>
      <c r="I722" s="5" t="s">
        <v>15</v>
      </c>
      <c r="J722" s="5" t="s">
        <v>16</v>
      </c>
      <c r="K722" s="5" t="s">
        <v>17</v>
      </c>
      <c r="L722" s="6" t="s">
        <v>1032</v>
      </c>
      <c r="M722" s="5" t="s">
        <v>19</v>
      </c>
      <c r="N722" s="5" t="s">
        <v>20</v>
      </c>
      <c r="O722" s="5">
        <v>20833.0</v>
      </c>
      <c r="P722" s="5">
        <v>87.0</v>
      </c>
      <c r="Q722" s="5">
        <v>1777.0</v>
      </c>
      <c r="R722" s="5">
        <v>17211.0</v>
      </c>
      <c r="S722" s="5">
        <v>9.0</v>
      </c>
      <c r="T722" s="5">
        <v>5542.512181</v>
      </c>
    </row>
    <row r="723">
      <c r="A723" s="4" t="s">
        <v>1975</v>
      </c>
      <c r="B723" s="4" t="str">
        <f>IFERROR(__xludf.DUMMYFUNCTION("SPLIT(A723:A1449, ""&gt;"")"),"US ")</f>
        <v>US </v>
      </c>
      <c r="C723" s="4" t="str">
        <f>IFERROR(__xludf.DUMMYFUNCTION("""COMPUTED_VALUE""")," Reach ")</f>
        <v> Reach </v>
      </c>
      <c r="D723" s="4" t="str">
        <f>IFERROR(__xludf.DUMMYFUNCTION("""COMPUTED_VALUE""")," Sociodemographic ")</f>
        <v> Sociodemographic </v>
      </c>
      <c r="E723" s="4" t="str">
        <f>IFERROR(__xludf.DUMMYFUNCTION("""COMPUTED_VALUE""")," Household Income ")</f>
        <v> Household Income </v>
      </c>
      <c r="F723" s="4" t="str">
        <f>IFERROR(__xludf.DUMMYFUNCTION("""COMPUTED_VALUE""")," $50,000-$74,999")</f>
        <v> $50,000-$74,999</v>
      </c>
      <c r="G723" s="4"/>
      <c r="H723" s="4"/>
      <c r="I723" s="5" t="s">
        <v>22</v>
      </c>
      <c r="J723" s="5" t="s">
        <v>31</v>
      </c>
      <c r="K723" s="5" t="s">
        <v>150</v>
      </c>
      <c r="L723" s="6" t="s">
        <v>1032</v>
      </c>
      <c r="M723" s="5" t="s">
        <v>26</v>
      </c>
      <c r="N723" s="5" t="s">
        <v>27</v>
      </c>
      <c r="O723" s="5">
        <v>14181.0</v>
      </c>
      <c r="P723" s="5">
        <v>65.0</v>
      </c>
      <c r="Q723" s="5">
        <v>7106.0</v>
      </c>
      <c r="R723" s="5">
        <v>13189.0</v>
      </c>
      <c r="S723" s="5">
        <v>17.0</v>
      </c>
      <c r="T723" s="5">
        <v>2912.467156</v>
      </c>
    </row>
    <row r="724">
      <c r="A724" s="4" t="s">
        <v>1976</v>
      </c>
      <c r="B724" s="4" t="str">
        <f>IFERROR(__xludf.DUMMYFUNCTION("SPLIT(A724:A1450, ""&gt;"")"),"US ")</f>
        <v>US </v>
      </c>
      <c r="C724" s="4" t="str">
        <f>IFERROR(__xludf.DUMMYFUNCTION("""COMPUTED_VALUE""")," Brand Propensities ")</f>
        <v> Brand Propensities </v>
      </c>
      <c r="D724" s="4" t="str">
        <f>IFERROR(__xludf.DUMMYFUNCTION("""COMPUTED_VALUE""")," Automotive ")</f>
        <v> Automotive </v>
      </c>
      <c r="E724" s="4" t="str">
        <f>IFERROR(__xludf.DUMMYFUNCTION("""COMPUTED_VALUE""")," Ford Credit Buyer Propensity")</f>
        <v> Ford Credit Buyer Propensity</v>
      </c>
      <c r="F724" s="4"/>
      <c r="G724" s="4"/>
      <c r="H724" s="4"/>
      <c r="I724" s="5" t="s">
        <v>22</v>
      </c>
      <c r="J724" s="5" t="s">
        <v>16</v>
      </c>
      <c r="K724" s="5" t="s">
        <v>84</v>
      </c>
      <c r="L724" s="6" t="s">
        <v>1032</v>
      </c>
      <c r="M724" s="5" t="s">
        <v>19</v>
      </c>
      <c r="N724" s="5" t="s">
        <v>27</v>
      </c>
      <c r="O724" s="5">
        <v>304377.0</v>
      </c>
      <c r="P724" s="5">
        <v>801.0</v>
      </c>
      <c r="Q724" s="5">
        <v>27519.0</v>
      </c>
      <c r="R724" s="5">
        <v>270098.0</v>
      </c>
      <c r="S724" s="5">
        <v>63.0</v>
      </c>
      <c r="T724" s="5">
        <v>1595.48714</v>
      </c>
    </row>
    <row r="725">
      <c r="A725" s="4" t="s">
        <v>1977</v>
      </c>
      <c r="B725" s="4" t="str">
        <f>IFERROR(__xludf.DUMMYFUNCTION("SPLIT(A725:A1451, ""&gt;"")"),"US Technology ")</f>
        <v>US Technology </v>
      </c>
      <c r="C725" s="4" t="str">
        <f>IFERROR(__xludf.DUMMYFUNCTION("""COMPUTED_VALUE""")," Social Media ")</f>
        <v> Social Media </v>
      </c>
      <c r="D725" s="4" t="str">
        <f>IFERROR(__xludf.DUMMYFUNCTION("""COMPUTED_VALUE""")," Likely Behavior ")</f>
        <v> Likely Behavior </v>
      </c>
      <c r="E725" s="4" t="str">
        <f>IFERROR(__xludf.DUMMYFUNCTION("""COMPUTED_VALUE""")," Heavy Facebook User")</f>
        <v> Heavy Facebook User</v>
      </c>
      <c r="F725" s="4"/>
      <c r="G725" s="4"/>
      <c r="H725" s="4"/>
      <c r="I725" s="5" t="s">
        <v>15</v>
      </c>
      <c r="J725" s="5" t="s">
        <v>42</v>
      </c>
      <c r="K725" s="5" t="s">
        <v>78</v>
      </c>
      <c r="L725" s="6" t="s">
        <v>1032</v>
      </c>
      <c r="M725" s="5" t="s">
        <v>19</v>
      </c>
      <c r="N725" s="5" t="s">
        <v>27</v>
      </c>
      <c r="O725" s="5">
        <v>312206.0</v>
      </c>
      <c r="P725" s="5">
        <v>841.0</v>
      </c>
      <c r="Q725" s="5">
        <v>35661.0</v>
      </c>
      <c r="R725" s="5">
        <v>292992.0</v>
      </c>
      <c r="S725" s="5">
        <v>5.0</v>
      </c>
      <c r="T725" s="5">
        <v>1550.938318</v>
      </c>
    </row>
    <row r="726">
      <c r="A726" s="4" t="s">
        <v>1978</v>
      </c>
      <c r="B726" s="4" t="str">
        <f>IFERROR(__xludf.DUMMYFUNCTION("SPLIT(A726:A1452, ""&gt;"")"),"US ")</f>
        <v>US </v>
      </c>
      <c r="C726" s="4" t="str">
        <f>IFERROR(__xludf.DUMMYFUNCTION("""COMPUTED_VALUE""")," B2B ")</f>
        <v> B2B </v>
      </c>
      <c r="D726" s="4" t="str">
        <f>IFERROR(__xludf.DUMMYFUNCTION("""COMPUTED_VALUE""")," B2B Decision Maker Responsibilities ")</f>
        <v> B2B Decision Maker Responsibilities </v>
      </c>
      <c r="E726" s="4" t="str">
        <f>IFERROR(__xludf.DUMMYFUNCTION("""COMPUTED_VALUE""")," Real Estate Services")</f>
        <v> Real Estate Services</v>
      </c>
      <c r="F726" s="4"/>
      <c r="G726" s="4"/>
      <c r="H726" s="4"/>
      <c r="I726" s="5" t="s">
        <v>15</v>
      </c>
      <c r="J726" s="5" t="s">
        <v>42</v>
      </c>
      <c r="K726" s="5" t="s">
        <v>84</v>
      </c>
      <c r="L726" s="6" t="s">
        <v>1032</v>
      </c>
      <c r="M726" s="5" t="s">
        <v>46</v>
      </c>
      <c r="N726" s="5" t="s">
        <v>27</v>
      </c>
      <c r="O726" s="5">
        <v>9790.0</v>
      </c>
      <c r="P726" s="5">
        <v>24.0</v>
      </c>
      <c r="Q726" s="5">
        <v>1295.0</v>
      </c>
      <c r="R726" s="5">
        <v>9196.0</v>
      </c>
      <c r="S726" s="5">
        <v>2.0</v>
      </c>
      <c r="T726" s="5">
        <v>1532.148881</v>
      </c>
    </row>
    <row r="727">
      <c r="A727" s="4" t="s">
        <v>1696</v>
      </c>
      <c r="B727" s="4" t="str">
        <f>IFERROR(__xludf.DUMMYFUNCTION("SPLIT(A727:A1453, ""&gt;"")"),"Transactional ")</f>
        <v>Transactional </v>
      </c>
      <c r="C727" s="4" t="str">
        <f>IFERROR(__xludf.DUMMYFUNCTION("""COMPUTED_VALUE""")," Q3 Fashion Shoppers")</f>
        <v> Q3 Fashion Shoppers</v>
      </c>
      <c r="D727" s="4"/>
      <c r="E727" s="4"/>
      <c r="F727" s="4"/>
      <c r="G727" s="4"/>
      <c r="H727" s="4"/>
      <c r="I727" s="5" t="s">
        <v>61</v>
      </c>
      <c r="J727" s="5" t="s">
        <v>23</v>
      </c>
      <c r="K727" s="5" t="s">
        <v>131</v>
      </c>
      <c r="L727" s="6" t="s">
        <v>1032</v>
      </c>
      <c r="M727" s="5" t="s">
        <v>80</v>
      </c>
      <c r="N727" s="5" t="s">
        <v>27</v>
      </c>
      <c r="O727" s="5">
        <v>130602.0</v>
      </c>
      <c r="P727" s="5">
        <v>269.0</v>
      </c>
      <c r="Q727" s="5">
        <v>11736.0</v>
      </c>
      <c r="R727" s="5">
        <v>113735.0</v>
      </c>
      <c r="S727" s="5">
        <v>4.0</v>
      </c>
      <c r="T727" s="5">
        <v>1507.84712</v>
      </c>
    </row>
    <row r="728">
      <c r="A728" s="4" t="s">
        <v>1697</v>
      </c>
      <c r="B728" s="4" t="str">
        <f>IFERROR(__xludf.DUMMYFUNCTION("SPLIT(A728:A1454, ""&gt;"")"),"Lotame ")</f>
        <v>Lotame </v>
      </c>
      <c r="C728" s="4" t="str">
        <f>IFERROR(__xludf.DUMMYFUNCTION("""COMPUTED_VALUE""")," Style, Fashion &amp; Clothing ")</f>
        <v> Style, Fashion &amp; Clothing </v>
      </c>
      <c r="D728" s="4" t="str">
        <f>IFERROR(__xludf.DUMMYFUNCTION("""COMPUTED_VALUE""")," Men's Clothing Shoppers")</f>
        <v> Men's Clothing Shoppers</v>
      </c>
      <c r="E728" s="4"/>
      <c r="F728" s="4"/>
      <c r="G728" s="4"/>
      <c r="H728" s="4"/>
      <c r="I728" s="5" t="s">
        <v>22</v>
      </c>
      <c r="J728" s="5" t="s">
        <v>23</v>
      </c>
      <c r="K728" s="5" t="s">
        <v>35</v>
      </c>
      <c r="L728" s="6" t="s">
        <v>1041</v>
      </c>
      <c r="M728" s="5" t="s">
        <v>26</v>
      </c>
      <c r="N728" s="5" t="s">
        <v>27</v>
      </c>
      <c r="O728" s="5">
        <v>10903.0</v>
      </c>
      <c r="P728" s="5">
        <v>35.0</v>
      </c>
      <c r="Q728" s="5">
        <v>3776.0</v>
      </c>
      <c r="R728" s="5">
        <v>9581.0</v>
      </c>
      <c r="S728" s="5">
        <v>2.0</v>
      </c>
      <c r="T728" s="5">
        <v>1460.009754</v>
      </c>
    </row>
    <row r="729">
      <c r="A729" s="8"/>
      <c r="B729" s="8"/>
      <c r="C729" s="8"/>
      <c r="D729" s="8"/>
      <c r="E729" s="8"/>
      <c r="F729" s="8"/>
      <c r="G729" s="8"/>
      <c r="H729" s="8"/>
    </row>
    <row r="730">
      <c r="A730" s="8"/>
      <c r="B730" s="8"/>
      <c r="C730" s="8"/>
      <c r="D730" s="8"/>
      <c r="E730" s="8"/>
      <c r="F730" s="8"/>
      <c r="G730" s="8"/>
      <c r="H730" s="8"/>
    </row>
    <row r="731">
      <c r="A731" s="8"/>
      <c r="B731" s="8"/>
      <c r="C731" s="8"/>
      <c r="D731" s="8"/>
      <c r="E731" s="8"/>
      <c r="F731" s="8"/>
      <c r="G731" s="8"/>
      <c r="H731" s="8"/>
    </row>
    <row r="732">
      <c r="A732" s="8"/>
      <c r="B732" s="8"/>
      <c r="C732" s="8"/>
      <c r="D732" s="8"/>
      <c r="E732" s="8"/>
      <c r="F732" s="8"/>
      <c r="G732" s="8"/>
      <c r="H732" s="8"/>
    </row>
    <row r="733">
      <c r="A733" s="8"/>
      <c r="B733" s="8"/>
      <c r="C733" s="8"/>
      <c r="D733" s="8"/>
      <c r="E733" s="8"/>
      <c r="F733" s="8"/>
      <c r="G733" s="8"/>
      <c r="H733" s="8"/>
    </row>
    <row r="734">
      <c r="A734" s="8"/>
      <c r="B734" s="8"/>
      <c r="C734" s="8"/>
      <c r="D734" s="8"/>
      <c r="E734" s="8"/>
      <c r="F734" s="8"/>
      <c r="G734" s="8"/>
      <c r="H734" s="8"/>
    </row>
    <row r="735">
      <c r="A735" s="8"/>
      <c r="B735" s="8"/>
      <c r="C735" s="8"/>
      <c r="D735" s="8"/>
      <c r="E735" s="8"/>
      <c r="F735" s="8"/>
      <c r="G735" s="8"/>
      <c r="H735" s="8"/>
    </row>
    <row r="736">
      <c r="A736" s="8"/>
      <c r="B736" s="8"/>
      <c r="C736" s="8"/>
      <c r="D736" s="8"/>
      <c r="E736" s="8"/>
      <c r="F736" s="8"/>
      <c r="G736" s="8"/>
      <c r="H736" s="8"/>
    </row>
    <row r="737">
      <c r="A737" s="8"/>
      <c r="B737" s="8"/>
      <c r="C737" s="8"/>
      <c r="D737" s="8"/>
      <c r="E737" s="8"/>
      <c r="F737" s="8"/>
      <c r="G737" s="8"/>
      <c r="H737" s="8"/>
    </row>
    <row r="738">
      <c r="A738" s="8"/>
      <c r="B738" s="8"/>
      <c r="C738" s="8"/>
      <c r="D738" s="8"/>
      <c r="E738" s="8"/>
      <c r="F738" s="8"/>
      <c r="G738" s="8"/>
      <c r="H738" s="8"/>
    </row>
    <row r="739">
      <c r="A739" s="8"/>
      <c r="B739" s="8"/>
      <c r="C739" s="8"/>
      <c r="D739" s="8"/>
      <c r="E739" s="8"/>
      <c r="F739" s="8"/>
      <c r="G739" s="8"/>
      <c r="H739" s="8"/>
    </row>
    <row r="740">
      <c r="A740" s="8"/>
      <c r="B740" s="8"/>
      <c r="C740" s="8"/>
      <c r="D740" s="8"/>
      <c r="E740" s="8"/>
      <c r="F740" s="8"/>
      <c r="G740" s="8"/>
      <c r="H740" s="8"/>
    </row>
    <row r="741">
      <c r="A741" s="8"/>
      <c r="B741" s="8"/>
      <c r="C741" s="8"/>
      <c r="D741" s="8"/>
      <c r="E741" s="8"/>
      <c r="F741" s="8"/>
      <c r="G741" s="8"/>
      <c r="H741" s="8"/>
    </row>
    <row r="742">
      <c r="A742" s="8"/>
      <c r="B742" s="8"/>
      <c r="C742" s="8"/>
      <c r="D742" s="8"/>
      <c r="E742" s="8"/>
      <c r="F742" s="8"/>
      <c r="G742" s="8"/>
      <c r="H742" s="8"/>
    </row>
    <row r="743">
      <c r="A743" s="8"/>
      <c r="B743" s="8"/>
      <c r="C743" s="8"/>
      <c r="D743" s="8"/>
      <c r="E743" s="8"/>
      <c r="F743" s="8"/>
      <c r="G743" s="8"/>
      <c r="H743" s="8"/>
    </row>
    <row r="744">
      <c r="A744" s="8"/>
      <c r="B744" s="8"/>
      <c r="C744" s="8"/>
      <c r="D744" s="8"/>
      <c r="E744" s="8"/>
      <c r="F744" s="8"/>
      <c r="G744" s="8"/>
      <c r="H744" s="8"/>
    </row>
    <row r="745">
      <c r="A745" s="8"/>
      <c r="B745" s="8"/>
      <c r="C745" s="8"/>
      <c r="D745" s="8"/>
      <c r="E745" s="8"/>
      <c r="F745" s="8"/>
      <c r="G745" s="8"/>
      <c r="H745" s="8"/>
    </row>
    <row r="746">
      <c r="A746" s="8"/>
      <c r="B746" s="8"/>
      <c r="C746" s="8"/>
      <c r="D746" s="8"/>
      <c r="E746" s="8"/>
      <c r="F746" s="8"/>
      <c r="G746" s="8"/>
      <c r="H746" s="8"/>
    </row>
    <row r="747">
      <c r="A747" s="8"/>
      <c r="B747" s="8"/>
      <c r="C747" s="8"/>
      <c r="D747" s="8"/>
      <c r="E747" s="8"/>
      <c r="F747" s="8"/>
      <c r="G747" s="8"/>
      <c r="H747" s="8"/>
    </row>
    <row r="748">
      <c r="A748" s="8"/>
      <c r="B748" s="8"/>
      <c r="C748" s="8"/>
      <c r="D748" s="8"/>
      <c r="E748" s="8"/>
      <c r="F748" s="8"/>
      <c r="G748" s="8"/>
      <c r="H748" s="8"/>
    </row>
    <row r="749">
      <c r="A749" s="8"/>
      <c r="B749" s="8"/>
      <c r="C749" s="8"/>
      <c r="D749" s="8"/>
      <c r="E749" s="8"/>
      <c r="F749" s="8"/>
      <c r="G749" s="8"/>
      <c r="H749" s="8"/>
    </row>
    <row r="750">
      <c r="A750" s="8"/>
      <c r="B750" s="8"/>
      <c r="C750" s="8"/>
      <c r="D750" s="8"/>
      <c r="E750" s="8"/>
      <c r="F750" s="8"/>
      <c r="G750" s="8"/>
      <c r="H750" s="8"/>
    </row>
    <row r="751">
      <c r="A751" s="8"/>
      <c r="B751" s="8"/>
      <c r="C751" s="8"/>
      <c r="D751" s="8"/>
      <c r="E751" s="8"/>
      <c r="F751" s="8"/>
      <c r="G751" s="8"/>
      <c r="H751" s="8"/>
    </row>
    <row r="752">
      <c r="A752" s="8"/>
      <c r="B752" s="8"/>
      <c r="C752" s="8"/>
      <c r="D752" s="8"/>
      <c r="E752" s="8"/>
      <c r="F752" s="8"/>
      <c r="G752" s="8"/>
      <c r="H752" s="8"/>
    </row>
    <row r="753">
      <c r="A753" s="8"/>
      <c r="B753" s="8"/>
      <c r="C753" s="8"/>
      <c r="D753" s="8"/>
      <c r="E753" s="8"/>
      <c r="F753" s="8"/>
      <c r="G753" s="8"/>
      <c r="H753" s="8"/>
    </row>
    <row r="754">
      <c r="A754" s="8"/>
      <c r="B754" s="8"/>
      <c r="C754" s="8"/>
      <c r="D754" s="8"/>
      <c r="E754" s="8"/>
      <c r="F754" s="8"/>
      <c r="G754" s="8"/>
      <c r="H754" s="8"/>
    </row>
    <row r="755">
      <c r="A755" s="8"/>
      <c r="B755" s="8"/>
      <c r="C755" s="8"/>
      <c r="D755" s="8"/>
      <c r="E755" s="8"/>
      <c r="F755" s="8"/>
      <c r="G755" s="8"/>
      <c r="H755" s="8"/>
    </row>
    <row r="756">
      <c r="A756" s="8"/>
      <c r="B756" s="8"/>
      <c r="C756" s="8"/>
      <c r="D756" s="8"/>
      <c r="E756" s="8"/>
      <c r="F756" s="8"/>
      <c r="G756" s="8"/>
      <c r="H756" s="8"/>
    </row>
    <row r="757">
      <c r="A757" s="8"/>
      <c r="B757" s="8"/>
      <c r="C757" s="8"/>
      <c r="D757" s="8"/>
      <c r="E757" s="8"/>
      <c r="F757" s="8"/>
      <c r="G757" s="8"/>
      <c r="H757" s="8"/>
    </row>
    <row r="758">
      <c r="A758" s="8"/>
      <c r="B758" s="8"/>
      <c r="C758" s="8"/>
      <c r="D758" s="8"/>
      <c r="E758" s="8"/>
      <c r="F758" s="8"/>
      <c r="G758" s="8"/>
      <c r="H758" s="8"/>
    </row>
    <row r="759">
      <c r="A759" s="8"/>
      <c r="B759" s="8"/>
      <c r="C759" s="8"/>
      <c r="D759" s="8"/>
      <c r="E759" s="8"/>
      <c r="F759" s="8"/>
      <c r="G759" s="8"/>
      <c r="H759" s="8"/>
    </row>
    <row r="760">
      <c r="A760" s="8"/>
      <c r="B760" s="8"/>
      <c r="C760" s="8"/>
      <c r="D760" s="8"/>
      <c r="E760" s="8"/>
      <c r="F760" s="8"/>
      <c r="G760" s="8"/>
      <c r="H760" s="8"/>
    </row>
    <row r="761">
      <c r="A761" s="8"/>
      <c r="B761" s="8"/>
      <c r="C761" s="8"/>
      <c r="D761" s="8"/>
      <c r="E761" s="8"/>
      <c r="F761" s="8"/>
      <c r="G761" s="8"/>
      <c r="H761" s="8"/>
    </row>
    <row r="762">
      <c r="A762" s="8"/>
      <c r="B762" s="8"/>
      <c r="C762" s="8"/>
      <c r="D762" s="8"/>
      <c r="E762" s="8"/>
      <c r="F762" s="8"/>
      <c r="G762" s="8"/>
      <c r="H762" s="8"/>
    </row>
    <row r="763">
      <c r="A763" s="8"/>
      <c r="B763" s="8"/>
      <c r="C763" s="8"/>
      <c r="D763" s="8"/>
      <c r="E763" s="8"/>
      <c r="F763" s="8"/>
      <c r="G763" s="8"/>
      <c r="H763" s="8"/>
    </row>
    <row r="764">
      <c r="A764" s="8"/>
      <c r="B764" s="8"/>
      <c r="C764" s="8"/>
      <c r="D764" s="8"/>
      <c r="E764" s="8"/>
      <c r="F764" s="8"/>
      <c r="G764" s="8"/>
      <c r="H764" s="8"/>
    </row>
    <row r="765">
      <c r="A765" s="8"/>
      <c r="B765" s="8"/>
      <c r="C765" s="8"/>
      <c r="D765" s="8"/>
      <c r="E765" s="8"/>
      <c r="F765" s="8"/>
      <c r="G765" s="8"/>
      <c r="H765" s="8"/>
    </row>
    <row r="766">
      <c r="A766" s="8"/>
      <c r="B766" s="8"/>
      <c r="C766" s="8"/>
      <c r="D766" s="8"/>
      <c r="E766" s="8"/>
      <c r="F766" s="8"/>
      <c r="G766" s="8"/>
      <c r="H766" s="8"/>
    </row>
    <row r="767">
      <c r="A767" s="8"/>
      <c r="B767" s="8"/>
      <c r="C767" s="8"/>
      <c r="D767" s="8"/>
      <c r="E767" s="8"/>
      <c r="F767" s="8"/>
      <c r="G767" s="8"/>
      <c r="H767" s="8"/>
    </row>
    <row r="768">
      <c r="A768" s="8"/>
      <c r="B768" s="8"/>
      <c r="C768" s="8"/>
      <c r="D768" s="8"/>
      <c r="E768" s="8"/>
      <c r="F768" s="8"/>
      <c r="G768" s="8"/>
      <c r="H768" s="8"/>
    </row>
    <row r="769">
      <c r="A769" s="8"/>
      <c r="B769" s="8"/>
      <c r="C769" s="8"/>
      <c r="D769" s="8"/>
      <c r="E769" s="8"/>
      <c r="F769" s="8"/>
      <c r="G769" s="8"/>
      <c r="H769" s="8"/>
    </row>
    <row r="770">
      <c r="A770" s="8"/>
      <c r="B770" s="8"/>
      <c r="C770" s="8"/>
      <c r="D770" s="8"/>
      <c r="E770" s="8"/>
      <c r="F770" s="8"/>
      <c r="G770" s="8"/>
      <c r="H770" s="8"/>
    </row>
    <row r="771">
      <c r="A771" s="8"/>
      <c r="B771" s="8"/>
      <c r="C771" s="8"/>
      <c r="D771" s="8"/>
      <c r="E771" s="8"/>
      <c r="F771" s="8"/>
      <c r="G771" s="8"/>
      <c r="H771" s="8"/>
    </row>
    <row r="772">
      <c r="A772" s="8"/>
      <c r="B772" s="8"/>
      <c r="C772" s="8"/>
      <c r="D772" s="8"/>
      <c r="E772" s="8"/>
      <c r="F772" s="8"/>
      <c r="G772" s="8"/>
      <c r="H772" s="8"/>
    </row>
    <row r="773">
      <c r="A773" s="8"/>
      <c r="B773" s="8"/>
      <c r="C773" s="8"/>
      <c r="D773" s="8"/>
      <c r="E773" s="8"/>
      <c r="F773" s="8"/>
      <c r="G773" s="8"/>
      <c r="H773" s="8"/>
    </row>
    <row r="774">
      <c r="A774" s="8"/>
      <c r="B774" s="8"/>
      <c r="C774" s="8"/>
      <c r="D774" s="8"/>
      <c r="E774" s="8"/>
      <c r="F774" s="8"/>
      <c r="G774" s="8"/>
      <c r="H774" s="8"/>
    </row>
    <row r="775">
      <c r="A775" s="8"/>
      <c r="B775" s="8"/>
      <c r="C775" s="8"/>
      <c r="D775" s="8"/>
      <c r="E775" s="8"/>
      <c r="F775" s="8"/>
      <c r="G775" s="8"/>
      <c r="H775" s="8"/>
    </row>
    <row r="776">
      <c r="A776" s="8"/>
      <c r="B776" s="8"/>
      <c r="C776" s="8"/>
      <c r="D776" s="8"/>
      <c r="E776" s="8"/>
      <c r="F776" s="8"/>
      <c r="G776" s="8"/>
      <c r="H776" s="8"/>
    </row>
    <row r="777">
      <c r="A777" s="8"/>
      <c r="B777" s="8"/>
      <c r="C777" s="8"/>
      <c r="D777" s="8"/>
      <c r="E777" s="8"/>
      <c r="F777" s="8"/>
      <c r="G777" s="8"/>
      <c r="H777" s="8"/>
    </row>
    <row r="778">
      <c r="A778" s="8"/>
      <c r="B778" s="8"/>
      <c r="C778" s="8"/>
      <c r="D778" s="8"/>
      <c r="E778" s="8"/>
      <c r="F778" s="8"/>
      <c r="G778" s="8"/>
      <c r="H778" s="8"/>
    </row>
    <row r="779">
      <c r="A779" s="8"/>
      <c r="B779" s="8"/>
      <c r="C779" s="8"/>
      <c r="D779" s="8"/>
      <c r="E779" s="8"/>
      <c r="F779" s="8"/>
      <c r="G779" s="8"/>
      <c r="H779" s="8"/>
    </row>
    <row r="780">
      <c r="A780" s="8"/>
      <c r="B780" s="8"/>
      <c r="C780" s="8"/>
      <c r="D780" s="8"/>
      <c r="E780" s="8"/>
      <c r="F780" s="8"/>
      <c r="G780" s="8"/>
      <c r="H780" s="8"/>
    </row>
    <row r="781">
      <c r="A781" s="8"/>
      <c r="B781" s="8"/>
      <c r="C781" s="8"/>
      <c r="D781" s="8"/>
      <c r="E781" s="8"/>
      <c r="F781" s="8"/>
      <c r="G781" s="8"/>
      <c r="H781" s="8"/>
    </row>
    <row r="782">
      <c r="A782" s="8"/>
      <c r="B782" s="8"/>
      <c r="C782" s="8"/>
      <c r="D782" s="8"/>
      <c r="E782" s="8"/>
      <c r="F782" s="8"/>
      <c r="G782" s="8"/>
      <c r="H782" s="8"/>
    </row>
    <row r="783">
      <c r="A783" s="8"/>
      <c r="B783" s="8"/>
      <c r="C783" s="8"/>
      <c r="D783" s="8"/>
      <c r="E783" s="8"/>
      <c r="F783" s="8"/>
      <c r="G783" s="8"/>
      <c r="H783" s="8"/>
    </row>
    <row r="784">
      <c r="A784" s="8"/>
      <c r="B784" s="8"/>
      <c r="C784" s="8"/>
      <c r="D784" s="8"/>
      <c r="E784" s="8"/>
      <c r="F784" s="8"/>
      <c r="G784" s="8"/>
      <c r="H784" s="8"/>
    </row>
    <row r="785">
      <c r="A785" s="8"/>
      <c r="B785" s="8"/>
      <c r="C785" s="8"/>
      <c r="D785" s="8"/>
      <c r="E785" s="8"/>
      <c r="F785" s="8"/>
      <c r="G785" s="8"/>
      <c r="H785" s="8"/>
    </row>
    <row r="786">
      <c r="A786" s="8"/>
      <c r="B786" s="8"/>
      <c r="C786" s="8"/>
      <c r="D786" s="8"/>
      <c r="E786" s="8"/>
      <c r="F786" s="8"/>
      <c r="G786" s="8"/>
      <c r="H786" s="8"/>
    </row>
    <row r="787">
      <c r="A787" s="8"/>
      <c r="B787" s="8"/>
      <c r="C787" s="8"/>
      <c r="D787" s="8"/>
      <c r="E787" s="8"/>
      <c r="F787" s="8"/>
      <c r="G787" s="8"/>
      <c r="H787" s="8"/>
    </row>
    <row r="788">
      <c r="A788" s="8"/>
      <c r="B788" s="8"/>
      <c r="C788" s="8"/>
      <c r="D788" s="8"/>
      <c r="E788" s="8"/>
      <c r="F788" s="8"/>
      <c r="G788" s="8"/>
      <c r="H788" s="8"/>
    </row>
    <row r="789">
      <c r="A789" s="8"/>
      <c r="B789" s="8"/>
      <c r="C789" s="8"/>
      <c r="D789" s="8"/>
      <c r="E789" s="8"/>
      <c r="F789" s="8"/>
      <c r="G789" s="8"/>
      <c r="H789" s="8"/>
    </row>
    <row r="790">
      <c r="A790" s="8"/>
      <c r="B790" s="8"/>
      <c r="C790" s="8"/>
      <c r="D790" s="8"/>
      <c r="E790" s="8"/>
      <c r="F790" s="8"/>
      <c r="G790" s="8"/>
      <c r="H790" s="8"/>
    </row>
    <row r="791">
      <c r="A791" s="8"/>
      <c r="B791" s="8"/>
      <c r="C791" s="8"/>
      <c r="D791" s="8"/>
      <c r="E791" s="8"/>
      <c r="F791" s="8"/>
      <c r="G791" s="8"/>
      <c r="H791" s="8"/>
    </row>
    <row r="792">
      <c r="A792" s="8"/>
      <c r="B792" s="8"/>
      <c r="C792" s="8"/>
      <c r="D792" s="8"/>
      <c r="E792" s="8"/>
      <c r="F792" s="8"/>
      <c r="G792" s="8"/>
      <c r="H792" s="8"/>
    </row>
    <row r="793">
      <c r="A793" s="8"/>
      <c r="B793" s="8"/>
      <c r="C793" s="8"/>
      <c r="D793" s="8"/>
      <c r="E793" s="8"/>
      <c r="F793" s="8"/>
      <c r="G793" s="8"/>
      <c r="H793" s="8"/>
    </row>
    <row r="794">
      <c r="A794" s="8"/>
      <c r="B794" s="8"/>
      <c r="C794" s="8"/>
      <c r="D794" s="8"/>
      <c r="E794" s="8"/>
      <c r="F794" s="8"/>
      <c r="G794" s="8"/>
      <c r="H794" s="8"/>
    </row>
    <row r="795">
      <c r="A795" s="8"/>
      <c r="B795" s="8"/>
      <c r="C795" s="8"/>
      <c r="D795" s="8"/>
      <c r="E795" s="8"/>
      <c r="F795" s="8"/>
      <c r="G795" s="8"/>
      <c r="H795" s="8"/>
    </row>
    <row r="796">
      <c r="A796" s="8"/>
      <c r="B796" s="8"/>
      <c r="C796" s="8"/>
      <c r="D796" s="8"/>
      <c r="E796" s="8"/>
      <c r="F796" s="8"/>
      <c r="G796" s="8"/>
      <c r="H796" s="8"/>
    </row>
    <row r="797">
      <c r="A797" s="8"/>
      <c r="B797" s="8"/>
      <c r="C797" s="8"/>
      <c r="D797" s="8"/>
      <c r="E797" s="8"/>
      <c r="F797" s="8"/>
      <c r="G797" s="8"/>
      <c r="H797" s="8"/>
    </row>
    <row r="798">
      <c r="A798" s="8"/>
      <c r="B798" s="8"/>
      <c r="C798" s="8"/>
      <c r="D798" s="8"/>
      <c r="E798" s="8"/>
      <c r="F798" s="8"/>
      <c r="G798" s="8"/>
      <c r="H798" s="8"/>
    </row>
    <row r="799">
      <c r="A799" s="8"/>
      <c r="B799" s="8"/>
      <c r="C799" s="8"/>
      <c r="D799" s="8"/>
      <c r="E799" s="8"/>
      <c r="F799" s="8"/>
      <c r="G799" s="8"/>
      <c r="H799" s="8"/>
    </row>
    <row r="800">
      <c r="A800" s="8"/>
      <c r="B800" s="8"/>
      <c r="C800" s="8"/>
      <c r="D800" s="8"/>
      <c r="E800" s="8"/>
      <c r="F800" s="8"/>
      <c r="G800" s="8"/>
      <c r="H800" s="8"/>
    </row>
    <row r="801">
      <c r="A801" s="8"/>
      <c r="B801" s="8"/>
      <c r="C801" s="8"/>
      <c r="D801" s="8"/>
      <c r="E801" s="8"/>
      <c r="F801" s="8"/>
      <c r="G801" s="8"/>
      <c r="H801" s="8"/>
    </row>
    <row r="802">
      <c r="A802" s="8"/>
      <c r="B802" s="8"/>
      <c r="C802" s="8"/>
      <c r="D802" s="8"/>
      <c r="E802" s="8"/>
      <c r="F802" s="8"/>
      <c r="G802" s="8"/>
      <c r="H802" s="8"/>
    </row>
    <row r="803">
      <c r="A803" s="8"/>
      <c r="B803" s="8"/>
      <c r="C803" s="8"/>
      <c r="D803" s="8"/>
      <c r="E803" s="8"/>
      <c r="F803" s="8"/>
      <c r="G803" s="8"/>
      <c r="H803" s="8"/>
    </row>
    <row r="804">
      <c r="A804" s="8"/>
      <c r="B804" s="8"/>
      <c r="C804" s="8"/>
      <c r="D804" s="8"/>
      <c r="E804" s="8"/>
      <c r="F804" s="8"/>
      <c r="G804" s="8"/>
      <c r="H804" s="8"/>
    </row>
    <row r="805">
      <c r="A805" s="8"/>
      <c r="B805" s="8"/>
      <c r="C805" s="8"/>
      <c r="D805" s="8"/>
      <c r="E805" s="8"/>
      <c r="F805" s="8"/>
      <c r="G805" s="8"/>
      <c r="H805" s="8"/>
    </row>
    <row r="806">
      <c r="A806" s="8"/>
      <c r="B806" s="8"/>
      <c r="C806" s="8"/>
      <c r="D806" s="8"/>
      <c r="E806" s="8"/>
      <c r="F806" s="8"/>
      <c r="G806" s="8"/>
      <c r="H806" s="8"/>
    </row>
    <row r="807">
      <c r="A807" s="8"/>
      <c r="B807" s="8"/>
      <c r="C807" s="8"/>
      <c r="D807" s="8"/>
      <c r="E807" s="8"/>
      <c r="F807" s="8"/>
      <c r="G807" s="8"/>
      <c r="H807" s="8"/>
    </row>
    <row r="808">
      <c r="A808" s="8"/>
      <c r="B808" s="8"/>
      <c r="C808" s="8"/>
      <c r="D808" s="8"/>
      <c r="E808" s="8"/>
      <c r="F808" s="8"/>
      <c r="G808" s="8"/>
      <c r="H808" s="8"/>
    </row>
    <row r="809">
      <c r="A809" s="8"/>
      <c r="B809" s="8"/>
      <c r="C809" s="8"/>
      <c r="D809" s="8"/>
      <c r="E809" s="8"/>
      <c r="F809" s="8"/>
      <c r="G809" s="8"/>
      <c r="H809" s="8"/>
    </row>
    <row r="810">
      <c r="A810" s="8"/>
      <c r="B810" s="8"/>
      <c r="C810" s="8"/>
      <c r="D810" s="8"/>
      <c r="E810" s="8"/>
      <c r="F810" s="8"/>
      <c r="G810" s="8"/>
      <c r="H810" s="8"/>
    </row>
    <row r="811">
      <c r="A811" s="8"/>
      <c r="B811" s="8"/>
      <c r="C811" s="8"/>
      <c r="D811" s="8"/>
      <c r="E811" s="8"/>
      <c r="F811" s="8"/>
      <c r="G811" s="8"/>
      <c r="H811" s="8"/>
    </row>
    <row r="812">
      <c r="A812" s="8"/>
      <c r="B812" s="8"/>
      <c r="C812" s="8"/>
      <c r="D812" s="8"/>
      <c r="E812" s="8"/>
      <c r="F812" s="8"/>
      <c r="G812" s="8"/>
      <c r="H812" s="8"/>
    </row>
    <row r="813">
      <c r="A813" s="8"/>
      <c r="B813" s="8"/>
      <c r="C813" s="8"/>
      <c r="D813" s="8"/>
      <c r="E813" s="8"/>
      <c r="F813" s="8"/>
      <c r="G813" s="8"/>
      <c r="H813" s="8"/>
    </row>
    <row r="814">
      <c r="A814" s="8"/>
      <c r="B814" s="8"/>
      <c r="C814" s="8"/>
      <c r="D814" s="8"/>
      <c r="E814" s="8"/>
      <c r="F814" s="8"/>
      <c r="G814" s="8"/>
      <c r="H814" s="8"/>
    </row>
    <row r="815">
      <c r="A815" s="8"/>
      <c r="B815" s="8"/>
      <c r="C815" s="8"/>
      <c r="D815" s="8"/>
      <c r="E815" s="8"/>
      <c r="F815" s="8"/>
      <c r="G815" s="8"/>
      <c r="H815" s="8"/>
    </row>
    <row r="816">
      <c r="A816" s="8"/>
      <c r="B816" s="8"/>
      <c r="C816" s="8"/>
      <c r="D816" s="8"/>
      <c r="E816" s="8"/>
      <c r="F816" s="8"/>
      <c r="G816" s="8"/>
      <c r="H816" s="8"/>
    </row>
    <row r="817">
      <c r="A817" s="8"/>
      <c r="B817" s="8"/>
      <c r="C817" s="8"/>
      <c r="D817" s="8"/>
      <c r="E817" s="8"/>
      <c r="F817" s="8"/>
      <c r="G817" s="8"/>
      <c r="H817" s="8"/>
    </row>
    <row r="818">
      <c r="A818" s="8"/>
      <c r="B818" s="8"/>
      <c r="C818" s="8"/>
      <c r="D818" s="8"/>
      <c r="E818" s="8"/>
      <c r="F818" s="8"/>
      <c r="G818" s="8"/>
      <c r="H818" s="8"/>
    </row>
    <row r="819">
      <c r="A819" s="8"/>
      <c r="B819" s="8"/>
      <c r="C819" s="8"/>
      <c r="D819" s="8"/>
      <c r="E819" s="8"/>
      <c r="F819" s="8"/>
      <c r="G819" s="8"/>
      <c r="H819" s="8"/>
    </row>
    <row r="820">
      <c r="A820" s="8"/>
      <c r="B820" s="8"/>
      <c r="C820" s="8"/>
      <c r="D820" s="8"/>
      <c r="E820" s="8"/>
      <c r="F820" s="8"/>
      <c r="G820" s="8"/>
      <c r="H820" s="8"/>
    </row>
    <row r="821">
      <c r="A821" s="8"/>
      <c r="B821" s="8"/>
      <c r="C821" s="8"/>
      <c r="D821" s="8"/>
      <c r="E821" s="8"/>
      <c r="F821" s="8"/>
      <c r="G821" s="8"/>
      <c r="H821" s="8"/>
    </row>
    <row r="822">
      <c r="A822" s="8"/>
      <c r="B822" s="8"/>
      <c r="C822" s="8"/>
      <c r="D822" s="8"/>
      <c r="E822" s="8"/>
      <c r="F822" s="8"/>
      <c r="G822" s="8"/>
      <c r="H822" s="8"/>
    </row>
    <row r="823">
      <c r="A823" s="8"/>
      <c r="B823" s="8"/>
      <c r="C823" s="8"/>
      <c r="D823" s="8"/>
      <c r="E823" s="8"/>
      <c r="F823" s="8"/>
      <c r="G823" s="8"/>
      <c r="H823" s="8"/>
    </row>
    <row r="824">
      <c r="A824" s="8"/>
      <c r="B824" s="8"/>
      <c r="C824" s="8"/>
      <c r="D824" s="8"/>
      <c r="E824" s="8"/>
      <c r="F824" s="8"/>
      <c r="G824" s="8"/>
      <c r="H824" s="8"/>
    </row>
    <row r="825">
      <c r="A825" s="8"/>
      <c r="B825" s="8"/>
      <c r="C825" s="8"/>
      <c r="D825" s="8"/>
      <c r="E825" s="8"/>
      <c r="F825" s="8"/>
      <c r="G825" s="8"/>
      <c r="H825" s="8"/>
    </row>
    <row r="826">
      <c r="A826" s="8"/>
      <c r="B826" s="8"/>
      <c r="C826" s="8"/>
      <c r="D826" s="8"/>
      <c r="E826" s="8"/>
      <c r="F826" s="8"/>
      <c r="G826" s="8"/>
      <c r="H826" s="8"/>
    </row>
    <row r="827">
      <c r="A827" s="8"/>
      <c r="B827" s="8"/>
      <c r="C827" s="8"/>
      <c r="D827" s="8"/>
      <c r="E827" s="8"/>
      <c r="F827" s="8"/>
      <c r="G827" s="8"/>
      <c r="H827" s="8"/>
    </row>
    <row r="828">
      <c r="A828" s="8"/>
      <c r="B828" s="8"/>
      <c r="C828" s="8"/>
      <c r="D828" s="8"/>
      <c r="E828" s="8"/>
      <c r="F828" s="8"/>
      <c r="G828" s="8"/>
      <c r="H828" s="8"/>
    </row>
    <row r="829">
      <c r="A829" s="8"/>
      <c r="B829" s="8"/>
      <c r="C829" s="8"/>
      <c r="D829" s="8"/>
      <c r="E829" s="8"/>
      <c r="F829" s="8"/>
      <c r="G829" s="8"/>
      <c r="H829" s="8"/>
    </row>
    <row r="830">
      <c r="A830" s="8"/>
      <c r="B830" s="8"/>
      <c r="C830" s="8"/>
      <c r="D830" s="8"/>
      <c r="E830" s="8"/>
      <c r="F830" s="8"/>
      <c r="G830" s="8"/>
      <c r="H830" s="8"/>
    </row>
    <row r="831">
      <c r="A831" s="8"/>
      <c r="B831" s="8"/>
      <c r="C831" s="8"/>
      <c r="D831" s="8"/>
      <c r="E831" s="8"/>
      <c r="F831" s="8"/>
      <c r="G831" s="8"/>
      <c r="H831" s="8"/>
    </row>
    <row r="832">
      <c r="A832" s="8"/>
      <c r="B832" s="8"/>
      <c r="C832" s="8"/>
      <c r="D832" s="8"/>
      <c r="E832" s="8"/>
      <c r="F832" s="8"/>
      <c r="G832" s="8"/>
      <c r="H832" s="8"/>
    </row>
    <row r="833">
      <c r="A833" s="8"/>
      <c r="B833" s="8"/>
      <c r="C833" s="8"/>
      <c r="D833" s="8"/>
      <c r="E833" s="8"/>
      <c r="F833" s="8"/>
      <c r="G833" s="8"/>
      <c r="H833" s="8"/>
    </row>
    <row r="834">
      <c r="A834" s="8"/>
      <c r="B834" s="8"/>
      <c r="C834" s="8"/>
      <c r="D834" s="8"/>
      <c r="E834" s="8"/>
      <c r="F834" s="8"/>
      <c r="G834" s="8"/>
      <c r="H834" s="8"/>
    </row>
    <row r="835">
      <c r="A835" s="8"/>
      <c r="B835" s="8"/>
      <c r="C835" s="8"/>
      <c r="D835" s="8"/>
      <c r="E835" s="8"/>
      <c r="F835" s="8"/>
      <c r="G835" s="8"/>
      <c r="H835" s="8"/>
    </row>
    <row r="836">
      <c r="A836" s="8"/>
      <c r="B836" s="8"/>
      <c r="C836" s="8"/>
      <c r="D836" s="8"/>
      <c r="E836" s="8"/>
      <c r="F836" s="8"/>
      <c r="G836" s="8"/>
      <c r="H836" s="8"/>
    </row>
    <row r="837">
      <c r="A837" s="8"/>
      <c r="B837" s="8"/>
      <c r="C837" s="8"/>
      <c r="D837" s="8"/>
      <c r="E837" s="8"/>
      <c r="F837" s="8"/>
      <c r="G837" s="8"/>
      <c r="H837" s="8"/>
    </row>
    <row r="838">
      <c r="A838" s="8"/>
      <c r="B838" s="8"/>
      <c r="C838" s="8"/>
      <c r="D838" s="8"/>
      <c r="E838" s="8"/>
      <c r="F838" s="8"/>
      <c r="G838" s="8"/>
      <c r="H838" s="8"/>
    </row>
    <row r="839">
      <c r="A839" s="8"/>
      <c r="B839" s="8"/>
      <c r="C839" s="8"/>
      <c r="D839" s="8"/>
      <c r="E839" s="8"/>
      <c r="F839" s="8"/>
      <c r="G839" s="8"/>
      <c r="H839" s="8"/>
    </row>
    <row r="840">
      <c r="A840" s="8"/>
      <c r="B840" s="8"/>
      <c r="C840" s="8"/>
      <c r="D840" s="8"/>
      <c r="E840" s="8"/>
      <c r="F840" s="8"/>
      <c r="G840" s="8"/>
      <c r="H840" s="8"/>
    </row>
    <row r="841">
      <c r="A841" s="8"/>
      <c r="B841" s="8"/>
      <c r="C841" s="8"/>
      <c r="D841" s="8"/>
      <c r="E841" s="8"/>
      <c r="F841" s="8"/>
      <c r="G841" s="8"/>
      <c r="H841" s="8"/>
    </row>
    <row r="842">
      <c r="A842" s="8"/>
      <c r="B842" s="8"/>
      <c r="C842" s="8"/>
      <c r="D842" s="8"/>
      <c r="E842" s="8"/>
      <c r="F842" s="8"/>
      <c r="G842" s="8"/>
      <c r="H842" s="8"/>
    </row>
    <row r="843">
      <c r="A843" s="8"/>
      <c r="B843" s="8"/>
      <c r="C843" s="8"/>
      <c r="D843" s="8"/>
      <c r="E843" s="8"/>
      <c r="F843" s="8"/>
      <c r="G843" s="8"/>
      <c r="H843" s="8"/>
    </row>
    <row r="844">
      <c r="A844" s="8"/>
      <c r="B844" s="8"/>
      <c r="C844" s="8"/>
      <c r="D844" s="8"/>
      <c r="E844" s="8"/>
      <c r="F844" s="8"/>
      <c r="G844" s="8"/>
      <c r="H844" s="8"/>
    </row>
    <row r="845">
      <c r="A845" s="8"/>
      <c r="B845" s="8"/>
      <c r="C845" s="8"/>
      <c r="D845" s="8"/>
      <c r="E845" s="8"/>
      <c r="F845" s="8"/>
      <c r="G845" s="8"/>
      <c r="H845" s="8"/>
    </row>
    <row r="846">
      <c r="A846" s="8"/>
      <c r="B846" s="8"/>
      <c r="C846" s="8"/>
      <c r="D846" s="8"/>
      <c r="E846" s="8"/>
      <c r="F846" s="8"/>
      <c r="G846" s="8"/>
      <c r="H846" s="8"/>
    </row>
    <row r="847">
      <c r="A847" s="8"/>
      <c r="B847" s="8"/>
      <c r="C847" s="8"/>
      <c r="D847" s="8"/>
      <c r="E847" s="8"/>
      <c r="F847" s="8"/>
      <c r="G847" s="8"/>
      <c r="H847" s="8"/>
    </row>
    <row r="848">
      <c r="A848" s="8"/>
      <c r="B848" s="8"/>
      <c r="C848" s="8"/>
      <c r="D848" s="8"/>
      <c r="E848" s="8"/>
      <c r="F848" s="8"/>
      <c r="G848" s="8"/>
      <c r="H848" s="8"/>
    </row>
    <row r="849">
      <c r="A849" s="8"/>
      <c r="B849" s="8"/>
      <c r="C849" s="8"/>
      <c r="D849" s="8"/>
      <c r="E849" s="8"/>
      <c r="F849" s="8"/>
      <c r="G849" s="8"/>
      <c r="H849" s="8"/>
    </row>
    <row r="850">
      <c r="A850" s="8"/>
      <c r="B850" s="8"/>
      <c r="C850" s="8"/>
      <c r="D850" s="8"/>
      <c r="E850" s="8"/>
      <c r="F850" s="8"/>
      <c r="G850" s="8"/>
      <c r="H850" s="8"/>
    </row>
    <row r="851">
      <c r="A851" s="8"/>
      <c r="B851" s="8"/>
      <c r="C851" s="8"/>
      <c r="D851" s="8"/>
      <c r="E851" s="8"/>
      <c r="F851" s="8"/>
      <c r="G851" s="8"/>
      <c r="H851" s="8"/>
    </row>
    <row r="852">
      <c r="A852" s="8"/>
      <c r="B852" s="8"/>
      <c r="C852" s="8"/>
      <c r="D852" s="8"/>
      <c r="E852" s="8"/>
      <c r="F852" s="8"/>
      <c r="G852" s="8"/>
      <c r="H852" s="8"/>
    </row>
    <row r="853">
      <c r="A853" s="8"/>
      <c r="B853" s="8"/>
      <c r="C853" s="8"/>
      <c r="D853" s="8"/>
      <c r="E853" s="8"/>
      <c r="F853" s="8"/>
      <c r="G853" s="8"/>
      <c r="H853" s="8"/>
    </row>
    <row r="854">
      <c r="A854" s="8"/>
      <c r="B854" s="8"/>
      <c r="C854" s="8"/>
      <c r="D854" s="8"/>
      <c r="E854" s="8"/>
      <c r="F854" s="8"/>
      <c r="G854" s="8"/>
      <c r="H854" s="8"/>
    </row>
    <row r="855">
      <c r="A855" s="8"/>
      <c r="B855" s="8"/>
      <c r="C855" s="8"/>
      <c r="D855" s="8"/>
      <c r="E855" s="8"/>
      <c r="F855" s="8"/>
      <c r="G855" s="8"/>
      <c r="H855" s="8"/>
    </row>
    <row r="856">
      <c r="A856" s="8"/>
      <c r="B856" s="8"/>
      <c r="C856" s="8"/>
      <c r="D856" s="8"/>
      <c r="E856" s="8"/>
      <c r="F856" s="8"/>
      <c r="G856" s="8"/>
      <c r="H856" s="8"/>
    </row>
    <row r="857">
      <c r="A857" s="8"/>
      <c r="B857" s="8"/>
      <c r="C857" s="8"/>
      <c r="D857" s="8"/>
      <c r="E857" s="8"/>
      <c r="F857" s="8"/>
      <c r="G857" s="8"/>
      <c r="H857" s="8"/>
    </row>
    <row r="858">
      <c r="A858" s="8"/>
      <c r="B858" s="8"/>
      <c r="C858" s="8"/>
      <c r="D858" s="8"/>
      <c r="E858" s="8"/>
      <c r="F858" s="8"/>
      <c r="G858" s="8"/>
      <c r="H858" s="8"/>
    </row>
    <row r="859">
      <c r="A859" s="8"/>
      <c r="B859" s="8"/>
      <c r="C859" s="8"/>
      <c r="D859" s="8"/>
      <c r="E859" s="8"/>
      <c r="F859" s="8"/>
      <c r="G859" s="8"/>
      <c r="H859" s="8"/>
    </row>
    <row r="860">
      <c r="A860" s="8"/>
      <c r="B860" s="8"/>
      <c r="C860" s="8"/>
      <c r="D860" s="8"/>
      <c r="E860" s="8"/>
      <c r="F860" s="8"/>
      <c r="G860" s="8"/>
      <c r="H860" s="8"/>
    </row>
    <row r="861">
      <c r="A861" s="8"/>
      <c r="B861" s="8"/>
      <c r="C861" s="8"/>
      <c r="D861" s="8"/>
      <c r="E861" s="8"/>
      <c r="F861" s="8"/>
      <c r="G861" s="8"/>
      <c r="H861" s="8"/>
    </row>
    <row r="862">
      <c r="A862" s="8"/>
      <c r="B862" s="8"/>
      <c r="C862" s="8"/>
      <c r="D862" s="8"/>
      <c r="E862" s="8"/>
      <c r="F862" s="8"/>
      <c r="G862" s="8"/>
      <c r="H862" s="8"/>
    </row>
    <row r="863">
      <c r="A863" s="8"/>
      <c r="B863" s="8"/>
      <c r="C863" s="8"/>
      <c r="D863" s="8"/>
      <c r="E863" s="8"/>
      <c r="F863" s="8"/>
      <c r="G863" s="8"/>
      <c r="H863" s="8"/>
    </row>
    <row r="864">
      <c r="A864" s="8"/>
      <c r="B864" s="8"/>
      <c r="C864" s="8"/>
      <c r="D864" s="8"/>
      <c r="E864" s="8"/>
      <c r="F864" s="8"/>
      <c r="G864" s="8"/>
      <c r="H864" s="8"/>
    </row>
    <row r="865">
      <c r="A865" s="8"/>
      <c r="B865" s="8"/>
      <c r="C865" s="8"/>
      <c r="D865" s="8"/>
      <c r="E865" s="8"/>
      <c r="F865" s="8"/>
      <c r="G865" s="8"/>
      <c r="H865" s="8"/>
    </row>
    <row r="866">
      <c r="A866" s="8"/>
      <c r="B866" s="8"/>
      <c r="C866" s="8"/>
      <c r="D866" s="8"/>
      <c r="E866" s="8"/>
      <c r="F866" s="8"/>
      <c r="G866" s="8"/>
      <c r="H866" s="8"/>
    </row>
    <row r="867">
      <c r="A867" s="8"/>
      <c r="B867" s="8"/>
      <c r="C867" s="8"/>
      <c r="D867" s="8"/>
      <c r="E867" s="8"/>
      <c r="F867" s="8"/>
      <c r="G867" s="8"/>
      <c r="H867" s="8"/>
    </row>
    <row r="868">
      <c r="A868" s="8"/>
      <c r="B868" s="8"/>
      <c r="C868" s="8"/>
      <c r="D868" s="8"/>
      <c r="E868" s="8"/>
      <c r="F868" s="8"/>
      <c r="G868" s="8"/>
      <c r="H868" s="8"/>
    </row>
    <row r="869">
      <c r="A869" s="8"/>
      <c r="B869" s="8"/>
      <c r="C869" s="8"/>
      <c r="D869" s="8"/>
      <c r="E869" s="8"/>
      <c r="F869" s="8"/>
      <c r="G869" s="8"/>
      <c r="H869" s="8"/>
    </row>
    <row r="870">
      <c r="A870" s="8"/>
      <c r="B870" s="8"/>
      <c r="C870" s="8"/>
      <c r="D870" s="8"/>
      <c r="E870" s="8"/>
      <c r="F870" s="8"/>
      <c r="G870" s="8"/>
      <c r="H870" s="8"/>
    </row>
    <row r="871">
      <c r="A871" s="8"/>
      <c r="B871" s="8"/>
      <c r="C871" s="8"/>
      <c r="D871" s="8"/>
      <c r="E871" s="8"/>
      <c r="F871" s="8"/>
      <c r="G871" s="8"/>
      <c r="H871" s="8"/>
    </row>
    <row r="872">
      <c r="A872" s="8"/>
      <c r="B872" s="8"/>
      <c r="C872" s="8"/>
      <c r="D872" s="8"/>
      <c r="E872" s="8"/>
      <c r="F872" s="8"/>
      <c r="G872" s="8"/>
      <c r="H872" s="8"/>
    </row>
    <row r="873">
      <c r="A873" s="8"/>
      <c r="B873" s="8"/>
      <c r="C873" s="8"/>
      <c r="D873" s="8"/>
      <c r="E873" s="8"/>
      <c r="F873" s="8"/>
      <c r="G873" s="8"/>
      <c r="H873" s="8"/>
    </row>
    <row r="874">
      <c r="A874" s="8"/>
      <c r="B874" s="8"/>
      <c r="C874" s="8"/>
      <c r="D874" s="8"/>
      <c r="E874" s="8"/>
      <c r="F874" s="8"/>
      <c r="G874" s="8"/>
      <c r="H874" s="8"/>
    </row>
    <row r="875">
      <c r="A875" s="8"/>
      <c r="B875" s="8"/>
      <c r="C875" s="8"/>
      <c r="D875" s="8"/>
      <c r="E875" s="8"/>
      <c r="F875" s="8"/>
      <c r="G875" s="8"/>
      <c r="H875" s="8"/>
    </row>
    <row r="876">
      <c r="A876" s="8"/>
      <c r="B876" s="8"/>
      <c r="C876" s="8"/>
      <c r="D876" s="8"/>
      <c r="E876" s="8"/>
      <c r="F876" s="8"/>
      <c r="G876" s="8"/>
      <c r="H876" s="8"/>
    </row>
    <row r="877">
      <c r="A877" s="8"/>
      <c r="B877" s="8"/>
      <c r="C877" s="8"/>
      <c r="D877" s="8"/>
      <c r="E877" s="8"/>
      <c r="F877" s="8"/>
      <c r="G877" s="8"/>
      <c r="H877" s="8"/>
    </row>
    <row r="878">
      <c r="A878" s="8"/>
      <c r="B878" s="8"/>
      <c r="C878" s="8"/>
      <c r="D878" s="8"/>
      <c r="E878" s="8"/>
      <c r="F878" s="8"/>
      <c r="G878" s="8"/>
      <c r="H878" s="8"/>
    </row>
    <row r="879">
      <c r="A879" s="8"/>
      <c r="B879" s="8"/>
      <c r="C879" s="8"/>
      <c r="D879" s="8"/>
      <c r="E879" s="8"/>
      <c r="F879" s="8"/>
      <c r="G879" s="8"/>
      <c r="H879" s="8"/>
    </row>
    <row r="880">
      <c r="A880" s="8"/>
      <c r="B880" s="8"/>
      <c r="C880" s="8"/>
      <c r="D880" s="8"/>
      <c r="E880" s="8"/>
      <c r="F880" s="8"/>
      <c r="G880" s="8"/>
      <c r="H880" s="8"/>
    </row>
    <row r="881">
      <c r="A881" s="8"/>
      <c r="B881" s="8"/>
      <c r="C881" s="8"/>
      <c r="D881" s="8"/>
      <c r="E881" s="8"/>
      <c r="F881" s="8"/>
      <c r="G881" s="8"/>
      <c r="H881" s="8"/>
    </row>
    <row r="882">
      <c r="A882" s="8"/>
      <c r="B882" s="8"/>
      <c r="C882" s="8"/>
      <c r="D882" s="8"/>
      <c r="E882" s="8"/>
      <c r="F882" s="8"/>
      <c r="G882" s="8"/>
      <c r="H882" s="8"/>
    </row>
    <row r="883">
      <c r="A883" s="8"/>
      <c r="B883" s="8"/>
      <c r="C883" s="8"/>
      <c r="D883" s="8"/>
      <c r="E883" s="8"/>
      <c r="F883" s="8"/>
      <c r="G883" s="8"/>
      <c r="H883" s="8"/>
    </row>
    <row r="884">
      <c r="A884" s="8"/>
      <c r="B884" s="8"/>
      <c r="C884" s="8"/>
      <c r="D884" s="8"/>
      <c r="E884" s="8"/>
      <c r="F884" s="8"/>
      <c r="G884" s="8"/>
      <c r="H884" s="8"/>
    </row>
    <row r="885">
      <c r="A885" s="8"/>
      <c r="B885" s="8"/>
      <c r="C885" s="8"/>
      <c r="D885" s="8"/>
      <c r="E885" s="8"/>
      <c r="F885" s="8"/>
      <c r="G885" s="8"/>
      <c r="H885" s="8"/>
    </row>
    <row r="886">
      <c r="A886" s="8"/>
      <c r="B886" s="8"/>
      <c r="C886" s="8"/>
      <c r="D886" s="8"/>
      <c r="E886" s="8"/>
      <c r="F886" s="8"/>
      <c r="G886" s="8"/>
      <c r="H886" s="8"/>
    </row>
    <row r="887">
      <c r="A887" s="8"/>
      <c r="B887" s="8"/>
      <c r="C887" s="8"/>
      <c r="D887" s="8"/>
      <c r="E887" s="8"/>
      <c r="F887" s="8"/>
      <c r="G887" s="8"/>
      <c r="H887" s="8"/>
    </row>
    <row r="888">
      <c r="A888" s="8"/>
      <c r="B888" s="8"/>
      <c r="C888" s="8"/>
      <c r="D888" s="8"/>
      <c r="E888" s="8"/>
      <c r="F888" s="8"/>
      <c r="G888" s="8"/>
      <c r="H888" s="8"/>
    </row>
    <row r="889">
      <c r="A889" s="8"/>
      <c r="B889" s="8"/>
      <c r="C889" s="8"/>
      <c r="D889" s="8"/>
      <c r="E889" s="8"/>
      <c r="F889" s="8"/>
      <c r="G889" s="8"/>
      <c r="H889" s="8"/>
    </row>
    <row r="890">
      <c r="A890" s="8"/>
      <c r="B890" s="8"/>
      <c r="C890" s="8"/>
      <c r="D890" s="8"/>
      <c r="E890" s="8"/>
      <c r="F890" s="8"/>
      <c r="G890" s="8"/>
      <c r="H890" s="8"/>
    </row>
    <row r="891">
      <c r="A891" s="8"/>
      <c r="B891" s="8"/>
      <c r="C891" s="8"/>
      <c r="D891" s="8"/>
      <c r="E891" s="8"/>
      <c r="F891" s="8"/>
      <c r="G891" s="8"/>
      <c r="H891" s="8"/>
    </row>
    <row r="892">
      <c r="A892" s="8"/>
      <c r="B892" s="8"/>
      <c r="C892" s="8"/>
      <c r="D892" s="8"/>
      <c r="E892" s="8"/>
      <c r="F892" s="8"/>
      <c r="G892" s="8"/>
      <c r="H892" s="8"/>
    </row>
    <row r="893">
      <c r="A893" s="8"/>
      <c r="B893" s="8"/>
      <c r="C893" s="8"/>
      <c r="D893" s="8"/>
      <c r="E893" s="8"/>
      <c r="F893" s="8"/>
      <c r="G893" s="8"/>
      <c r="H893" s="8"/>
    </row>
    <row r="894">
      <c r="A894" s="8"/>
      <c r="B894" s="8"/>
      <c r="C894" s="8"/>
      <c r="D894" s="8"/>
      <c r="E894" s="8"/>
      <c r="F894" s="8"/>
      <c r="G894" s="8"/>
      <c r="H894" s="8"/>
    </row>
    <row r="895">
      <c r="A895" s="8"/>
      <c r="B895" s="8"/>
      <c r="C895" s="8"/>
      <c r="D895" s="8"/>
      <c r="E895" s="8"/>
      <c r="F895" s="8"/>
      <c r="G895" s="8"/>
      <c r="H895" s="8"/>
    </row>
    <row r="896">
      <c r="A896" s="8"/>
      <c r="B896" s="8"/>
      <c r="C896" s="8"/>
      <c r="D896" s="8"/>
      <c r="E896" s="8"/>
      <c r="F896" s="8"/>
      <c r="G896" s="8"/>
      <c r="H896" s="8"/>
    </row>
    <row r="897">
      <c r="A897" s="8"/>
      <c r="B897" s="8"/>
      <c r="C897" s="8"/>
      <c r="D897" s="8"/>
      <c r="E897" s="8"/>
      <c r="F897" s="8"/>
      <c r="G897" s="8"/>
      <c r="H897" s="8"/>
    </row>
    <row r="898">
      <c r="A898" s="8"/>
      <c r="B898" s="8"/>
      <c r="C898" s="8"/>
      <c r="D898" s="8"/>
      <c r="E898" s="8"/>
      <c r="F898" s="8"/>
      <c r="G898" s="8"/>
      <c r="H898" s="8"/>
    </row>
    <row r="899">
      <c r="A899" s="8"/>
      <c r="B899" s="8"/>
      <c r="C899" s="8"/>
      <c r="D899" s="8"/>
      <c r="E899" s="8"/>
      <c r="F899" s="8"/>
      <c r="G899" s="8"/>
      <c r="H899" s="8"/>
    </row>
    <row r="900">
      <c r="A900" s="8"/>
      <c r="B900" s="8"/>
      <c r="C900" s="8"/>
      <c r="D900" s="8"/>
      <c r="E900" s="8"/>
      <c r="F900" s="8"/>
      <c r="G900" s="8"/>
      <c r="H900" s="8"/>
    </row>
    <row r="901">
      <c r="A901" s="8"/>
      <c r="B901" s="8"/>
      <c r="C901" s="8"/>
      <c r="D901" s="8"/>
      <c r="E901" s="8"/>
      <c r="F901" s="8"/>
      <c r="G901" s="8"/>
      <c r="H901" s="8"/>
    </row>
    <row r="902">
      <c r="A902" s="8"/>
      <c r="B902" s="8"/>
      <c r="C902" s="8"/>
      <c r="D902" s="8"/>
      <c r="E902" s="8"/>
      <c r="F902" s="8"/>
      <c r="G902" s="8"/>
      <c r="H902" s="8"/>
    </row>
    <row r="903">
      <c r="A903" s="8"/>
      <c r="B903" s="8"/>
      <c r="C903" s="8"/>
      <c r="D903" s="8"/>
      <c r="E903" s="8"/>
      <c r="F903" s="8"/>
      <c r="G903" s="8"/>
      <c r="H903" s="8"/>
    </row>
    <row r="904">
      <c r="A904" s="8"/>
      <c r="B904" s="8"/>
      <c r="C904" s="8"/>
      <c r="D904" s="8"/>
      <c r="E904" s="8"/>
      <c r="F904" s="8"/>
      <c r="G904" s="8"/>
      <c r="H904" s="8"/>
    </row>
    <row r="905">
      <c r="A905" s="8"/>
      <c r="B905" s="8"/>
      <c r="C905" s="8"/>
      <c r="D905" s="8"/>
      <c r="E905" s="8"/>
      <c r="F905" s="8"/>
      <c r="G905" s="8"/>
      <c r="H905" s="8"/>
    </row>
    <row r="906">
      <c r="A906" s="8"/>
      <c r="B906" s="8"/>
      <c r="C906" s="8"/>
      <c r="D906" s="8"/>
      <c r="E906" s="8"/>
      <c r="F906" s="8"/>
      <c r="G906" s="8"/>
      <c r="H906" s="8"/>
    </row>
    <row r="907">
      <c r="A907" s="8"/>
      <c r="B907" s="8"/>
      <c r="C907" s="8"/>
      <c r="D907" s="8"/>
      <c r="E907" s="8"/>
      <c r="F907" s="8"/>
      <c r="G907" s="8"/>
      <c r="H907" s="8"/>
    </row>
    <row r="908">
      <c r="A908" s="8"/>
      <c r="B908" s="8"/>
      <c r="C908" s="8"/>
      <c r="D908" s="8"/>
      <c r="E908" s="8"/>
      <c r="F908" s="8"/>
      <c r="G908" s="8"/>
      <c r="H908" s="8"/>
    </row>
    <row r="909">
      <c r="A909" s="8"/>
      <c r="B909" s="8"/>
      <c r="C909" s="8"/>
      <c r="D909" s="8"/>
      <c r="E909" s="8"/>
      <c r="F909" s="8"/>
      <c r="G909" s="8"/>
      <c r="H909" s="8"/>
    </row>
    <row r="910">
      <c r="A910" s="8"/>
      <c r="B910" s="8"/>
      <c r="C910" s="8"/>
      <c r="D910" s="8"/>
      <c r="E910" s="8"/>
      <c r="F910" s="8"/>
      <c r="G910" s="8"/>
      <c r="H910" s="8"/>
    </row>
    <row r="911">
      <c r="A911" s="8"/>
      <c r="B911" s="8"/>
      <c r="C911" s="8"/>
      <c r="D911" s="8"/>
      <c r="E911" s="8"/>
      <c r="F911" s="8"/>
      <c r="G911" s="8"/>
      <c r="H911" s="8"/>
    </row>
    <row r="912">
      <c r="A912" s="8"/>
      <c r="B912" s="8"/>
      <c r="C912" s="8"/>
      <c r="D912" s="8"/>
      <c r="E912" s="8"/>
      <c r="F912" s="8"/>
      <c r="G912" s="8"/>
      <c r="H912" s="8"/>
    </row>
    <row r="913">
      <c r="A913" s="8"/>
      <c r="B913" s="8"/>
      <c r="C913" s="8"/>
      <c r="D913" s="8"/>
      <c r="E913" s="8"/>
      <c r="F913" s="8"/>
      <c r="G913" s="8"/>
      <c r="H913" s="8"/>
    </row>
    <row r="914">
      <c r="A914" s="8"/>
      <c r="B914" s="8"/>
      <c r="C914" s="8"/>
      <c r="D914" s="8"/>
      <c r="E914" s="8"/>
      <c r="F914" s="8"/>
      <c r="G914" s="8"/>
      <c r="H914" s="8"/>
    </row>
    <row r="915">
      <c r="A915" s="8"/>
      <c r="B915" s="8"/>
      <c r="C915" s="8"/>
      <c r="D915" s="8"/>
      <c r="E915" s="8"/>
      <c r="F915" s="8"/>
      <c r="G915" s="8"/>
      <c r="H915" s="8"/>
    </row>
    <row r="916">
      <c r="A916" s="8"/>
      <c r="B916" s="8"/>
      <c r="C916" s="8"/>
      <c r="D916" s="8"/>
      <c r="E916" s="8"/>
      <c r="F916" s="8"/>
      <c r="G916" s="8"/>
      <c r="H916" s="8"/>
    </row>
    <row r="917">
      <c r="A917" s="8"/>
      <c r="B917" s="8"/>
      <c r="C917" s="8"/>
      <c r="D917" s="8"/>
      <c r="E917" s="8"/>
      <c r="F917" s="8"/>
      <c r="G917" s="8"/>
      <c r="H917" s="8"/>
    </row>
    <row r="918">
      <c r="A918" s="8"/>
      <c r="B918" s="8"/>
      <c r="C918" s="8"/>
      <c r="D918" s="8"/>
      <c r="E918" s="8"/>
      <c r="F918" s="8"/>
      <c r="G918" s="8"/>
      <c r="H918" s="8"/>
    </row>
    <row r="919">
      <c r="A919" s="8"/>
      <c r="B919" s="8"/>
      <c r="C919" s="8"/>
      <c r="D919" s="8"/>
      <c r="E919" s="8"/>
      <c r="F919" s="8"/>
      <c r="G919" s="8"/>
      <c r="H919" s="8"/>
    </row>
    <row r="920">
      <c r="A920" s="8"/>
      <c r="B920" s="8"/>
      <c r="C920" s="8"/>
      <c r="D920" s="8"/>
      <c r="E920" s="8"/>
      <c r="F920" s="8"/>
      <c r="G920" s="8"/>
      <c r="H920" s="8"/>
    </row>
    <row r="921">
      <c r="A921" s="8"/>
      <c r="B921" s="8"/>
      <c r="C921" s="8"/>
      <c r="D921" s="8"/>
      <c r="E921" s="8"/>
      <c r="F921" s="8"/>
      <c r="G921" s="8"/>
      <c r="H921" s="8"/>
    </row>
    <row r="922">
      <c r="A922" s="8"/>
      <c r="B922" s="8"/>
      <c r="C922" s="8"/>
      <c r="D922" s="8"/>
      <c r="E922" s="8"/>
      <c r="F922" s="8"/>
      <c r="G922" s="8"/>
      <c r="H922" s="8"/>
    </row>
    <row r="923">
      <c r="A923" s="8"/>
      <c r="B923" s="8"/>
      <c r="C923" s="8"/>
      <c r="D923" s="8"/>
      <c r="E923" s="8"/>
      <c r="F923" s="8"/>
      <c r="G923" s="8"/>
      <c r="H923" s="8"/>
    </row>
    <row r="924">
      <c r="A924" s="8"/>
      <c r="B924" s="8"/>
      <c r="C924" s="8"/>
      <c r="D924" s="8"/>
      <c r="E924" s="8"/>
      <c r="F924" s="8"/>
      <c r="G924" s="8"/>
      <c r="H924" s="8"/>
    </row>
    <row r="925">
      <c r="A925" s="8"/>
      <c r="B925" s="8"/>
      <c r="C925" s="8"/>
      <c r="D925" s="8"/>
      <c r="E925" s="8"/>
      <c r="F925" s="8"/>
      <c r="G925" s="8"/>
      <c r="H925" s="8"/>
    </row>
    <row r="926">
      <c r="A926" s="8"/>
      <c r="B926" s="8"/>
      <c r="C926" s="8"/>
      <c r="D926" s="8"/>
      <c r="E926" s="8"/>
      <c r="F926" s="8"/>
      <c r="G926" s="8"/>
      <c r="H926" s="8"/>
    </row>
    <row r="927">
      <c r="A927" s="8"/>
      <c r="B927" s="8"/>
      <c r="C927" s="8"/>
      <c r="D927" s="8"/>
      <c r="E927" s="8"/>
      <c r="F927" s="8"/>
      <c r="G927" s="8"/>
      <c r="H927" s="8"/>
    </row>
    <row r="928">
      <c r="A928" s="8"/>
      <c r="B928" s="8"/>
      <c r="C928" s="8"/>
      <c r="D928" s="8"/>
      <c r="E928" s="8"/>
      <c r="F928" s="8"/>
      <c r="G928" s="8"/>
      <c r="H928" s="8"/>
    </row>
    <row r="929">
      <c r="A929" s="8"/>
      <c r="B929" s="8"/>
      <c r="C929" s="8"/>
      <c r="D929" s="8"/>
      <c r="E929" s="8"/>
      <c r="F929" s="8"/>
      <c r="G929" s="8"/>
      <c r="H929" s="8"/>
    </row>
    <row r="930">
      <c r="A930" s="8"/>
      <c r="B930" s="8"/>
      <c r="C930" s="8"/>
      <c r="D930" s="8"/>
      <c r="E930" s="8"/>
      <c r="F930" s="8"/>
      <c r="G930" s="8"/>
      <c r="H930" s="8"/>
    </row>
    <row r="931">
      <c r="A931" s="8"/>
      <c r="B931" s="8"/>
      <c r="C931" s="8"/>
      <c r="D931" s="8"/>
      <c r="E931" s="8"/>
      <c r="F931" s="8"/>
      <c r="G931" s="8"/>
      <c r="H931" s="8"/>
    </row>
    <row r="932">
      <c r="A932" s="8"/>
      <c r="B932" s="8"/>
      <c r="C932" s="8"/>
      <c r="D932" s="8"/>
      <c r="E932" s="8"/>
      <c r="F932" s="8"/>
      <c r="G932" s="8"/>
      <c r="H932" s="8"/>
    </row>
    <row r="933">
      <c r="A933" s="8"/>
      <c r="B933" s="8"/>
      <c r="C933" s="8"/>
      <c r="D933" s="8"/>
      <c r="E933" s="8"/>
      <c r="F933" s="8"/>
      <c r="G933" s="8"/>
      <c r="H933" s="8"/>
    </row>
    <row r="934">
      <c r="A934" s="8"/>
      <c r="B934" s="8"/>
      <c r="C934" s="8"/>
      <c r="D934" s="8"/>
      <c r="E934" s="8"/>
      <c r="F934" s="8"/>
      <c r="G934" s="8"/>
      <c r="H934" s="8"/>
    </row>
    <row r="935">
      <c r="A935" s="8"/>
      <c r="B935" s="8"/>
      <c r="C935" s="8"/>
      <c r="D935" s="8"/>
      <c r="E935" s="8"/>
      <c r="F935" s="8"/>
      <c r="G935" s="8"/>
      <c r="H935" s="8"/>
    </row>
    <row r="936">
      <c r="A936" s="8"/>
      <c r="B936" s="8"/>
      <c r="C936" s="8"/>
      <c r="D936" s="8"/>
      <c r="E936" s="8"/>
      <c r="F936" s="8"/>
      <c r="G936" s="8"/>
      <c r="H936" s="8"/>
    </row>
    <row r="937">
      <c r="A937" s="8"/>
      <c r="B937" s="8"/>
      <c r="C937" s="8"/>
      <c r="D937" s="8"/>
      <c r="E937" s="8"/>
      <c r="F937" s="8"/>
      <c r="G937" s="8"/>
      <c r="H937" s="8"/>
    </row>
    <row r="938">
      <c r="A938" s="8"/>
      <c r="B938" s="8"/>
      <c r="C938" s="8"/>
      <c r="D938" s="8"/>
      <c r="E938" s="8"/>
      <c r="F938" s="8"/>
      <c r="G938" s="8"/>
      <c r="H938" s="8"/>
    </row>
    <row r="939">
      <c r="A939" s="8"/>
      <c r="B939" s="8"/>
      <c r="C939" s="8"/>
      <c r="D939" s="8"/>
      <c r="E939" s="8"/>
      <c r="F939" s="8"/>
      <c r="G939" s="8"/>
      <c r="H939" s="8"/>
    </row>
    <row r="940">
      <c r="A940" s="8"/>
      <c r="B940" s="8"/>
      <c r="C940" s="8"/>
      <c r="D940" s="8"/>
      <c r="E940" s="8"/>
      <c r="F940" s="8"/>
      <c r="G940" s="8"/>
      <c r="H940" s="8"/>
    </row>
    <row r="941">
      <c r="A941" s="8"/>
      <c r="B941" s="8"/>
      <c r="C941" s="8"/>
      <c r="D941" s="8"/>
      <c r="E941" s="8"/>
      <c r="F941" s="8"/>
      <c r="G941" s="8"/>
      <c r="H941" s="8"/>
    </row>
    <row r="942">
      <c r="A942" s="8"/>
      <c r="B942" s="8"/>
      <c r="C942" s="8"/>
      <c r="D942" s="8"/>
      <c r="E942" s="8"/>
      <c r="F942" s="8"/>
      <c r="G942" s="8"/>
      <c r="H942" s="8"/>
    </row>
    <row r="943">
      <c r="A943" s="8"/>
      <c r="B943" s="8"/>
      <c r="C943" s="8"/>
      <c r="D943" s="8"/>
      <c r="E943" s="8"/>
      <c r="F943" s="8"/>
      <c r="G943" s="8"/>
      <c r="H943" s="8"/>
    </row>
    <row r="944">
      <c r="A944" s="8"/>
      <c r="B944" s="8"/>
      <c r="C944" s="8"/>
      <c r="D944" s="8"/>
      <c r="E944" s="8"/>
      <c r="F944" s="8"/>
      <c r="G944" s="8"/>
      <c r="H944" s="8"/>
    </row>
    <row r="945">
      <c r="A945" s="8"/>
      <c r="B945" s="8"/>
      <c r="C945" s="8"/>
      <c r="D945" s="8"/>
      <c r="E945" s="8"/>
      <c r="F945" s="8"/>
      <c r="G945" s="8"/>
      <c r="H945" s="8"/>
    </row>
    <row r="946">
      <c r="A946" s="8"/>
      <c r="B946" s="8"/>
      <c r="C946" s="8"/>
      <c r="D946" s="8"/>
      <c r="E946" s="8"/>
      <c r="F946" s="8"/>
      <c r="G946" s="8"/>
      <c r="H946" s="8"/>
    </row>
    <row r="947">
      <c r="A947" s="8"/>
      <c r="B947" s="8"/>
      <c r="C947" s="8"/>
      <c r="D947" s="8"/>
      <c r="E947" s="8"/>
      <c r="F947" s="8"/>
      <c r="G947" s="8"/>
      <c r="H947" s="8"/>
    </row>
    <row r="948">
      <c r="A948" s="8"/>
      <c r="B948" s="8"/>
      <c r="C948" s="8"/>
      <c r="D948" s="8"/>
      <c r="E948" s="8"/>
      <c r="F948" s="8"/>
      <c r="G948" s="8"/>
      <c r="H948" s="8"/>
    </row>
    <row r="949">
      <c r="A949" s="8"/>
      <c r="B949" s="8"/>
      <c r="C949" s="8"/>
      <c r="D949" s="8"/>
      <c r="E949" s="8"/>
      <c r="F949" s="8"/>
      <c r="G949" s="8"/>
      <c r="H949" s="8"/>
    </row>
    <row r="950">
      <c r="A950" s="8"/>
      <c r="B950" s="8"/>
      <c r="C950" s="8"/>
      <c r="D950" s="8"/>
      <c r="E950" s="8"/>
      <c r="F950" s="8"/>
      <c r="G950" s="8"/>
      <c r="H950" s="8"/>
    </row>
    <row r="951">
      <c r="A951" s="8"/>
      <c r="B951" s="8"/>
      <c r="C951" s="8"/>
      <c r="D951" s="8"/>
      <c r="E951" s="8"/>
      <c r="F951" s="8"/>
      <c r="G951" s="8"/>
      <c r="H951" s="8"/>
    </row>
    <row r="952">
      <c r="A952" s="8"/>
      <c r="B952" s="8"/>
      <c r="C952" s="8"/>
      <c r="D952" s="8"/>
      <c r="E952" s="8"/>
      <c r="F952" s="8"/>
      <c r="G952" s="8"/>
      <c r="H952" s="8"/>
    </row>
    <row r="953">
      <c r="A953" s="8"/>
      <c r="B953" s="8"/>
      <c r="C953" s="8"/>
      <c r="D953" s="8"/>
      <c r="E953" s="8"/>
      <c r="F953" s="8"/>
      <c r="G953" s="8"/>
      <c r="H953" s="8"/>
    </row>
    <row r="954">
      <c r="A954" s="8"/>
      <c r="B954" s="8"/>
      <c r="C954" s="8"/>
      <c r="D954" s="8"/>
      <c r="E954" s="8"/>
      <c r="F954" s="8"/>
      <c r="G954" s="8"/>
      <c r="H954" s="8"/>
    </row>
    <row r="955">
      <c r="A955" s="8"/>
      <c r="B955" s="8"/>
      <c r="C955" s="8"/>
      <c r="D955" s="8"/>
      <c r="E955" s="8"/>
      <c r="F955" s="8"/>
      <c r="G955" s="8"/>
      <c r="H955" s="8"/>
    </row>
    <row r="956">
      <c r="A956" s="8"/>
      <c r="B956" s="8"/>
      <c r="C956" s="8"/>
      <c r="D956" s="8"/>
      <c r="E956" s="8"/>
      <c r="F956" s="8"/>
      <c r="G956" s="8"/>
      <c r="H956" s="8"/>
    </row>
    <row r="957">
      <c r="A957" s="8"/>
      <c r="B957" s="8"/>
      <c r="C957" s="8"/>
      <c r="D957" s="8"/>
      <c r="E957" s="8"/>
      <c r="F957" s="8"/>
      <c r="G957" s="8"/>
      <c r="H957" s="8"/>
    </row>
    <row r="958">
      <c r="A958" s="8"/>
      <c r="B958" s="8"/>
      <c r="C958" s="8"/>
      <c r="D958" s="8"/>
      <c r="E958" s="8"/>
      <c r="F958" s="8"/>
      <c r="G958" s="8"/>
      <c r="H958" s="8"/>
    </row>
    <row r="959">
      <c r="A959" s="8"/>
      <c r="B959" s="8"/>
      <c r="C959" s="8"/>
      <c r="D959" s="8"/>
      <c r="E959" s="8"/>
      <c r="F959" s="8"/>
      <c r="G959" s="8"/>
      <c r="H959" s="8"/>
    </row>
    <row r="960">
      <c r="A960" s="8"/>
      <c r="B960" s="8"/>
      <c r="C960" s="8"/>
      <c r="D960" s="8"/>
      <c r="E960" s="8"/>
      <c r="F960" s="8"/>
      <c r="G960" s="8"/>
      <c r="H960" s="8"/>
    </row>
    <row r="961">
      <c r="A961" s="8"/>
      <c r="B961" s="8"/>
      <c r="C961" s="8"/>
      <c r="D961" s="8"/>
      <c r="E961" s="8"/>
      <c r="F961" s="8"/>
      <c r="G961" s="8"/>
      <c r="H961" s="8"/>
    </row>
    <row r="962">
      <c r="A962" s="8"/>
      <c r="B962" s="8"/>
      <c r="C962" s="8"/>
      <c r="D962" s="8"/>
      <c r="E962" s="8"/>
      <c r="F962" s="8"/>
      <c r="G962" s="8"/>
      <c r="H962" s="8"/>
    </row>
    <row r="963">
      <c r="A963" s="8"/>
      <c r="B963" s="8"/>
      <c r="C963" s="8"/>
      <c r="D963" s="8"/>
      <c r="E963" s="8"/>
      <c r="F963" s="8"/>
      <c r="G963" s="8"/>
      <c r="H963" s="8"/>
    </row>
    <row r="964">
      <c r="A964" s="8"/>
      <c r="B964" s="8"/>
      <c r="C964" s="8"/>
      <c r="D964" s="8"/>
      <c r="E964" s="8"/>
      <c r="F964" s="8"/>
      <c r="G964" s="8"/>
      <c r="H964" s="8"/>
    </row>
    <row r="965">
      <c r="A965" s="8"/>
      <c r="B965" s="8"/>
      <c r="C965" s="8"/>
      <c r="D965" s="8"/>
      <c r="E965" s="8"/>
      <c r="F965" s="8"/>
      <c r="G965" s="8"/>
      <c r="H965" s="8"/>
    </row>
    <row r="966">
      <c r="A966" s="8"/>
      <c r="B966" s="8"/>
      <c r="C966" s="8"/>
      <c r="D966" s="8"/>
      <c r="E966" s="8"/>
      <c r="F966" s="8"/>
      <c r="G966" s="8"/>
      <c r="H966" s="8"/>
    </row>
    <row r="967">
      <c r="A967" s="8"/>
      <c r="B967" s="8"/>
      <c r="C967" s="8"/>
      <c r="D967" s="8"/>
      <c r="E967" s="8"/>
      <c r="F967" s="8"/>
      <c r="G967" s="8"/>
      <c r="H967" s="8"/>
    </row>
    <row r="968">
      <c r="A968" s="8"/>
      <c r="B968" s="8"/>
      <c r="C968" s="8"/>
      <c r="D968" s="8"/>
      <c r="E968" s="8"/>
      <c r="F968" s="8"/>
      <c r="G968" s="8"/>
      <c r="H968" s="8"/>
    </row>
    <row r="969">
      <c r="A969" s="8"/>
      <c r="B969" s="8"/>
      <c r="C969" s="8"/>
      <c r="D969" s="8"/>
      <c r="E969" s="8"/>
      <c r="F969" s="8"/>
      <c r="G969" s="8"/>
      <c r="H969" s="8"/>
    </row>
    <row r="970">
      <c r="A970" s="8"/>
      <c r="B970" s="8"/>
      <c r="C970" s="8"/>
      <c r="D970" s="8"/>
      <c r="E970" s="8"/>
      <c r="F970" s="8"/>
      <c r="G970" s="8"/>
      <c r="H970" s="8"/>
    </row>
    <row r="971">
      <c r="A971" s="8"/>
      <c r="B971" s="8"/>
      <c r="C971" s="8"/>
      <c r="D971" s="8"/>
      <c r="E971" s="8"/>
      <c r="F971" s="8"/>
      <c r="G971" s="8"/>
      <c r="H971" s="8"/>
    </row>
    <row r="972">
      <c r="A972" s="8"/>
      <c r="B972" s="8"/>
      <c r="C972" s="8"/>
      <c r="D972" s="8"/>
      <c r="E972" s="8"/>
      <c r="F972" s="8"/>
      <c r="G972" s="8"/>
      <c r="H972" s="8"/>
    </row>
    <row r="973">
      <c r="A973" s="8"/>
      <c r="B973" s="8"/>
      <c r="C973" s="8"/>
      <c r="D973" s="8"/>
      <c r="E973" s="8"/>
      <c r="F973" s="8"/>
      <c r="G973" s="8"/>
      <c r="H973" s="8"/>
    </row>
    <row r="974">
      <c r="A974" s="8"/>
      <c r="B974" s="8"/>
      <c r="C974" s="8"/>
      <c r="D974" s="8"/>
      <c r="E974" s="8"/>
      <c r="F974" s="8"/>
      <c r="G974" s="8"/>
      <c r="H974" s="8"/>
    </row>
    <row r="975">
      <c r="A975" s="8"/>
      <c r="B975" s="8"/>
      <c r="C975" s="8"/>
      <c r="D975" s="8"/>
      <c r="E975" s="8"/>
      <c r="F975" s="8"/>
      <c r="G975" s="8"/>
      <c r="H975" s="8"/>
    </row>
    <row r="976">
      <c r="A976" s="8"/>
      <c r="B976" s="8"/>
      <c r="C976" s="8"/>
      <c r="D976" s="8"/>
      <c r="E976" s="8"/>
      <c r="F976" s="8"/>
      <c r="G976" s="8"/>
      <c r="H976" s="8"/>
    </row>
    <row r="977">
      <c r="A977" s="8"/>
      <c r="B977" s="8"/>
      <c r="C977" s="8"/>
      <c r="D977" s="8"/>
      <c r="E977" s="8"/>
      <c r="F977" s="8"/>
      <c r="G977" s="8"/>
      <c r="H977" s="8"/>
    </row>
    <row r="978">
      <c r="A978" s="8"/>
      <c r="B978" s="8"/>
      <c r="C978" s="8"/>
      <c r="D978" s="8"/>
      <c r="E978" s="8"/>
      <c r="F978" s="8"/>
      <c r="G978" s="8"/>
      <c r="H978" s="8"/>
    </row>
    <row r="979">
      <c r="A979" s="8"/>
      <c r="B979" s="8"/>
      <c r="C979" s="8"/>
      <c r="D979" s="8"/>
      <c r="E979" s="8"/>
      <c r="F979" s="8"/>
      <c r="G979" s="8"/>
      <c r="H979" s="8"/>
    </row>
    <row r="980">
      <c r="A980" s="8"/>
      <c r="B980" s="8"/>
      <c r="C980" s="8"/>
      <c r="D980" s="8"/>
      <c r="E980" s="8"/>
      <c r="F980" s="8"/>
      <c r="G980" s="8"/>
      <c r="H980" s="8"/>
    </row>
    <row r="981">
      <c r="A981" s="8"/>
      <c r="B981" s="8"/>
      <c r="C981" s="8"/>
      <c r="D981" s="8"/>
      <c r="E981" s="8"/>
      <c r="F981" s="8"/>
      <c r="G981" s="8"/>
      <c r="H981" s="8"/>
    </row>
    <row r="982">
      <c r="A982" s="8"/>
      <c r="B982" s="8"/>
      <c r="C982" s="8"/>
      <c r="D982" s="8"/>
      <c r="E982" s="8"/>
      <c r="F982" s="8"/>
      <c r="G982" s="8"/>
      <c r="H982" s="8"/>
    </row>
    <row r="983">
      <c r="A983" s="8"/>
      <c r="B983" s="8"/>
      <c r="C983" s="8"/>
      <c r="D983" s="8"/>
      <c r="E983" s="8"/>
      <c r="F983" s="8"/>
      <c r="G983" s="8"/>
      <c r="H983" s="8"/>
    </row>
    <row r="984">
      <c r="A984" s="8"/>
      <c r="B984" s="8"/>
      <c r="C984" s="8"/>
      <c r="D984" s="8"/>
      <c r="E984" s="8"/>
      <c r="F984" s="8"/>
      <c r="G984" s="8"/>
      <c r="H984" s="8"/>
    </row>
    <row r="985">
      <c r="A985" s="8"/>
      <c r="B985" s="8"/>
      <c r="C985" s="8"/>
      <c r="D985" s="8"/>
      <c r="E985" s="8"/>
      <c r="F985" s="8"/>
      <c r="G985" s="8"/>
      <c r="H985" s="8"/>
    </row>
    <row r="986">
      <c r="A986" s="8"/>
      <c r="B986" s="8"/>
      <c r="C986" s="8"/>
      <c r="D986" s="8"/>
      <c r="E986" s="8"/>
      <c r="F986" s="8"/>
      <c r="G986" s="8"/>
      <c r="H986" s="8"/>
    </row>
    <row r="987">
      <c r="A987" s="8"/>
      <c r="B987" s="8"/>
      <c r="C987" s="8"/>
      <c r="D987" s="8"/>
      <c r="E987" s="8"/>
      <c r="F987" s="8"/>
      <c r="G987" s="8"/>
      <c r="H987" s="8"/>
    </row>
    <row r="988">
      <c r="A988" s="8"/>
      <c r="B988" s="8"/>
      <c r="C988" s="8"/>
      <c r="D988" s="8"/>
      <c r="E988" s="8"/>
      <c r="F988" s="8"/>
      <c r="G988" s="8"/>
      <c r="H988" s="8"/>
    </row>
    <row r="989">
      <c r="A989" s="8"/>
      <c r="B989" s="8"/>
      <c r="C989" s="8"/>
      <c r="D989" s="8"/>
      <c r="E989" s="8"/>
      <c r="F989" s="8"/>
      <c r="G989" s="8"/>
      <c r="H989" s="8"/>
    </row>
    <row r="990">
      <c r="A990" s="8"/>
      <c r="B990" s="8"/>
      <c r="C990" s="8"/>
      <c r="D990" s="8"/>
      <c r="E990" s="8"/>
      <c r="F990" s="8"/>
      <c r="G990" s="8"/>
      <c r="H990" s="8"/>
    </row>
    <row r="991">
      <c r="A991" s="8"/>
      <c r="B991" s="8"/>
      <c r="C991" s="8"/>
      <c r="D991" s="8"/>
      <c r="E991" s="8"/>
      <c r="F991" s="8"/>
      <c r="G991" s="8"/>
      <c r="H991" s="8"/>
    </row>
    <row r="992">
      <c r="A992" s="8"/>
      <c r="B992" s="8"/>
      <c r="C992" s="8"/>
      <c r="D992" s="8"/>
      <c r="E992" s="8"/>
      <c r="F992" s="8"/>
      <c r="G992" s="8"/>
      <c r="H992" s="8"/>
    </row>
    <row r="993">
      <c r="A993" s="8"/>
      <c r="B993" s="8"/>
      <c r="C993" s="8"/>
      <c r="D993" s="8"/>
      <c r="E993" s="8"/>
      <c r="F993" s="8"/>
      <c r="G993" s="8"/>
      <c r="H993" s="8"/>
    </row>
    <row r="994">
      <c r="A994" s="8"/>
      <c r="B994" s="8"/>
      <c r="C994" s="8"/>
      <c r="D994" s="8"/>
      <c r="E994" s="8"/>
      <c r="F994" s="8"/>
      <c r="G994" s="8"/>
      <c r="H994" s="8"/>
    </row>
    <row r="995">
      <c r="A995" s="8"/>
      <c r="B995" s="8"/>
      <c r="C995" s="8"/>
      <c r="D995" s="8"/>
      <c r="E995" s="8"/>
      <c r="F995" s="8"/>
      <c r="G995" s="8"/>
      <c r="H995" s="8"/>
    </row>
    <row r="996">
      <c r="A996" s="8"/>
      <c r="B996" s="8"/>
      <c r="C996" s="8"/>
      <c r="D996" s="8"/>
      <c r="E996" s="8"/>
      <c r="F996" s="8"/>
      <c r="G996" s="8"/>
      <c r="H996" s="8"/>
    </row>
    <row r="997">
      <c r="A997" s="8"/>
      <c r="B997" s="8"/>
      <c r="C997" s="8"/>
      <c r="D997" s="8"/>
      <c r="E997" s="8"/>
      <c r="F997" s="8"/>
      <c r="G997" s="8"/>
      <c r="H997" s="8"/>
    </row>
    <row r="998">
      <c r="A998" s="8"/>
      <c r="B998" s="8"/>
      <c r="C998" s="8"/>
      <c r="D998" s="8"/>
      <c r="E998" s="8"/>
      <c r="F998" s="8"/>
      <c r="G998" s="8"/>
      <c r="H998" s="8"/>
    </row>
    <row r="999">
      <c r="A999" s="8"/>
      <c r="B999" s="8"/>
      <c r="C999" s="8"/>
      <c r="D999" s="8"/>
      <c r="E999" s="8"/>
      <c r="F999" s="8"/>
      <c r="G999" s="8"/>
      <c r="H999" s="8"/>
    </row>
    <row r="1000">
      <c r="A1000" s="8"/>
      <c r="B1000" s="8"/>
      <c r="C1000" s="8"/>
      <c r="D1000" s="8"/>
      <c r="E1000" s="8"/>
      <c r="F1000" s="8"/>
      <c r="G1000" s="8"/>
      <c r="H1000" s="8"/>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 r:id="rId164" ref="L165"/>
    <hyperlink r:id="rId165" ref="L166"/>
    <hyperlink r:id="rId166" ref="L167"/>
    <hyperlink r:id="rId167" ref="L168"/>
    <hyperlink r:id="rId168" ref="L169"/>
    <hyperlink r:id="rId169" ref="L170"/>
    <hyperlink r:id="rId170" ref="L171"/>
    <hyperlink r:id="rId171" ref="L172"/>
    <hyperlink r:id="rId172" ref="L173"/>
    <hyperlink r:id="rId173" ref="L174"/>
    <hyperlink r:id="rId174" ref="L175"/>
    <hyperlink r:id="rId175" ref="L176"/>
    <hyperlink r:id="rId176" ref="L177"/>
    <hyperlink r:id="rId177" ref="L178"/>
    <hyperlink r:id="rId178" ref="L179"/>
    <hyperlink r:id="rId179" ref="L180"/>
    <hyperlink r:id="rId180" ref="L181"/>
    <hyperlink r:id="rId181" ref="L182"/>
    <hyperlink r:id="rId182" ref="L183"/>
    <hyperlink r:id="rId183" ref="L184"/>
    <hyperlink r:id="rId184" ref="L185"/>
    <hyperlink r:id="rId185" ref="L186"/>
    <hyperlink r:id="rId186" ref="L187"/>
    <hyperlink r:id="rId187" ref="L188"/>
    <hyperlink r:id="rId188" ref="L189"/>
    <hyperlink r:id="rId189" ref="L190"/>
    <hyperlink r:id="rId190" ref="L191"/>
    <hyperlink r:id="rId191" ref="L192"/>
    <hyperlink r:id="rId192" ref="L193"/>
    <hyperlink r:id="rId193" ref="L194"/>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L297"/>
    <hyperlink r:id="rId297" ref="L298"/>
    <hyperlink r:id="rId298" ref="L299"/>
    <hyperlink r:id="rId299" ref="L300"/>
    <hyperlink r:id="rId300" ref="L301"/>
    <hyperlink r:id="rId301" ref="L302"/>
    <hyperlink r:id="rId302" ref="L303"/>
    <hyperlink r:id="rId303" ref="L304"/>
    <hyperlink r:id="rId304" ref="L305"/>
    <hyperlink r:id="rId305" ref="L306"/>
    <hyperlink r:id="rId306" ref="L307"/>
    <hyperlink r:id="rId307" ref="L308"/>
    <hyperlink r:id="rId308" ref="L309"/>
    <hyperlink r:id="rId309" ref="L310"/>
    <hyperlink r:id="rId310" ref="L311"/>
    <hyperlink r:id="rId311" ref="L312"/>
    <hyperlink r:id="rId312" ref="L313"/>
    <hyperlink r:id="rId313" ref="L314"/>
    <hyperlink r:id="rId314" ref="L315"/>
    <hyperlink r:id="rId315" ref="L316"/>
    <hyperlink r:id="rId316" ref="L317"/>
    <hyperlink r:id="rId317" ref="L318"/>
    <hyperlink r:id="rId318" ref="L319"/>
    <hyperlink r:id="rId319" ref="L320"/>
    <hyperlink r:id="rId320" ref="L321"/>
    <hyperlink r:id="rId321" ref="L322"/>
    <hyperlink r:id="rId322" ref="L323"/>
    <hyperlink r:id="rId323" ref="L324"/>
    <hyperlink r:id="rId324" ref="L325"/>
    <hyperlink r:id="rId325" ref="L326"/>
    <hyperlink r:id="rId326" ref="L327"/>
    <hyperlink r:id="rId327" ref="L328"/>
    <hyperlink r:id="rId328" ref="L329"/>
    <hyperlink r:id="rId329" ref="L330"/>
    <hyperlink r:id="rId330" ref="L331"/>
    <hyperlink r:id="rId331" ref="L332"/>
    <hyperlink r:id="rId332" ref="L333"/>
    <hyperlink r:id="rId333" ref="L334"/>
    <hyperlink r:id="rId334" ref="L335"/>
    <hyperlink r:id="rId335" ref="L336"/>
    <hyperlink r:id="rId336" ref="L337"/>
    <hyperlink r:id="rId337" ref="L338"/>
    <hyperlink r:id="rId338" ref="L339"/>
    <hyperlink r:id="rId339" ref="L340"/>
    <hyperlink r:id="rId340" ref="L341"/>
    <hyperlink r:id="rId341" ref="L342"/>
    <hyperlink r:id="rId342" ref="L343"/>
    <hyperlink r:id="rId343" ref="L344"/>
    <hyperlink r:id="rId344" ref="L345"/>
    <hyperlink r:id="rId345" ref="L346"/>
    <hyperlink r:id="rId346" ref="L347"/>
    <hyperlink r:id="rId347" ref="L348"/>
    <hyperlink r:id="rId348" ref="L349"/>
    <hyperlink r:id="rId349" ref="L350"/>
    <hyperlink r:id="rId350" ref="L351"/>
    <hyperlink r:id="rId351" ref="L352"/>
    <hyperlink r:id="rId352" ref="L353"/>
    <hyperlink r:id="rId353" ref="L354"/>
    <hyperlink r:id="rId354" ref="L355"/>
    <hyperlink r:id="rId355" ref="L356"/>
    <hyperlink r:id="rId356" ref="L357"/>
    <hyperlink r:id="rId357" ref="L358"/>
    <hyperlink r:id="rId358" ref="L359"/>
    <hyperlink r:id="rId359" ref="L360"/>
    <hyperlink r:id="rId360" ref="L361"/>
    <hyperlink r:id="rId361" ref="L362"/>
    <hyperlink r:id="rId362" ref="L363"/>
    <hyperlink r:id="rId363" ref="L364"/>
    <hyperlink r:id="rId364" ref="L365"/>
    <hyperlink r:id="rId365" ref="L366"/>
    <hyperlink r:id="rId366" ref="L367"/>
    <hyperlink r:id="rId367" ref="L368"/>
    <hyperlink r:id="rId368" ref="L369"/>
    <hyperlink r:id="rId369" ref="L370"/>
    <hyperlink r:id="rId370" ref="L371"/>
    <hyperlink r:id="rId371" ref="L372"/>
    <hyperlink r:id="rId372" ref="L373"/>
    <hyperlink r:id="rId373" ref="L374"/>
    <hyperlink r:id="rId374" ref="L375"/>
    <hyperlink r:id="rId375" ref="L376"/>
    <hyperlink r:id="rId376" ref="L377"/>
    <hyperlink r:id="rId377" ref="L378"/>
    <hyperlink r:id="rId378" ref="L379"/>
    <hyperlink r:id="rId379" ref="L380"/>
    <hyperlink r:id="rId380" ref="L381"/>
    <hyperlink r:id="rId381" ref="L382"/>
    <hyperlink r:id="rId382" ref="L383"/>
    <hyperlink r:id="rId383" ref="L384"/>
    <hyperlink r:id="rId384" ref="L385"/>
    <hyperlink r:id="rId385" ref="L386"/>
    <hyperlink r:id="rId386" ref="L387"/>
    <hyperlink r:id="rId387" ref="L388"/>
    <hyperlink r:id="rId388" ref="L389"/>
    <hyperlink r:id="rId389" ref="L390"/>
    <hyperlink r:id="rId390" ref="L391"/>
    <hyperlink r:id="rId391" ref="L392"/>
    <hyperlink r:id="rId392" ref="L393"/>
    <hyperlink r:id="rId393" ref="L394"/>
    <hyperlink r:id="rId394" ref="L395"/>
    <hyperlink r:id="rId395" ref="L396"/>
    <hyperlink r:id="rId396" ref="L397"/>
    <hyperlink r:id="rId397" ref="L398"/>
    <hyperlink r:id="rId398" ref="L399"/>
    <hyperlink r:id="rId399" ref="L400"/>
    <hyperlink r:id="rId400" ref="L401"/>
    <hyperlink r:id="rId401" ref="L402"/>
    <hyperlink r:id="rId402" ref="L403"/>
    <hyperlink r:id="rId403" ref="L404"/>
    <hyperlink r:id="rId404" ref="L405"/>
    <hyperlink r:id="rId405" ref="L406"/>
    <hyperlink r:id="rId406" ref="L407"/>
    <hyperlink r:id="rId407" ref="L408"/>
    <hyperlink r:id="rId408" ref="L409"/>
    <hyperlink r:id="rId409" ref="L410"/>
    <hyperlink r:id="rId410" ref="L411"/>
    <hyperlink r:id="rId411" ref="L412"/>
    <hyperlink r:id="rId412" ref="L413"/>
    <hyperlink r:id="rId413" ref="L414"/>
    <hyperlink r:id="rId414" ref="L415"/>
    <hyperlink r:id="rId415" ref="L416"/>
    <hyperlink r:id="rId416" ref="L417"/>
    <hyperlink r:id="rId417" ref="L418"/>
    <hyperlink r:id="rId418" ref="L419"/>
    <hyperlink r:id="rId419" ref="L420"/>
    <hyperlink r:id="rId420" ref="L421"/>
    <hyperlink r:id="rId421" ref="L422"/>
    <hyperlink r:id="rId422" ref="L423"/>
    <hyperlink r:id="rId423" ref="L424"/>
    <hyperlink r:id="rId424" ref="L425"/>
    <hyperlink r:id="rId425" ref="L426"/>
    <hyperlink r:id="rId426" ref="L427"/>
    <hyperlink r:id="rId427" ref="L428"/>
    <hyperlink r:id="rId428" ref="L429"/>
    <hyperlink r:id="rId429" ref="L430"/>
    <hyperlink r:id="rId430" ref="L431"/>
    <hyperlink r:id="rId431" ref="L432"/>
    <hyperlink r:id="rId432" ref="L433"/>
    <hyperlink r:id="rId433" ref="L434"/>
    <hyperlink r:id="rId434" ref="L435"/>
    <hyperlink r:id="rId435" ref="L436"/>
    <hyperlink r:id="rId436" ref="L437"/>
    <hyperlink r:id="rId437" ref="L438"/>
    <hyperlink r:id="rId438" ref="L439"/>
    <hyperlink r:id="rId439" ref="L440"/>
    <hyperlink r:id="rId440" ref="L441"/>
    <hyperlink r:id="rId441" ref="L442"/>
    <hyperlink r:id="rId442" ref="L443"/>
    <hyperlink r:id="rId443" ref="L444"/>
    <hyperlink r:id="rId444" ref="L445"/>
    <hyperlink r:id="rId445" ref="L446"/>
    <hyperlink r:id="rId446" ref="L447"/>
    <hyperlink r:id="rId447" ref="L448"/>
    <hyperlink r:id="rId448" ref="L449"/>
    <hyperlink r:id="rId449" ref="L450"/>
    <hyperlink r:id="rId450" ref="L451"/>
    <hyperlink r:id="rId451" ref="L452"/>
    <hyperlink r:id="rId452" ref="L453"/>
    <hyperlink r:id="rId453" ref="L454"/>
    <hyperlink r:id="rId454" ref="L455"/>
    <hyperlink r:id="rId455" ref="L456"/>
    <hyperlink r:id="rId456" ref="L457"/>
    <hyperlink r:id="rId457" ref="L458"/>
    <hyperlink r:id="rId458" ref="L459"/>
    <hyperlink r:id="rId459" ref="L460"/>
    <hyperlink r:id="rId460" ref="L461"/>
    <hyperlink r:id="rId461" ref="L462"/>
    <hyperlink r:id="rId462" ref="L463"/>
    <hyperlink r:id="rId463" ref="L464"/>
    <hyperlink r:id="rId464" ref="L465"/>
    <hyperlink r:id="rId465" ref="L466"/>
    <hyperlink r:id="rId466" ref="L467"/>
    <hyperlink r:id="rId467" ref="L468"/>
    <hyperlink r:id="rId468" ref="L469"/>
    <hyperlink r:id="rId469" ref="L470"/>
    <hyperlink r:id="rId470" ref="L471"/>
    <hyperlink r:id="rId471" ref="L472"/>
    <hyperlink r:id="rId472" ref="L473"/>
    <hyperlink r:id="rId473" ref="L474"/>
    <hyperlink r:id="rId474" ref="L475"/>
    <hyperlink r:id="rId475" ref="L476"/>
    <hyperlink r:id="rId476" ref="L477"/>
    <hyperlink r:id="rId477" ref="L478"/>
    <hyperlink r:id="rId478" ref="L479"/>
    <hyperlink r:id="rId479" ref="L480"/>
    <hyperlink r:id="rId480" ref="L481"/>
    <hyperlink r:id="rId481" ref="L482"/>
    <hyperlink r:id="rId482" ref="L483"/>
    <hyperlink r:id="rId483" ref="L484"/>
    <hyperlink r:id="rId484" ref="L485"/>
    <hyperlink r:id="rId485" ref="L486"/>
    <hyperlink r:id="rId486" ref="L487"/>
    <hyperlink r:id="rId487" ref="L488"/>
    <hyperlink r:id="rId488" ref="L489"/>
    <hyperlink r:id="rId489" ref="L490"/>
    <hyperlink r:id="rId490" ref="L491"/>
    <hyperlink r:id="rId491" ref="L492"/>
    <hyperlink r:id="rId492" ref="L493"/>
    <hyperlink r:id="rId493" ref="L494"/>
    <hyperlink r:id="rId494" ref="L495"/>
    <hyperlink r:id="rId495" ref="L496"/>
    <hyperlink r:id="rId496" ref="L497"/>
    <hyperlink r:id="rId497" ref="L498"/>
    <hyperlink r:id="rId498" ref="L499"/>
    <hyperlink r:id="rId499" ref="L500"/>
    <hyperlink r:id="rId500" ref="L501"/>
    <hyperlink r:id="rId501" ref="L502"/>
    <hyperlink r:id="rId502" ref="L503"/>
    <hyperlink r:id="rId503" ref="L504"/>
    <hyperlink r:id="rId504" ref="L505"/>
    <hyperlink r:id="rId505" ref="L506"/>
    <hyperlink r:id="rId506" ref="L507"/>
    <hyperlink r:id="rId507" ref="L508"/>
    <hyperlink r:id="rId508" ref="L509"/>
    <hyperlink r:id="rId509" ref="L510"/>
    <hyperlink r:id="rId510" ref="L511"/>
    <hyperlink r:id="rId511" ref="L512"/>
    <hyperlink r:id="rId512" ref="L513"/>
    <hyperlink r:id="rId513" ref="L514"/>
    <hyperlink r:id="rId514" ref="L515"/>
    <hyperlink r:id="rId515" ref="L516"/>
    <hyperlink r:id="rId516" ref="L517"/>
    <hyperlink r:id="rId517" ref="L518"/>
    <hyperlink r:id="rId518" ref="L519"/>
    <hyperlink r:id="rId519" ref="L520"/>
    <hyperlink r:id="rId520" ref="L521"/>
    <hyperlink r:id="rId521" ref="L522"/>
    <hyperlink r:id="rId522" ref="L523"/>
    <hyperlink r:id="rId523" ref="L524"/>
    <hyperlink r:id="rId524" ref="L525"/>
    <hyperlink r:id="rId525" ref="L526"/>
    <hyperlink r:id="rId526" ref="L527"/>
    <hyperlink r:id="rId527" ref="L528"/>
    <hyperlink r:id="rId528" ref="L529"/>
    <hyperlink r:id="rId529" ref="L530"/>
    <hyperlink r:id="rId530" ref="L531"/>
    <hyperlink r:id="rId531" ref="L532"/>
    <hyperlink r:id="rId532" ref="L533"/>
    <hyperlink r:id="rId533" ref="L534"/>
    <hyperlink r:id="rId534" ref="L535"/>
    <hyperlink r:id="rId535" ref="L536"/>
    <hyperlink r:id="rId536" ref="L537"/>
    <hyperlink r:id="rId537" ref="L538"/>
    <hyperlink r:id="rId538" ref="L539"/>
    <hyperlink r:id="rId539" ref="L540"/>
    <hyperlink r:id="rId540" ref="L541"/>
    <hyperlink r:id="rId541" ref="L542"/>
    <hyperlink r:id="rId542" ref="L543"/>
    <hyperlink r:id="rId543" ref="L544"/>
    <hyperlink r:id="rId544" ref="L545"/>
    <hyperlink r:id="rId545" ref="L546"/>
    <hyperlink r:id="rId546" ref="L547"/>
    <hyperlink r:id="rId547" ref="L548"/>
    <hyperlink r:id="rId548" ref="L549"/>
    <hyperlink r:id="rId549" ref="L550"/>
    <hyperlink r:id="rId550" ref="L551"/>
    <hyperlink r:id="rId551" ref="L552"/>
    <hyperlink r:id="rId552" ref="L553"/>
    <hyperlink r:id="rId553" ref="L554"/>
    <hyperlink r:id="rId554" ref="L555"/>
    <hyperlink r:id="rId555" ref="L556"/>
    <hyperlink r:id="rId556" ref="L557"/>
    <hyperlink r:id="rId557" ref="L558"/>
    <hyperlink r:id="rId558" ref="L559"/>
    <hyperlink r:id="rId559" ref="L560"/>
    <hyperlink r:id="rId560" ref="L561"/>
    <hyperlink r:id="rId561" ref="L562"/>
    <hyperlink r:id="rId562" ref="L563"/>
    <hyperlink r:id="rId563" ref="L564"/>
    <hyperlink r:id="rId564" ref="L565"/>
    <hyperlink r:id="rId565" ref="L566"/>
    <hyperlink r:id="rId566" ref="L567"/>
    <hyperlink r:id="rId567" ref="L568"/>
    <hyperlink r:id="rId568" ref="L569"/>
    <hyperlink r:id="rId569" ref="L570"/>
    <hyperlink r:id="rId570" ref="L571"/>
    <hyperlink r:id="rId571" ref="L572"/>
    <hyperlink r:id="rId572" ref="L573"/>
    <hyperlink r:id="rId573" ref="L574"/>
    <hyperlink r:id="rId574" ref="L575"/>
    <hyperlink r:id="rId575" ref="L576"/>
    <hyperlink r:id="rId576" ref="L577"/>
    <hyperlink r:id="rId577" ref="L578"/>
    <hyperlink r:id="rId578" ref="L579"/>
    <hyperlink r:id="rId579" ref="L580"/>
    <hyperlink r:id="rId580" ref="L581"/>
    <hyperlink r:id="rId581" ref="L582"/>
    <hyperlink r:id="rId582" ref="L583"/>
    <hyperlink r:id="rId583" ref="L584"/>
    <hyperlink r:id="rId584" ref="L585"/>
    <hyperlink r:id="rId585" ref="L586"/>
    <hyperlink r:id="rId586" ref="L587"/>
    <hyperlink r:id="rId587" ref="L588"/>
    <hyperlink r:id="rId588" ref="L589"/>
    <hyperlink r:id="rId589" ref="L590"/>
    <hyperlink r:id="rId590" ref="L591"/>
    <hyperlink r:id="rId591" ref="L592"/>
    <hyperlink r:id="rId592" ref="L593"/>
    <hyperlink r:id="rId593" ref="L594"/>
    <hyperlink r:id="rId594" ref="L595"/>
    <hyperlink r:id="rId595" ref="L596"/>
    <hyperlink r:id="rId596" ref="L597"/>
    <hyperlink r:id="rId597" ref="L598"/>
    <hyperlink r:id="rId598" ref="L599"/>
    <hyperlink r:id="rId599" ref="L600"/>
    <hyperlink r:id="rId600" ref="L601"/>
    <hyperlink r:id="rId601" ref="L602"/>
    <hyperlink r:id="rId602" ref="L603"/>
    <hyperlink r:id="rId603" ref="L604"/>
    <hyperlink r:id="rId604" ref="L605"/>
    <hyperlink r:id="rId605" ref="L606"/>
    <hyperlink r:id="rId606" ref="L607"/>
    <hyperlink r:id="rId607" ref="L608"/>
    <hyperlink r:id="rId608" ref="L609"/>
    <hyperlink r:id="rId609" ref="L610"/>
    <hyperlink r:id="rId610" ref="L611"/>
    <hyperlink r:id="rId611" ref="L612"/>
    <hyperlink r:id="rId612" ref="L613"/>
    <hyperlink r:id="rId613" ref="L614"/>
    <hyperlink r:id="rId614" ref="L615"/>
    <hyperlink r:id="rId615" ref="L616"/>
    <hyperlink r:id="rId616" ref="L617"/>
    <hyperlink r:id="rId617" ref="L618"/>
    <hyperlink r:id="rId618" ref="L619"/>
    <hyperlink r:id="rId619" ref="L620"/>
    <hyperlink r:id="rId620" ref="L621"/>
    <hyperlink r:id="rId621" ref="L622"/>
    <hyperlink r:id="rId622" ref="L623"/>
    <hyperlink r:id="rId623" ref="L624"/>
    <hyperlink r:id="rId624" ref="L625"/>
    <hyperlink r:id="rId625" ref="L626"/>
    <hyperlink r:id="rId626" ref="L627"/>
    <hyperlink r:id="rId627" ref="L628"/>
    <hyperlink r:id="rId628" ref="L629"/>
    <hyperlink r:id="rId629" ref="L630"/>
    <hyperlink r:id="rId630" ref="L631"/>
    <hyperlink r:id="rId631" ref="L632"/>
    <hyperlink r:id="rId632" ref="L633"/>
    <hyperlink r:id="rId633" ref="L634"/>
    <hyperlink r:id="rId634" ref="L635"/>
    <hyperlink r:id="rId635" ref="L636"/>
    <hyperlink r:id="rId636" ref="L637"/>
    <hyperlink r:id="rId637" ref="L638"/>
    <hyperlink r:id="rId638" ref="L639"/>
    <hyperlink r:id="rId639" ref="L640"/>
    <hyperlink r:id="rId640" ref="L641"/>
    <hyperlink r:id="rId641" ref="L642"/>
    <hyperlink r:id="rId642" ref="L643"/>
    <hyperlink r:id="rId643" ref="L644"/>
    <hyperlink r:id="rId644" ref="L645"/>
    <hyperlink r:id="rId645" ref="L646"/>
    <hyperlink r:id="rId646" ref="L647"/>
    <hyperlink r:id="rId647" ref="L648"/>
    <hyperlink r:id="rId648" ref="L649"/>
    <hyperlink r:id="rId649" ref="L650"/>
    <hyperlink r:id="rId650" ref="L651"/>
    <hyperlink r:id="rId651" ref="L652"/>
    <hyperlink r:id="rId652" ref="L653"/>
    <hyperlink r:id="rId653" ref="L654"/>
    <hyperlink r:id="rId654" ref="L655"/>
    <hyperlink r:id="rId655" ref="L656"/>
    <hyperlink r:id="rId656" ref="L657"/>
    <hyperlink r:id="rId657" ref="L658"/>
    <hyperlink r:id="rId658" ref="L659"/>
    <hyperlink r:id="rId659" ref="L660"/>
    <hyperlink r:id="rId660" ref="L661"/>
    <hyperlink r:id="rId661" ref="L662"/>
    <hyperlink r:id="rId662" ref="L663"/>
    <hyperlink r:id="rId663" ref="L664"/>
    <hyperlink r:id="rId664" ref="L665"/>
    <hyperlink r:id="rId665" ref="L666"/>
    <hyperlink r:id="rId666" ref="L667"/>
    <hyperlink r:id="rId667" ref="L668"/>
    <hyperlink r:id="rId668" ref="L669"/>
    <hyperlink r:id="rId669" ref="L670"/>
    <hyperlink r:id="rId670" ref="L671"/>
    <hyperlink r:id="rId671" ref="L672"/>
    <hyperlink r:id="rId672" ref="L673"/>
    <hyperlink r:id="rId673" ref="L674"/>
    <hyperlink r:id="rId674" ref="L675"/>
    <hyperlink r:id="rId675" ref="L676"/>
    <hyperlink r:id="rId676" ref="L677"/>
    <hyperlink r:id="rId677" ref="L678"/>
    <hyperlink r:id="rId678" ref="L679"/>
    <hyperlink r:id="rId679" ref="L680"/>
    <hyperlink r:id="rId680" ref="L681"/>
    <hyperlink r:id="rId681" ref="L682"/>
    <hyperlink r:id="rId682" ref="L683"/>
    <hyperlink r:id="rId683" ref="L684"/>
    <hyperlink r:id="rId684" ref="L685"/>
    <hyperlink r:id="rId685" ref="L686"/>
    <hyperlink r:id="rId686" ref="L687"/>
    <hyperlink r:id="rId687" ref="L688"/>
    <hyperlink r:id="rId688" ref="L689"/>
    <hyperlink r:id="rId689" ref="L690"/>
    <hyperlink r:id="rId690" ref="L691"/>
    <hyperlink r:id="rId691" ref="L692"/>
    <hyperlink r:id="rId692" ref="L693"/>
    <hyperlink r:id="rId693" ref="L694"/>
    <hyperlink r:id="rId694" ref="L695"/>
    <hyperlink r:id="rId695" ref="L696"/>
    <hyperlink r:id="rId696" ref="L697"/>
    <hyperlink r:id="rId697" ref="L698"/>
    <hyperlink r:id="rId698" ref="L699"/>
    <hyperlink r:id="rId699" ref="L700"/>
    <hyperlink r:id="rId700" ref="L701"/>
    <hyperlink r:id="rId701" ref="L702"/>
    <hyperlink r:id="rId702" ref="L703"/>
    <hyperlink r:id="rId703" ref="L704"/>
    <hyperlink r:id="rId704" ref="L705"/>
    <hyperlink r:id="rId705" ref="L706"/>
    <hyperlink r:id="rId706" ref="L707"/>
    <hyperlink r:id="rId707" ref="L708"/>
    <hyperlink r:id="rId708" ref="L709"/>
    <hyperlink r:id="rId709" ref="L710"/>
    <hyperlink r:id="rId710" ref="L711"/>
    <hyperlink r:id="rId711" ref="L712"/>
    <hyperlink r:id="rId712" ref="L713"/>
    <hyperlink r:id="rId713" ref="L714"/>
    <hyperlink r:id="rId714" ref="L715"/>
    <hyperlink r:id="rId715" ref="L716"/>
    <hyperlink r:id="rId716" ref="L717"/>
    <hyperlink r:id="rId717" ref="L718"/>
    <hyperlink r:id="rId718" ref="L719"/>
    <hyperlink r:id="rId719" ref="L720"/>
    <hyperlink r:id="rId720" ref="L721"/>
    <hyperlink r:id="rId721" ref="L722"/>
    <hyperlink r:id="rId722" ref="L723"/>
    <hyperlink r:id="rId723" ref="L724"/>
    <hyperlink r:id="rId724" ref="L725"/>
    <hyperlink r:id="rId725" ref="L726"/>
    <hyperlink r:id="rId726" ref="L727"/>
    <hyperlink r:id="rId727" ref="L728"/>
  </hyperlinks>
  <drawing r:id="rId72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sheetData>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3.25"/>
    <col customWidth="1" min="3" max="3" width="34.25"/>
    <col customWidth="1" min="4" max="5" width="49.25"/>
    <col customWidth="1" min="6" max="6" width="35.5"/>
    <col customWidth="1" min="7" max="7" width="19.63"/>
    <col customWidth="1" min="8" max="8" width="23.0"/>
    <col customWidth="1" min="9" max="9" width="15.63"/>
    <col customWidth="1" min="10" max="10" width="18.38"/>
    <col customWidth="1" min="11" max="11" width="29.13"/>
    <col customWidth="1" min="12" max="12" width="28.5"/>
    <col customWidth="1" min="13" max="13" width="22.0"/>
    <col customWidth="1" min="14" max="26" width="49.25"/>
  </cols>
  <sheetData>
    <row r="1" ht="54.0" customHeight="1">
      <c r="A1" s="1" t="s">
        <v>0</v>
      </c>
      <c r="B1" s="2" t="s">
        <v>1</v>
      </c>
      <c r="C1" s="2" t="s">
        <v>2</v>
      </c>
      <c r="D1" s="2" t="s">
        <v>3</v>
      </c>
      <c r="E1" s="2" t="s">
        <v>4</v>
      </c>
      <c r="F1" s="2" t="s">
        <v>5</v>
      </c>
      <c r="G1" s="2" t="s">
        <v>6</v>
      </c>
      <c r="H1" s="2" t="s">
        <v>7</v>
      </c>
      <c r="I1" s="2" t="s">
        <v>8</v>
      </c>
      <c r="J1" s="2" t="s">
        <v>9</v>
      </c>
      <c r="K1" s="2" t="s">
        <v>10</v>
      </c>
      <c r="L1" s="2" t="s">
        <v>11</v>
      </c>
      <c r="M1" s="2" t="s">
        <v>12</v>
      </c>
      <c r="N1" s="3"/>
      <c r="O1" s="3"/>
      <c r="P1" s="3"/>
      <c r="Q1" s="3"/>
      <c r="R1" s="3"/>
      <c r="S1" s="3"/>
      <c r="T1" s="3"/>
      <c r="U1" s="3"/>
      <c r="V1" s="3"/>
      <c r="W1" s="3"/>
      <c r="X1" s="3"/>
      <c r="Y1" s="3"/>
      <c r="Z1" s="3"/>
    </row>
    <row r="2">
      <c r="A2" s="4" t="s">
        <v>14</v>
      </c>
      <c r="B2" s="5" t="s">
        <v>15</v>
      </c>
      <c r="C2" s="5" t="s">
        <v>16</v>
      </c>
      <c r="D2" s="5" t="s">
        <v>17</v>
      </c>
      <c r="E2" s="6" t="s">
        <v>18</v>
      </c>
      <c r="F2" s="5" t="s">
        <v>19</v>
      </c>
      <c r="G2" s="5" t="s">
        <v>20</v>
      </c>
      <c r="H2" s="5">
        <v>10524.0</v>
      </c>
      <c r="I2" s="5">
        <v>55.0</v>
      </c>
      <c r="J2" s="5">
        <v>7601.0</v>
      </c>
      <c r="K2" s="5">
        <v>10242.0</v>
      </c>
      <c r="L2" s="5">
        <v>11.0</v>
      </c>
      <c r="M2" s="5">
        <v>6136.133902</v>
      </c>
    </row>
    <row r="3">
      <c r="A3" s="4" t="s">
        <v>21</v>
      </c>
      <c r="B3" s="5" t="s">
        <v>22</v>
      </c>
      <c r="C3" s="5" t="s">
        <v>23</v>
      </c>
      <c r="D3" s="5" t="s">
        <v>24</v>
      </c>
      <c r="E3" s="6" t="s">
        <v>25</v>
      </c>
      <c r="F3" s="5" t="s">
        <v>26</v>
      </c>
      <c r="G3" s="5" t="s">
        <v>27</v>
      </c>
      <c r="H3" s="5">
        <v>18324.0</v>
      </c>
      <c r="I3" s="5">
        <v>60.0</v>
      </c>
      <c r="J3" s="5">
        <v>3145.0</v>
      </c>
      <c r="K3" s="5">
        <v>13703.0</v>
      </c>
      <c r="L3" s="5">
        <v>8.0</v>
      </c>
      <c r="M3" s="5">
        <v>6996.231838</v>
      </c>
    </row>
    <row r="4">
      <c r="A4" s="4" t="s">
        <v>28</v>
      </c>
      <c r="B4" s="5" t="s">
        <v>15</v>
      </c>
      <c r="C4" s="5" t="s">
        <v>16</v>
      </c>
      <c r="D4" s="5" t="s">
        <v>29</v>
      </c>
      <c r="E4" s="6" t="s">
        <v>25</v>
      </c>
      <c r="F4" s="5" t="s">
        <v>19</v>
      </c>
      <c r="G4" s="5" t="s">
        <v>27</v>
      </c>
      <c r="H4" s="5">
        <v>7862.0</v>
      </c>
      <c r="I4" s="5">
        <v>20.0</v>
      </c>
      <c r="J4" s="5">
        <v>2152.0</v>
      </c>
      <c r="K4" s="5">
        <v>6039.0</v>
      </c>
      <c r="L4" s="5">
        <v>2.0</v>
      </c>
      <c r="M4" s="5">
        <v>6506.433687</v>
      </c>
    </row>
    <row r="5">
      <c r="A5" s="4" t="s">
        <v>30</v>
      </c>
      <c r="B5" s="5" t="s">
        <v>15</v>
      </c>
      <c r="C5" s="5" t="s">
        <v>31</v>
      </c>
      <c r="D5" s="5" t="s">
        <v>32</v>
      </c>
      <c r="E5" s="6" t="s">
        <v>25</v>
      </c>
      <c r="F5" s="5" t="s">
        <v>33</v>
      </c>
      <c r="G5" s="5" t="s">
        <v>27</v>
      </c>
      <c r="H5" s="5">
        <v>10501.0</v>
      </c>
      <c r="I5" s="5">
        <v>90.0</v>
      </c>
      <c r="J5" s="5">
        <v>4126.0</v>
      </c>
      <c r="K5" s="5">
        <v>7654.0</v>
      </c>
      <c r="L5" s="5">
        <v>8.0</v>
      </c>
      <c r="M5" s="5">
        <v>6244.517921</v>
      </c>
    </row>
    <row r="6">
      <c r="A6" s="4" t="s">
        <v>34</v>
      </c>
      <c r="B6" s="5" t="s">
        <v>15</v>
      </c>
      <c r="C6" s="5" t="s">
        <v>31</v>
      </c>
      <c r="D6" s="5" t="s">
        <v>35</v>
      </c>
      <c r="E6" s="6" t="s">
        <v>25</v>
      </c>
      <c r="F6" s="5" t="s">
        <v>36</v>
      </c>
      <c r="G6" s="5" t="s">
        <v>20</v>
      </c>
      <c r="H6" s="5">
        <v>23156.0</v>
      </c>
      <c r="I6" s="5">
        <v>73.0</v>
      </c>
      <c r="J6" s="5">
        <v>4468.0</v>
      </c>
      <c r="K6" s="5">
        <v>18821.0</v>
      </c>
      <c r="L6" s="5">
        <v>15.0</v>
      </c>
      <c r="M6" s="5">
        <v>6173.41289</v>
      </c>
    </row>
    <row r="7">
      <c r="A7" s="4" t="s">
        <v>37</v>
      </c>
      <c r="B7" s="5" t="s">
        <v>22</v>
      </c>
      <c r="C7" s="5" t="s">
        <v>31</v>
      </c>
      <c r="D7" s="5" t="s">
        <v>17</v>
      </c>
      <c r="E7" s="6" t="s">
        <v>25</v>
      </c>
      <c r="F7" s="5" t="s">
        <v>19</v>
      </c>
      <c r="G7" s="5" t="s">
        <v>27</v>
      </c>
      <c r="H7" s="5">
        <v>23711.0</v>
      </c>
      <c r="I7" s="5">
        <v>69.0</v>
      </c>
      <c r="J7" s="5">
        <v>4337.0</v>
      </c>
      <c r="K7" s="5">
        <v>17211.0</v>
      </c>
      <c r="L7" s="5">
        <v>8.0</v>
      </c>
      <c r="M7" s="5">
        <v>5740.952219</v>
      </c>
    </row>
    <row r="8">
      <c r="A8" s="4" t="s">
        <v>38</v>
      </c>
      <c r="B8" s="5" t="s">
        <v>22</v>
      </c>
      <c r="C8" s="5" t="s">
        <v>16</v>
      </c>
      <c r="D8" s="5" t="s">
        <v>39</v>
      </c>
      <c r="E8" s="6" t="s">
        <v>25</v>
      </c>
      <c r="F8" s="5" t="s">
        <v>26</v>
      </c>
      <c r="G8" s="5" t="s">
        <v>27</v>
      </c>
      <c r="H8" s="5">
        <v>23965.0</v>
      </c>
      <c r="I8" s="5">
        <v>270.0</v>
      </c>
      <c r="J8" s="5">
        <v>13608.0</v>
      </c>
      <c r="K8" s="5">
        <v>21704.0</v>
      </c>
      <c r="L8" s="5">
        <v>12.0</v>
      </c>
      <c r="M8" s="5">
        <v>5706.864417</v>
      </c>
    </row>
    <row r="9">
      <c r="A9" s="4" t="s">
        <v>40</v>
      </c>
      <c r="B9" s="5" t="s">
        <v>15</v>
      </c>
      <c r="C9" s="5" t="s">
        <v>31</v>
      </c>
      <c r="D9" s="5" t="s">
        <v>39</v>
      </c>
      <c r="E9" s="6" t="s">
        <v>25</v>
      </c>
      <c r="F9" s="5" t="s">
        <v>19</v>
      </c>
      <c r="G9" s="5" t="s">
        <v>27</v>
      </c>
      <c r="H9" s="5">
        <v>14730.0</v>
      </c>
      <c r="I9" s="5">
        <v>88.0</v>
      </c>
      <c r="J9" s="5">
        <v>1272.0</v>
      </c>
      <c r="K9" s="5">
        <v>12427.0</v>
      </c>
      <c r="L9" s="5">
        <v>3.0</v>
      </c>
      <c r="M9" s="5">
        <v>5190.535998</v>
      </c>
    </row>
    <row r="10">
      <c r="A10" s="4" t="s">
        <v>41</v>
      </c>
      <c r="B10" s="5" t="s">
        <v>15</v>
      </c>
      <c r="C10" s="5" t="s">
        <v>42</v>
      </c>
      <c r="D10" s="5" t="s">
        <v>43</v>
      </c>
      <c r="E10" s="6" t="s">
        <v>25</v>
      </c>
      <c r="F10" s="5" t="s">
        <v>36</v>
      </c>
      <c r="G10" s="5" t="s">
        <v>27</v>
      </c>
      <c r="H10" s="5">
        <v>36863.0</v>
      </c>
      <c r="I10" s="5">
        <v>116.0</v>
      </c>
      <c r="J10" s="5">
        <v>3570.0</v>
      </c>
      <c r="K10" s="5">
        <v>29458.0</v>
      </c>
      <c r="L10" s="5">
        <v>15.0</v>
      </c>
      <c r="M10" s="5">
        <v>4752.816685</v>
      </c>
    </row>
    <row r="11">
      <c r="A11" s="4" t="s">
        <v>44</v>
      </c>
      <c r="B11" s="5" t="s">
        <v>22</v>
      </c>
      <c r="C11" s="5" t="s">
        <v>31</v>
      </c>
      <c r="D11" s="5" t="s">
        <v>45</v>
      </c>
      <c r="E11" s="6" t="s">
        <v>25</v>
      </c>
      <c r="F11" s="5" t="s">
        <v>46</v>
      </c>
      <c r="G11" s="5" t="s">
        <v>27</v>
      </c>
      <c r="H11" s="5">
        <v>213699.0</v>
      </c>
      <c r="I11" s="5">
        <v>270.0</v>
      </c>
      <c r="J11" s="5">
        <v>18395.0</v>
      </c>
      <c r="K11" s="5">
        <v>164487.0</v>
      </c>
      <c r="L11" s="5">
        <v>4.0</v>
      </c>
      <c r="M11" s="5">
        <v>2194.987125</v>
      </c>
    </row>
    <row r="12">
      <c r="A12" s="4" t="s">
        <v>47</v>
      </c>
      <c r="B12" s="5" t="s">
        <v>22</v>
      </c>
      <c r="C12" s="5" t="s">
        <v>23</v>
      </c>
      <c r="D12" s="5" t="s">
        <v>32</v>
      </c>
      <c r="E12" s="6" t="s">
        <v>25</v>
      </c>
      <c r="F12" s="5" t="s">
        <v>48</v>
      </c>
      <c r="G12" s="5" t="s">
        <v>27</v>
      </c>
      <c r="H12" s="5">
        <v>49936.0</v>
      </c>
      <c r="I12" s="5">
        <v>126.0</v>
      </c>
      <c r="J12" s="5">
        <v>25461.0</v>
      </c>
      <c r="K12" s="5">
        <v>44751.0</v>
      </c>
      <c r="L12" s="5">
        <v>13.0</v>
      </c>
      <c r="M12" s="5">
        <v>2025.784019</v>
      </c>
    </row>
    <row r="13">
      <c r="A13" s="4" t="s">
        <v>49</v>
      </c>
      <c r="B13" s="5" t="s">
        <v>15</v>
      </c>
      <c r="C13" s="5" t="s">
        <v>23</v>
      </c>
      <c r="D13" s="5" t="s">
        <v>17</v>
      </c>
      <c r="E13" s="6" t="s">
        <v>25</v>
      </c>
      <c r="F13" s="5" t="s">
        <v>50</v>
      </c>
      <c r="G13" s="5" t="s">
        <v>27</v>
      </c>
      <c r="H13" s="5">
        <v>15200.0</v>
      </c>
      <c r="I13" s="5">
        <v>60.0</v>
      </c>
      <c r="J13" s="5">
        <v>5375.0</v>
      </c>
      <c r="K13" s="5">
        <v>12040.0</v>
      </c>
      <c r="L13" s="5">
        <v>4.0</v>
      </c>
      <c r="M13" s="5">
        <v>1970.357345</v>
      </c>
    </row>
    <row r="14">
      <c r="A14" s="4" t="s">
        <v>51</v>
      </c>
      <c r="B14" s="5" t="s">
        <v>15</v>
      </c>
      <c r="C14" s="5" t="s">
        <v>31</v>
      </c>
      <c r="D14" s="5" t="s">
        <v>35</v>
      </c>
      <c r="E14" s="6" t="s">
        <v>25</v>
      </c>
      <c r="F14" s="5" t="s">
        <v>19</v>
      </c>
      <c r="G14" s="5" t="s">
        <v>52</v>
      </c>
      <c r="H14" s="5">
        <v>49250.0</v>
      </c>
      <c r="I14" s="5">
        <v>220.0</v>
      </c>
      <c r="J14" s="5">
        <v>9205.0</v>
      </c>
      <c r="K14" s="5">
        <v>43535.0</v>
      </c>
      <c r="L14" s="5">
        <v>15.0</v>
      </c>
      <c r="M14" s="5">
        <v>1694.470977</v>
      </c>
    </row>
    <row r="15">
      <c r="A15" s="4" t="s">
        <v>53</v>
      </c>
      <c r="B15" s="5" t="s">
        <v>15</v>
      </c>
      <c r="C15" s="5" t="s">
        <v>16</v>
      </c>
      <c r="D15" s="5" t="s">
        <v>29</v>
      </c>
      <c r="E15" s="6" t="s">
        <v>25</v>
      </c>
      <c r="F15" s="5" t="s">
        <v>46</v>
      </c>
      <c r="G15" s="5" t="s">
        <v>27</v>
      </c>
      <c r="H15" s="5">
        <v>10811.0</v>
      </c>
      <c r="I15" s="5">
        <v>25.0</v>
      </c>
      <c r="J15" s="5">
        <v>988.0</v>
      </c>
      <c r="K15" s="5">
        <v>2975.0</v>
      </c>
      <c r="L15" s="5">
        <v>3.0</v>
      </c>
      <c r="M15" s="5">
        <v>1679.833815</v>
      </c>
    </row>
    <row r="16">
      <c r="A16" s="4" t="s">
        <v>54</v>
      </c>
      <c r="B16" s="5" t="s">
        <v>15</v>
      </c>
      <c r="C16" s="5" t="s">
        <v>23</v>
      </c>
      <c r="D16" s="5" t="s">
        <v>55</v>
      </c>
      <c r="E16" s="6" t="s">
        <v>25</v>
      </c>
      <c r="F16" s="5" t="s">
        <v>46</v>
      </c>
      <c r="G16" s="5" t="s">
        <v>27</v>
      </c>
      <c r="H16" s="5">
        <v>23829.0</v>
      </c>
      <c r="I16" s="5">
        <v>75.0</v>
      </c>
      <c r="J16" s="5">
        <v>8326.0</v>
      </c>
      <c r="K16" s="5">
        <v>18812.0</v>
      </c>
      <c r="L16" s="5">
        <v>5.0</v>
      </c>
      <c r="M16" s="5">
        <v>1534.698</v>
      </c>
    </row>
    <row r="17">
      <c r="A17" s="4" t="s">
        <v>56</v>
      </c>
      <c r="B17" s="5" t="s">
        <v>22</v>
      </c>
      <c r="C17" s="5" t="s">
        <v>42</v>
      </c>
      <c r="D17" s="5" t="s">
        <v>17</v>
      </c>
      <c r="E17" s="6" t="s">
        <v>25</v>
      </c>
      <c r="F17" s="5" t="s">
        <v>48</v>
      </c>
      <c r="G17" s="5" t="s">
        <v>27</v>
      </c>
      <c r="H17" s="5">
        <v>19826.0</v>
      </c>
      <c r="I17" s="5">
        <v>39.0</v>
      </c>
      <c r="J17" s="5">
        <v>6511.0</v>
      </c>
      <c r="K17" s="5">
        <v>15752.0</v>
      </c>
      <c r="L17" s="5">
        <v>10.0</v>
      </c>
      <c r="M17" s="5">
        <v>1447.873298</v>
      </c>
    </row>
    <row r="18">
      <c r="A18" s="4" t="s">
        <v>57</v>
      </c>
      <c r="B18" s="5" t="s">
        <v>15</v>
      </c>
      <c r="C18" s="5" t="s">
        <v>42</v>
      </c>
      <c r="D18" s="5" t="s">
        <v>35</v>
      </c>
      <c r="E18" s="6" t="s">
        <v>58</v>
      </c>
      <c r="F18" s="5" t="s">
        <v>36</v>
      </c>
      <c r="G18" s="5" t="s">
        <v>52</v>
      </c>
      <c r="H18" s="5">
        <v>81905.0</v>
      </c>
      <c r="I18" s="5">
        <v>220.0</v>
      </c>
      <c r="J18" s="5">
        <v>61995.0</v>
      </c>
      <c r="K18" s="5">
        <v>71110.0</v>
      </c>
      <c r="L18" s="5">
        <v>24.0</v>
      </c>
      <c r="M18" s="5">
        <v>7065.66928</v>
      </c>
    </row>
    <row r="19">
      <c r="A19" s="4" t="s">
        <v>59</v>
      </c>
      <c r="B19" s="5" t="s">
        <v>22</v>
      </c>
      <c r="C19" s="5" t="s">
        <v>23</v>
      </c>
      <c r="D19" s="5" t="s">
        <v>32</v>
      </c>
      <c r="E19" s="6" t="s">
        <v>58</v>
      </c>
      <c r="F19" s="5" t="s">
        <v>36</v>
      </c>
      <c r="G19" s="5" t="s">
        <v>27</v>
      </c>
      <c r="H19" s="5">
        <v>16151.0</v>
      </c>
      <c r="I19" s="5">
        <v>54.0</v>
      </c>
      <c r="J19" s="5">
        <v>4360.0</v>
      </c>
      <c r="K19" s="5">
        <v>11358.0</v>
      </c>
      <c r="L19" s="5">
        <v>3.0</v>
      </c>
      <c r="M19" s="5">
        <v>1706.224318</v>
      </c>
    </row>
    <row r="20">
      <c r="A20" s="4" t="s">
        <v>60</v>
      </c>
      <c r="B20" s="5" t="s">
        <v>61</v>
      </c>
      <c r="C20" s="5" t="s">
        <v>31</v>
      </c>
      <c r="D20" s="5" t="s">
        <v>29</v>
      </c>
      <c r="E20" s="6" t="s">
        <v>58</v>
      </c>
      <c r="F20" s="5" t="s">
        <v>46</v>
      </c>
      <c r="G20" s="5" t="s">
        <v>27</v>
      </c>
      <c r="H20" s="5">
        <v>68704.0</v>
      </c>
      <c r="I20" s="5">
        <v>185.0</v>
      </c>
      <c r="J20" s="5">
        <v>31283.0</v>
      </c>
      <c r="K20" s="5">
        <v>59462.0</v>
      </c>
      <c r="L20" s="5">
        <v>16.0</v>
      </c>
      <c r="M20" s="5">
        <v>1605.566031</v>
      </c>
    </row>
    <row r="21">
      <c r="A21" s="4" t="s">
        <v>62</v>
      </c>
      <c r="B21" s="5" t="s">
        <v>15</v>
      </c>
      <c r="C21" s="5" t="s">
        <v>23</v>
      </c>
      <c r="D21" s="5" t="s">
        <v>29</v>
      </c>
      <c r="E21" s="6" t="s">
        <v>58</v>
      </c>
      <c r="F21" s="5" t="s">
        <v>19</v>
      </c>
      <c r="G21" s="5" t="s">
        <v>52</v>
      </c>
      <c r="H21" s="5">
        <v>76439.0</v>
      </c>
      <c r="I21" s="5">
        <v>100.0</v>
      </c>
      <c r="J21" s="5">
        <v>58269.0</v>
      </c>
      <c r="K21" s="5">
        <v>66924.0</v>
      </c>
      <c r="L21" s="5">
        <v>8.0</v>
      </c>
      <c r="M21" s="5">
        <v>1524.810224</v>
      </c>
    </row>
    <row r="22">
      <c r="A22" s="4" t="s">
        <v>63</v>
      </c>
      <c r="B22" s="5" t="s">
        <v>15</v>
      </c>
      <c r="C22" s="5" t="s">
        <v>16</v>
      </c>
      <c r="D22" s="5" t="s">
        <v>35</v>
      </c>
      <c r="E22" s="6" t="s">
        <v>64</v>
      </c>
      <c r="F22" s="5" t="s">
        <v>33</v>
      </c>
      <c r="G22" s="5" t="s">
        <v>52</v>
      </c>
      <c r="H22" s="5">
        <v>17833.0</v>
      </c>
      <c r="I22" s="5">
        <v>61.0</v>
      </c>
      <c r="J22" s="5">
        <v>8670.0</v>
      </c>
      <c r="K22" s="5">
        <v>16871.0</v>
      </c>
      <c r="L22" s="5">
        <v>10.0</v>
      </c>
      <c r="M22" s="5">
        <v>4899.155955</v>
      </c>
    </row>
    <row r="23">
      <c r="A23" s="4" t="s">
        <v>65</v>
      </c>
      <c r="B23" s="5" t="s">
        <v>15</v>
      </c>
      <c r="C23" s="5" t="s">
        <v>31</v>
      </c>
      <c r="D23" s="5" t="s">
        <v>66</v>
      </c>
      <c r="E23" s="6" t="s">
        <v>64</v>
      </c>
      <c r="F23" s="5" t="s">
        <v>19</v>
      </c>
      <c r="G23" s="5" t="s">
        <v>20</v>
      </c>
      <c r="H23" s="5">
        <v>16719.0</v>
      </c>
      <c r="I23" s="5">
        <v>35.0</v>
      </c>
      <c r="J23" s="5">
        <v>9944.0</v>
      </c>
      <c r="K23" s="5">
        <v>15714.0</v>
      </c>
      <c r="L23" s="5">
        <v>13.0</v>
      </c>
      <c r="M23" s="5">
        <v>1588.6475</v>
      </c>
    </row>
    <row r="24">
      <c r="A24" s="4" t="s">
        <v>67</v>
      </c>
      <c r="B24" s="5" t="s">
        <v>22</v>
      </c>
      <c r="C24" s="5" t="s">
        <v>16</v>
      </c>
      <c r="D24" s="5" t="s">
        <v>45</v>
      </c>
      <c r="E24" s="6" t="s">
        <v>64</v>
      </c>
      <c r="F24" s="5" t="s">
        <v>26</v>
      </c>
      <c r="G24" s="5" t="s">
        <v>27</v>
      </c>
      <c r="H24" s="5">
        <v>12592.0</v>
      </c>
      <c r="I24" s="5">
        <v>63.0</v>
      </c>
      <c r="J24" s="5">
        <v>7472.0</v>
      </c>
      <c r="K24" s="5">
        <v>11687.0</v>
      </c>
      <c r="L24" s="5">
        <v>4.0</v>
      </c>
      <c r="M24" s="5">
        <v>1521.185189</v>
      </c>
    </row>
    <row r="25">
      <c r="A25" s="4" t="s">
        <v>68</v>
      </c>
      <c r="B25" s="5" t="s">
        <v>15</v>
      </c>
      <c r="C25" s="5" t="s">
        <v>23</v>
      </c>
      <c r="D25" s="5" t="s">
        <v>32</v>
      </c>
      <c r="E25" s="6" t="s">
        <v>64</v>
      </c>
      <c r="F25" s="5" t="s">
        <v>36</v>
      </c>
      <c r="G25" s="5" t="s">
        <v>27</v>
      </c>
      <c r="H25" s="5">
        <v>14136.0</v>
      </c>
      <c r="I25" s="5">
        <v>88.0</v>
      </c>
      <c r="J25" s="5">
        <v>4683.0</v>
      </c>
      <c r="K25" s="5">
        <v>13273.0</v>
      </c>
      <c r="L25" s="5">
        <v>3.0</v>
      </c>
      <c r="M25" s="5">
        <v>1476.536841</v>
      </c>
    </row>
    <row r="26">
      <c r="A26" s="4" t="s">
        <v>69</v>
      </c>
      <c r="B26" s="5" t="s">
        <v>22</v>
      </c>
      <c r="C26" s="5" t="s">
        <v>31</v>
      </c>
      <c r="D26" s="5" t="s">
        <v>17</v>
      </c>
      <c r="E26" s="6" t="s">
        <v>70</v>
      </c>
      <c r="F26" s="5" t="s">
        <v>26</v>
      </c>
      <c r="G26" s="5" t="s">
        <v>27</v>
      </c>
      <c r="H26" s="5">
        <v>14489.0</v>
      </c>
      <c r="I26" s="5">
        <v>37.0</v>
      </c>
      <c r="J26" s="5">
        <v>12453.0</v>
      </c>
      <c r="K26" s="5">
        <v>13873.0</v>
      </c>
      <c r="L26" s="5">
        <v>10.0</v>
      </c>
      <c r="M26" s="5">
        <v>6195.840734</v>
      </c>
    </row>
    <row r="27">
      <c r="A27" s="4" t="s">
        <v>71</v>
      </c>
      <c r="B27" s="5" t="s">
        <v>15</v>
      </c>
      <c r="C27" s="5" t="s">
        <v>31</v>
      </c>
      <c r="D27" s="5" t="s">
        <v>45</v>
      </c>
      <c r="E27" s="6" t="s">
        <v>72</v>
      </c>
      <c r="F27" s="5" t="s">
        <v>19</v>
      </c>
      <c r="G27" s="5" t="s">
        <v>52</v>
      </c>
      <c r="H27" s="5">
        <v>20348.0</v>
      </c>
      <c r="I27" s="5">
        <v>101.0</v>
      </c>
      <c r="J27" s="5">
        <v>14945.0</v>
      </c>
      <c r="K27" s="5">
        <v>19548.0</v>
      </c>
      <c r="L27" s="5">
        <v>6.0</v>
      </c>
      <c r="M27" s="5">
        <v>1596.552373</v>
      </c>
    </row>
    <row r="28">
      <c r="A28" s="4" t="s">
        <v>73</v>
      </c>
      <c r="B28" s="5" t="s">
        <v>22</v>
      </c>
      <c r="C28" s="5" t="s">
        <v>31</v>
      </c>
      <c r="D28" s="5" t="s">
        <v>17</v>
      </c>
      <c r="E28" s="6" t="s">
        <v>74</v>
      </c>
      <c r="F28" s="5" t="s">
        <v>48</v>
      </c>
      <c r="G28" s="5" t="s">
        <v>27</v>
      </c>
      <c r="H28" s="5">
        <v>40447.0</v>
      </c>
      <c r="I28" s="5">
        <v>177.0</v>
      </c>
      <c r="J28" s="5">
        <v>16663.0</v>
      </c>
      <c r="K28" s="5">
        <v>29774.0</v>
      </c>
      <c r="L28" s="5">
        <v>12.0</v>
      </c>
      <c r="M28" s="5">
        <v>5083.886273</v>
      </c>
    </row>
    <row r="29">
      <c r="A29" s="4" t="s">
        <v>75</v>
      </c>
      <c r="B29" s="5" t="s">
        <v>15</v>
      </c>
      <c r="C29" s="5" t="s">
        <v>23</v>
      </c>
      <c r="D29" s="5" t="s">
        <v>35</v>
      </c>
      <c r="E29" s="6" t="s">
        <v>76</v>
      </c>
      <c r="F29" s="5" t="s">
        <v>26</v>
      </c>
      <c r="G29" s="5" t="s">
        <v>27</v>
      </c>
      <c r="H29" s="5">
        <v>14451.0</v>
      </c>
      <c r="I29" s="5">
        <v>50.0</v>
      </c>
      <c r="J29" s="5">
        <v>5606.0</v>
      </c>
      <c r="K29" s="5">
        <v>13461.0</v>
      </c>
      <c r="L29" s="5">
        <v>8.0</v>
      </c>
      <c r="M29" s="5">
        <v>6397.602518</v>
      </c>
    </row>
    <row r="30">
      <c r="A30" s="4" t="s">
        <v>77</v>
      </c>
      <c r="B30" s="5" t="s">
        <v>15</v>
      </c>
      <c r="C30" s="5" t="s">
        <v>31</v>
      </c>
      <c r="D30" s="5" t="s">
        <v>78</v>
      </c>
      <c r="E30" s="6" t="s">
        <v>79</v>
      </c>
      <c r="F30" s="5" t="s">
        <v>80</v>
      </c>
      <c r="G30" s="5" t="s">
        <v>20</v>
      </c>
      <c r="H30" s="5">
        <v>11668.0</v>
      </c>
      <c r="I30" s="5">
        <v>110.0</v>
      </c>
      <c r="J30" s="5">
        <v>7860.0</v>
      </c>
      <c r="K30" s="5">
        <v>11009.0</v>
      </c>
      <c r="L30" s="5">
        <v>5.0</v>
      </c>
      <c r="M30" s="5">
        <v>2653.981579</v>
      </c>
    </row>
    <row r="31">
      <c r="A31" s="4" t="s">
        <v>81</v>
      </c>
      <c r="B31" s="5" t="s">
        <v>15</v>
      </c>
      <c r="C31" s="5" t="s">
        <v>23</v>
      </c>
      <c r="D31" s="5" t="s">
        <v>78</v>
      </c>
      <c r="E31" s="6" t="s">
        <v>82</v>
      </c>
      <c r="F31" s="5" t="s">
        <v>26</v>
      </c>
      <c r="G31" s="5" t="s">
        <v>52</v>
      </c>
      <c r="H31" s="5">
        <v>19379.0</v>
      </c>
      <c r="I31" s="5">
        <v>49.0</v>
      </c>
      <c r="J31" s="5">
        <v>12168.0</v>
      </c>
      <c r="K31" s="5">
        <v>16616.0</v>
      </c>
      <c r="L31" s="5">
        <v>97.0</v>
      </c>
      <c r="M31" s="5">
        <v>7294.100001</v>
      </c>
    </row>
    <row r="32">
      <c r="A32" s="4" t="s">
        <v>83</v>
      </c>
      <c r="B32" s="5" t="s">
        <v>15</v>
      </c>
      <c r="C32" s="5" t="s">
        <v>42</v>
      </c>
      <c r="D32" s="5" t="s">
        <v>84</v>
      </c>
      <c r="E32" s="6" t="s">
        <v>82</v>
      </c>
      <c r="F32" s="5" t="s">
        <v>19</v>
      </c>
      <c r="G32" s="5" t="s">
        <v>27</v>
      </c>
      <c r="H32" s="5">
        <v>8716.0</v>
      </c>
      <c r="I32" s="5">
        <v>40.0</v>
      </c>
      <c r="J32" s="5">
        <v>6490.0</v>
      </c>
      <c r="K32" s="5">
        <v>7862.0</v>
      </c>
      <c r="L32" s="5">
        <v>2.0</v>
      </c>
      <c r="M32" s="5">
        <v>2100.820137</v>
      </c>
    </row>
    <row r="33">
      <c r="A33" s="4" t="s">
        <v>85</v>
      </c>
      <c r="B33" s="5" t="s">
        <v>15</v>
      </c>
      <c r="C33" s="5" t="s">
        <v>16</v>
      </c>
      <c r="D33" s="5" t="s">
        <v>43</v>
      </c>
      <c r="E33" s="6" t="s">
        <v>82</v>
      </c>
      <c r="F33" s="5" t="s">
        <v>48</v>
      </c>
      <c r="G33" s="5" t="s">
        <v>27</v>
      </c>
      <c r="H33" s="5">
        <v>11062.0</v>
      </c>
      <c r="I33" s="5">
        <v>78.0</v>
      </c>
      <c r="J33" s="5">
        <v>6539.0</v>
      </c>
      <c r="K33" s="5">
        <v>9391.0</v>
      </c>
      <c r="L33" s="5">
        <v>2.0</v>
      </c>
      <c r="M33" s="5">
        <v>1500.09932</v>
      </c>
    </row>
    <row r="34">
      <c r="A34" s="4" t="s">
        <v>86</v>
      </c>
      <c r="B34" s="5" t="s">
        <v>61</v>
      </c>
      <c r="C34" s="5" t="s">
        <v>42</v>
      </c>
      <c r="D34" s="5" t="s">
        <v>17</v>
      </c>
      <c r="E34" s="6" t="s">
        <v>87</v>
      </c>
      <c r="F34" s="5" t="s">
        <v>46</v>
      </c>
      <c r="G34" s="5" t="s">
        <v>27</v>
      </c>
      <c r="H34" s="5">
        <v>100800.0</v>
      </c>
      <c r="I34" s="5">
        <v>185.0</v>
      </c>
      <c r="J34" s="5">
        <v>14473.0</v>
      </c>
      <c r="K34" s="5">
        <v>85424.0</v>
      </c>
      <c r="L34" s="5">
        <v>10.0</v>
      </c>
      <c r="M34" s="5">
        <v>7004.730483</v>
      </c>
    </row>
    <row r="35">
      <c r="A35" s="4" t="s">
        <v>88</v>
      </c>
      <c r="B35" s="5" t="s">
        <v>15</v>
      </c>
      <c r="C35" s="5" t="s">
        <v>42</v>
      </c>
      <c r="D35" s="5" t="s">
        <v>17</v>
      </c>
      <c r="E35" s="6" t="s">
        <v>87</v>
      </c>
      <c r="F35" s="5" t="s">
        <v>19</v>
      </c>
      <c r="G35" s="5" t="s">
        <v>27</v>
      </c>
      <c r="H35" s="5">
        <v>12864.0</v>
      </c>
      <c r="I35" s="5">
        <v>84.0</v>
      </c>
      <c r="J35" s="5">
        <v>5549.0</v>
      </c>
      <c r="K35" s="5">
        <v>11852.0</v>
      </c>
      <c r="L35" s="5">
        <v>5.0</v>
      </c>
      <c r="M35" s="5">
        <v>1905.889693</v>
      </c>
    </row>
    <row r="36">
      <c r="A36" s="4" t="s">
        <v>89</v>
      </c>
      <c r="B36" s="5" t="s">
        <v>22</v>
      </c>
      <c r="C36" s="5" t="s">
        <v>23</v>
      </c>
      <c r="D36" s="5" t="s">
        <v>66</v>
      </c>
      <c r="E36" s="6" t="s">
        <v>90</v>
      </c>
      <c r="F36" s="5" t="s">
        <v>46</v>
      </c>
      <c r="G36" s="5" t="s">
        <v>27</v>
      </c>
      <c r="H36" s="5">
        <v>10992.0</v>
      </c>
      <c r="I36" s="5">
        <v>97.0</v>
      </c>
      <c r="J36" s="5">
        <v>6677.0</v>
      </c>
      <c r="K36" s="5">
        <v>10132.0</v>
      </c>
      <c r="L36" s="5">
        <v>3.0</v>
      </c>
      <c r="M36" s="5">
        <v>1675.987427</v>
      </c>
    </row>
    <row r="37">
      <c r="A37" s="4" t="s">
        <v>91</v>
      </c>
      <c r="B37" s="5" t="s">
        <v>15</v>
      </c>
      <c r="C37" s="5" t="s">
        <v>16</v>
      </c>
      <c r="D37" s="5" t="s">
        <v>39</v>
      </c>
      <c r="E37" s="6" t="s">
        <v>90</v>
      </c>
      <c r="F37" s="5" t="s">
        <v>19</v>
      </c>
      <c r="G37" s="5" t="s">
        <v>27</v>
      </c>
      <c r="H37" s="5">
        <v>14984.0</v>
      </c>
      <c r="I37" s="5">
        <v>63.0</v>
      </c>
      <c r="J37" s="5">
        <v>9614.0</v>
      </c>
      <c r="K37" s="5">
        <v>14086.0</v>
      </c>
      <c r="L37" s="5">
        <v>3.0</v>
      </c>
      <c r="M37" s="5">
        <v>1505.009635</v>
      </c>
    </row>
    <row r="38">
      <c r="A38" s="4" t="s">
        <v>92</v>
      </c>
      <c r="B38" s="5" t="s">
        <v>22</v>
      </c>
      <c r="C38" s="5" t="s">
        <v>42</v>
      </c>
      <c r="D38" s="5" t="s">
        <v>78</v>
      </c>
      <c r="E38" s="6" t="s">
        <v>93</v>
      </c>
      <c r="F38" s="5" t="s">
        <v>19</v>
      </c>
      <c r="G38" s="5" t="s">
        <v>27</v>
      </c>
      <c r="H38" s="5">
        <v>19093.0</v>
      </c>
      <c r="I38" s="5">
        <v>50.0</v>
      </c>
      <c r="J38" s="5">
        <v>9626.0</v>
      </c>
      <c r="K38" s="5">
        <v>17815.0</v>
      </c>
      <c r="L38" s="5">
        <v>10.0</v>
      </c>
      <c r="M38" s="5">
        <v>6612.14569</v>
      </c>
    </row>
    <row r="39">
      <c r="A39" s="4" t="s">
        <v>94</v>
      </c>
      <c r="B39" s="5" t="s">
        <v>15</v>
      </c>
      <c r="C39" s="5" t="s">
        <v>42</v>
      </c>
      <c r="D39" s="5" t="s">
        <v>95</v>
      </c>
      <c r="E39" s="6" t="s">
        <v>93</v>
      </c>
      <c r="F39" s="5" t="s">
        <v>46</v>
      </c>
      <c r="G39" s="5" t="s">
        <v>27</v>
      </c>
      <c r="H39" s="5">
        <v>43057.0</v>
      </c>
      <c r="I39" s="5">
        <v>122.0</v>
      </c>
      <c r="J39" s="5">
        <v>23767.0</v>
      </c>
      <c r="K39" s="5">
        <v>41484.0</v>
      </c>
      <c r="L39" s="5">
        <v>7.0</v>
      </c>
      <c r="M39" s="5">
        <v>5884.931394</v>
      </c>
    </row>
    <row r="40">
      <c r="A40" s="4" t="s">
        <v>96</v>
      </c>
      <c r="B40" s="5" t="s">
        <v>61</v>
      </c>
      <c r="C40" s="5" t="s">
        <v>23</v>
      </c>
      <c r="D40" s="5" t="s">
        <v>55</v>
      </c>
      <c r="E40" s="6" t="s">
        <v>93</v>
      </c>
      <c r="F40" s="5" t="s">
        <v>19</v>
      </c>
      <c r="G40" s="5" t="s">
        <v>27</v>
      </c>
      <c r="H40" s="5">
        <v>53561.0</v>
      </c>
      <c r="I40" s="5">
        <v>147.0</v>
      </c>
      <c r="J40" s="5">
        <v>37063.0</v>
      </c>
      <c r="K40" s="5">
        <v>51480.0</v>
      </c>
      <c r="L40" s="5">
        <v>14.0</v>
      </c>
      <c r="M40" s="5">
        <v>2039.35506</v>
      </c>
    </row>
    <row r="41">
      <c r="A41" s="4" t="s">
        <v>97</v>
      </c>
      <c r="B41" s="5" t="s">
        <v>15</v>
      </c>
      <c r="C41" s="5" t="s">
        <v>31</v>
      </c>
      <c r="D41" s="5" t="s">
        <v>17</v>
      </c>
      <c r="E41" s="6" t="s">
        <v>93</v>
      </c>
      <c r="F41" s="5" t="s">
        <v>26</v>
      </c>
      <c r="G41" s="5" t="s">
        <v>27</v>
      </c>
      <c r="H41" s="5">
        <v>67752.0</v>
      </c>
      <c r="I41" s="5">
        <v>174.0</v>
      </c>
      <c r="J41" s="5">
        <v>47126.0</v>
      </c>
      <c r="K41" s="5">
        <v>65080.0</v>
      </c>
      <c r="L41" s="5">
        <v>3.0</v>
      </c>
      <c r="M41" s="5">
        <v>1557.01573</v>
      </c>
    </row>
    <row r="42">
      <c r="A42" s="4" t="s">
        <v>98</v>
      </c>
      <c r="B42" s="5" t="s">
        <v>15</v>
      </c>
      <c r="C42" s="5" t="s">
        <v>16</v>
      </c>
      <c r="D42" s="5" t="s">
        <v>78</v>
      </c>
      <c r="E42" s="6" t="s">
        <v>99</v>
      </c>
      <c r="F42" s="5" t="s">
        <v>48</v>
      </c>
      <c r="G42" s="5" t="s">
        <v>27</v>
      </c>
      <c r="H42" s="5">
        <v>75161.0</v>
      </c>
      <c r="I42" s="5">
        <v>280.0</v>
      </c>
      <c r="J42" s="5">
        <v>40385.0</v>
      </c>
      <c r="K42" s="5">
        <v>70325.0</v>
      </c>
      <c r="L42" s="5">
        <v>3.0</v>
      </c>
      <c r="M42" s="5">
        <v>1506.461108</v>
      </c>
    </row>
    <row r="43">
      <c r="A43" s="4" t="s">
        <v>100</v>
      </c>
      <c r="B43" s="5" t="s">
        <v>15</v>
      </c>
      <c r="C43" s="5" t="s">
        <v>16</v>
      </c>
      <c r="D43" s="5" t="s">
        <v>78</v>
      </c>
      <c r="E43" s="6" t="s">
        <v>101</v>
      </c>
      <c r="F43" s="5" t="s">
        <v>46</v>
      </c>
      <c r="G43" s="5" t="s">
        <v>20</v>
      </c>
      <c r="H43" s="5">
        <v>12770.0</v>
      </c>
      <c r="I43" s="5">
        <v>84.0</v>
      </c>
      <c r="J43" s="5">
        <v>6224.0</v>
      </c>
      <c r="K43" s="5">
        <v>11110.0</v>
      </c>
      <c r="L43" s="5">
        <v>21.0</v>
      </c>
      <c r="M43" s="5">
        <v>2087.509827</v>
      </c>
    </row>
    <row r="44">
      <c r="A44" s="4" t="s">
        <v>102</v>
      </c>
      <c r="B44" s="5" t="s">
        <v>15</v>
      </c>
      <c r="C44" s="5" t="s">
        <v>42</v>
      </c>
      <c r="D44" s="5" t="s">
        <v>35</v>
      </c>
      <c r="E44" s="6" t="s">
        <v>103</v>
      </c>
      <c r="F44" s="5" t="s">
        <v>33</v>
      </c>
      <c r="G44" s="5" t="s">
        <v>27</v>
      </c>
      <c r="H44" s="5">
        <v>117713.0</v>
      </c>
      <c r="I44" s="5">
        <v>374.0</v>
      </c>
      <c r="J44" s="5">
        <v>16357.0</v>
      </c>
      <c r="K44" s="5">
        <v>100222.0</v>
      </c>
      <c r="L44" s="5">
        <v>5.0</v>
      </c>
      <c r="M44" s="5">
        <v>2505.403543</v>
      </c>
    </row>
    <row r="45">
      <c r="A45" s="4" t="s">
        <v>104</v>
      </c>
      <c r="B45" s="5" t="s">
        <v>15</v>
      </c>
      <c r="C45" s="5" t="s">
        <v>16</v>
      </c>
      <c r="D45" s="5" t="s">
        <v>35</v>
      </c>
      <c r="E45" s="6" t="s">
        <v>105</v>
      </c>
      <c r="F45" s="5" t="s">
        <v>26</v>
      </c>
      <c r="G45" s="5" t="s">
        <v>20</v>
      </c>
      <c r="H45" s="5">
        <v>26558.0</v>
      </c>
      <c r="I45" s="5">
        <v>111.0</v>
      </c>
      <c r="J45" s="5">
        <v>15761.0</v>
      </c>
      <c r="K45" s="5">
        <v>23532.0</v>
      </c>
      <c r="L45" s="5">
        <v>14.0</v>
      </c>
      <c r="M45" s="5">
        <v>6751.558981</v>
      </c>
    </row>
    <row r="46">
      <c r="A46" s="4" t="s">
        <v>106</v>
      </c>
      <c r="B46" s="5" t="s">
        <v>15</v>
      </c>
      <c r="C46" s="5" t="s">
        <v>23</v>
      </c>
      <c r="D46" s="5" t="s">
        <v>95</v>
      </c>
      <c r="E46" s="6" t="s">
        <v>105</v>
      </c>
      <c r="F46" s="5" t="s">
        <v>19</v>
      </c>
      <c r="G46" s="5" t="s">
        <v>27</v>
      </c>
      <c r="H46" s="5">
        <v>53464.0</v>
      </c>
      <c r="I46" s="5">
        <v>212.0</v>
      </c>
      <c r="J46" s="5">
        <v>22151.0</v>
      </c>
      <c r="K46" s="5">
        <v>49058.0</v>
      </c>
      <c r="L46" s="5">
        <v>9.0</v>
      </c>
      <c r="M46" s="5">
        <v>5741.098045</v>
      </c>
    </row>
    <row r="47">
      <c r="A47" s="4" t="s">
        <v>107</v>
      </c>
      <c r="B47" s="5" t="s">
        <v>61</v>
      </c>
      <c r="C47" s="5" t="s">
        <v>42</v>
      </c>
      <c r="D47" s="5" t="s">
        <v>29</v>
      </c>
      <c r="E47" s="6" t="s">
        <v>105</v>
      </c>
      <c r="F47" s="5" t="s">
        <v>46</v>
      </c>
      <c r="G47" s="5" t="s">
        <v>27</v>
      </c>
      <c r="H47" s="5">
        <v>13686.0</v>
      </c>
      <c r="I47" s="5">
        <v>66.0</v>
      </c>
      <c r="J47" s="5">
        <v>7928.0</v>
      </c>
      <c r="K47" s="5">
        <v>11931.0</v>
      </c>
      <c r="L47" s="5">
        <v>11.0</v>
      </c>
      <c r="M47" s="5">
        <v>4660.560369</v>
      </c>
    </row>
    <row r="48">
      <c r="A48" s="4" t="s">
        <v>108</v>
      </c>
      <c r="B48" s="5" t="s">
        <v>22</v>
      </c>
      <c r="C48" s="5" t="s">
        <v>23</v>
      </c>
      <c r="D48" s="5" t="s">
        <v>24</v>
      </c>
      <c r="E48" s="6" t="s">
        <v>105</v>
      </c>
      <c r="F48" s="5" t="s">
        <v>19</v>
      </c>
      <c r="G48" s="5" t="s">
        <v>27</v>
      </c>
      <c r="H48" s="5">
        <v>17752.0</v>
      </c>
      <c r="I48" s="5">
        <v>98.0</v>
      </c>
      <c r="J48" s="5">
        <v>5855.0</v>
      </c>
      <c r="K48" s="5">
        <v>15753.0</v>
      </c>
      <c r="L48" s="5">
        <v>5.0</v>
      </c>
      <c r="M48" s="5">
        <v>2200.297094</v>
      </c>
    </row>
    <row r="49">
      <c r="A49" s="4" t="s">
        <v>109</v>
      </c>
      <c r="B49" s="5" t="s">
        <v>15</v>
      </c>
      <c r="C49" s="5" t="s">
        <v>42</v>
      </c>
      <c r="D49" s="5" t="s">
        <v>78</v>
      </c>
      <c r="E49" s="6" t="s">
        <v>105</v>
      </c>
      <c r="F49" s="5" t="s">
        <v>19</v>
      </c>
      <c r="G49" s="5" t="s">
        <v>52</v>
      </c>
      <c r="H49" s="5">
        <v>32845.0</v>
      </c>
      <c r="I49" s="5">
        <v>164.0</v>
      </c>
      <c r="J49" s="5">
        <v>16163.0</v>
      </c>
      <c r="K49" s="5">
        <v>30368.0</v>
      </c>
      <c r="L49" s="5">
        <v>5.0</v>
      </c>
      <c r="M49" s="5">
        <v>1910.436686</v>
      </c>
    </row>
    <row r="50">
      <c r="A50" s="4" t="s">
        <v>110</v>
      </c>
      <c r="B50" s="5" t="s">
        <v>22</v>
      </c>
      <c r="C50" s="5" t="s">
        <v>23</v>
      </c>
      <c r="D50" s="5" t="s">
        <v>35</v>
      </c>
      <c r="E50" s="6" t="s">
        <v>111</v>
      </c>
      <c r="F50" s="5" t="s">
        <v>19</v>
      </c>
      <c r="G50" s="5" t="s">
        <v>27</v>
      </c>
      <c r="H50" s="5">
        <v>15322.0</v>
      </c>
      <c r="I50" s="5">
        <v>55.0</v>
      </c>
      <c r="J50" s="5">
        <v>6416.0</v>
      </c>
      <c r="K50" s="5">
        <v>14049.0</v>
      </c>
      <c r="L50" s="5">
        <v>5.0</v>
      </c>
      <c r="M50" s="5">
        <v>1850.464205</v>
      </c>
    </row>
    <row r="51">
      <c r="A51" s="4" t="s">
        <v>112</v>
      </c>
      <c r="B51" s="5" t="s">
        <v>15</v>
      </c>
      <c r="C51" s="5" t="s">
        <v>16</v>
      </c>
      <c r="D51" s="5" t="s">
        <v>78</v>
      </c>
      <c r="E51" s="6" t="s">
        <v>113</v>
      </c>
      <c r="F51" s="5" t="s">
        <v>46</v>
      </c>
      <c r="G51" s="5" t="s">
        <v>27</v>
      </c>
      <c r="H51" s="5">
        <v>18458.0</v>
      </c>
      <c r="I51" s="5">
        <v>111.0</v>
      </c>
      <c r="J51" s="5">
        <v>3623.0</v>
      </c>
      <c r="K51" s="5">
        <v>16934.0</v>
      </c>
      <c r="L51" s="5">
        <v>6.0</v>
      </c>
      <c r="M51" s="5">
        <v>2866.496671</v>
      </c>
    </row>
    <row r="52">
      <c r="A52" s="4" t="s">
        <v>114</v>
      </c>
      <c r="B52" s="5" t="s">
        <v>22</v>
      </c>
      <c r="C52" s="5" t="s">
        <v>42</v>
      </c>
      <c r="D52" s="5" t="s">
        <v>35</v>
      </c>
      <c r="E52" s="6" t="s">
        <v>115</v>
      </c>
      <c r="F52" s="5" t="s">
        <v>19</v>
      </c>
      <c r="G52" s="5" t="s">
        <v>27</v>
      </c>
      <c r="H52" s="5">
        <v>108559.0</v>
      </c>
      <c r="I52" s="5">
        <v>212.0</v>
      </c>
      <c r="J52" s="5">
        <v>79254.0</v>
      </c>
      <c r="K52" s="5">
        <v>100563.0</v>
      </c>
      <c r="L52" s="5">
        <v>7.0</v>
      </c>
      <c r="M52" s="5">
        <v>6850.576483</v>
      </c>
    </row>
    <row r="53">
      <c r="A53" s="4" t="s">
        <v>116</v>
      </c>
      <c r="B53" s="5" t="s">
        <v>22</v>
      </c>
      <c r="C53" s="5" t="s">
        <v>42</v>
      </c>
      <c r="D53" s="5" t="s">
        <v>35</v>
      </c>
      <c r="E53" s="6" t="s">
        <v>115</v>
      </c>
      <c r="F53" s="5" t="s">
        <v>117</v>
      </c>
      <c r="G53" s="5" t="s">
        <v>27</v>
      </c>
      <c r="H53" s="5">
        <v>106151.0</v>
      </c>
      <c r="I53" s="5">
        <v>299.0</v>
      </c>
      <c r="J53" s="5">
        <v>75304.0</v>
      </c>
      <c r="K53" s="5">
        <v>99311.0</v>
      </c>
      <c r="L53" s="5">
        <v>9.0</v>
      </c>
      <c r="M53" s="5">
        <v>6616.88066</v>
      </c>
    </row>
    <row r="54">
      <c r="A54" s="4" t="s">
        <v>118</v>
      </c>
      <c r="B54" s="5" t="s">
        <v>22</v>
      </c>
      <c r="C54" s="5" t="s">
        <v>42</v>
      </c>
      <c r="D54" s="5" t="s">
        <v>84</v>
      </c>
      <c r="E54" s="6" t="s">
        <v>115</v>
      </c>
      <c r="F54" s="5" t="s">
        <v>36</v>
      </c>
      <c r="G54" s="5" t="s">
        <v>27</v>
      </c>
      <c r="H54" s="5">
        <v>149618.0</v>
      </c>
      <c r="I54" s="5">
        <v>260.0</v>
      </c>
      <c r="J54" s="5">
        <v>126031.0</v>
      </c>
      <c r="K54" s="5">
        <v>140596.0</v>
      </c>
      <c r="L54" s="5">
        <v>26.0</v>
      </c>
      <c r="M54" s="5">
        <v>6605.586158</v>
      </c>
    </row>
    <row r="55">
      <c r="A55" s="4" t="s">
        <v>119</v>
      </c>
      <c r="B55" s="5" t="s">
        <v>22</v>
      </c>
      <c r="C55" s="5" t="s">
        <v>42</v>
      </c>
      <c r="D55" s="5" t="s">
        <v>35</v>
      </c>
      <c r="E55" s="6" t="s">
        <v>115</v>
      </c>
      <c r="F55" s="5" t="s">
        <v>117</v>
      </c>
      <c r="G55" s="5" t="s">
        <v>27</v>
      </c>
      <c r="H55" s="5">
        <v>114384.0</v>
      </c>
      <c r="I55" s="5">
        <v>100.0</v>
      </c>
      <c r="J55" s="5">
        <v>61524.0</v>
      </c>
      <c r="K55" s="5">
        <v>105104.0</v>
      </c>
      <c r="L55" s="5">
        <v>12.0</v>
      </c>
      <c r="M55" s="5">
        <v>5803.331454</v>
      </c>
    </row>
    <row r="56">
      <c r="A56" s="4" t="s">
        <v>120</v>
      </c>
      <c r="B56" s="5" t="s">
        <v>22</v>
      </c>
      <c r="C56" s="5" t="s">
        <v>16</v>
      </c>
      <c r="D56" s="5" t="s">
        <v>121</v>
      </c>
      <c r="E56" s="6" t="s">
        <v>115</v>
      </c>
      <c r="F56" s="5" t="s">
        <v>80</v>
      </c>
      <c r="G56" s="5" t="s">
        <v>27</v>
      </c>
      <c r="H56" s="5">
        <v>43367.0</v>
      </c>
      <c r="I56" s="5">
        <v>111.0</v>
      </c>
      <c r="J56" s="5">
        <v>14306.0</v>
      </c>
      <c r="K56" s="5">
        <v>39750.0</v>
      </c>
      <c r="L56" s="5">
        <v>12.0</v>
      </c>
      <c r="M56" s="5">
        <v>5214.298693</v>
      </c>
    </row>
    <row r="57">
      <c r="A57" s="4" t="s">
        <v>122</v>
      </c>
      <c r="B57" s="5" t="s">
        <v>15</v>
      </c>
      <c r="C57" s="5" t="s">
        <v>31</v>
      </c>
      <c r="D57" s="5" t="s">
        <v>35</v>
      </c>
      <c r="E57" s="6" t="s">
        <v>115</v>
      </c>
      <c r="F57" s="5" t="s">
        <v>19</v>
      </c>
      <c r="G57" s="5" t="s">
        <v>52</v>
      </c>
      <c r="H57" s="5">
        <v>113420.0</v>
      </c>
      <c r="I57" s="5">
        <v>333.0</v>
      </c>
      <c r="J57" s="5">
        <v>33557.0</v>
      </c>
      <c r="K57" s="5">
        <v>104929.0</v>
      </c>
      <c r="L57" s="5">
        <v>11.0</v>
      </c>
      <c r="M57" s="5">
        <v>5124.435934</v>
      </c>
    </row>
    <row r="58">
      <c r="A58" s="4" t="s">
        <v>123</v>
      </c>
      <c r="B58" s="5" t="s">
        <v>15</v>
      </c>
      <c r="C58" s="5" t="s">
        <v>23</v>
      </c>
      <c r="D58" s="5" t="s">
        <v>55</v>
      </c>
      <c r="E58" s="6" t="s">
        <v>115</v>
      </c>
      <c r="F58" s="5" t="s">
        <v>19</v>
      </c>
      <c r="G58" s="5" t="s">
        <v>52</v>
      </c>
      <c r="H58" s="5">
        <v>88293.0</v>
      </c>
      <c r="I58" s="5">
        <v>255.0</v>
      </c>
      <c r="J58" s="5">
        <v>24101.0</v>
      </c>
      <c r="K58" s="5">
        <v>75557.0</v>
      </c>
      <c r="L58" s="5">
        <v>19.0</v>
      </c>
      <c r="M58" s="5">
        <v>5054.481581</v>
      </c>
    </row>
    <row r="59">
      <c r="A59" s="4" t="s">
        <v>124</v>
      </c>
      <c r="B59" s="5" t="s">
        <v>22</v>
      </c>
      <c r="C59" s="5" t="s">
        <v>16</v>
      </c>
      <c r="D59" s="5" t="s">
        <v>35</v>
      </c>
      <c r="E59" s="6" t="s">
        <v>115</v>
      </c>
      <c r="F59" s="5" t="s">
        <v>19</v>
      </c>
      <c r="G59" s="5" t="s">
        <v>27</v>
      </c>
      <c r="H59" s="5">
        <v>26715.0</v>
      </c>
      <c r="I59" s="5">
        <v>100.0</v>
      </c>
      <c r="J59" s="5">
        <v>12287.0</v>
      </c>
      <c r="K59" s="5">
        <v>25003.0</v>
      </c>
      <c r="L59" s="5">
        <v>6.0</v>
      </c>
      <c r="M59" s="5">
        <v>4623.089672</v>
      </c>
    </row>
    <row r="60">
      <c r="A60" s="4" t="s">
        <v>125</v>
      </c>
      <c r="B60" s="5" t="s">
        <v>22</v>
      </c>
      <c r="C60" s="5" t="s">
        <v>31</v>
      </c>
      <c r="D60" s="5" t="s">
        <v>126</v>
      </c>
      <c r="E60" s="6" t="s">
        <v>115</v>
      </c>
      <c r="F60" s="5" t="s">
        <v>19</v>
      </c>
      <c r="G60" s="5" t="s">
        <v>27</v>
      </c>
      <c r="H60" s="5">
        <v>65380.0</v>
      </c>
      <c r="I60" s="5">
        <v>208.0</v>
      </c>
      <c r="J60" s="5">
        <v>30039.0</v>
      </c>
      <c r="K60" s="5">
        <v>60482.0</v>
      </c>
      <c r="L60" s="5">
        <v>5.0</v>
      </c>
      <c r="M60" s="5">
        <v>2905.884162</v>
      </c>
    </row>
    <row r="61">
      <c r="A61" s="4" t="s">
        <v>127</v>
      </c>
      <c r="B61" s="5" t="s">
        <v>15</v>
      </c>
      <c r="C61" s="5" t="s">
        <v>42</v>
      </c>
      <c r="D61" s="5" t="s">
        <v>17</v>
      </c>
      <c r="E61" s="6" t="s">
        <v>115</v>
      </c>
      <c r="F61" s="5" t="s">
        <v>19</v>
      </c>
      <c r="G61" s="5" t="s">
        <v>27</v>
      </c>
      <c r="H61" s="5">
        <v>130796.0</v>
      </c>
      <c r="I61" s="5">
        <v>300.0</v>
      </c>
      <c r="J61" s="5">
        <v>109118.0</v>
      </c>
      <c r="K61" s="5">
        <v>122937.0</v>
      </c>
      <c r="L61" s="5">
        <v>6.0</v>
      </c>
      <c r="M61" s="5">
        <v>2196.661232</v>
      </c>
    </row>
    <row r="62">
      <c r="A62" s="4" t="s">
        <v>128</v>
      </c>
      <c r="B62" s="5" t="s">
        <v>15</v>
      </c>
      <c r="C62" s="5" t="s">
        <v>16</v>
      </c>
      <c r="D62" s="5" t="s">
        <v>39</v>
      </c>
      <c r="E62" s="6" t="s">
        <v>115</v>
      </c>
      <c r="F62" s="5" t="s">
        <v>19</v>
      </c>
      <c r="G62" s="5" t="s">
        <v>52</v>
      </c>
      <c r="H62" s="5">
        <v>64892.0</v>
      </c>
      <c r="I62" s="5">
        <v>214.0</v>
      </c>
      <c r="J62" s="5">
        <v>34731.0</v>
      </c>
      <c r="K62" s="5">
        <v>59369.0</v>
      </c>
      <c r="L62" s="5">
        <v>24.0</v>
      </c>
      <c r="M62" s="5">
        <v>2096.285549</v>
      </c>
    </row>
    <row r="63">
      <c r="A63" s="4" t="s">
        <v>129</v>
      </c>
      <c r="B63" s="5" t="s">
        <v>15</v>
      </c>
      <c r="C63" s="5" t="s">
        <v>42</v>
      </c>
      <c r="D63" s="5" t="s">
        <v>35</v>
      </c>
      <c r="E63" s="6" t="s">
        <v>115</v>
      </c>
      <c r="F63" s="5" t="s">
        <v>36</v>
      </c>
      <c r="G63" s="5" t="s">
        <v>27</v>
      </c>
      <c r="H63" s="5">
        <v>210096.0</v>
      </c>
      <c r="I63" s="5">
        <v>590.0</v>
      </c>
      <c r="J63" s="5">
        <v>90928.0</v>
      </c>
      <c r="K63" s="5">
        <v>184823.0</v>
      </c>
      <c r="L63" s="5">
        <v>4.0</v>
      </c>
      <c r="M63" s="5">
        <v>2027.431388</v>
      </c>
    </row>
    <row r="64">
      <c r="A64" s="4" t="s">
        <v>130</v>
      </c>
      <c r="B64" s="5" t="s">
        <v>22</v>
      </c>
      <c r="C64" s="5" t="s">
        <v>16</v>
      </c>
      <c r="D64" s="5" t="s">
        <v>131</v>
      </c>
      <c r="E64" s="6" t="s">
        <v>115</v>
      </c>
      <c r="F64" s="5" t="s">
        <v>19</v>
      </c>
      <c r="G64" s="5" t="s">
        <v>27</v>
      </c>
      <c r="H64" s="5">
        <v>77313.0</v>
      </c>
      <c r="I64" s="5">
        <v>191.0</v>
      </c>
      <c r="J64" s="5">
        <v>40366.0</v>
      </c>
      <c r="K64" s="5">
        <v>71128.0</v>
      </c>
      <c r="L64" s="5">
        <v>3.0</v>
      </c>
      <c r="M64" s="5">
        <v>1790.390198</v>
      </c>
    </row>
    <row r="65">
      <c r="A65" s="4" t="s">
        <v>132</v>
      </c>
      <c r="B65" s="5" t="s">
        <v>15</v>
      </c>
      <c r="C65" s="5" t="s">
        <v>42</v>
      </c>
      <c r="D65" s="5" t="s">
        <v>84</v>
      </c>
      <c r="E65" s="6" t="s">
        <v>115</v>
      </c>
      <c r="F65" s="5" t="s">
        <v>36</v>
      </c>
      <c r="G65" s="5" t="s">
        <v>27</v>
      </c>
      <c r="H65" s="5">
        <v>188170.0</v>
      </c>
      <c r="I65" s="5">
        <v>490.0</v>
      </c>
      <c r="J65" s="5">
        <v>155266.0</v>
      </c>
      <c r="K65" s="5">
        <v>176562.0</v>
      </c>
      <c r="L65" s="5">
        <v>6.0</v>
      </c>
      <c r="M65" s="5">
        <v>1599.715069</v>
      </c>
    </row>
    <row r="66">
      <c r="A66" s="4" t="s">
        <v>133</v>
      </c>
      <c r="B66" s="5" t="s">
        <v>15</v>
      </c>
      <c r="C66" s="5" t="s">
        <v>23</v>
      </c>
      <c r="D66" s="5" t="s">
        <v>17</v>
      </c>
      <c r="E66" s="6" t="s">
        <v>115</v>
      </c>
      <c r="F66" s="5" t="s">
        <v>19</v>
      </c>
      <c r="G66" s="5" t="s">
        <v>52</v>
      </c>
      <c r="H66" s="5">
        <v>16808.0</v>
      </c>
      <c r="I66" s="5">
        <v>43.0</v>
      </c>
      <c r="J66" s="5">
        <v>9211.0</v>
      </c>
      <c r="K66" s="5">
        <v>13372.0</v>
      </c>
      <c r="L66" s="5">
        <v>3.0</v>
      </c>
      <c r="M66" s="5">
        <v>1574.79128</v>
      </c>
    </row>
    <row r="67">
      <c r="A67" s="4" t="s">
        <v>134</v>
      </c>
      <c r="B67" s="5" t="s">
        <v>15</v>
      </c>
      <c r="C67" s="5" t="s">
        <v>16</v>
      </c>
      <c r="D67" s="5" t="s">
        <v>39</v>
      </c>
      <c r="E67" s="6" t="s">
        <v>115</v>
      </c>
      <c r="F67" s="5" t="s">
        <v>19</v>
      </c>
      <c r="G67" s="5" t="s">
        <v>52</v>
      </c>
      <c r="H67" s="5">
        <v>21531.0</v>
      </c>
      <c r="I67" s="5">
        <v>55.0</v>
      </c>
      <c r="J67" s="5">
        <v>15593.0</v>
      </c>
      <c r="K67" s="5">
        <v>18617.0</v>
      </c>
      <c r="L67" s="5">
        <v>6.0</v>
      </c>
      <c r="M67" s="5">
        <v>1470.971925</v>
      </c>
    </row>
    <row r="68">
      <c r="A68" s="4" t="s">
        <v>135</v>
      </c>
      <c r="B68" s="5" t="s">
        <v>15</v>
      </c>
      <c r="C68" s="5" t="s">
        <v>23</v>
      </c>
      <c r="D68" s="5" t="s">
        <v>78</v>
      </c>
      <c r="E68" s="6" t="s">
        <v>115</v>
      </c>
      <c r="F68" s="5" t="s">
        <v>136</v>
      </c>
      <c r="G68" s="5" t="s">
        <v>20</v>
      </c>
      <c r="H68" s="5">
        <v>18313.0</v>
      </c>
      <c r="I68" s="5">
        <v>60.0</v>
      </c>
      <c r="J68" s="5">
        <v>9481.0</v>
      </c>
      <c r="K68" s="5">
        <v>16300.0</v>
      </c>
      <c r="L68" s="5">
        <v>4.0</v>
      </c>
      <c r="M68" s="5">
        <v>1456.934187</v>
      </c>
    </row>
    <row r="69">
      <c r="A69" s="4" t="s">
        <v>137</v>
      </c>
      <c r="B69" s="5" t="s">
        <v>22</v>
      </c>
      <c r="C69" s="5" t="s">
        <v>42</v>
      </c>
      <c r="D69" s="5" t="s">
        <v>39</v>
      </c>
      <c r="E69" s="6" t="s">
        <v>138</v>
      </c>
      <c r="F69" s="5" t="s">
        <v>19</v>
      </c>
      <c r="G69" s="5" t="s">
        <v>27</v>
      </c>
      <c r="H69" s="5">
        <v>10779.0</v>
      </c>
      <c r="I69" s="5">
        <v>86.0</v>
      </c>
      <c r="J69" s="5">
        <v>6420.0</v>
      </c>
      <c r="K69" s="5">
        <v>10287.0</v>
      </c>
      <c r="L69" s="5">
        <v>3.0</v>
      </c>
      <c r="M69" s="5">
        <v>1759.704833</v>
      </c>
    </row>
    <row r="70">
      <c r="A70" s="4" t="s">
        <v>139</v>
      </c>
      <c r="B70" s="5" t="s">
        <v>22</v>
      </c>
      <c r="C70" s="5" t="s">
        <v>16</v>
      </c>
      <c r="D70" s="5" t="s">
        <v>55</v>
      </c>
      <c r="E70" s="6" t="s">
        <v>140</v>
      </c>
      <c r="F70" s="5" t="s">
        <v>19</v>
      </c>
      <c r="G70" s="5" t="s">
        <v>27</v>
      </c>
      <c r="H70" s="5">
        <v>11325.0</v>
      </c>
      <c r="I70" s="5">
        <v>88.0</v>
      </c>
      <c r="J70" s="5">
        <v>6186.0</v>
      </c>
      <c r="K70" s="5">
        <v>10612.0</v>
      </c>
      <c r="L70" s="5">
        <v>2.0</v>
      </c>
      <c r="M70" s="5">
        <v>1573.25409</v>
      </c>
    </row>
    <row r="71">
      <c r="A71" s="4" t="s">
        <v>141</v>
      </c>
      <c r="B71" s="5" t="s">
        <v>22</v>
      </c>
      <c r="C71" s="5" t="s">
        <v>16</v>
      </c>
      <c r="D71" s="5" t="s">
        <v>142</v>
      </c>
      <c r="E71" s="6" t="s">
        <v>143</v>
      </c>
      <c r="F71" s="5" t="s">
        <v>48</v>
      </c>
      <c r="G71" s="5" t="s">
        <v>27</v>
      </c>
      <c r="H71" s="5">
        <v>9078.0</v>
      </c>
      <c r="I71" s="5">
        <v>21.0</v>
      </c>
      <c r="J71" s="5">
        <v>4051.0</v>
      </c>
      <c r="K71" s="5">
        <v>6215.0</v>
      </c>
      <c r="L71" s="5">
        <v>1.0</v>
      </c>
      <c r="M71" s="5">
        <v>1700.795736</v>
      </c>
    </row>
    <row r="72">
      <c r="A72" s="4" t="s">
        <v>144</v>
      </c>
      <c r="B72" s="5" t="s">
        <v>22</v>
      </c>
      <c r="C72" s="5" t="s">
        <v>42</v>
      </c>
      <c r="D72" s="5" t="s">
        <v>29</v>
      </c>
      <c r="E72" s="6" t="s">
        <v>145</v>
      </c>
      <c r="F72" s="5" t="s">
        <v>19</v>
      </c>
      <c r="G72" s="5" t="s">
        <v>27</v>
      </c>
      <c r="H72" s="5">
        <v>11511.0</v>
      </c>
      <c r="I72" s="5">
        <v>33.0</v>
      </c>
      <c r="J72" s="5">
        <v>8268.0</v>
      </c>
      <c r="K72" s="5">
        <v>11042.0</v>
      </c>
      <c r="L72" s="5">
        <v>3.0</v>
      </c>
      <c r="M72" s="5">
        <v>6815.712325</v>
      </c>
    </row>
    <row r="73">
      <c r="A73" s="4" t="s">
        <v>146</v>
      </c>
      <c r="B73" s="5" t="s">
        <v>22</v>
      </c>
      <c r="C73" s="5" t="s">
        <v>23</v>
      </c>
      <c r="D73" s="5" t="s">
        <v>147</v>
      </c>
      <c r="E73" s="6" t="s">
        <v>145</v>
      </c>
      <c r="F73" s="5" t="s">
        <v>46</v>
      </c>
      <c r="G73" s="5" t="s">
        <v>27</v>
      </c>
      <c r="H73" s="5">
        <v>14047.0</v>
      </c>
      <c r="I73" s="5">
        <v>44.0</v>
      </c>
      <c r="J73" s="5">
        <v>9934.0</v>
      </c>
      <c r="K73" s="5">
        <v>13377.0</v>
      </c>
      <c r="L73" s="5">
        <v>7.0</v>
      </c>
      <c r="M73" s="5">
        <v>5729.650755</v>
      </c>
    </row>
    <row r="74">
      <c r="A74" s="4" t="s">
        <v>148</v>
      </c>
      <c r="B74" s="5" t="s">
        <v>15</v>
      </c>
      <c r="C74" s="5" t="s">
        <v>31</v>
      </c>
      <c r="D74" s="5" t="s">
        <v>17</v>
      </c>
      <c r="E74" s="6" t="s">
        <v>145</v>
      </c>
      <c r="F74" s="5" t="s">
        <v>46</v>
      </c>
      <c r="G74" s="5" t="s">
        <v>27</v>
      </c>
      <c r="H74" s="5">
        <v>20278.0</v>
      </c>
      <c r="I74" s="5">
        <v>74.0</v>
      </c>
      <c r="J74" s="5">
        <v>14227.0</v>
      </c>
      <c r="K74" s="5">
        <v>19480.0</v>
      </c>
      <c r="L74" s="5">
        <v>3.0</v>
      </c>
      <c r="M74" s="5">
        <v>2921.110207</v>
      </c>
    </row>
    <row r="75">
      <c r="A75" s="4" t="s">
        <v>149</v>
      </c>
      <c r="B75" s="5" t="s">
        <v>22</v>
      </c>
      <c r="C75" s="5" t="s">
        <v>31</v>
      </c>
      <c r="D75" s="5" t="s">
        <v>150</v>
      </c>
      <c r="E75" s="6" t="s">
        <v>145</v>
      </c>
      <c r="F75" s="5" t="s">
        <v>36</v>
      </c>
      <c r="G75" s="5" t="s">
        <v>27</v>
      </c>
      <c r="H75" s="5">
        <v>12354.0</v>
      </c>
      <c r="I75" s="5">
        <v>10.0</v>
      </c>
      <c r="J75" s="5">
        <v>8561.0</v>
      </c>
      <c r="K75" s="5">
        <v>11782.0</v>
      </c>
      <c r="L75" s="5">
        <v>5.0</v>
      </c>
      <c r="M75" s="5">
        <v>1808.307918</v>
      </c>
    </row>
    <row r="76">
      <c r="A76" s="4" t="s">
        <v>151</v>
      </c>
      <c r="B76" s="5" t="s">
        <v>15</v>
      </c>
      <c r="C76" s="5" t="s">
        <v>16</v>
      </c>
      <c r="D76" s="5" t="s">
        <v>35</v>
      </c>
      <c r="E76" s="6" t="s">
        <v>145</v>
      </c>
      <c r="F76" s="5" t="s">
        <v>19</v>
      </c>
      <c r="G76" s="5" t="s">
        <v>27</v>
      </c>
      <c r="H76" s="5">
        <v>13132.0</v>
      </c>
      <c r="I76" s="5">
        <v>67.0</v>
      </c>
      <c r="J76" s="5">
        <v>6133.0</v>
      </c>
      <c r="K76" s="5">
        <v>12377.0</v>
      </c>
      <c r="L76" s="5">
        <v>4.0</v>
      </c>
      <c r="M76" s="5">
        <v>1807.693142</v>
      </c>
    </row>
    <row r="77">
      <c r="A77" s="4" t="s">
        <v>152</v>
      </c>
      <c r="B77" s="5" t="s">
        <v>15</v>
      </c>
      <c r="C77" s="5" t="s">
        <v>42</v>
      </c>
      <c r="D77" s="5" t="s">
        <v>95</v>
      </c>
      <c r="E77" s="6" t="s">
        <v>153</v>
      </c>
      <c r="F77" s="5" t="s">
        <v>136</v>
      </c>
      <c r="G77" s="5" t="s">
        <v>27</v>
      </c>
      <c r="H77" s="5">
        <v>35034.0</v>
      </c>
      <c r="I77" s="5">
        <v>145.0</v>
      </c>
      <c r="J77" s="5">
        <v>13904.0</v>
      </c>
      <c r="K77" s="5">
        <v>34123.0</v>
      </c>
      <c r="L77" s="5">
        <v>3.0</v>
      </c>
      <c r="M77" s="5">
        <v>2141.469346</v>
      </c>
    </row>
    <row r="78">
      <c r="A78" s="4" t="s">
        <v>154</v>
      </c>
      <c r="B78" s="5" t="s">
        <v>61</v>
      </c>
      <c r="C78" s="5" t="s">
        <v>16</v>
      </c>
      <c r="D78" s="5" t="s">
        <v>155</v>
      </c>
      <c r="E78" s="6" t="s">
        <v>156</v>
      </c>
      <c r="F78" s="5" t="s">
        <v>19</v>
      </c>
      <c r="G78" s="5" t="s">
        <v>27</v>
      </c>
      <c r="H78" s="5">
        <v>9946.0</v>
      </c>
      <c r="I78" s="5">
        <v>20.0</v>
      </c>
      <c r="J78" s="5">
        <v>4818.0</v>
      </c>
      <c r="K78" s="5">
        <v>7382.0</v>
      </c>
      <c r="L78" s="5">
        <v>3.0</v>
      </c>
      <c r="M78" s="5">
        <v>1525.962329</v>
      </c>
    </row>
    <row r="79">
      <c r="A79" s="4" t="s">
        <v>157</v>
      </c>
      <c r="B79" s="5" t="s">
        <v>22</v>
      </c>
      <c r="C79" s="5" t="s">
        <v>16</v>
      </c>
      <c r="D79" s="5" t="s">
        <v>55</v>
      </c>
      <c r="E79" s="6" t="s">
        <v>158</v>
      </c>
      <c r="F79" s="5" t="s">
        <v>19</v>
      </c>
      <c r="G79" s="5" t="s">
        <v>27</v>
      </c>
      <c r="H79" s="5">
        <v>8068.0</v>
      </c>
      <c r="I79" s="5">
        <v>10.0</v>
      </c>
      <c r="J79" s="5">
        <v>5545.0</v>
      </c>
      <c r="K79" s="5">
        <v>7554.0</v>
      </c>
      <c r="L79" s="5">
        <v>1.0</v>
      </c>
      <c r="M79" s="5">
        <v>5995.041002</v>
      </c>
    </row>
    <row r="80">
      <c r="A80" s="4" t="s">
        <v>159</v>
      </c>
      <c r="B80" s="5" t="s">
        <v>22</v>
      </c>
      <c r="C80" s="5" t="s">
        <v>16</v>
      </c>
      <c r="D80" s="5" t="s">
        <v>39</v>
      </c>
      <c r="E80" s="6" t="s">
        <v>160</v>
      </c>
      <c r="F80" s="5" t="s">
        <v>161</v>
      </c>
      <c r="G80" s="5" t="s">
        <v>27</v>
      </c>
      <c r="H80" s="5">
        <v>11919.0</v>
      </c>
      <c r="I80" s="5">
        <v>69.0</v>
      </c>
      <c r="J80" s="5">
        <v>8100.0</v>
      </c>
      <c r="K80" s="5">
        <v>11524.0</v>
      </c>
      <c r="L80" s="5">
        <v>2.0</v>
      </c>
      <c r="M80" s="5">
        <v>6350.916905</v>
      </c>
    </row>
    <row r="81">
      <c r="A81" s="4" t="s">
        <v>162</v>
      </c>
      <c r="B81" s="5" t="s">
        <v>22</v>
      </c>
      <c r="C81" s="5" t="s">
        <v>23</v>
      </c>
      <c r="D81" s="5" t="s">
        <v>55</v>
      </c>
      <c r="E81" s="6" t="s">
        <v>160</v>
      </c>
      <c r="F81" s="5" t="s">
        <v>19</v>
      </c>
      <c r="G81" s="5" t="s">
        <v>27</v>
      </c>
      <c r="H81" s="5">
        <v>35163.0</v>
      </c>
      <c r="I81" s="5">
        <v>250.0</v>
      </c>
      <c r="J81" s="5">
        <v>21222.0</v>
      </c>
      <c r="K81" s="5">
        <v>33671.0</v>
      </c>
      <c r="L81" s="5">
        <v>15.0</v>
      </c>
      <c r="M81" s="5">
        <v>6336.7181</v>
      </c>
    </row>
    <row r="82">
      <c r="A82" s="4" t="s">
        <v>163</v>
      </c>
      <c r="B82" s="5" t="s">
        <v>15</v>
      </c>
      <c r="C82" s="5" t="s">
        <v>42</v>
      </c>
      <c r="D82" s="5" t="s">
        <v>35</v>
      </c>
      <c r="E82" s="6" t="s">
        <v>160</v>
      </c>
      <c r="F82" s="5" t="s">
        <v>19</v>
      </c>
      <c r="G82" s="5" t="s">
        <v>52</v>
      </c>
      <c r="H82" s="5">
        <v>27202.0</v>
      </c>
      <c r="I82" s="5">
        <v>70.0</v>
      </c>
      <c r="J82" s="5">
        <v>5202.0</v>
      </c>
      <c r="K82" s="5">
        <v>23474.0</v>
      </c>
      <c r="L82" s="5">
        <v>11.0</v>
      </c>
      <c r="M82" s="5">
        <v>4253.979116</v>
      </c>
    </row>
    <row r="83">
      <c r="A83" s="4" t="s">
        <v>164</v>
      </c>
      <c r="B83" s="5" t="s">
        <v>22</v>
      </c>
      <c r="C83" s="5" t="s">
        <v>16</v>
      </c>
      <c r="D83" s="5" t="s">
        <v>17</v>
      </c>
      <c r="E83" s="6" t="s">
        <v>160</v>
      </c>
      <c r="F83" s="5" t="s">
        <v>19</v>
      </c>
      <c r="G83" s="5" t="s">
        <v>27</v>
      </c>
      <c r="H83" s="5">
        <v>59782.0</v>
      </c>
      <c r="I83" s="5">
        <v>212.0</v>
      </c>
      <c r="J83" s="5">
        <v>28235.0</v>
      </c>
      <c r="K83" s="5">
        <v>57543.0</v>
      </c>
      <c r="L83" s="5">
        <v>13.0</v>
      </c>
      <c r="M83" s="5">
        <v>1455.703554</v>
      </c>
    </row>
    <row r="84">
      <c r="A84" s="4" t="s">
        <v>165</v>
      </c>
      <c r="B84" s="5" t="s">
        <v>15</v>
      </c>
      <c r="C84" s="5" t="s">
        <v>16</v>
      </c>
      <c r="D84" s="5" t="s">
        <v>39</v>
      </c>
      <c r="E84" s="6" t="s">
        <v>166</v>
      </c>
      <c r="F84" s="5" t="s">
        <v>167</v>
      </c>
      <c r="G84" s="5" t="s">
        <v>20</v>
      </c>
      <c r="H84" s="5">
        <v>10066.0</v>
      </c>
      <c r="I84" s="5">
        <v>63.0</v>
      </c>
      <c r="J84" s="5">
        <v>6978.0</v>
      </c>
      <c r="K84" s="5">
        <v>9369.0</v>
      </c>
      <c r="L84" s="5">
        <v>19.0</v>
      </c>
      <c r="M84" s="5">
        <v>6879.587097</v>
      </c>
    </row>
    <row r="85">
      <c r="A85" s="4" t="s">
        <v>168</v>
      </c>
      <c r="B85" s="5" t="s">
        <v>15</v>
      </c>
      <c r="C85" s="5" t="s">
        <v>16</v>
      </c>
      <c r="D85" s="5" t="s">
        <v>35</v>
      </c>
      <c r="E85" s="6" t="s">
        <v>166</v>
      </c>
      <c r="F85" s="5" t="s">
        <v>161</v>
      </c>
      <c r="G85" s="5" t="s">
        <v>27</v>
      </c>
      <c r="H85" s="5">
        <v>11296.0</v>
      </c>
      <c r="I85" s="5">
        <v>54.0</v>
      </c>
      <c r="J85" s="5">
        <v>6822.0</v>
      </c>
      <c r="K85" s="5">
        <v>9274.0</v>
      </c>
      <c r="L85" s="5">
        <v>4.0</v>
      </c>
      <c r="M85" s="5">
        <v>1682.338499</v>
      </c>
    </row>
    <row r="86">
      <c r="A86" s="4" t="s">
        <v>169</v>
      </c>
      <c r="B86" s="5" t="s">
        <v>22</v>
      </c>
      <c r="C86" s="5" t="s">
        <v>31</v>
      </c>
      <c r="D86" s="5" t="s">
        <v>39</v>
      </c>
      <c r="E86" s="6" t="s">
        <v>170</v>
      </c>
      <c r="F86" s="5" t="s">
        <v>19</v>
      </c>
      <c r="G86" s="5" t="s">
        <v>27</v>
      </c>
      <c r="H86" s="5">
        <v>18633.0</v>
      </c>
      <c r="I86" s="5">
        <v>60.0</v>
      </c>
      <c r="J86" s="5">
        <v>9424.0</v>
      </c>
      <c r="K86" s="5">
        <v>18087.0</v>
      </c>
      <c r="L86" s="5">
        <v>15.0</v>
      </c>
      <c r="M86" s="5">
        <v>6785.063293</v>
      </c>
    </row>
    <row r="87">
      <c r="A87" s="4" t="s">
        <v>171</v>
      </c>
      <c r="B87" s="5" t="s">
        <v>22</v>
      </c>
      <c r="C87" s="5" t="s">
        <v>42</v>
      </c>
      <c r="D87" s="5" t="s">
        <v>78</v>
      </c>
      <c r="E87" s="6" t="s">
        <v>170</v>
      </c>
      <c r="F87" s="5" t="s">
        <v>26</v>
      </c>
      <c r="G87" s="5" t="s">
        <v>27</v>
      </c>
      <c r="H87" s="5">
        <v>37176.0</v>
      </c>
      <c r="I87" s="5">
        <v>100.0</v>
      </c>
      <c r="J87" s="5">
        <v>31829.0</v>
      </c>
      <c r="K87" s="5">
        <v>35639.0</v>
      </c>
      <c r="L87" s="5">
        <v>21.0</v>
      </c>
      <c r="M87" s="5">
        <v>6753.595242</v>
      </c>
    </row>
    <row r="88">
      <c r="A88" s="4" t="s">
        <v>172</v>
      </c>
      <c r="B88" s="5" t="s">
        <v>22</v>
      </c>
      <c r="C88" s="5" t="s">
        <v>42</v>
      </c>
      <c r="D88" s="5" t="s">
        <v>173</v>
      </c>
      <c r="E88" s="6" t="s">
        <v>170</v>
      </c>
      <c r="F88" s="5" t="s">
        <v>19</v>
      </c>
      <c r="G88" s="5" t="s">
        <v>27</v>
      </c>
      <c r="H88" s="5">
        <v>29251.0</v>
      </c>
      <c r="I88" s="5">
        <v>95.0</v>
      </c>
      <c r="J88" s="5">
        <v>25060.0</v>
      </c>
      <c r="K88" s="5">
        <v>28038.0</v>
      </c>
      <c r="L88" s="5">
        <v>8.0</v>
      </c>
      <c r="M88" s="5">
        <v>5994.746834</v>
      </c>
    </row>
    <row r="89">
      <c r="A89" s="4" t="s">
        <v>174</v>
      </c>
      <c r="B89" s="5" t="s">
        <v>22</v>
      </c>
      <c r="C89" s="5" t="s">
        <v>16</v>
      </c>
      <c r="D89" s="5" t="s">
        <v>175</v>
      </c>
      <c r="E89" s="6" t="s">
        <v>170</v>
      </c>
      <c r="F89" s="5" t="s">
        <v>117</v>
      </c>
      <c r="G89" s="5" t="s">
        <v>27</v>
      </c>
      <c r="H89" s="5">
        <v>36431.0</v>
      </c>
      <c r="I89" s="5">
        <v>108.0</v>
      </c>
      <c r="J89" s="5">
        <v>31262.0</v>
      </c>
      <c r="K89" s="5">
        <v>35043.0</v>
      </c>
      <c r="L89" s="5">
        <v>11.0</v>
      </c>
      <c r="M89" s="5">
        <v>3285.834522</v>
      </c>
    </row>
    <row r="90">
      <c r="A90" s="4" t="s">
        <v>176</v>
      </c>
      <c r="B90" s="5" t="s">
        <v>15</v>
      </c>
      <c r="C90" s="5" t="s">
        <v>31</v>
      </c>
      <c r="D90" s="5" t="s">
        <v>35</v>
      </c>
      <c r="E90" s="6" t="s">
        <v>170</v>
      </c>
      <c r="F90" s="5" t="s">
        <v>26</v>
      </c>
      <c r="G90" s="5" t="s">
        <v>27</v>
      </c>
      <c r="H90" s="5">
        <v>22004.0</v>
      </c>
      <c r="I90" s="5">
        <v>80.0</v>
      </c>
      <c r="J90" s="5">
        <v>18735.0</v>
      </c>
      <c r="K90" s="5">
        <v>21127.0</v>
      </c>
      <c r="L90" s="5">
        <v>4.0</v>
      </c>
      <c r="M90" s="5">
        <v>1632.472782</v>
      </c>
    </row>
    <row r="91">
      <c r="A91" s="4" t="s">
        <v>177</v>
      </c>
      <c r="B91" s="5" t="s">
        <v>22</v>
      </c>
      <c r="C91" s="5" t="s">
        <v>23</v>
      </c>
      <c r="D91" s="5" t="s">
        <v>173</v>
      </c>
      <c r="E91" s="6" t="s">
        <v>178</v>
      </c>
      <c r="F91" s="5" t="s">
        <v>50</v>
      </c>
      <c r="G91" s="5" t="s">
        <v>27</v>
      </c>
      <c r="H91" s="5">
        <v>16644.0</v>
      </c>
      <c r="I91" s="5">
        <v>10.0</v>
      </c>
      <c r="J91" s="5">
        <v>5055.0</v>
      </c>
      <c r="K91" s="5">
        <v>15831.0</v>
      </c>
      <c r="L91" s="5">
        <v>5.0</v>
      </c>
      <c r="M91" s="5">
        <v>6386.464232</v>
      </c>
    </row>
    <row r="92">
      <c r="A92" s="4" t="s">
        <v>179</v>
      </c>
      <c r="B92" s="5" t="s">
        <v>22</v>
      </c>
      <c r="C92" s="5" t="s">
        <v>31</v>
      </c>
      <c r="D92" s="5" t="s">
        <v>142</v>
      </c>
      <c r="E92" s="6" t="s">
        <v>178</v>
      </c>
      <c r="F92" s="5" t="s">
        <v>117</v>
      </c>
      <c r="G92" s="5" t="s">
        <v>27</v>
      </c>
      <c r="H92" s="5">
        <v>45285.0</v>
      </c>
      <c r="I92" s="5">
        <v>190.0</v>
      </c>
      <c r="J92" s="5">
        <v>30225.0</v>
      </c>
      <c r="K92" s="5">
        <v>43298.0</v>
      </c>
      <c r="L92" s="5">
        <v>11.0</v>
      </c>
      <c r="M92" s="5">
        <v>4728.012406</v>
      </c>
    </row>
    <row r="93">
      <c r="A93" s="4" t="s">
        <v>180</v>
      </c>
      <c r="B93" s="5" t="s">
        <v>22</v>
      </c>
      <c r="C93" s="5" t="s">
        <v>16</v>
      </c>
      <c r="D93" s="5" t="s">
        <v>181</v>
      </c>
      <c r="E93" s="6" t="s">
        <v>178</v>
      </c>
      <c r="F93" s="5" t="s">
        <v>117</v>
      </c>
      <c r="G93" s="5" t="s">
        <v>27</v>
      </c>
      <c r="H93" s="5">
        <v>16227.0</v>
      </c>
      <c r="I93" s="5">
        <v>40.0</v>
      </c>
      <c r="J93" s="5">
        <v>9438.0</v>
      </c>
      <c r="K93" s="5">
        <v>15611.0</v>
      </c>
      <c r="L93" s="5">
        <v>3.0</v>
      </c>
      <c r="M93" s="5">
        <v>1991.94384</v>
      </c>
    </row>
    <row r="94">
      <c r="A94" s="4" t="s">
        <v>182</v>
      </c>
      <c r="B94" s="5" t="s">
        <v>15</v>
      </c>
      <c r="C94" s="5" t="s">
        <v>31</v>
      </c>
      <c r="D94" s="5" t="s">
        <v>183</v>
      </c>
      <c r="E94" s="6" t="s">
        <v>178</v>
      </c>
      <c r="F94" s="5" t="s">
        <v>184</v>
      </c>
      <c r="G94" s="5" t="s">
        <v>27</v>
      </c>
      <c r="H94" s="5">
        <v>7409.0</v>
      </c>
      <c r="I94" s="5">
        <v>10.0</v>
      </c>
      <c r="J94" s="5">
        <v>5009.0</v>
      </c>
      <c r="K94" s="5">
        <v>7160.0</v>
      </c>
      <c r="L94" s="5">
        <v>12.0</v>
      </c>
      <c r="M94" s="5">
        <v>1472.110115</v>
      </c>
    </row>
    <row r="95">
      <c r="A95" s="4" t="s">
        <v>185</v>
      </c>
      <c r="B95" s="5" t="s">
        <v>22</v>
      </c>
      <c r="C95" s="5" t="s">
        <v>23</v>
      </c>
      <c r="D95" s="5" t="s">
        <v>32</v>
      </c>
      <c r="E95" s="6" t="s">
        <v>186</v>
      </c>
      <c r="F95" s="5" t="s">
        <v>19</v>
      </c>
      <c r="G95" s="5" t="s">
        <v>27</v>
      </c>
      <c r="H95" s="5">
        <v>17582.0</v>
      </c>
      <c r="I95" s="5">
        <v>56.0</v>
      </c>
      <c r="J95" s="5">
        <v>9848.0</v>
      </c>
      <c r="K95" s="5">
        <v>16558.0</v>
      </c>
      <c r="L95" s="5">
        <v>12.0</v>
      </c>
      <c r="M95" s="5">
        <v>6846.447915</v>
      </c>
    </row>
    <row r="96">
      <c r="A96" s="4" t="s">
        <v>187</v>
      </c>
      <c r="B96" s="5" t="s">
        <v>15</v>
      </c>
      <c r="C96" s="5" t="s">
        <v>31</v>
      </c>
      <c r="D96" s="5" t="s">
        <v>78</v>
      </c>
      <c r="E96" s="6" t="s">
        <v>186</v>
      </c>
      <c r="F96" s="5" t="s">
        <v>46</v>
      </c>
      <c r="G96" s="5" t="s">
        <v>52</v>
      </c>
      <c r="H96" s="5">
        <v>45711.0</v>
      </c>
      <c r="I96" s="5">
        <v>130.0</v>
      </c>
      <c r="J96" s="5">
        <v>23052.0</v>
      </c>
      <c r="K96" s="5">
        <v>42375.0</v>
      </c>
      <c r="L96" s="5">
        <v>11.0</v>
      </c>
      <c r="M96" s="5">
        <v>6417.876169</v>
      </c>
    </row>
    <row r="97">
      <c r="A97" s="4" t="s">
        <v>188</v>
      </c>
      <c r="B97" s="5" t="s">
        <v>15</v>
      </c>
      <c r="C97" s="5" t="s">
        <v>42</v>
      </c>
      <c r="D97" s="5" t="s">
        <v>32</v>
      </c>
      <c r="E97" s="6" t="s">
        <v>186</v>
      </c>
      <c r="F97" s="5" t="s">
        <v>26</v>
      </c>
      <c r="G97" s="5" t="s">
        <v>52</v>
      </c>
      <c r="H97" s="5">
        <v>48562.0</v>
      </c>
      <c r="I97" s="5">
        <v>150.0</v>
      </c>
      <c r="J97" s="5">
        <v>29108.0</v>
      </c>
      <c r="K97" s="5">
        <v>45570.0</v>
      </c>
      <c r="L97" s="5">
        <v>11.0</v>
      </c>
      <c r="M97" s="5">
        <v>6346.633024</v>
      </c>
    </row>
    <row r="98">
      <c r="A98" s="4" t="s">
        <v>189</v>
      </c>
      <c r="B98" s="5" t="s">
        <v>15</v>
      </c>
      <c r="C98" s="5" t="s">
        <v>31</v>
      </c>
      <c r="D98" s="5" t="s">
        <v>39</v>
      </c>
      <c r="E98" s="6" t="s">
        <v>186</v>
      </c>
      <c r="F98" s="5" t="s">
        <v>19</v>
      </c>
      <c r="G98" s="5" t="s">
        <v>20</v>
      </c>
      <c r="H98" s="5">
        <v>47394.0</v>
      </c>
      <c r="I98" s="5">
        <v>184.0</v>
      </c>
      <c r="J98" s="5">
        <v>22712.0</v>
      </c>
      <c r="K98" s="5">
        <v>41918.0</v>
      </c>
      <c r="L98" s="5">
        <v>24.0</v>
      </c>
      <c r="M98" s="5">
        <v>4701.496237</v>
      </c>
    </row>
    <row r="99">
      <c r="A99" s="4" t="s">
        <v>190</v>
      </c>
      <c r="B99" s="5" t="s">
        <v>22</v>
      </c>
      <c r="C99" s="5" t="s">
        <v>31</v>
      </c>
      <c r="D99" s="5" t="s">
        <v>39</v>
      </c>
      <c r="E99" s="6" t="s">
        <v>186</v>
      </c>
      <c r="F99" s="5" t="s">
        <v>191</v>
      </c>
      <c r="G99" s="5" t="s">
        <v>27</v>
      </c>
      <c r="H99" s="5">
        <v>66554.0</v>
      </c>
      <c r="I99" s="5">
        <v>169.0</v>
      </c>
      <c r="J99" s="5">
        <v>39206.0</v>
      </c>
      <c r="K99" s="5">
        <v>62109.0</v>
      </c>
      <c r="L99" s="5">
        <v>6.0</v>
      </c>
      <c r="M99" s="5">
        <v>1890.885935</v>
      </c>
    </row>
    <row r="100">
      <c r="A100" s="4" t="s">
        <v>192</v>
      </c>
      <c r="B100" s="5" t="s">
        <v>61</v>
      </c>
      <c r="C100" s="5" t="s">
        <v>16</v>
      </c>
      <c r="D100" s="5" t="s">
        <v>17</v>
      </c>
      <c r="E100" s="6" t="s">
        <v>186</v>
      </c>
      <c r="F100" s="5" t="s">
        <v>19</v>
      </c>
      <c r="G100" s="5" t="s">
        <v>27</v>
      </c>
      <c r="H100" s="5">
        <v>9730.0</v>
      </c>
      <c r="I100" s="5">
        <v>45.0</v>
      </c>
      <c r="J100" s="5">
        <v>2971.0</v>
      </c>
      <c r="K100" s="5">
        <v>5102.0</v>
      </c>
      <c r="L100" s="5">
        <v>3.0</v>
      </c>
      <c r="M100" s="5">
        <v>1778.937935</v>
      </c>
    </row>
    <row r="101">
      <c r="A101" s="4" t="s">
        <v>193</v>
      </c>
      <c r="B101" s="5" t="s">
        <v>15</v>
      </c>
      <c r="C101" s="5" t="s">
        <v>31</v>
      </c>
      <c r="D101" s="5" t="s">
        <v>35</v>
      </c>
      <c r="E101" s="6" t="s">
        <v>186</v>
      </c>
      <c r="F101" s="5" t="s">
        <v>46</v>
      </c>
      <c r="G101" s="5" t="s">
        <v>52</v>
      </c>
      <c r="H101" s="5">
        <v>69757.0</v>
      </c>
      <c r="I101" s="5">
        <v>199.0</v>
      </c>
      <c r="J101" s="5">
        <v>41258.0</v>
      </c>
      <c r="K101" s="5">
        <v>65374.0</v>
      </c>
      <c r="L101" s="5">
        <v>20.0</v>
      </c>
      <c r="M101" s="5">
        <v>1510.61532</v>
      </c>
    </row>
    <row r="102">
      <c r="A102" s="4" t="s">
        <v>194</v>
      </c>
      <c r="B102" s="5" t="s">
        <v>61</v>
      </c>
      <c r="C102" s="5" t="s">
        <v>23</v>
      </c>
      <c r="D102" s="5" t="s">
        <v>24</v>
      </c>
      <c r="E102" s="6" t="s">
        <v>195</v>
      </c>
      <c r="F102" s="5" t="s">
        <v>26</v>
      </c>
      <c r="G102" s="5" t="s">
        <v>27</v>
      </c>
      <c r="H102" s="5">
        <v>8862.0</v>
      </c>
      <c r="I102" s="5">
        <v>30.0</v>
      </c>
      <c r="J102" s="5">
        <v>1359.0</v>
      </c>
      <c r="K102" s="5">
        <v>7114.0</v>
      </c>
      <c r="L102" s="5">
        <v>1.0</v>
      </c>
      <c r="M102" s="5">
        <v>1481.945157</v>
      </c>
    </row>
    <row r="103">
      <c r="A103" s="4" t="s">
        <v>196</v>
      </c>
      <c r="B103" s="5" t="s">
        <v>15</v>
      </c>
      <c r="C103" s="5" t="s">
        <v>42</v>
      </c>
      <c r="D103" s="5" t="s">
        <v>39</v>
      </c>
      <c r="E103" s="6" t="s">
        <v>197</v>
      </c>
      <c r="F103" s="5" t="s">
        <v>46</v>
      </c>
      <c r="G103" s="5" t="s">
        <v>27</v>
      </c>
      <c r="H103" s="5">
        <v>7229.0</v>
      </c>
      <c r="I103" s="5">
        <v>20.0</v>
      </c>
      <c r="J103" s="5">
        <v>5668.0</v>
      </c>
      <c r="K103" s="5">
        <v>6760.0</v>
      </c>
      <c r="L103" s="5">
        <v>3.0</v>
      </c>
      <c r="M103" s="5">
        <v>6812.588702</v>
      </c>
    </row>
    <row r="104">
      <c r="A104" s="4" t="s">
        <v>198</v>
      </c>
      <c r="B104" s="5" t="s">
        <v>22</v>
      </c>
      <c r="C104" s="5" t="s">
        <v>16</v>
      </c>
      <c r="D104" s="5" t="s">
        <v>95</v>
      </c>
      <c r="E104" s="6" t="s">
        <v>197</v>
      </c>
      <c r="F104" s="5" t="s">
        <v>46</v>
      </c>
      <c r="G104" s="5" t="s">
        <v>27</v>
      </c>
      <c r="H104" s="5">
        <v>115544.0</v>
      </c>
      <c r="I104" s="5">
        <v>412.0</v>
      </c>
      <c r="J104" s="5">
        <v>79182.0</v>
      </c>
      <c r="K104" s="5">
        <v>109463.0</v>
      </c>
      <c r="L104" s="5">
        <v>56.0</v>
      </c>
      <c r="M104" s="5">
        <v>6721.094453</v>
      </c>
    </row>
    <row r="105">
      <c r="A105" s="4" t="s">
        <v>199</v>
      </c>
      <c r="B105" s="5" t="s">
        <v>15</v>
      </c>
      <c r="C105" s="5" t="s">
        <v>16</v>
      </c>
      <c r="D105" s="5" t="s">
        <v>17</v>
      </c>
      <c r="E105" s="6" t="s">
        <v>197</v>
      </c>
      <c r="F105" s="5" t="s">
        <v>19</v>
      </c>
      <c r="G105" s="5" t="s">
        <v>52</v>
      </c>
      <c r="H105" s="5">
        <v>48211.0</v>
      </c>
      <c r="I105" s="5">
        <v>160.0</v>
      </c>
      <c r="J105" s="5">
        <v>30157.0</v>
      </c>
      <c r="K105" s="5">
        <v>43810.0</v>
      </c>
      <c r="L105" s="5">
        <v>14.0</v>
      </c>
      <c r="M105" s="5">
        <v>6708.463351</v>
      </c>
    </row>
    <row r="106">
      <c r="A106" s="4" t="s">
        <v>200</v>
      </c>
      <c r="B106" s="5" t="s">
        <v>22</v>
      </c>
      <c r="C106" s="5" t="s">
        <v>16</v>
      </c>
      <c r="D106" s="5" t="s">
        <v>78</v>
      </c>
      <c r="E106" s="6" t="s">
        <v>197</v>
      </c>
      <c r="F106" s="5" t="s">
        <v>161</v>
      </c>
      <c r="G106" s="5" t="s">
        <v>27</v>
      </c>
      <c r="H106" s="5">
        <v>134847.0</v>
      </c>
      <c r="I106" s="5">
        <v>450.0</v>
      </c>
      <c r="J106" s="5">
        <v>104268.0</v>
      </c>
      <c r="K106" s="5">
        <v>128470.0</v>
      </c>
      <c r="L106" s="5">
        <v>125.0</v>
      </c>
      <c r="M106" s="5">
        <v>6040.595578</v>
      </c>
    </row>
    <row r="107">
      <c r="A107" s="4" t="s">
        <v>201</v>
      </c>
      <c r="B107" s="5" t="s">
        <v>22</v>
      </c>
      <c r="C107" s="5" t="s">
        <v>16</v>
      </c>
      <c r="D107" s="5" t="s">
        <v>95</v>
      </c>
      <c r="E107" s="6" t="s">
        <v>197</v>
      </c>
      <c r="F107" s="5" t="s">
        <v>46</v>
      </c>
      <c r="G107" s="5" t="s">
        <v>27</v>
      </c>
      <c r="H107" s="5">
        <v>35178.0</v>
      </c>
      <c r="I107" s="5">
        <v>155.0</v>
      </c>
      <c r="J107" s="5">
        <v>23374.0</v>
      </c>
      <c r="K107" s="5">
        <v>33779.0</v>
      </c>
      <c r="L107" s="5">
        <v>8.0</v>
      </c>
      <c r="M107" s="5">
        <v>5738.809089</v>
      </c>
    </row>
    <row r="108">
      <c r="A108" s="4" t="s">
        <v>202</v>
      </c>
      <c r="B108" s="5" t="s">
        <v>22</v>
      </c>
      <c r="C108" s="5" t="s">
        <v>16</v>
      </c>
      <c r="D108" s="5" t="s">
        <v>17</v>
      </c>
      <c r="E108" s="6" t="s">
        <v>197</v>
      </c>
      <c r="F108" s="5" t="s">
        <v>19</v>
      </c>
      <c r="G108" s="5" t="s">
        <v>27</v>
      </c>
      <c r="H108" s="5">
        <v>43117.0</v>
      </c>
      <c r="I108" s="5">
        <v>100.0</v>
      </c>
      <c r="J108" s="5">
        <v>6478.0</v>
      </c>
      <c r="K108" s="5">
        <v>27405.0</v>
      </c>
      <c r="L108" s="5">
        <v>8.0</v>
      </c>
      <c r="M108" s="5">
        <v>4250.430439</v>
      </c>
    </row>
    <row r="109">
      <c r="A109" s="4" t="s">
        <v>203</v>
      </c>
      <c r="B109" s="5" t="s">
        <v>15</v>
      </c>
      <c r="C109" s="5" t="s">
        <v>42</v>
      </c>
      <c r="D109" s="5" t="s">
        <v>204</v>
      </c>
      <c r="E109" s="6" t="s">
        <v>197</v>
      </c>
      <c r="F109" s="5" t="s">
        <v>46</v>
      </c>
      <c r="G109" s="5" t="s">
        <v>27</v>
      </c>
      <c r="H109" s="5">
        <v>510778.0</v>
      </c>
      <c r="I109" s="5">
        <v>1290.0</v>
      </c>
      <c r="J109" s="5">
        <v>70777.0</v>
      </c>
      <c r="K109" s="5">
        <v>436133.0</v>
      </c>
      <c r="L109" s="5">
        <v>6.0</v>
      </c>
      <c r="M109" s="5">
        <v>3870.253867</v>
      </c>
    </row>
    <row r="110">
      <c r="A110" s="4" t="s">
        <v>205</v>
      </c>
      <c r="B110" s="5" t="s">
        <v>15</v>
      </c>
      <c r="C110" s="5" t="s">
        <v>23</v>
      </c>
      <c r="D110" s="5" t="s">
        <v>29</v>
      </c>
      <c r="E110" s="6" t="s">
        <v>197</v>
      </c>
      <c r="F110" s="5" t="s">
        <v>26</v>
      </c>
      <c r="G110" s="5" t="s">
        <v>27</v>
      </c>
      <c r="H110" s="5">
        <v>13700.0</v>
      </c>
      <c r="I110" s="5">
        <v>63.0</v>
      </c>
      <c r="J110" s="5">
        <v>3609.0</v>
      </c>
      <c r="K110" s="5">
        <v>12644.0</v>
      </c>
      <c r="L110" s="5">
        <v>4.0</v>
      </c>
      <c r="M110" s="5">
        <v>2032.700147</v>
      </c>
    </row>
    <row r="111">
      <c r="A111" s="4" t="s">
        <v>206</v>
      </c>
      <c r="B111" s="5" t="s">
        <v>15</v>
      </c>
      <c r="C111" s="5" t="s">
        <v>31</v>
      </c>
      <c r="D111" s="5" t="s">
        <v>55</v>
      </c>
      <c r="E111" s="6" t="s">
        <v>197</v>
      </c>
      <c r="F111" s="5" t="s">
        <v>117</v>
      </c>
      <c r="G111" s="5" t="s">
        <v>20</v>
      </c>
      <c r="H111" s="5">
        <v>13075.0</v>
      </c>
      <c r="I111" s="5">
        <v>74.0</v>
      </c>
      <c r="J111" s="5">
        <v>5980.0</v>
      </c>
      <c r="K111" s="5">
        <v>12114.0</v>
      </c>
      <c r="L111" s="5">
        <v>15.0</v>
      </c>
      <c r="M111" s="5">
        <v>1936.130798</v>
      </c>
    </row>
    <row r="112">
      <c r="A112" s="4" t="s">
        <v>207</v>
      </c>
      <c r="B112" s="5" t="s">
        <v>22</v>
      </c>
      <c r="C112" s="5" t="s">
        <v>16</v>
      </c>
      <c r="D112" s="5" t="s">
        <v>55</v>
      </c>
      <c r="E112" s="6" t="s">
        <v>197</v>
      </c>
      <c r="F112" s="5" t="s">
        <v>136</v>
      </c>
      <c r="G112" s="5" t="s">
        <v>27</v>
      </c>
      <c r="H112" s="5">
        <v>69540.0</v>
      </c>
      <c r="I112" s="5">
        <v>204.0</v>
      </c>
      <c r="J112" s="5">
        <v>28713.0</v>
      </c>
      <c r="K112" s="5">
        <v>62829.0</v>
      </c>
      <c r="L112" s="5">
        <v>15.0</v>
      </c>
      <c r="M112" s="5">
        <v>1838.98773</v>
      </c>
    </row>
    <row r="113">
      <c r="A113" s="4" t="s">
        <v>208</v>
      </c>
      <c r="B113" s="5" t="s">
        <v>15</v>
      </c>
      <c r="C113" s="5" t="s">
        <v>23</v>
      </c>
      <c r="D113" s="5" t="s">
        <v>78</v>
      </c>
      <c r="E113" s="6" t="s">
        <v>197</v>
      </c>
      <c r="F113" s="5" t="s">
        <v>19</v>
      </c>
      <c r="G113" s="5" t="s">
        <v>52</v>
      </c>
      <c r="H113" s="5">
        <v>65983.0</v>
      </c>
      <c r="I113" s="5">
        <v>212.0</v>
      </c>
      <c r="J113" s="5">
        <v>8536.0</v>
      </c>
      <c r="K113" s="5">
        <v>57434.0</v>
      </c>
      <c r="L113" s="5">
        <v>3.0</v>
      </c>
      <c r="M113" s="5">
        <v>1599.076249</v>
      </c>
    </row>
    <row r="114">
      <c r="A114" s="4" t="s">
        <v>209</v>
      </c>
      <c r="B114" s="5" t="s">
        <v>22</v>
      </c>
      <c r="C114" s="5" t="s">
        <v>16</v>
      </c>
      <c r="D114" s="5" t="s">
        <v>35</v>
      </c>
      <c r="E114" s="6" t="s">
        <v>197</v>
      </c>
      <c r="F114" s="5" t="s">
        <v>19</v>
      </c>
      <c r="G114" s="5" t="s">
        <v>27</v>
      </c>
      <c r="H114" s="5">
        <v>21478.0</v>
      </c>
      <c r="I114" s="5">
        <v>50.0</v>
      </c>
      <c r="J114" s="5">
        <v>15548.0</v>
      </c>
      <c r="K114" s="5">
        <v>20651.0</v>
      </c>
      <c r="L114" s="5">
        <v>24.0</v>
      </c>
      <c r="M114" s="5">
        <v>1541.214047</v>
      </c>
    </row>
    <row r="115">
      <c r="A115" s="4" t="s">
        <v>210</v>
      </c>
      <c r="B115" s="5" t="s">
        <v>22</v>
      </c>
      <c r="C115" s="5" t="s">
        <v>31</v>
      </c>
      <c r="D115" s="5" t="s">
        <v>78</v>
      </c>
      <c r="E115" s="6" t="s">
        <v>211</v>
      </c>
      <c r="F115" s="5" t="s">
        <v>19</v>
      </c>
      <c r="G115" s="5" t="s">
        <v>27</v>
      </c>
      <c r="H115" s="5">
        <v>9515.0</v>
      </c>
      <c r="I115" s="5">
        <v>30.0</v>
      </c>
      <c r="J115" s="5">
        <v>6169.0</v>
      </c>
      <c r="K115" s="5">
        <v>9138.0</v>
      </c>
      <c r="L115" s="5">
        <v>3.0</v>
      </c>
      <c r="M115" s="5">
        <v>5776.508186</v>
      </c>
    </row>
    <row r="116">
      <c r="A116" s="4" t="s">
        <v>212</v>
      </c>
      <c r="B116" s="5" t="s">
        <v>22</v>
      </c>
      <c r="C116" s="5" t="s">
        <v>23</v>
      </c>
      <c r="D116" s="5" t="s">
        <v>35</v>
      </c>
      <c r="E116" s="6" t="s">
        <v>211</v>
      </c>
      <c r="F116" s="5" t="s">
        <v>48</v>
      </c>
      <c r="G116" s="5" t="s">
        <v>27</v>
      </c>
      <c r="H116" s="5">
        <v>20548.0</v>
      </c>
      <c r="I116" s="5">
        <v>40.0</v>
      </c>
      <c r="J116" s="5">
        <v>14259.0</v>
      </c>
      <c r="K116" s="5">
        <v>19654.0</v>
      </c>
      <c r="L116" s="5">
        <v>13.0</v>
      </c>
      <c r="M116" s="5">
        <v>3060.424769</v>
      </c>
    </row>
    <row r="117">
      <c r="A117" s="4" t="s">
        <v>213</v>
      </c>
      <c r="B117" s="5" t="s">
        <v>15</v>
      </c>
      <c r="C117" s="5" t="s">
        <v>42</v>
      </c>
      <c r="D117" s="5" t="s">
        <v>214</v>
      </c>
      <c r="E117" s="6" t="s">
        <v>211</v>
      </c>
      <c r="F117" s="5" t="s">
        <v>36</v>
      </c>
      <c r="G117" s="5" t="s">
        <v>20</v>
      </c>
      <c r="H117" s="5">
        <v>94340.0</v>
      </c>
      <c r="I117" s="5">
        <v>250.0</v>
      </c>
      <c r="J117" s="5">
        <v>16955.0</v>
      </c>
      <c r="K117" s="5">
        <v>76971.0</v>
      </c>
      <c r="L117" s="5">
        <v>13.0</v>
      </c>
      <c r="M117" s="5">
        <v>1517.244377</v>
      </c>
    </row>
    <row r="118">
      <c r="A118" s="4" t="s">
        <v>215</v>
      </c>
      <c r="B118" s="5" t="s">
        <v>61</v>
      </c>
      <c r="C118" s="5" t="s">
        <v>23</v>
      </c>
      <c r="D118" s="5" t="s">
        <v>32</v>
      </c>
      <c r="E118" s="6" t="s">
        <v>216</v>
      </c>
      <c r="F118" s="5" t="s">
        <v>26</v>
      </c>
      <c r="G118" s="5" t="s">
        <v>27</v>
      </c>
      <c r="H118" s="5">
        <v>114723.0</v>
      </c>
      <c r="I118" s="5">
        <v>350.0</v>
      </c>
      <c r="J118" s="5">
        <v>14623.0</v>
      </c>
      <c r="K118" s="5">
        <v>92063.0</v>
      </c>
      <c r="L118" s="5">
        <v>6.0</v>
      </c>
      <c r="M118" s="5">
        <v>4742.008637</v>
      </c>
    </row>
    <row r="119">
      <c r="A119" s="4" t="s">
        <v>217</v>
      </c>
      <c r="B119" s="5" t="s">
        <v>15</v>
      </c>
      <c r="C119" s="5" t="s">
        <v>31</v>
      </c>
      <c r="D119" s="5" t="s">
        <v>35</v>
      </c>
      <c r="E119" s="6" t="s">
        <v>216</v>
      </c>
      <c r="F119" s="5" t="s">
        <v>19</v>
      </c>
      <c r="G119" s="5" t="s">
        <v>27</v>
      </c>
      <c r="H119" s="5">
        <v>14581.0</v>
      </c>
      <c r="I119" s="5">
        <v>85.0</v>
      </c>
      <c r="J119" s="5">
        <v>6970.0</v>
      </c>
      <c r="K119" s="5">
        <v>8882.0</v>
      </c>
      <c r="L119" s="5">
        <v>4.0</v>
      </c>
      <c r="M119" s="5">
        <v>2636.202124</v>
      </c>
    </row>
    <row r="120">
      <c r="A120" s="4" t="s">
        <v>218</v>
      </c>
      <c r="B120" s="5" t="s">
        <v>61</v>
      </c>
      <c r="C120" s="5" t="s">
        <v>42</v>
      </c>
      <c r="D120" s="5" t="s">
        <v>35</v>
      </c>
      <c r="E120" s="6" t="s">
        <v>219</v>
      </c>
      <c r="F120" s="5" t="s">
        <v>19</v>
      </c>
      <c r="G120" s="5" t="s">
        <v>27</v>
      </c>
      <c r="H120" s="5">
        <v>19461.0</v>
      </c>
      <c r="I120" s="5">
        <v>74.0</v>
      </c>
      <c r="J120" s="5">
        <v>14647.0</v>
      </c>
      <c r="K120" s="5">
        <v>18731.0</v>
      </c>
      <c r="L120" s="5">
        <v>9.0</v>
      </c>
      <c r="M120" s="5">
        <v>7311.99875</v>
      </c>
    </row>
    <row r="121">
      <c r="A121" s="4" t="s">
        <v>220</v>
      </c>
      <c r="B121" s="5" t="s">
        <v>22</v>
      </c>
      <c r="C121" s="5" t="s">
        <v>23</v>
      </c>
      <c r="D121" s="5" t="s">
        <v>35</v>
      </c>
      <c r="E121" s="6" t="s">
        <v>219</v>
      </c>
      <c r="F121" s="5" t="s">
        <v>26</v>
      </c>
      <c r="G121" s="5" t="s">
        <v>27</v>
      </c>
      <c r="H121" s="5">
        <v>27032.0</v>
      </c>
      <c r="I121" s="5">
        <v>110.0</v>
      </c>
      <c r="J121" s="5">
        <v>21893.0</v>
      </c>
      <c r="K121" s="5">
        <v>26127.0</v>
      </c>
      <c r="L121" s="5">
        <v>5.0</v>
      </c>
      <c r="M121" s="5">
        <v>5292.896913</v>
      </c>
    </row>
    <row r="122">
      <c r="A122" s="4" t="s">
        <v>221</v>
      </c>
      <c r="B122" s="5" t="s">
        <v>15</v>
      </c>
      <c r="C122" s="5" t="s">
        <v>23</v>
      </c>
      <c r="D122" s="5" t="s">
        <v>84</v>
      </c>
      <c r="E122" s="6" t="s">
        <v>222</v>
      </c>
      <c r="F122" s="5" t="s">
        <v>19</v>
      </c>
      <c r="G122" s="5" t="s">
        <v>27</v>
      </c>
      <c r="H122" s="5">
        <v>7628.0</v>
      </c>
      <c r="I122" s="5">
        <v>19.0</v>
      </c>
      <c r="J122" s="5">
        <v>5048.0</v>
      </c>
      <c r="K122" s="5">
        <v>7154.0</v>
      </c>
      <c r="L122" s="5">
        <v>5.0</v>
      </c>
      <c r="M122" s="5">
        <v>6684.062804</v>
      </c>
    </row>
    <row r="123">
      <c r="A123" s="4" t="s">
        <v>223</v>
      </c>
      <c r="B123" s="5" t="s">
        <v>22</v>
      </c>
      <c r="C123" s="5" t="s">
        <v>16</v>
      </c>
      <c r="D123" s="5" t="s">
        <v>78</v>
      </c>
      <c r="E123" s="6" t="s">
        <v>224</v>
      </c>
      <c r="F123" s="5" t="s">
        <v>19</v>
      </c>
      <c r="G123" s="5" t="s">
        <v>27</v>
      </c>
      <c r="H123" s="5">
        <v>7806.0</v>
      </c>
      <c r="I123" s="5">
        <v>20.0</v>
      </c>
      <c r="J123" s="5">
        <v>3150.0</v>
      </c>
      <c r="K123" s="5">
        <v>7247.0</v>
      </c>
      <c r="L123" s="5">
        <v>1.0</v>
      </c>
      <c r="M123" s="5">
        <v>6162.320833</v>
      </c>
    </row>
    <row r="124">
      <c r="A124" s="4" t="s">
        <v>225</v>
      </c>
      <c r="B124" s="5" t="s">
        <v>15</v>
      </c>
      <c r="C124" s="5" t="s">
        <v>42</v>
      </c>
      <c r="D124" s="5" t="s">
        <v>55</v>
      </c>
      <c r="E124" s="6" t="s">
        <v>226</v>
      </c>
      <c r="F124" s="5" t="s">
        <v>19</v>
      </c>
      <c r="G124" s="5" t="s">
        <v>52</v>
      </c>
      <c r="H124" s="5">
        <v>31443.0</v>
      </c>
      <c r="I124" s="5">
        <v>70.0</v>
      </c>
      <c r="J124" s="5">
        <v>19134.0</v>
      </c>
      <c r="K124" s="5">
        <v>28059.0</v>
      </c>
      <c r="L124" s="5">
        <v>9.0</v>
      </c>
      <c r="M124" s="5">
        <v>2122.765888</v>
      </c>
    </row>
    <row r="125">
      <c r="A125" s="4" t="s">
        <v>227</v>
      </c>
      <c r="B125" s="5" t="s">
        <v>22</v>
      </c>
      <c r="C125" s="5" t="s">
        <v>23</v>
      </c>
      <c r="D125" s="5" t="s">
        <v>29</v>
      </c>
      <c r="E125" s="6" t="s">
        <v>228</v>
      </c>
      <c r="F125" s="5" t="s">
        <v>19</v>
      </c>
      <c r="G125" s="5" t="s">
        <v>27</v>
      </c>
      <c r="H125" s="5">
        <v>29107.0</v>
      </c>
      <c r="I125" s="5">
        <v>64.0</v>
      </c>
      <c r="J125" s="5">
        <v>4047.0</v>
      </c>
      <c r="K125" s="5">
        <v>27357.0</v>
      </c>
      <c r="L125" s="5">
        <v>9.0</v>
      </c>
      <c r="M125" s="5">
        <v>3339.454322</v>
      </c>
    </row>
    <row r="126">
      <c r="A126" s="4" t="s">
        <v>229</v>
      </c>
      <c r="B126" s="5" t="s">
        <v>22</v>
      </c>
      <c r="C126" s="5" t="s">
        <v>16</v>
      </c>
      <c r="D126" s="5" t="s">
        <v>84</v>
      </c>
      <c r="E126" s="6" t="s">
        <v>228</v>
      </c>
      <c r="F126" s="5" t="s">
        <v>36</v>
      </c>
      <c r="G126" s="5" t="s">
        <v>27</v>
      </c>
      <c r="H126" s="5">
        <v>12451.0</v>
      </c>
      <c r="I126" s="5">
        <v>30.0</v>
      </c>
      <c r="J126" s="5">
        <v>2987.0</v>
      </c>
      <c r="K126" s="5">
        <v>11295.0</v>
      </c>
      <c r="L126" s="5">
        <v>4.0</v>
      </c>
      <c r="M126" s="5">
        <v>2127.323828</v>
      </c>
    </row>
    <row r="127">
      <c r="A127" s="4" t="s">
        <v>230</v>
      </c>
      <c r="B127" s="5" t="s">
        <v>15</v>
      </c>
      <c r="C127" s="5" t="s">
        <v>16</v>
      </c>
      <c r="D127" s="5" t="s">
        <v>78</v>
      </c>
      <c r="E127" s="6" t="s">
        <v>228</v>
      </c>
      <c r="F127" s="5" t="s">
        <v>231</v>
      </c>
      <c r="G127" s="5" t="s">
        <v>20</v>
      </c>
      <c r="H127" s="5">
        <v>12176.0</v>
      </c>
      <c r="I127" s="5">
        <v>10.0</v>
      </c>
      <c r="J127" s="5">
        <v>5460.0</v>
      </c>
      <c r="K127" s="5">
        <v>11154.0</v>
      </c>
      <c r="L127" s="5">
        <v>10.0</v>
      </c>
      <c r="M127" s="5">
        <v>1816.030806</v>
      </c>
    </row>
    <row r="128">
      <c r="A128" s="4" t="s">
        <v>232</v>
      </c>
      <c r="B128" s="5" t="s">
        <v>15</v>
      </c>
      <c r="C128" s="5" t="s">
        <v>23</v>
      </c>
      <c r="D128" s="5" t="s">
        <v>29</v>
      </c>
      <c r="E128" s="6" t="s">
        <v>233</v>
      </c>
      <c r="F128" s="5" t="s">
        <v>19</v>
      </c>
      <c r="G128" s="5" t="s">
        <v>27</v>
      </c>
      <c r="H128" s="5">
        <v>7472.0</v>
      </c>
      <c r="I128" s="5">
        <v>10.0</v>
      </c>
      <c r="J128" s="5">
        <v>1191.0</v>
      </c>
      <c r="K128" s="5">
        <v>5883.0</v>
      </c>
      <c r="L128" s="5">
        <v>1.0</v>
      </c>
      <c r="M128" s="5">
        <v>2183.952037</v>
      </c>
    </row>
    <row r="129">
      <c r="A129" s="4" t="s">
        <v>234</v>
      </c>
      <c r="B129" s="5" t="s">
        <v>15</v>
      </c>
      <c r="C129" s="5" t="s">
        <v>31</v>
      </c>
      <c r="D129" s="5" t="s">
        <v>35</v>
      </c>
      <c r="E129" s="6" t="s">
        <v>235</v>
      </c>
      <c r="F129" s="5" t="s">
        <v>19</v>
      </c>
      <c r="G129" s="5" t="s">
        <v>27</v>
      </c>
      <c r="H129" s="5">
        <v>42451.0</v>
      </c>
      <c r="I129" s="5">
        <v>122.0</v>
      </c>
      <c r="J129" s="5">
        <v>29142.0</v>
      </c>
      <c r="K129" s="5">
        <v>41093.0</v>
      </c>
      <c r="L129" s="5">
        <v>7.0</v>
      </c>
      <c r="M129" s="5">
        <v>1530.553686</v>
      </c>
    </row>
    <row r="130">
      <c r="A130" s="4" t="s">
        <v>236</v>
      </c>
      <c r="B130" s="5" t="s">
        <v>22</v>
      </c>
      <c r="C130" s="5" t="s">
        <v>16</v>
      </c>
      <c r="D130" s="5" t="s">
        <v>78</v>
      </c>
      <c r="E130" s="6" t="s">
        <v>235</v>
      </c>
      <c r="F130" s="5" t="s">
        <v>117</v>
      </c>
      <c r="G130" s="5" t="s">
        <v>27</v>
      </c>
      <c r="H130" s="5">
        <v>10677.0</v>
      </c>
      <c r="I130" s="5">
        <v>88.0</v>
      </c>
      <c r="J130" s="5">
        <v>7247.0</v>
      </c>
      <c r="K130" s="5">
        <v>10338.0</v>
      </c>
      <c r="L130" s="5">
        <v>3.0</v>
      </c>
      <c r="M130" s="5">
        <v>1483.452706</v>
      </c>
    </row>
    <row r="131">
      <c r="A131" s="4" t="s">
        <v>237</v>
      </c>
      <c r="B131" s="5" t="s">
        <v>15</v>
      </c>
      <c r="C131" s="5" t="s">
        <v>23</v>
      </c>
      <c r="D131" s="5" t="s">
        <v>35</v>
      </c>
      <c r="E131" s="6" t="s">
        <v>238</v>
      </c>
      <c r="F131" s="5" t="s">
        <v>46</v>
      </c>
      <c r="G131" s="5" t="s">
        <v>27</v>
      </c>
      <c r="H131" s="5">
        <v>8217.0</v>
      </c>
      <c r="I131" s="5">
        <v>25.0</v>
      </c>
      <c r="J131" s="5">
        <v>5740.0</v>
      </c>
      <c r="K131" s="5">
        <v>8009.0</v>
      </c>
      <c r="L131" s="5">
        <v>11.0</v>
      </c>
      <c r="M131" s="5">
        <v>6051.334623</v>
      </c>
    </row>
    <row r="132">
      <c r="A132" s="4" t="s">
        <v>239</v>
      </c>
      <c r="B132" s="5" t="s">
        <v>22</v>
      </c>
      <c r="C132" s="5" t="s">
        <v>23</v>
      </c>
      <c r="D132" s="5" t="s">
        <v>240</v>
      </c>
      <c r="E132" s="6" t="s">
        <v>238</v>
      </c>
      <c r="F132" s="5" t="s">
        <v>161</v>
      </c>
      <c r="G132" s="5" t="s">
        <v>27</v>
      </c>
      <c r="H132" s="5">
        <v>7530.0</v>
      </c>
      <c r="I132" s="5">
        <v>20.0</v>
      </c>
      <c r="J132" s="5">
        <v>5468.0</v>
      </c>
      <c r="K132" s="5">
        <v>7298.0</v>
      </c>
      <c r="L132" s="5">
        <v>3.0</v>
      </c>
      <c r="M132" s="5">
        <v>5038.714067</v>
      </c>
    </row>
    <row r="133">
      <c r="A133" s="4" t="s">
        <v>241</v>
      </c>
      <c r="B133" s="5" t="s">
        <v>22</v>
      </c>
      <c r="C133" s="5" t="s">
        <v>16</v>
      </c>
      <c r="D133" s="5" t="s">
        <v>78</v>
      </c>
      <c r="E133" s="6" t="s">
        <v>242</v>
      </c>
      <c r="F133" s="5" t="s">
        <v>19</v>
      </c>
      <c r="G133" s="5" t="s">
        <v>27</v>
      </c>
      <c r="H133" s="5">
        <v>272509.0</v>
      </c>
      <c r="I133" s="5">
        <v>736.0</v>
      </c>
      <c r="J133" s="5">
        <v>89526.0</v>
      </c>
      <c r="K133" s="5">
        <v>237859.0</v>
      </c>
      <c r="L133" s="5">
        <v>69.0</v>
      </c>
      <c r="M133" s="5">
        <v>8168.347077</v>
      </c>
    </row>
    <row r="134">
      <c r="A134" s="4" t="s">
        <v>243</v>
      </c>
      <c r="B134" s="5" t="s">
        <v>15</v>
      </c>
      <c r="C134" s="5" t="s">
        <v>16</v>
      </c>
      <c r="D134" s="5" t="s">
        <v>78</v>
      </c>
      <c r="E134" s="6" t="s">
        <v>242</v>
      </c>
      <c r="F134" s="5" t="s">
        <v>19</v>
      </c>
      <c r="G134" s="5" t="s">
        <v>27</v>
      </c>
      <c r="H134" s="5">
        <v>106392.0</v>
      </c>
      <c r="I134" s="5">
        <v>299.0</v>
      </c>
      <c r="J134" s="5">
        <v>39599.0</v>
      </c>
      <c r="K134" s="5">
        <v>94941.0</v>
      </c>
      <c r="L134" s="5">
        <v>3.0</v>
      </c>
      <c r="M134" s="5">
        <v>6542.612428</v>
      </c>
    </row>
    <row r="135">
      <c r="A135" s="4" t="s">
        <v>244</v>
      </c>
      <c r="B135" s="5" t="s">
        <v>22</v>
      </c>
      <c r="C135" s="5" t="s">
        <v>31</v>
      </c>
      <c r="D135" s="5" t="s">
        <v>17</v>
      </c>
      <c r="E135" s="6" t="s">
        <v>242</v>
      </c>
      <c r="F135" s="5" t="s">
        <v>26</v>
      </c>
      <c r="G135" s="5" t="s">
        <v>27</v>
      </c>
      <c r="H135" s="5">
        <v>9060.0</v>
      </c>
      <c r="I135" s="5">
        <v>30.0</v>
      </c>
      <c r="J135" s="5">
        <v>5190.0</v>
      </c>
      <c r="K135" s="5">
        <v>8621.0</v>
      </c>
      <c r="L135" s="5">
        <v>14.0</v>
      </c>
      <c r="M135" s="5">
        <v>4934.851563</v>
      </c>
    </row>
    <row r="136">
      <c r="A136" s="4" t="s">
        <v>245</v>
      </c>
      <c r="B136" s="5" t="s">
        <v>22</v>
      </c>
      <c r="C136" s="5" t="s">
        <v>31</v>
      </c>
      <c r="D136" s="5" t="s">
        <v>35</v>
      </c>
      <c r="E136" s="6" t="s">
        <v>242</v>
      </c>
      <c r="F136" s="5" t="s">
        <v>117</v>
      </c>
      <c r="G136" s="5" t="s">
        <v>27</v>
      </c>
      <c r="H136" s="5">
        <v>116926.0</v>
      </c>
      <c r="I136" s="5">
        <v>321.0</v>
      </c>
      <c r="J136" s="5">
        <v>69132.0</v>
      </c>
      <c r="K136" s="5">
        <v>111957.0</v>
      </c>
      <c r="L136" s="5">
        <v>22.0</v>
      </c>
      <c r="M136" s="5">
        <v>4918.040982</v>
      </c>
    </row>
    <row r="137">
      <c r="A137" s="4" t="s">
        <v>246</v>
      </c>
      <c r="B137" s="5" t="s">
        <v>15</v>
      </c>
      <c r="C137" s="5" t="s">
        <v>42</v>
      </c>
      <c r="D137" s="5" t="s">
        <v>78</v>
      </c>
      <c r="E137" s="6" t="s">
        <v>242</v>
      </c>
      <c r="F137" s="5" t="s">
        <v>50</v>
      </c>
      <c r="G137" s="5" t="s">
        <v>27</v>
      </c>
      <c r="H137" s="5">
        <v>45402.0</v>
      </c>
      <c r="I137" s="5">
        <v>122.0</v>
      </c>
      <c r="J137" s="5">
        <v>17284.0</v>
      </c>
      <c r="K137" s="5">
        <v>27542.0</v>
      </c>
      <c r="L137" s="5">
        <v>5.0</v>
      </c>
      <c r="M137" s="5">
        <v>2163.265346</v>
      </c>
    </row>
    <row r="138">
      <c r="A138" s="4" t="s">
        <v>247</v>
      </c>
      <c r="B138" s="5" t="s">
        <v>61</v>
      </c>
      <c r="C138" s="5" t="s">
        <v>31</v>
      </c>
      <c r="D138" s="5" t="s">
        <v>35</v>
      </c>
      <c r="E138" s="6" t="s">
        <v>242</v>
      </c>
      <c r="F138" s="5" t="s">
        <v>19</v>
      </c>
      <c r="G138" s="5" t="s">
        <v>27</v>
      </c>
      <c r="H138" s="5">
        <v>84306.0</v>
      </c>
      <c r="I138" s="5">
        <v>185.0</v>
      </c>
      <c r="J138" s="5">
        <v>45376.0</v>
      </c>
      <c r="K138" s="5">
        <v>79935.0</v>
      </c>
      <c r="L138" s="5">
        <v>3.0</v>
      </c>
      <c r="M138" s="5">
        <v>1809.590961</v>
      </c>
    </row>
    <row r="139">
      <c r="A139" s="4" t="s">
        <v>248</v>
      </c>
      <c r="B139" s="5" t="s">
        <v>15</v>
      </c>
      <c r="C139" s="5" t="s">
        <v>16</v>
      </c>
      <c r="D139" s="5" t="s">
        <v>17</v>
      </c>
      <c r="E139" s="6" t="s">
        <v>242</v>
      </c>
      <c r="F139" s="5" t="s">
        <v>19</v>
      </c>
      <c r="G139" s="5" t="s">
        <v>27</v>
      </c>
      <c r="H139" s="5">
        <v>88499.0</v>
      </c>
      <c r="I139" s="5">
        <v>186.0</v>
      </c>
      <c r="J139" s="5">
        <v>18950.0</v>
      </c>
      <c r="K139" s="5">
        <v>71458.0</v>
      </c>
      <c r="L139" s="5">
        <v>5.0</v>
      </c>
      <c r="M139" s="5">
        <v>1803.139812</v>
      </c>
    </row>
    <row r="140">
      <c r="A140" s="4" t="s">
        <v>249</v>
      </c>
      <c r="B140" s="5" t="s">
        <v>15</v>
      </c>
      <c r="C140" s="5" t="s">
        <v>16</v>
      </c>
      <c r="D140" s="5" t="s">
        <v>150</v>
      </c>
      <c r="E140" s="6" t="s">
        <v>242</v>
      </c>
      <c r="F140" s="5" t="s">
        <v>19</v>
      </c>
      <c r="G140" s="5" t="s">
        <v>27</v>
      </c>
      <c r="H140" s="5">
        <v>77748.0</v>
      </c>
      <c r="I140" s="5">
        <v>227.0</v>
      </c>
      <c r="J140" s="5">
        <v>6170.0</v>
      </c>
      <c r="K140" s="5">
        <v>53603.0</v>
      </c>
      <c r="L140" s="5">
        <v>3.0</v>
      </c>
      <c r="M140" s="5">
        <v>1498.3009</v>
      </c>
    </row>
    <row r="141">
      <c r="A141" s="4" t="s">
        <v>250</v>
      </c>
      <c r="B141" s="5" t="s">
        <v>22</v>
      </c>
      <c r="C141" s="5" t="s">
        <v>42</v>
      </c>
      <c r="D141" s="5" t="s">
        <v>35</v>
      </c>
      <c r="E141" s="6" t="s">
        <v>251</v>
      </c>
      <c r="F141" s="5" t="s">
        <v>19</v>
      </c>
      <c r="G141" s="5" t="s">
        <v>27</v>
      </c>
      <c r="H141" s="5">
        <v>10191.0</v>
      </c>
      <c r="I141" s="5">
        <v>75.0</v>
      </c>
      <c r="J141" s="5">
        <v>1243.0</v>
      </c>
      <c r="K141" s="5">
        <v>8897.0</v>
      </c>
      <c r="L141" s="5">
        <v>3.0</v>
      </c>
      <c r="M141" s="5">
        <v>2365.914372</v>
      </c>
    </row>
    <row r="142">
      <c r="A142" s="4" t="s">
        <v>252</v>
      </c>
      <c r="B142" s="5" t="s">
        <v>22</v>
      </c>
      <c r="C142" s="5" t="s">
        <v>31</v>
      </c>
      <c r="D142" s="5" t="s">
        <v>29</v>
      </c>
      <c r="E142" s="6" t="s">
        <v>253</v>
      </c>
      <c r="F142" s="5" t="s">
        <v>19</v>
      </c>
      <c r="G142" s="5" t="s">
        <v>27</v>
      </c>
      <c r="H142" s="5">
        <v>10093.0</v>
      </c>
      <c r="I142" s="5">
        <v>65.0</v>
      </c>
      <c r="J142" s="5">
        <v>3901.0</v>
      </c>
      <c r="K142" s="5">
        <v>9645.0</v>
      </c>
      <c r="L142" s="5">
        <v>2.0</v>
      </c>
      <c r="M142" s="5">
        <v>3105.283004</v>
      </c>
    </row>
    <row r="143">
      <c r="A143" s="4" t="s">
        <v>254</v>
      </c>
      <c r="B143" s="5" t="s">
        <v>15</v>
      </c>
      <c r="C143" s="5" t="s">
        <v>16</v>
      </c>
      <c r="D143" s="5" t="s">
        <v>35</v>
      </c>
      <c r="E143" s="6" t="s">
        <v>255</v>
      </c>
      <c r="F143" s="5" t="s">
        <v>19</v>
      </c>
      <c r="G143" s="5" t="s">
        <v>27</v>
      </c>
      <c r="H143" s="5">
        <v>9328.0</v>
      </c>
      <c r="I143" s="5">
        <v>56.0</v>
      </c>
      <c r="J143" s="5">
        <v>7102.0</v>
      </c>
      <c r="K143" s="5">
        <v>8925.0</v>
      </c>
      <c r="L143" s="5">
        <v>5.0</v>
      </c>
      <c r="M143" s="5">
        <v>3408.076049</v>
      </c>
    </row>
    <row r="144">
      <c r="A144" s="4" t="s">
        <v>256</v>
      </c>
      <c r="B144" s="5" t="s">
        <v>15</v>
      </c>
      <c r="C144" s="5" t="s">
        <v>16</v>
      </c>
      <c r="D144" s="5" t="s">
        <v>55</v>
      </c>
      <c r="E144" s="6" t="s">
        <v>257</v>
      </c>
      <c r="F144" s="5" t="s">
        <v>46</v>
      </c>
      <c r="G144" s="5" t="s">
        <v>52</v>
      </c>
      <c r="H144" s="5">
        <v>24464.0</v>
      </c>
      <c r="I144" s="5">
        <v>0.0</v>
      </c>
      <c r="J144" s="5">
        <v>3275.0</v>
      </c>
      <c r="K144" s="5">
        <v>21993.0</v>
      </c>
      <c r="L144" s="5">
        <v>6.0</v>
      </c>
      <c r="M144" s="5">
        <v>2959.114973</v>
      </c>
    </row>
    <row r="145">
      <c r="A145" s="4" t="s">
        <v>258</v>
      </c>
      <c r="B145" s="5" t="s">
        <v>15</v>
      </c>
      <c r="C145" s="5" t="s">
        <v>16</v>
      </c>
      <c r="D145" s="5" t="s">
        <v>78</v>
      </c>
      <c r="E145" s="6" t="s">
        <v>259</v>
      </c>
      <c r="F145" s="5" t="s">
        <v>19</v>
      </c>
      <c r="G145" s="5" t="s">
        <v>27</v>
      </c>
      <c r="H145" s="5">
        <v>8111.0</v>
      </c>
      <c r="I145" s="5">
        <v>0.0</v>
      </c>
      <c r="J145" s="5">
        <v>4346.0</v>
      </c>
      <c r="K145" s="5">
        <v>6163.0</v>
      </c>
      <c r="L145" s="5">
        <v>1.0</v>
      </c>
      <c r="M145" s="5">
        <v>5000.761206</v>
      </c>
    </row>
    <row r="146">
      <c r="A146" s="4" t="s">
        <v>260</v>
      </c>
      <c r="B146" s="5" t="s">
        <v>22</v>
      </c>
      <c r="C146" s="5" t="s">
        <v>42</v>
      </c>
      <c r="D146" s="5" t="s">
        <v>78</v>
      </c>
      <c r="E146" s="6" t="s">
        <v>261</v>
      </c>
      <c r="F146" s="5" t="s">
        <v>48</v>
      </c>
      <c r="G146" s="5" t="s">
        <v>27</v>
      </c>
      <c r="H146" s="5">
        <v>25532.0</v>
      </c>
      <c r="I146" s="5">
        <v>140.0</v>
      </c>
      <c r="J146" s="5">
        <v>15219.0</v>
      </c>
      <c r="K146" s="5">
        <v>21497.0</v>
      </c>
      <c r="L146" s="5">
        <v>9.0</v>
      </c>
      <c r="M146" s="5">
        <v>6047.174109</v>
      </c>
    </row>
    <row r="147">
      <c r="A147" s="4" t="s">
        <v>262</v>
      </c>
      <c r="B147" s="5" t="s">
        <v>22</v>
      </c>
      <c r="C147" s="5" t="s">
        <v>31</v>
      </c>
      <c r="D147" s="5" t="s">
        <v>35</v>
      </c>
      <c r="E147" s="6" t="s">
        <v>261</v>
      </c>
      <c r="F147" s="5" t="s">
        <v>26</v>
      </c>
      <c r="G147" s="5" t="s">
        <v>27</v>
      </c>
      <c r="H147" s="5">
        <v>28553.0</v>
      </c>
      <c r="I147" s="5">
        <v>90.0</v>
      </c>
      <c r="J147" s="5">
        <v>11390.0</v>
      </c>
      <c r="K147" s="5">
        <v>23355.0</v>
      </c>
      <c r="L147" s="5">
        <v>13.0</v>
      </c>
      <c r="M147" s="5">
        <v>5573.112396</v>
      </c>
    </row>
    <row r="148">
      <c r="A148" s="4" t="s">
        <v>263</v>
      </c>
      <c r="B148" s="5" t="s">
        <v>22</v>
      </c>
      <c r="C148" s="5" t="s">
        <v>23</v>
      </c>
      <c r="D148" s="5" t="s">
        <v>142</v>
      </c>
      <c r="E148" s="6" t="s">
        <v>264</v>
      </c>
      <c r="F148" s="5" t="s">
        <v>19</v>
      </c>
      <c r="G148" s="5" t="s">
        <v>27</v>
      </c>
      <c r="H148" s="5">
        <v>29393.0</v>
      </c>
      <c r="I148" s="5">
        <v>70.0</v>
      </c>
      <c r="J148" s="5">
        <v>3277.0</v>
      </c>
      <c r="K148" s="5">
        <v>25959.0</v>
      </c>
      <c r="L148" s="5">
        <v>19.0</v>
      </c>
      <c r="M148" s="5">
        <v>2120.757698</v>
      </c>
    </row>
    <row r="149">
      <c r="A149" s="4" t="s">
        <v>265</v>
      </c>
      <c r="B149" s="5" t="s">
        <v>22</v>
      </c>
      <c r="C149" s="5" t="s">
        <v>16</v>
      </c>
      <c r="D149" s="5" t="s">
        <v>17</v>
      </c>
      <c r="E149" s="6" t="s">
        <v>266</v>
      </c>
      <c r="F149" s="5" t="s">
        <v>33</v>
      </c>
      <c r="G149" s="5" t="s">
        <v>27</v>
      </c>
      <c r="H149" s="5">
        <v>39212.0</v>
      </c>
      <c r="I149" s="5">
        <v>260.0</v>
      </c>
      <c r="J149" s="5">
        <v>31317.0</v>
      </c>
      <c r="K149" s="5">
        <v>37660.0</v>
      </c>
      <c r="L149" s="5">
        <v>1.0</v>
      </c>
      <c r="M149" s="5">
        <v>3621.417703</v>
      </c>
    </row>
    <row r="150">
      <c r="A150" s="4" t="s">
        <v>267</v>
      </c>
      <c r="B150" s="5" t="s">
        <v>61</v>
      </c>
      <c r="C150" s="5" t="s">
        <v>42</v>
      </c>
      <c r="D150" s="5" t="s">
        <v>39</v>
      </c>
      <c r="E150" s="6" t="s">
        <v>268</v>
      </c>
      <c r="F150" s="5" t="s">
        <v>19</v>
      </c>
      <c r="G150" s="5" t="s">
        <v>27</v>
      </c>
      <c r="H150" s="5">
        <v>14137.0</v>
      </c>
      <c r="I150" s="5">
        <v>44.0</v>
      </c>
      <c r="J150" s="5">
        <v>9300.0</v>
      </c>
      <c r="K150" s="5">
        <v>13110.0</v>
      </c>
      <c r="L150" s="5">
        <v>8.0</v>
      </c>
      <c r="M150" s="5">
        <v>6345.460338</v>
      </c>
    </row>
    <row r="151">
      <c r="A151" s="4" t="s">
        <v>269</v>
      </c>
      <c r="B151" s="5" t="s">
        <v>15</v>
      </c>
      <c r="C151" s="5" t="s">
        <v>42</v>
      </c>
      <c r="D151" s="5" t="s">
        <v>17</v>
      </c>
      <c r="E151" s="6" t="s">
        <v>268</v>
      </c>
      <c r="F151" s="5" t="s">
        <v>19</v>
      </c>
      <c r="G151" s="5" t="s">
        <v>27</v>
      </c>
      <c r="H151" s="5">
        <v>7921.0</v>
      </c>
      <c r="I151" s="5">
        <v>50.0</v>
      </c>
      <c r="J151" s="5">
        <v>4727.0</v>
      </c>
      <c r="K151" s="5">
        <v>6513.0</v>
      </c>
      <c r="L151" s="5">
        <v>11.0</v>
      </c>
      <c r="M151" s="5">
        <v>5379.00144</v>
      </c>
    </row>
    <row r="152">
      <c r="A152" s="4" t="s">
        <v>270</v>
      </c>
      <c r="B152" s="5" t="s">
        <v>22</v>
      </c>
      <c r="C152" s="5" t="s">
        <v>42</v>
      </c>
      <c r="D152" s="5" t="s">
        <v>29</v>
      </c>
      <c r="E152" s="6" t="s">
        <v>271</v>
      </c>
      <c r="F152" s="5" t="s">
        <v>19</v>
      </c>
      <c r="G152" s="5" t="s">
        <v>27</v>
      </c>
      <c r="H152" s="5">
        <v>11025.0</v>
      </c>
      <c r="I152" s="5">
        <v>50.0</v>
      </c>
      <c r="J152" s="5">
        <v>7974.0</v>
      </c>
      <c r="K152" s="5">
        <v>10311.0</v>
      </c>
      <c r="L152" s="5">
        <v>4.0</v>
      </c>
      <c r="M152" s="5">
        <v>1657.159766</v>
      </c>
    </row>
    <row r="153">
      <c r="A153" s="4" t="s">
        <v>272</v>
      </c>
      <c r="B153" s="5" t="s">
        <v>15</v>
      </c>
      <c r="C153" s="5" t="s">
        <v>42</v>
      </c>
      <c r="D153" s="5" t="s">
        <v>273</v>
      </c>
      <c r="E153" s="6" t="s">
        <v>271</v>
      </c>
      <c r="F153" s="5" t="s">
        <v>26</v>
      </c>
      <c r="G153" s="5" t="s">
        <v>27</v>
      </c>
      <c r="H153" s="5">
        <v>14922.0</v>
      </c>
      <c r="I153" s="5">
        <v>99.0</v>
      </c>
      <c r="J153" s="5">
        <v>10713.0</v>
      </c>
      <c r="K153" s="5">
        <v>13992.0</v>
      </c>
      <c r="L153" s="5">
        <v>5.0</v>
      </c>
      <c r="M153" s="5">
        <v>1578.876432</v>
      </c>
    </row>
    <row r="154">
      <c r="A154" s="4" t="s">
        <v>274</v>
      </c>
      <c r="B154" s="5" t="s">
        <v>15</v>
      </c>
      <c r="C154" s="5" t="s">
        <v>31</v>
      </c>
      <c r="D154" s="5" t="s">
        <v>66</v>
      </c>
      <c r="E154" s="6" t="s">
        <v>271</v>
      </c>
      <c r="F154" s="5" t="s">
        <v>19</v>
      </c>
      <c r="G154" s="5" t="s">
        <v>27</v>
      </c>
      <c r="H154" s="5">
        <v>7427.0</v>
      </c>
      <c r="I154" s="5">
        <v>0.0</v>
      </c>
      <c r="J154" s="5">
        <v>4752.0</v>
      </c>
      <c r="K154" s="5">
        <v>6566.0</v>
      </c>
      <c r="L154" s="5">
        <v>1.0</v>
      </c>
      <c r="M154" s="5">
        <v>1504.784161</v>
      </c>
    </row>
    <row r="155">
      <c r="A155" s="4" t="s">
        <v>275</v>
      </c>
      <c r="B155" s="5" t="s">
        <v>22</v>
      </c>
      <c r="C155" s="5" t="s">
        <v>16</v>
      </c>
      <c r="D155" s="5" t="s">
        <v>55</v>
      </c>
      <c r="E155" s="6" t="s">
        <v>276</v>
      </c>
      <c r="F155" s="5" t="s">
        <v>48</v>
      </c>
      <c r="G155" s="5" t="s">
        <v>27</v>
      </c>
      <c r="H155" s="5">
        <v>14553.0</v>
      </c>
      <c r="I155" s="5">
        <v>47.0</v>
      </c>
      <c r="J155" s="5">
        <v>6119.0</v>
      </c>
      <c r="K155" s="5">
        <v>12505.0</v>
      </c>
      <c r="L155" s="5">
        <v>11.0</v>
      </c>
      <c r="M155" s="5">
        <v>6968.00047</v>
      </c>
    </row>
    <row r="156">
      <c r="A156" s="4" t="s">
        <v>277</v>
      </c>
      <c r="B156" s="5" t="s">
        <v>61</v>
      </c>
      <c r="C156" s="5" t="s">
        <v>16</v>
      </c>
      <c r="D156" s="5" t="s">
        <v>17</v>
      </c>
      <c r="E156" s="6" t="s">
        <v>278</v>
      </c>
      <c r="F156" s="5" t="s">
        <v>26</v>
      </c>
      <c r="G156" s="5" t="s">
        <v>27</v>
      </c>
      <c r="H156" s="5">
        <v>10350.0</v>
      </c>
      <c r="I156" s="5">
        <v>66.0</v>
      </c>
      <c r="J156" s="5">
        <v>723.0</v>
      </c>
      <c r="K156" s="5">
        <v>8720.0</v>
      </c>
      <c r="L156" s="5">
        <v>14.0</v>
      </c>
      <c r="M156" s="5">
        <v>6774.202636</v>
      </c>
    </row>
    <row r="157">
      <c r="A157" s="4" t="s">
        <v>279</v>
      </c>
      <c r="B157" s="5" t="s">
        <v>15</v>
      </c>
      <c r="C157" s="5" t="s">
        <v>23</v>
      </c>
      <c r="D157" s="5" t="s">
        <v>78</v>
      </c>
      <c r="E157" s="6" t="s">
        <v>278</v>
      </c>
      <c r="F157" s="5" t="s">
        <v>46</v>
      </c>
      <c r="G157" s="5" t="s">
        <v>20</v>
      </c>
      <c r="H157" s="5">
        <v>18028.0</v>
      </c>
      <c r="I157" s="5">
        <v>89.0</v>
      </c>
      <c r="J157" s="5">
        <v>1851.0</v>
      </c>
      <c r="K157" s="5">
        <v>14926.0</v>
      </c>
      <c r="L157" s="5">
        <v>24.0</v>
      </c>
      <c r="M157" s="5">
        <v>1572.24171</v>
      </c>
    </row>
    <row r="158">
      <c r="A158" s="4" t="s">
        <v>280</v>
      </c>
      <c r="B158" s="5" t="s">
        <v>15</v>
      </c>
      <c r="C158" s="5" t="s">
        <v>23</v>
      </c>
      <c r="D158" s="5" t="s">
        <v>17</v>
      </c>
      <c r="E158" s="6" t="s">
        <v>281</v>
      </c>
      <c r="F158" s="5" t="s">
        <v>19</v>
      </c>
      <c r="G158" s="5" t="s">
        <v>27</v>
      </c>
      <c r="H158" s="5">
        <v>12391.0</v>
      </c>
      <c r="I158" s="5">
        <v>40.0</v>
      </c>
      <c r="J158" s="5">
        <v>5756.0</v>
      </c>
      <c r="K158" s="5">
        <v>11636.0</v>
      </c>
      <c r="L158" s="5">
        <v>4.0</v>
      </c>
      <c r="M158" s="5">
        <v>3069.123483</v>
      </c>
    </row>
    <row r="159">
      <c r="A159" s="4" t="s">
        <v>282</v>
      </c>
      <c r="B159" s="5" t="s">
        <v>22</v>
      </c>
      <c r="C159" s="5" t="s">
        <v>31</v>
      </c>
      <c r="D159" s="5" t="s">
        <v>32</v>
      </c>
      <c r="E159" s="6" t="s">
        <v>283</v>
      </c>
      <c r="F159" s="5" t="s">
        <v>46</v>
      </c>
      <c r="G159" s="5" t="s">
        <v>27</v>
      </c>
      <c r="H159" s="5">
        <v>14917.0</v>
      </c>
      <c r="I159" s="5">
        <v>10.0</v>
      </c>
      <c r="J159" s="5">
        <v>3065.0</v>
      </c>
      <c r="K159" s="5">
        <v>13109.0</v>
      </c>
      <c r="L159" s="5">
        <v>3.0</v>
      </c>
      <c r="M159" s="5">
        <v>1583.537104</v>
      </c>
    </row>
    <row r="160">
      <c r="A160" s="4" t="s">
        <v>284</v>
      </c>
      <c r="B160" s="5" t="s">
        <v>61</v>
      </c>
      <c r="C160" s="5" t="s">
        <v>16</v>
      </c>
      <c r="D160" s="5" t="s">
        <v>29</v>
      </c>
      <c r="E160" s="6" t="s">
        <v>285</v>
      </c>
      <c r="F160" s="5" t="s">
        <v>117</v>
      </c>
      <c r="G160" s="5" t="s">
        <v>27</v>
      </c>
      <c r="H160" s="5">
        <v>9560.0</v>
      </c>
      <c r="I160" s="5">
        <v>98.0</v>
      </c>
      <c r="J160" s="5">
        <v>3076.0</v>
      </c>
      <c r="K160" s="5">
        <v>6252.0</v>
      </c>
      <c r="L160" s="5">
        <v>17.0</v>
      </c>
      <c r="M160" s="5">
        <v>6420.218123</v>
      </c>
    </row>
    <row r="161">
      <c r="A161" s="4" t="s">
        <v>286</v>
      </c>
      <c r="B161" s="5" t="s">
        <v>22</v>
      </c>
      <c r="C161" s="5" t="s">
        <v>23</v>
      </c>
      <c r="D161" s="5" t="s">
        <v>55</v>
      </c>
      <c r="E161" s="6" t="s">
        <v>287</v>
      </c>
      <c r="F161" s="5" t="s">
        <v>19</v>
      </c>
      <c r="G161" s="5" t="s">
        <v>27</v>
      </c>
      <c r="H161" s="5">
        <v>12606.0</v>
      </c>
      <c r="I161" s="5">
        <v>74.0</v>
      </c>
      <c r="J161" s="5">
        <v>8332.0</v>
      </c>
      <c r="K161" s="5">
        <v>11170.0</v>
      </c>
      <c r="L161" s="5">
        <v>5.0</v>
      </c>
      <c r="M161" s="5">
        <v>2002.537989</v>
      </c>
    </row>
    <row r="162">
      <c r="A162" s="4" t="s">
        <v>288</v>
      </c>
      <c r="B162" s="5" t="s">
        <v>22</v>
      </c>
      <c r="C162" s="5" t="s">
        <v>16</v>
      </c>
      <c r="D162" s="5" t="s">
        <v>78</v>
      </c>
      <c r="E162" s="6" t="s">
        <v>289</v>
      </c>
      <c r="F162" s="5" t="s">
        <v>33</v>
      </c>
      <c r="G162" s="5" t="s">
        <v>27</v>
      </c>
      <c r="H162" s="5">
        <v>18022.0</v>
      </c>
      <c r="I162" s="5">
        <v>30.0</v>
      </c>
      <c r="J162" s="5">
        <v>10618.0</v>
      </c>
      <c r="K162" s="5">
        <v>16643.0</v>
      </c>
      <c r="L162" s="5">
        <v>15.0</v>
      </c>
      <c r="M162" s="5">
        <v>4051.158749</v>
      </c>
    </row>
    <row r="163">
      <c r="A163" s="4" t="s">
        <v>290</v>
      </c>
      <c r="B163" s="5" t="s">
        <v>22</v>
      </c>
      <c r="C163" s="5" t="s">
        <v>16</v>
      </c>
      <c r="D163" s="5" t="s">
        <v>17</v>
      </c>
      <c r="E163" s="6" t="s">
        <v>291</v>
      </c>
      <c r="F163" s="5" t="s">
        <v>36</v>
      </c>
      <c r="G163" s="5" t="s">
        <v>27</v>
      </c>
      <c r="H163" s="5">
        <v>18401.0</v>
      </c>
      <c r="I163" s="5">
        <v>66.0</v>
      </c>
      <c r="J163" s="5">
        <v>11051.0</v>
      </c>
      <c r="K163" s="5">
        <v>17202.0</v>
      </c>
      <c r="L163" s="5">
        <v>26.0</v>
      </c>
      <c r="M163" s="5">
        <v>6571.491552</v>
      </c>
    </row>
    <row r="164">
      <c r="A164" s="4" t="s">
        <v>292</v>
      </c>
      <c r="B164" s="5" t="s">
        <v>22</v>
      </c>
      <c r="C164" s="5" t="s">
        <v>16</v>
      </c>
      <c r="D164" s="5" t="s">
        <v>273</v>
      </c>
      <c r="E164" s="6" t="s">
        <v>291</v>
      </c>
      <c r="F164" s="5" t="s">
        <v>19</v>
      </c>
      <c r="G164" s="5" t="s">
        <v>27</v>
      </c>
      <c r="H164" s="5">
        <v>18412.0</v>
      </c>
      <c r="I164" s="5">
        <v>140.0</v>
      </c>
      <c r="J164" s="5">
        <v>5668.0</v>
      </c>
      <c r="K164" s="5">
        <v>16711.0</v>
      </c>
      <c r="L164" s="5">
        <v>12.0</v>
      </c>
      <c r="M164" s="5">
        <v>5244.34174</v>
      </c>
    </row>
    <row r="165">
      <c r="A165" s="4" t="s">
        <v>293</v>
      </c>
      <c r="B165" s="5" t="s">
        <v>15</v>
      </c>
      <c r="C165" s="5" t="s">
        <v>31</v>
      </c>
      <c r="D165" s="5" t="s">
        <v>29</v>
      </c>
      <c r="E165" s="6" t="s">
        <v>291</v>
      </c>
      <c r="F165" s="5" t="s">
        <v>46</v>
      </c>
      <c r="G165" s="5" t="s">
        <v>27</v>
      </c>
      <c r="H165" s="5">
        <v>11697.0</v>
      </c>
      <c r="I165" s="5">
        <v>64.0</v>
      </c>
      <c r="J165" s="5">
        <v>6761.0</v>
      </c>
      <c r="K165" s="5">
        <v>10783.0</v>
      </c>
      <c r="L165" s="5">
        <v>3.0</v>
      </c>
      <c r="M165" s="5">
        <v>5218.070231</v>
      </c>
    </row>
    <row r="166">
      <c r="A166" s="4" t="s">
        <v>294</v>
      </c>
      <c r="B166" s="5" t="s">
        <v>22</v>
      </c>
      <c r="C166" s="5" t="s">
        <v>16</v>
      </c>
      <c r="D166" s="5" t="s">
        <v>29</v>
      </c>
      <c r="E166" s="6" t="s">
        <v>291</v>
      </c>
      <c r="F166" s="5" t="s">
        <v>36</v>
      </c>
      <c r="G166" s="5" t="s">
        <v>27</v>
      </c>
      <c r="H166" s="5">
        <v>12220.0</v>
      </c>
      <c r="I166" s="5">
        <v>54.0</v>
      </c>
      <c r="J166" s="5">
        <v>7133.0</v>
      </c>
      <c r="K166" s="5">
        <v>11331.0</v>
      </c>
      <c r="L166" s="5">
        <v>3.0</v>
      </c>
      <c r="M166" s="5">
        <v>1478.392247</v>
      </c>
    </row>
    <row r="167">
      <c r="A167" s="4" t="s">
        <v>295</v>
      </c>
      <c r="B167" s="5" t="s">
        <v>15</v>
      </c>
      <c r="C167" s="5" t="s">
        <v>42</v>
      </c>
      <c r="D167" s="5" t="s">
        <v>17</v>
      </c>
      <c r="E167" s="6" t="s">
        <v>291</v>
      </c>
      <c r="F167" s="5" t="s">
        <v>136</v>
      </c>
      <c r="G167" s="5" t="s">
        <v>52</v>
      </c>
      <c r="H167" s="5">
        <v>49415.0</v>
      </c>
      <c r="I167" s="5">
        <v>144.0</v>
      </c>
      <c r="J167" s="5">
        <v>24692.0</v>
      </c>
      <c r="K167" s="5">
        <v>45565.0</v>
      </c>
      <c r="L167" s="5">
        <v>3.0</v>
      </c>
      <c r="M167" s="5">
        <v>1471.175728</v>
      </c>
    </row>
    <row r="168">
      <c r="A168" s="4" t="s">
        <v>296</v>
      </c>
      <c r="B168" s="5" t="s">
        <v>15</v>
      </c>
      <c r="C168" s="5" t="s">
        <v>16</v>
      </c>
      <c r="D168" s="5" t="s">
        <v>35</v>
      </c>
      <c r="E168" s="6" t="s">
        <v>297</v>
      </c>
      <c r="F168" s="5" t="s">
        <v>19</v>
      </c>
      <c r="G168" s="5" t="s">
        <v>27</v>
      </c>
      <c r="H168" s="5">
        <v>1100942.0</v>
      </c>
      <c r="I168" s="5">
        <v>2984.0</v>
      </c>
      <c r="J168" s="5">
        <v>629973.0</v>
      </c>
      <c r="K168" s="5">
        <v>1041225.0</v>
      </c>
      <c r="L168" s="5">
        <v>147.0</v>
      </c>
      <c r="M168" s="5">
        <v>7979.348589</v>
      </c>
    </row>
    <row r="169">
      <c r="A169" s="4" t="s">
        <v>298</v>
      </c>
      <c r="B169" s="5" t="s">
        <v>22</v>
      </c>
      <c r="C169" s="5" t="s">
        <v>16</v>
      </c>
      <c r="D169" s="5" t="s">
        <v>78</v>
      </c>
      <c r="E169" s="6" t="s">
        <v>297</v>
      </c>
      <c r="F169" s="5" t="s">
        <v>19</v>
      </c>
      <c r="G169" s="5" t="s">
        <v>27</v>
      </c>
      <c r="H169" s="5">
        <v>221720.0</v>
      </c>
      <c r="I169" s="5">
        <v>499.0</v>
      </c>
      <c r="J169" s="5">
        <v>35178.0</v>
      </c>
      <c r="K169" s="5">
        <v>196583.0</v>
      </c>
      <c r="L169" s="5">
        <v>69.0</v>
      </c>
      <c r="M169" s="5">
        <v>7890.221963</v>
      </c>
    </row>
    <row r="170">
      <c r="A170" s="4" t="s">
        <v>299</v>
      </c>
      <c r="B170" s="5" t="s">
        <v>15</v>
      </c>
      <c r="C170" s="5" t="s">
        <v>31</v>
      </c>
      <c r="D170" s="5" t="s">
        <v>78</v>
      </c>
      <c r="E170" s="6" t="s">
        <v>297</v>
      </c>
      <c r="F170" s="5" t="s">
        <v>19</v>
      </c>
      <c r="G170" s="5" t="s">
        <v>27</v>
      </c>
      <c r="H170" s="5">
        <v>325152.0</v>
      </c>
      <c r="I170" s="5">
        <v>854.0</v>
      </c>
      <c r="J170" s="5">
        <v>138319.0</v>
      </c>
      <c r="K170" s="5">
        <v>300133.0</v>
      </c>
      <c r="L170" s="5">
        <v>55.0</v>
      </c>
      <c r="M170" s="5">
        <v>7887.612662</v>
      </c>
    </row>
    <row r="171">
      <c r="A171" s="4" t="s">
        <v>300</v>
      </c>
      <c r="B171" s="5" t="s">
        <v>22</v>
      </c>
      <c r="C171" s="5" t="s">
        <v>16</v>
      </c>
      <c r="D171" s="5" t="s">
        <v>55</v>
      </c>
      <c r="E171" s="6" t="s">
        <v>297</v>
      </c>
      <c r="F171" s="5" t="s">
        <v>50</v>
      </c>
      <c r="G171" s="5" t="s">
        <v>27</v>
      </c>
      <c r="H171" s="5">
        <v>680912.0</v>
      </c>
      <c r="I171" s="5">
        <v>2000.0</v>
      </c>
      <c r="J171" s="5">
        <v>388915.0</v>
      </c>
      <c r="K171" s="5">
        <v>648524.0</v>
      </c>
      <c r="L171" s="5">
        <v>39.0</v>
      </c>
      <c r="M171" s="5">
        <v>7814.262494</v>
      </c>
    </row>
    <row r="172">
      <c r="A172" s="4" t="s">
        <v>301</v>
      </c>
      <c r="B172" s="5" t="s">
        <v>15</v>
      </c>
      <c r="C172" s="5" t="s">
        <v>42</v>
      </c>
      <c r="D172" s="5" t="s">
        <v>39</v>
      </c>
      <c r="E172" s="6" t="s">
        <v>297</v>
      </c>
      <c r="F172" s="5" t="s">
        <v>33</v>
      </c>
      <c r="G172" s="5" t="s">
        <v>27</v>
      </c>
      <c r="H172" s="5">
        <v>569171.0</v>
      </c>
      <c r="I172" s="5">
        <v>1354.0</v>
      </c>
      <c r="J172" s="5">
        <v>343050.0</v>
      </c>
      <c r="K172" s="5">
        <v>541133.0</v>
      </c>
      <c r="L172" s="5">
        <v>78.0</v>
      </c>
      <c r="M172" s="5">
        <v>7129.633287</v>
      </c>
    </row>
    <row r="173">
      <c r="A173" s="4" t="s">
        <v>302</v>
      </c>
      <c r="B173" s="5" t="s">
        <v>15</v>
      </c>
      <c r="C173" s="5" t="s">
        <v>42</v>
      </c>
      <c r="D173" s="5" t="s">
        <v>35</v>
      </c>
      <c r="E173" s="6" t="s">
        <v>297</v>
      </c>
      <c r="F173" s="5" t="s">
        <v>36</v>
      </c>
      <c r="G173" s="5" t="s">
        <v>20</v>
      </c>
      <c r="H173" s="5">
        <v>27592.0</v>
      </c>
      <c r="I173" s="5">
        <v>80.0</v>
      </c>
      <c r="J173" s="5">
        <v>10901.0</v>
      </c>
      <c r="K173" s="5">
        <v>24980.0</v>
      </c>
      <c r="L173" s="5">
        <v>17.0</v>
      </c>
      <c r="M173" s="5">
        <v>6809.356022</v>
      </c>
    </row>
    <row r="174">
      <c r="A174" s="4" t="s">
        <v>303</v>
      </c>
      <c r="B174" s="5" t="s">
        <v>22</v>
      </c>
      <c r="C174" s="5" t="s">
        <v>31</v>
      </c>
      <c r="D174" s="5" t="s">
        <v>304</v>
      </c>
      <c r="E174" s="6" t="s">
        <v>297</v>
      </c>
      <c r="F174" s="5" t="s">
        <v>167</v>
      </c>
      <c r="G174" s="5" t="s">
        <v>27</v>
      </c>
      <c r="H174" s="5">
        <v>83957.0</v>
      </c>
      <c r="I174" s="5">
        <v>185.0</v>
      </c>
      <c r="J174" s="5">
        <v>1420.0</v>
      </c>
      <c r="K174" s="5">
        <v>69246.0</v>
      </c>
      <c r="L174" s="5">
        <v>19.0</v>
      </c>
      <c r="M174" s="5">
        <v>6651.51451</v>
      </c>
    </row>
    <row r="175">
      <c r="A175" s="4" t="s">
        <v>305</v>
      </c>
      <c r="B175" s="5" t="s">
        <v>15</v>
      </c>
      <c r="C175" s="5" t="s">
        <v>42</v>
      </c>
      <c r="D175" s="5" t="s">
        <v>78</v>
      </c>
      <c r="E175" s="6" t="s">
        <v>297</v>
      </c>
      <c r="F175" s="5" t="s">
        <v>19</v>
      </c>
      <c r="G175" s="5" t="s">
        <v>27</v>
      </c>
      <c r="H175" s="5">
        <v>161178.0</v>
      </c>
      <c r="I175" s="5">
        <v>492.0</v>
      </c>
      <c r="J175" s="5">
        <v>70181.0</v>
      </c>
      <c r="K175" s="5">
        <v>150003.0</v>
      </c>
      <c r="L175" s="5">
        <v>11.0</v>
      </c>
      <c r="M175" s="5">
        <v>5892.48218</v>
      </c>
    </row>
    <row r="176">
      <c r="A176" s="4" t="s">
        <v>306</v>
      </c>
      <c r="B176" s="5" t="s">
        <v>22</v>
      </c>
      <c r="C176" s="5" t="s">
        <v>31</v>
      </c>
      <c r="D176" s="5" t="s">
        <v>17</v>
      </c>
      <c r="E176" s="6" t="s">
        <v>297</v>
      </c>
      <c r="F176" s="5" t="s">
        <v>19</v>
      </c>
      <c r="G176" s="5" t="s">
        <v>27</v>
      </c>
      <c r="H176" s="5">
        <v>405957.0</v>
      </c>
      <c r="I176" s="5">
        <v>874.0</v>
      </c>
      <c r="J176" s="5">
        <v>204189.0</v>
      </c>
      <c r="K176" s="5">
        <v>385654.0</v>
      </c>
      <c r="L176" s="5">
        <v>16.0</v>
      </c>
      <c r="M176" s="5">
        <v>5864.126493</v>
      </c>
    </row>
    <row r="177">
      <c r="A177" s="4" t="s">
        <v>307</v>
      </c>
      <c r="B177" s="5" t="s">
        <v>15</v>
      </c>
      <c r="C177" s="5" t="s">
        <v>31</v>
      </c>
      <c r="D177" s="5" t="s">
        <v>17</v>
      </c>
      <c r="E177" s="6" t="s">
        <v>297</v>
      </c>
      <c r="F177" s="5" t="s">
        <v>36</v>
      </c>
      <c r="G177" s="5" t="s">
        <v>20</v>
      </c>
      <c r="H177" s="5">
        <v>161222.0</v>
      </c>
      <c r="I177" s="5">
        <v>500.0</v>
      </c>
      <c r="J177" s="5">
        <v>66740.0</v>
      </c>
      <c r="K177" s="5">
        <v>149743.0</v>
      </c>
      <c r="L177" s="5">
        <v>19.0</v>
      </c>
      <c r="M177" s="5">
        <v>5767.797381</v>
      </c>
    </row>
    <row r="178">
      <c r="A178" s="4" t="s">
        <v>308</v>
      </c>
      <c r="B178" s="5" t="s">
        <v>15</v>
      </c>
      <c r="C178" s="5" t="s">
        <v>42</v>
      </c>
      <c r="D178" s="5" t="s">
        <v>29</v>
      </c>
      <c r="E178" s="6" t="s">
        <v>297</v>
      </c>
      <c r="F178" s="5" t="s">
        <v>19</v>
      </c>
      <c r="G178" s="5" t="s">
        <v>52</v>
      </c>
      <c r="H178" s="5">
        <v>39163.0</v>
      </c>
      <c r="I178" s="5">
        <v>113.0</v>
      </c>
      <c r="J178" s="5">
        <v>16254.0</v>
      </c>
      <c r="K178" s="5">
        <v>36526.0</v>
      </c>
      <c r="L178" s="5">
        <v>15.0</v>
      </c>
      <c r="M178" s="5">
        <v>5692.765813</v>
      </c>
    </row>
    <row r="179">
      <c r="A179" s="4" t="s">
        <v>309</v>
      </c>
      <c r="B179" s="5" t="s">
        <v>22</v>
      </c>
      <c r="C179" s="5" t="s">
        <v>23</v>
      </c>
      <c r="D179" s="5" t="s">
        <v>29</v>
      </c>
      <c r="E179" s="6" t="s">
        <v>297</v>
      </c>
      <c r="F179" s="5" t="s">
        <v>117</v>
      </c>
      <c r="G179" s="5" t="s">
        <v>27</v>
      </c>
      <c r="H179" s="5">
        <v>39794.0</v>
      </c>
      <c r="I179" s="5">
        <v>101.0</v>
      </c>
      <c r="J179" s="5">
        <v>17539.0</v>
      </c>
      <c r="K179" s="5">
        <v>37664.0</v>
      </c>
      <c r="L179" s="5">
        <v>12.0</v>
      </c>
      <c r="M179" s="5">
        <v>5328.524514</v>
      </c>
    </row>
    <row r="180">
      <c r="A180" s="4" t="s">
        <v>310</v>
      </c>
      <c r="B180" s="5" t="s">
        <v>15</v>
      </c>
      <c r="C180" s="5" t="s">
        <v>31</v>
      </c>
      <c r="D180" s="5" t="s">
        <v>84</v>
      </c>
      <c r="E180" s="6" t="s">
        <v>297</v>
      </c>
      <c r="F180" s="5" t="s">
        <v>19</v>
      </c>
      <c r="G180" s="5" t="s">
        <v>20</v>
      </c>
      <c r="H180" s="5">
        <v>104538.0</v>
      </c>
      <c r="I180" s="5">
        <v>347.0</v>
      </c>
      <c r="J180" s="5">
        <v>49049.0</v>
      </c>
      <c r="K180" s="5">
        <v>97093.0</v>
      </c>
      <c r="L180" s="5">
        <v>2.0</v>
      </c>
      <c r="M180" s="5">
        <v>5266.424233</v>
      </c>
    </row>
    <row r="181">
      <c r="A181" s="4" t="s">
        <v>311</v>
      </c>
      <c r="B181" s="5" t="s">
        <v>15</v>
      </c>
      <c r="C181" s="5" t="s">
        <v>31</v>
      </c>
      <c r="D181" s="5" t="s">
        <v>35</v>
      </c>
      <c r="E181" s="6" t="s">
        <v>297</v>
      </c>
      <c r="F181" s="5" t="s">
        <v>19</v>
      </c>
      <c r="G181" s="5" t="s">
        <v>27</v>
      </c>
      <c r="H181" s="5">
        <v>262807.0</v>
      </c>
      <c r="I181" s="5">
        <v>684.0</v>
      </c>
      <c r="J181" s="5">
        <v>109871.0</v>
      </c>
      <c r="K181" s="5">
        <v>236426.0</v>
      </c>
      <c r="L181" s="5">
        <v>12.0</v>
      </c>
      <c r="M181" s="5">
        <v>5150.468923</v>
      </c>
    </row>
    <row r="182">
      <c r="A182" s="4" t="s">
        <v>312</v>
      </c>
      <c r="B182" s="5" t="s">
        <v>15</v>
      </c>
      <c r="C182" s="5" t="s">
        <v>31</v>
      </c>
      <c r="D182" s="5" t="s">
        <v>35</v>
      </c>
      <c r="E182" s="6" t="s">
        <v>297</v>
      </c>
      <c r="F182" s="5" t="s">
        <v>117</v>
      </c>
      <c r="G182" s="5" t="s">
        <v>27</v>
      </c>
      <c r="H182" s="5">
        <v>56945.0</v>
      </c>
      <c r="I182" s="5">
        <v>152.0</v>
      </c>
      <c r="J182" s="5">
        <v>20750.0</v>
      </c>
      <c r="K182" s="5">
        <v>50714.0</v>
      </c>
      <c r="L182" s="5">
        <v>9.0</v>
      </c>
      <c r="M182" s="5">
        <v>5144.474371</v>
      </c>
    </row>
    <row r="183">
      <c r="A183" s="4" t="s">
        <v>313</v>
      </c>
      <c r="B183" s="5" t="s">
        <v>15</v>
      </c>
      <c r="C183" s="5" t="s">
        <v>23</v>
      </c>
      <c r="D183" s="5" t="s">
        <v>39</v>
      </c>
      <c r="E183" s="6" t="s">
        <v>297</v>
      </c>
      <c r="F183" s="5" t="s">
        <v>19</v>
      </c>
      <c r="G183" s="5" t="s">
        <v>27</v>
      </c>
      <c r="H183" s="5">
        <v>23983.0</v>
      </c>
      <c r="I183" s="5">
        <v>0.0</v>
      </c>
      <c r="J183" s="5">
        <v>464.0</v>
      </c>
      <c r="K183" s="5">
        <v>19802.0</v>
      </c>
      <c r="L183" s="5">
        <v>9.0</v>
      </c>
      <c r="M183" s="5">
        <v>4574.34827</v>
      </c>
    </row>
    <row r="184">
      <c r="A184" s="4" t="s">
        <v>314</v>
      </c>
      <c r="B184" s="5" t="s">
        <v>22</v>
      </c>
      <c r="C184" s="5" t="s">
        <v>23</v>
      </c>
      <c r="D184" s="5" t="s">
        <v>35</v>
      </c>
      <c r="E184" s="6" t="s">
        <v>297</v>
      </c>
      <c r="F184" s="5" t="s">
        <v>19</v>
      </c>
      <c r="G184" s="5" t="s">
        <v>27</v>
      </c>
      <c r="H184" s="5">
        <v>102884.0</v>
      </c>
      <c r="I184" s="5">
        <v>299.0</v>
      </c>
      <c r="J184" s="5">
        <v>42841.0</v>
      </c>
      <c r="K184" s="5">
        <v>96539.0</v>
      </c>
      <c r="L184" s="5">
        <v>6.0</v>
      </c>
      <c r="M184" s="5">
        <v>2015.448331</v>
      </c>
    </row>
    <row r="185">
      <c r="A185" s="4" t="s">
        <v>315</v>
      </c>
      <c r="B185" s="5" t="s">
        <v>15</v>
      </c>
      <c r="C185" s="5" t="s">
        <v>23</v>
      </c>
      <c r="D185" s="5" t="s">
        <v>17</v>
      </c>
      <c r="E185" s="6" t="s">
        <v>297</v>
      </c>
      <c r="F185" s="5" t="s">
        <v>19</v>
      </c>
      <c r="G185" s="5" t="s">
        <v>52</v>
      </c>
      <c r="H185" s="5">
        <v>55692.0</v>
      </c>
      <c r="I185" s="5">
        <v>184.0</v>
      </c>
      <c r="J185" s="5">
        <v>3596.0</v>
      </c>
      <c r="K185" s="5">
        <v>51209.0</v>
      </c>
      <c r="L185" s="5">
        <v>9.0</v>
      </c>
      <c r="M185" s="5">
        <v>1981.050288</v>
      </c>
    </row>
    <row r="186">
      <c r="A186" s="4" t="s">
        <v>316</v>
      </c>
      <c r="B186" s="5" t="s">
        <v>15</v>
      </c>
      <c r="C186" s="5" t="s">
        <v>23</v>
      </c>
      <c r="D186" s="5" t="s">
        <v>17</v>
      </c>
      <c r="E186" s="6" t="s">
        <v>297</v>
      </c>
      <c r="F186" s="5" t="s">
        <v>46</v>
      </c>
      <c r="G186" s="5" t="s">
        <v>20</v>
      </c>
      <c r="H186" s="5">
        <v>63460.0</v>
      </c>
      <c r="I186" s="5">
        <v>212.0</v>
      </c>
      <c r="J186" s="5">
        <v>26978.0</v>
      </c>
      <c r="K186" s="5">
        <v>59516.0</v>
      </c>
      <c r="L186" s="5">
        <v>4.0</v>
      </c>
      <c r="M186" s="5">
        <v>1945.433188</v>
      </c>
    </row>
    <row r="187">
      <c r="A187" s="4" t="s">
        <v>317</v>
      </c>
      <c r="B187" s="5" t="s">
        <v>15</v>
      </c>
      <c r="C187" s="5" t="s">
        <v>42</v>
      </c>
      <c r="D187" s="5" t="s">
        <v>142</v>
      </c>
      <c r="E187" s="6" t="s">
        <v>297</v>
      </c>
      <c r="F187" s="5" t="s">
        <v>19</v>
      </c>
      <c r="G187" s="5" t="s">
        <v>27</v>
      </c>
      <c r="H187" s="5">
        <v>189462.0</v>
      </c>
      <c r="I187" s="5">
        <v>478.0</v>
      </c>
      <c r="J187" s="5">
        <v>53431.0</v>
      </c>
      <c r="K187" s="5">
        <v>163634.0</v>
      </c>
      <c r="L187" s="5">
        <v>5.0</v>
      </c>
      <c r="M187" s="5">
        <v>1625.17488</v>
      </c>
    </row>
    <row r="188">
      <c r="A188" s="4" t="s">
        <v>318</v>
      </c>
      <c r="B188" s="5" t="s">
        <v>15</v>
      </c>
      <c r="C188" s="5" t="s">
        <v>31</v>
      </c>
      <c r="D188" s="5" t="s">
        <v>95</v>
      </c>
      <c r="E188" s="6" t="s">
        <v>297</v>
      </c>
      <c r="F188" s="5" t="s">
        <v>26</v>
      </c>
      <c r="G188" s="5" t="s">
        <v>52</v>
      </c>
      <c r="H188" s="5">
        <v>61442.0</v>
      </c>
      <c r="I188" s="5">
        <v>190.0</v>
      </c>
      <c r="J188" s="5">
        <v>17048.0</v>
      </c>
      <c r="K188" s="5">
        <v>54166.0</v>
      </c>
      <c r="L188" s="5">
        <v>1.0</v>
      </c>
      <c r="M188" s="5">
        <v>1609.149933</v>
      </c>
    </row>
    <row r="189">
      <c r="A189" s="4" t="s">
        <v>319</v>
      </c>
      <c r="B189" s="5" t="s">
        <v>22</v>
      </c>
      <c r="C189" s="5" t="s">
        <v>23</v>
      </c>
      <c r="D189" s="5" t="s">
        <v>35</v>
      </c>
      <c r="E189" s="6" t="s">
        <v>297</v>
      </c>
      <c r="F189" s="5" t="s">
        <v>46</v>
      </c>
      <c r="G189" s="5" t="s">
        <v>27</v>
      </c>
      <c r="H189" s="5">
        <v>87287.0</v>
      </c>
      <c r="I189" s="5">
        <v>203.0</v>
      </c>
      <c r="J189" s="5">
        <v>40039.0</v>
      </c>
      <c r="K189" s="5">
        <v>80040.0</v>
      </c>
      <c r="L189" s="5">
        <v>18.0</v>
      </c>
      <c r="M189" s="5">
        <v>1579.367346</v>
      </c>
    </row>
    <row r="190">
      <c r="A190" s="4" t="s">
        <v>320</v>
      </c>
      <c r="B190" s="5" t="s">
        <v>15</v>
      </c>
      <c r="C190" s="5" t="s">
        <v>16</v>
      </c>
      <c r="D190" s="5" t="s">
        <v>17</v>
      </c>
      <c r="E190" s="6" t="s">
        <v>297</v>
      </c>
      <c r="F190" s="5" t="s">
        <v>46</v>
      </c>
      <c r="G190" s="5" t="s">
        <v>27</v>
      </c>
      <c r="H190" s="5">
        <v>77703.0</v>
      </c>
      <c r="I190" s="5">
        <v>204.0</v>
      </c>
      <c r="J190" s="5">
        <v>33478.0</v>
      </c>
      <c r="K190" s="5">
        <v>72874.0</v>
      </c>
      <c r="L190" s="5">
        <v>3.0</v>
      </c>
      <c r="M190" s="5">
        <v>1566.912406</v>
      </c>
    </row>
    <row r="191">
      <c r="A191" s="4" t="s">
        <v>321</v>
      </c>
      <c r="B191" s="5" t="s">
        <v>15</v>
      </c>
      <c r="C191" s="5" t="s">
        <v>42</v>
      </c>
      <c r="D191" s="5" t="s">
        <v>84</v>
      </c>
      <c r="E191" s="6" t="s">
        <v>297</v>
      </c>
      <c r="F191" s="5" t="s">
        <v>46</v>
      </c>
      <c r="G191" s="5" t="s">
        <v>52</v>
      </c>
      <c r="H191" s="5">
        <v>74436.0</v>
      </c>
      <c r="I191" s="5">
        <v>175.0</v>
      </c>
      <c r="J191" s="5">
        <v>30158.0</v>
      </c>
      <c r="K191" s="5">
        <v>69150.0</v>
      </c>
      <c r="L191" s="5">
        <v>21.0</v>
      </c>
      <c r="M191" s="5">
        <v>1558.549138</v>
      </c>
    </row>
    <row r="192">
      <c r="A192" s="4" t="s">
        <v>322</v>
      </c>
      <c r="B192" s="5" t="s">
        <v>15</v>
      </c>
      <c r="C192" s="5" t="s">
        <v>42</v>
      </c>
      <c r="D192" s="5" t="s">
        <v>39</v>
      </c>
      <c r="E192" s="6" t="s">
        <v>297</v>
      </c>
      <c r="F192" s="5" t="s">
        <v>50</v>
      </c>
      <c r="G192" s="5" t="s">
        <v>27</v>
      </c>
      <c r="H192" s="5">
        <v>435848.0</v>
      </c>
      <c r="I192" s="5">
        <v>1058.0</v>
      </c>
      <c r="J192" s="5">
        <v>274912.0</v>
      </c>
      <c r="K192" s="5">
        <v>415601.0</v>
      </c>
      <c r="L192" s="5">
        <v>15.0</v>
      </c>
      <c r="M192" s="5">
        <v>1554.439959</v>
      </c>
    </row>
    <row r="193">
      <c r="A193" s="4" t="s">
        <v>323</v>
      </c>
      <c r="B193" s="5" t="s">
        <v>15</v>
      </c>
      <c r="C193" s="5" t="s">
        <v>42</v>
      </c>
      <c r="D193" s="5" t="s">
        <v>35</v>
      </c>
      <c r="E193" s="6" t="s">
        <v>297</v>
      </c>
      <c r="F193" s="5" t="s">
        <v>46</v>
      </c>
      <c r="G193" s="5" t="s">
        <v>27</v>
      </c>
      <c r="H193" s="5">
        <v>9210.0</v>
      </c>
      <c r="I193" s="5">
        <v>80.0</v>
      </c>
      <c r="J193" s="5">
        <v>3798.0</v>
      </c>
      <c r="K193" s="5">
        <v>8619.0</v>
      </c>
      <c r="L193" s="5">
        <v>2.0</v>
      </c>
      <c r="M193" s="5">
        <v>1536.629068</v>
      </c>
    </row>
    <row r="194">
      <c r="A194" s="4" t="s">
        <v>324</v>
      </c>
      <c r="B194" s="5" t="s">
        <v>22</v>
      </c>
      <c r="C194" s="5" t="s">
        <v>31</v>
      </c>
      <c r="D194" s="5" t="s">
        <v>35</v>
      </c>
      <c r="E194" s="6" t="s">
        <v>297</v>
      </c>
      <c r="F194" s="5" t="s">
        <v>36</v>
      </c>
      <c r="G194" s="5" t="s">
        <v>27</v>
      </c>
      <c r="H194" s="5">
        <v>12088.0</v>
      </c>
      <c r="I194" s="5">
        <v>88.0</v>
      </c>
      <c r="J194" s="5">
        <v>1124.0</v>
      </c>
      <c r="K194" s="5">
        <v>10003.0</v>
      </c>
      <c r="L194" s="5">
        <v>2.0</v>
      </c>
      <c r="M194" s="5">
        <v>1500.026152</v>
      </c>
    </row>
    <row r="195">
      <c r="A195" s="4" t="s">
        <v>325</v>
      </c>
      <c r="B195" s="5" t="s">
        <v>22</v>
      </c>
      <c r="C195" s="5" t="s">
        <v>31</v>
      </c>
      <c r="D195" s="5" t="s">
        <v>35</v>
      </c>
      <c r="E195" s="6" t="s">
        <v>297</v>
      </c>
      <c r="F195" s="5" t="s">
        <v>19</v>
      </c>
      <c r="G195" s="5" t="s">
        <v>27</v>
      </c>
      <c r="H195" s="5">
        <v>126337.0</v>
      </c>
      <c r="I195" s="5">
        <v>325.0</v>
      </c>
      <c r="J195" s="5">
        <v>51394.0</v>
      </c>
      <c r="K195" s="5">
        <v>117635.0</v>
      </c>
      <c r="L195" s="5">
        <v>5.0</v>
      </c>
      <c r="M195" s="5">
        <v>1487.088288</v>
      </c>
    </row>
    <row r="196">
      <c r="A196" s="4" t="s">
        <v>326</v>
      </c>
      <c r="B196" s="5" t="s">
        <v>15</v>
      </c>
      <c r="C196" s="5" t="s">
        <v>23</v>
      </c>
      <c r="D196" s="5" t="s">
        <v>35</v>
      </c>
      <c r="E196" s="6" t="s">
        <v>297</v>
      </c>
      <c r="F196" s="5" t="s">
        <v>327</v>
      </c>
      <c r="G196" s="5" t="s">
        <v>27</v>
      </c>
      <c r="H196" s="5">
        <v>229908.0</v>
      </c>
      <c r="I196" s="5">
        <v>489.0</v>
      </c>
      <c r="J196" s="5">
        <v>98259.0</v>
      </c>
      <c r="K196" s="5">
        <v>212073.0</v>
      </c>
      <c r="L196" s="5">
        <v>4.0</v>
      </c>
      <c r="M196" s="5">
        <v>1464.348944</v>
      </c>
    </row>
    <row r="197">
      <c r="A197" s="4" t="s">
        <v>328</v>
      </c>
      <c r="B197" s="5" t="s">
        <v>15</v>
      </c>
      <c r="C197" s="5" t="s">
        <v>23</v>
      </c>
      <c r="D197" s="5" t="s">
        <v>17</v>
      </c>
      <c r="E197" s="6" t="s">
        <v>297</v>
      </c>
      <c r="F197" s="5" t="s">
        <v>117</v>
      </c>
      <c r="G197" s="5" t="s">
        <v>27</v>
      </c>
      <c r="H197" s="5">
        <v>144088.0</v>
      </c>
      <c r="I197" s="5">
        <v>490.0</v>
      </c>
      <c r="J197" s="5">
        <v>26416.0</v>
      </c>
      <c r="K197" s="5">
        <v>137369.0</v>
      </c>
      <c r="L197" s="5">
        <v>7.0</v>
      </c>
      <c r="M197" s="5">
        <v>1464.064235</v>
      </c>
    </row>
    <row r="198">
      <c r="A198" s="4" t="s">
        <v>329</v>
      </c>
      <c r="B198" s="5" t="s">
        <v>22</v>
      </c>
      <c r="C198" s="5" t="s">
        <v>16</v>
      </c>
      <c r="D198" s="5" t="s">
        <v>32</v>
      </c>
      <c r="E198" s="6" t="s">
        <v>297</v>
      </c>
      <c r="F198" s="5" t="s">
        <v>46</v>
      </c>
      <c r="G198" s="5" t="s">
        <v>27</v>
      </c>
      <c r="H198" s="5">
        <v>37269.0</v>
      </c>
      <c r="I198" s="5">
        <v>106.0</v>
      </c>
      <c r="J198" s="5">
        <v>11667.0</v>
      </c>
      <c r="K198" s="5">
        <v>33260.0</v>
      </c>
      <c r="L198" s="5">
        <v>6.0</v>
      </c>
      <c r="M198" s="5">
        <v>1453.075462</v>
      </c>
    </row>
    <row r="199">
      <c r="A199" s="4" t="s">
        <v>330</v>
      </c>
      <c r="B199" s="5" t="s">
        <v>15</v>
      </c>
      <c r="C199" s="5" t="s">
        <v>23</v>
      </c>
      <c r="D199" s="5" t="s">
        <v>17</v>
      </c>
      <c r="E199" s="6" t="s">
        <v>297</v>
      </c>
      <c r="F199" s="5" t="s">
        <v>26</v>
      </c>
      <c r="G199" s="5" t="s">
        <v>27</v>
      </c>
      <c r="H199" s="5">
        <v>13326.0</v>
      </c>
      <c r="I199" s="5">
        <v>98.0</v>
      </c>
      <c r="J199" s="5">
        <v>3568.0</v>
      </c>
      <c r="K199" s="5">
        <v>11388.0</v>
      </c>
      <c r="L199" s="5">
        <v>2.0</v>
      </c>
      <c r="M199" s="5">
        <v>1442.032183</v>
      </c>
    </row>
    <row r="200">
      <c r="A200" s="4" t="s">
        <v>331</v>
      </c>
      <c r="B200" s="5" t="s">
        <v>15</v>
      </c>
      <c r="C200" s="5" t="s">
        <v>31</v>
      </c>
      <c r="D200" s="5" t="s">
        <v>78</v>
      </c>
      <c r="E200" s="6" t="s">
        <v>332</v>
      </c>
      <c r="F200" s="5" t="s">
        <v>19</v>
      </c>
      <c r="G200" s="5" t="s">
        <v>27</v>
      </c>
      <c r="H200" s="5">
        <v>10942.0</v>
      </c>
      <c r="I200" s="5">
        <v>66.0</v>
      </c>
      <c r="J200" s="5">
        <v>4578.0</v>
      </c>
      <c r="K200" s="5">
        <v>9155.0</v>
      </c>
      <c r="L200" s="5">
        <v>3.0</v>
      </c>
      <c r="M200" s="5">
        <v>1595.752624</v>
      </c>
    </row>
    <row r="201">
      <c r="A201" s="4" t="s">
        <v>333</v>
      </c>
      <c r="B201" s="5" t="s">
        <v>22</v>
      </c>
      <c r="C201" s="5" t="s">
        <v>16</v>
      </c>
      <c r="D201" s="5" t="s">
        <v>150</v>
      </c>
      <c r="E201" s="6" t="s">
        <v>334</v>
      </c>
      <c r="F201" s="5" t="s">
        <v>19</v>
      </c>
      <c r="G201" s="5" t="s">
        <v>27</v>
      </c>
      <c r="H201" s="5">
        <v>14011.0</v>
      </c>
      <c r="I201" s="5">
        <v>40.0</v>
      </c>
      <c r="J201" s="5">
        <v>5060.0</v>
      </c>
      <c r="K201" s="5">
        <v>12459.0</v>
      </c>
      <c r="L201" s="5">
        <v>5.0</v>
      </c>
      <c r="M201" s="5">
        <v>5632.087973</v>
      </c>
    </row>
    <row r="202">
      <c r="A202" s="4" t="s">
        <v>335</v>
      </c>
      <c r="B202" s="5" t="s">
        <v>15</v>
      </c>
      <c r="C202" s="5" t="s">
        <v>42</v>
      </c>
      <c r="D202" s="5" t="s">
        <v>29</v>
      </c>
      <c r="E202" s="6" t="s">
        <v>336</v>
      </c>
      <c r="F202" s="5" t="s">
        <v>19</v>
      </c>
      <c r="G202" s="5" t="s">
        <v>27</v>
      </c>
      <c r="H202" s="5">
        <v>13464.0</v>
      </c>
      <c r="I202" s="5">
        <v>84.0</v>
      </c>
      <c r="J202" s="5">
        <v>1698.0</v>
      </c>
      <c r="K202" s="5">
        <v>11234.0</v>
      </c>
      <c r="L202" s="5">
        <v>1.0</v>
      </c>
      <c r="M202" s="5">
        <v>1466.285104</v>
      </c>
    </row>
    <row r="203">
      <c r="A203" s="4" t="s">
        <v>337</v>
      </c>
      <c r="B203" s="5" t="s">
        <v>15</v>
      </c>
      <c r="C203" s="5" t="s">
        <v>31</v>
      </c>
      <c r="D203" s="5" t="s">
        <v>84</v>
      </c>
      <c r="E203" s="6" t="s">
        <v>338</v>
      </c>
      <c r="F203" s="5" t="s">
        <v>26</v>
      </c>
      <c r="G203" s="5" t="s">
        <v>27</v>
      </c>
      <c r="H203" s="5">
        <v>121991.0</v>
      </c>
      <c r="I203" s="5">
        <v>369.0</v>
      </c>
      <c r="J203" s="5">
        <v>43079.0</v>
      </c>
      <c r="K203" s="5">
        <v>99312.0</v>
      </c>
      <c r="L203" s="5">
        <v>4.0</v>
      </c>
      <c r="M203" s="5">
        <v>3993.214585</v>
      </c>
    </row>
    <row r="204">
      <c r="A204" s="4" t="s">
        <v>339</v>
      </c>
      <c r="B204" s="5" t="s">
        <v>22</v>
      </c>
      <c r="C204" s="5" t="s">
        <v>31</v>
      </c>
      <c r="D204" s="5" t="s">
        <v>35</v>
      </c>
      <c r="E204" s="6" t="s">
        <v>338</v>
      </c>
      <c r="F204" s="5" t="s">
        <v>19</v>
      </c>
      <c r="G204" s="5" t="s">
        <v>27</v>
      </c>
      <c r="H204" s="5">
        <v>95289.0</v>
      </c>
      <c r="I204" s="5">
        <v>199.0</v>
      </c>
      <c r="J204" s="5">
        <v>19527.0</v>
      </c>
      <c r="K204" s="5">
        <v>82800.0</v>
      </c>
      <c r="L204" s="5">
        <v>5.0</v>
      </c>
      <c r="M204" s="5">
        <v>3223.535948</v>
      </c>
    </row>
    <row r="205">
      <c r="A205" s="4" t="s">
        <v>340</v>
      </c>
      <c r="B205" s="5" t="s">
        <v>22</v>
      </c>
      <c r="C205" s="5" t="s">
        <v>16</v>
      </c>
      <c r="D205" s="5" t="s">
        <v>35</v>
      </c>
      <c r="E205" s="6" t="s">
        <v>341</v>
      </c>
      <c r="F205" s="5" t="s">
        <v>19</v>
      </c>
      <c r="G205" s="5" t="s">
        <v>27</v>
      </c>
      <c r="H205" s="5">
        <v>80408.0</v>
      </c>
      <c r="I205" s="5">
        <v>199.0</v>
      </c>
      <c r="J205" s="5">
        <v>13127.0</v>
      </c>
      <c r="K205" s="5">
        <v>67027.0</v>
      </c>
      <c r="L205" s="5">
        <v>9.0</v>
      </c>
      <c r="M205" s="5">
        <v>1788.111618</v>
      </c>
    </row>
    <row r="206">
      <c r="A206" s="4" t="s">
        <v>342</v>
      </c>
      <c r="B206" s="5" t="s">
        <v>22</v>
      </c>
      <c r="C206" s="5" t="s">
        <v>42</v>
      </c>
      <c r="D206" s="5" t="s">
        <v>55</v>
      </c>
      <c r="E206" s="6" t="s">
        <v>341</v>
      </c>
      <c r="F206" s="5" t="s">
        <v>46</v>
      </c>
      <c r="G206" s="5" t="s">
        <v>27</v>
      </c>
      <c r="H206" s="5">
        <v>82916.0</v>
      </c>
      <c r="I206" s="5">
        <v>199.0</v>
      </c>
      <c r="J206" s="5">
        <v>24951.0</v>
      </c>
      <c r="K206" s="5">
        <v>77333.0</v>
      </c>
      <c r="L206" s="5">
        <v>12.0</v>
      </c>
      <c r="M206" s="5">
        <v>1584.821247</v>
      </c>
    </row>
    <row r="207">
      <c r="A207" s="4" t="s">
        <v>343</v>
      </c>
      <c r="B207" s="5" t="s">
        <v>15</v>
      </c>
      <c r="C207" s="5" t="s">
        <v>16</v>
      </c>
      <c r="D207" s="5" t="s">
        <v>29</v>
      </c>
      <c r="E207" s="6" t="s">
        <v>344</v>
      </c>
      <c r="F207" s="5" t="s">
        <v>19</v>
      </c>
      <c r="G207" s="5" t="s">
        <v>52</v>
      </c>
      <c r="H207" s="5">
        <v>16354.0</v>
      </c>
      <c r="I207" s="5">
        <v>40.0</v>
      </c>
      <c r="J207" s="5">
        <v>8061.0</v>
      </c>
      <c r="K207" s="5">
        <v>15667.0</v>
      </c>
      <c r="L207" s="5">
        <v>4.0</v>
      </c>
      <c r="M207" s="5">
        <v>1610.319977</v>
      </c>
    </row>
    <row r="208">
      <c r="A208" s="4" t="s">
        <v>345</v>
      </c>
      <c r="B208" s="5" t="s">
        <v>22</v>
      </c>
      <c r="C208" s="5" t="s">
        <v>31</v>
      </c>
      <c r="D208" s="5" t="s">
        <v>35</v>
      </c>
      <c r="E208" s="6" t="s">
        <v>346</v>
      </c>
      <c r="F208" s="5" t="s">
        <v>33</v>
      </c>
      <c r="G208" s="5" t="s">
        <v>27</v>
      </c>
      <c r="H208" s="5">
        <v>9920.0</v>
      </c>
      <c r="I208" s="5">
        <v>20.0</v>
      </c>
      <c r="J208" s="5">
        <v>6702.0</v>
      </c>
      <c r="K208" s="5">
        <v>9096.0</v>
      </c>
      <c r="L208" s="5">
        <v>10.0</v>
      </c>
      <c r="M208" s="5">
        <v>1453.11439</v>
      </c>
    </row>
    <row r="209">
      <c r="A209" s="4" t="s">
        <v>347</v>
      </c>
      <c r="B209" s="5" t="s">
        <v>22</v>
      </c>
      <c r="C209" s="5" t="s">
        <v>42</v>
      </c>
      <c r="D209" s="5" t="s">
        <v>24</v>
      </c>
      <c r="E209" s="6" t="s">
        <v>348</v>
      </c>
      <c r="F209" s="5" t="s">
        <v>36</v>
      </c>
      <c r="G209" s="5" t="s">
        <v>27</v>
      </c>
      <c r="H209" s="5">
        <v>31243.0</v>
      </c>
      <c r="I209" s="5">
        <v>100.0</v>
      </c>
      <c r="J209" s="5">
        <v>16326.0</v>
      </c>
      <c r="K209" s="5">
        <v>25991.0</v>
      </c>
      <c r="L209" s="5">
        <v>21.0</v>
      </c>
      <c r="M209" s="5">
        <v>1452.59056</v>
      </c>
    </row>
    <row r="210">
      <c r="A210" s="4" t="s">
        <v>349</v>
      </c>
      <c r="B210" s="5" t="s">
        <v>15</v>
      </c>
      <c r="C210" s="5" t="s">
        <v>42</v>
      </c>
      <c r="D210" s="5" t="s">
        <v>35</v>
      </c>
      <c r="E210" s="6" t="s">
        <v>350</v>
      </c>
      <c r="F210" s="5" t="s">
        <v>36</v>
      </c>
      <c r="G210" s="5" t="s">
        <v>20</v>
      </c>
      <c r="H210" s="5">
        <v>39314.0</v>
      </c>
      <c r="I210" s="5">
        <v>100.0</v>
      </c>
      <c r="J210" s="5">
        <v>27671.0</v>
      </c>
      <c r="K210" s="5">
        <v>35488.0</v>
      </c>
      <c r="L210" s="5">
        <v>8.0</v>
      </c>
      <c r="M210" s="5">
        <v>5530.800458</v>
      </c>
    </row>
    <row r="211">
      <c r="A211" s="4" t="s">
        <v>351</v>
      </c>
      <c r="B211" s="5" t="s">
        <v>22</v>
      </c>
      <c r="C211" s="5" t="s">
        <v>42</v>
      </c>
      <c r="D211" s="5" t="s">
        <v>17</v>
      </c>
      <c r="E211" s="6" t="s">
        <v>352</v>
      </c>
      <c r="F211" s="5" t="s">
        <v>33</v>
      </c>
      <c r="G211" s="5" t="s">
        <v>27</v>
      </c>
      <c r="H211" s="5">
        <v>15252.0</v>
      </c>
      <c r="I211" s="5">
        <v>55.0</v>
      </c>
      <c r="J211" s="5">
        <v>2152.0</v>
      </c>
      <c r="K211" s="5">
        <v>3482.0</v>
      </c>
      <c r="L211" s="5">
        <v>7.0</v>
      </c>
      <c r="M211" s="5">
        <v>6211.200147</v>
      </c>
    </row>
    <row r="212">
      <c r="A212" s="4" t="s">
        <v>353</v>
      </c>
      <c r="B212" s="5" t="s">
        <v>61</v>
      </c>
      <c r="C212" s="5" t="s">
        <v>42</v>
      </c>
      <c r="D212" s="5" t="s">
        <v>304</v>
      </c>
      <c r="E212" s="6" t="s">
        <v>352</v>
      </c>
      <c r="F212" s="5" t="s">
        <v>19</v>
      </c>
      <c r="G212" s="5" t="s">
        <v>27</v>
      </c>
      <c r="H212" s="5">
        <v>7394.0</v>
      </c>
      <c r="I212" s="5">
        <v>20.0</v>
      </c>
      <c r="J212" s="5">
        <v>3441.0</v>
      </c>
      <c r="K212" s="5">
        <v>6663.0</v>
      </c>
      <c r="L212" s="5">
        <v>1.0</v>
      </c>
      <c r="M212" s="5">
        <v>1624.840774</v>
      </c>
    </row>
    <row r="213">
      <c r="A213" s="4" t="s">
        <v>354</v>
      </c>
      <c r="B213" s="5" t="s">
        <v>22</v>
      </c>
      <c r="C213" s="5" t="s">
        <v>16</v>
      </c>
      <c r="D213" s="5" t="s">
        <v>55</v>
      </c>
      <c r="E213" s="6" t="s">
        <v>352</v>
      </c>
      <c r="F213" s="5" t="s">
        <v>19</v>
      </c>
      <c r="G213" s="5" t="s">
        <v>27</v>
      </c>
      <c r="H213" s="5">
        <v>22259.0</v>
      </c>
      <c r="I213" s="5">
        <v>120.0</v>
      </c>
      <c r="J213" s="5">
        <v>12405.0</v>
      </c>
      <c r="K213" s="5">
        <v>17609.0</v>
      </c>
      <c r="L213" s="5">
        <v>14.0</v>
      </c>
      <c r="M213" s="5">
        <v>1611.340211</v>
      </c>
    </row>
    <row r="214">
      <c r="A214" s="4" t="s">
        <v>355</v>
      </c>
      <c r="B214" s="5" t="s">
        <v>15</v>
      </c>
      <c r="C214" s="5" t="s">
        <v>16</v>
      </c>
      <c r="D214" s="5" t="s">
        <v>356</v>
      </c>
      <c r="E214" s="6" t="s">
        <v>352</v>
      </c>
      <c r="F214" s="5" t="s">
        <v>48</v>
      </c>
      <c r="G214" s="5" t="s">
        <v>52</v>
      </c>
      <c r="H214" s="5">
        <v>21143.0</v>
      </c>
      <c r="I214" s="5">
        <v>56.0</v>
      </c>
      <c r="J214" s="5">
        <v>3798.0</v>
      </c>
      <c r="K214" s="5">
        <v>19588.0</v>
      </c>
      <c r="L214" s="5">
        <v>3.0</v>
      </c>
      <c r="M214" s="5">
        <v>1500.41822</v>
      </c>
    </row>
    <row r="215">
      <c r="A215" s="4" t="s">
        <v>357</v>
      </c>
      <c r="B215" s="5" t="s">
        <v>22</v>
      </c>
      <c r="C215" s="5" t="s">
        <v>16</v>
      </c>
      <c r="D215" s="5" t="s">
        <v>35</v>
      </c>
      <c r="E215" s="6" t="s">
        <v>358</v>
      </c>
      <c r="F215" s="5" t="s">
        <v>48</v>
      </c>
      <c r="G215" s="5" t="s">
        <v>27</v>
      </c>
      <c r="H215" s="5">
        <v>111624.0</v>
      </c>
      <c r="I215" s="5">
        <v>590.0</v>
      </c>
      <c r="J215" s="5">
        <v>40343.0</v>
      </c>
      <c r="K215" s="5">
        <v>101306.0</v>
      </c>
      <c r="L215" s="5">
        <v>21.0</v>
      </c>
      <c r="M215" s="5">
        <v>6510.446656</v>
      </c>
    </row>
    <row r="216">
      <c r="A216" s="4" t="s">
        <v>359</v>
      </c>
      <c r="B216" s="5" t="s">
        <v>15</v>
      </c>
      <c r="C216" s="5" t="s">
        <v>42</v>
      </c>
      <c r="D216" s="5" t="s">
        <v>78</v>
      </c>
      <c r="E216" s="6" t="s">
        <v>358</v>
      </c>
      <c r="F216" s="5" t="s">
        <v>26</v>
      </c>
      <c r="G216" s="5" t="s">
        <v>52</v>
      </c>
      <c r="H216" s="5">
        <v>95644.0</v>
      </c>
      <c r="I216" s="5">
        <v>240.0</v>
      </c>
      <c r="J216" s="5">
        <v>13294.0</v>
      </c>
      <c r="K216" s="5">
        <v>86775.0</v>
      </c>
      <c r="L216" s="5">
        <v>9.0</v>
      </c>
      <c r="M216" s="5">
        <v>5587.763675</v>
      </c>
    </row>
    <row r="217">
      <c r="A217" s="4" t="s">
        <v>360</v>
      </c>
      <c r="B217" s="5" t="s">
        <v>15</v>
      </c>
      <c r="C217" s="5" t="s">
        <v>42</v>
      </c>
      <c r="D217" s="5" t="s">
        <v>35</v>
      </c>
      <c r="E217" s="6" t="s">
        <v>358</v>
      </c>
      <c r="F217" s="5" t="s">
        <v>19</v>
      </c>
      <c r="G217" s="5" t="s">
        <v>52</v>
      </c>
      <c r="H217" s="5">
        <v>65238.0</v>
      </c>
      <c r="I217" s="5">
        <v>240.0</v>
      </c>
      <c r="J217" s="5">
        <v>23741.0</v>
      </c>
      <c r="K217" s="5">
        <v>59893.0</v>
      </c>
      <c r="L217" s="5">
        <v>15.0</v>
      </c>
      <c r="M217" s="5">
        <v>3132.519209</v>
      </c>
    </row>
    <row r="218">
      <c r="A218" s="4" t="s">
        <v>361</v>
      </c>
      <c r="B218" s="5" t="s">
        <v>61</v>
      </c>
      <c r="C218" s="5" t="s">
        <v>42</v>
      </c>
      <c r="D218" s="5" t="s">
        <v>55</v>
      </c>
      <c r="E218" s="6" t="s">
        <v>362</v>
      </c>
      <c r="F218" s="5" t="s">
        <v>46</v>
      </c>
      <c r="G218" s="5" t="s">
        <v>27</v>
      </c>
      <c r="H218" s="5">
        <v>115412.0</v>
      </c>
      <c r="I218" s="5">
        <v>490.0</v>
      </c>
      <c r="J218" s="5">
        <v>71564.0</v>
      </c>
      <c r="K218" s="5">
        <v>81785.0</v>
      </c>
      <c r="L218" s="5">
        <v>21.0</v>
      </c>
      <c r="M218" s="5">
        <v>6861.53638</v>
      </c>
    </row>
    <row r="219">
      <c r="A219" s="4" t="s">
        <v>363</v>
      </c>
      <c r="B219" s="5" t="s">
        <v>15</v>
      </c>
      <c r="C219" s="5" t="s">
        <v>31</v>
      </c>
      <c r="D219" s="5" t="s">
        <v>35</v>
      </c>
      <c r="E219" s="6" t="s">
        <v>362</v>
      </c>
      <c r="F219" s="5" t="s">
        <v>19</v>
      </c>
      <c r="G219" s="5" t="s">
        <v>27</v>
      </c>
      <c r="H219" s="5">
        <v>11375.0</v>
      </c>
      <c r="I219" s="5">
        <v>87.0</v>
      </c>
      <c r="J219" s="5">
        <v>7171.0</v>
      </c>
      <c r="K219" s="5">
        <v>8151.0</v>
      </c>
      <c r="L219" s="5">
        <v>4.0</v>
      </c>
      <c r="M219" s="5">
        <v>1763.784061</v>
      </c>
    </row>
    <row r="220">
      <c r="A220" s="4" t="s">
        <v>364</v>
      </c>
      <c r="B220" s="5" t="s">
        <v>15</v>
      </c>
      <c r="C220" s="5" t="s">
        <v>31</v>
      </c>
      <c r="D220" s="5" t="s">
        <v>35</v>
      </c>
      <c r="E220" s="6" t="s">
        <v>365</v>
      </c>
      <c r="F220" s="5" t="s">
        <v>19</v>
      </c>
      <c r="G220" s="5" t="s">
        <v>52</v>
      </c>
      <c r="H220" s="5">
        <v>27394.0</v>
      </c>
      <c r="I220" s="5">
        <v>74.0</v>
      </c>
      <c r="J220" s="5">
        <v>16144.0</v>
      </c>
      <c r="K220" s="5">
        <v>24752.0</v>
      </c>
      <c r="L220" s="5">
        <v>78.0</v>
      </c>
      <c r="M220" s="5">
        <v>7264.58761</v>
      </c>
    </row>
    <row r="221">
      <c r="A221" s="4" t="s">
        <v>366</v>
      </c>
      <c r="B221" s="5" t="s">
        <v>22</v>
      </c>
      <c r="C221" s="5" t="s">
        <v>42</v>
      </c>
      <c r="D221" s="5" t="s">
        <v>39</v>
      </c>
      <c r="E221" s="6" t="s">
        <v>365</v>
      </c>
      <c r="F221" s="5" t="s">
        <v>19</v>
      </c>
      <c r="G221" s="5" t="s">
        <v>27</v>
      </c>
      <c r="H221" s="5">
        <v>22690.0</v>
      </c>
      <c r="I221" s="5">
        <v>68.0</v>
      </c>
      <c r="J221" s="5">
        <v>10212.0</v>
      </c>
      <c r="K221" s="5">
        <v>19934.0</v>
      </c>
      <c r="L221" s="5">
        <v>19.0</v>
      </c>
      <c r="M221" s="5">
        <v>7210.686506</v>
      </c>
    </row>
    <row r="222">
      <c r="A222" s="4" t="s">
        <v>367</v>
      </c>
      <c r="B222" s="5" t="s">
        <v>22</v>
      </c>
      <c r="C222" s="5" t="s">
        <v>42</v>
      </c>
      <c r="D222" s="5" t="s">
        <v>78</v>
      </c>
      <c r="E222" s="6" t="s">
        <v>365</v>
      </c>
      <c r="F222" s="5" t="s">
        <v>36</v>
      </c>
      <c r="G222" s="5" t="s">
        <v>27</v>
      </c>
      <c r="H222" s="5">
        <v>76049.0</v>
      </c>
      <c r="I222" s="5">
        <v>199.0</v>
      </c>
      <c r="J222" s="5">
        <v>34921.0</v>
      </c>
      <c r="K222" s="5">
        <v>69138.0</v>
      </c>
      <c r="L222" s="5">
        <v>8.0</v>
      </c>
      <c r="M222" s="5">
        <v>6942.800458</v>
      </c>
    </row>
    <row r="223">
      <c r="A223" s="4" t="s">
        <v>368</v>
      </c>
      <c r="B223" s="5" t="s">
        <v>22</v>
      </c>
      <c r="C223" s="5" t="s">
        <v>16</v>
      </c>
      <c r="D223" s="5" t="s">
        <v>173</v>
      </c>
      <c r="E223" s="6" t="s">
        <v>365</v>
      </c>
      <c r="F223" s="5" t="s">
        <v>48</v>
      </c>
      <c r="G223" s="5" t="s">
        <v>27</v>
      </c>
      <c r="H223" s="5">
        <v>44505.0</v>
      </c>
      <c r="I223" s="5">
        <v>125.0</v>
      </c>
      <c r="J223" s="5">
        <v>18993.0</v>
      </c>
      <c r="K223" s="5">
        <v>39522.0</v>
      </c>
      <c r="L223" s="5">
        <v>16.0</v>
      </c>
      <c r="M223" s="5">
        <v>6766.475368</v>
      </c>
    </row>
    <row r="224">
      <c r="A224" s="4" t="s">
        <v>369</v>
      </c>
      <c r="B224" s="5" t="s">
        <v>15</v>
      </c>
      <c r="C224" s="5" t="s">
        <v>16</v>
      </c>
      <c r="D224" s="5" t="s">
        <v>78</v>
      </c>
      <c r="E224" s="6" t="s">
        <v>365</v>
      </c>
      <c r="F224" s="5" t="s">
        <v>19</v>
      </c>
      <c r="G224" s="5" t="s">
        <v>27</v>
      </c>
      <c r="H224" s="5">
        <v>286998.0</v>
      </c>
      <c r="I224" s="5">
        <v>815.0</v>
      </c>
      <c r="J224" s="5">
        <v>61586.0</v>
      </c>
      <c r="K224" s="5">
        <v>247500.0</v>
      </c>
      <c r="L224" s="5">
        <v>13.0</v>
      </c>
      <c r="M224" s="5">
        <v>6395.550624</v>
      </c>
    </row>
    <row r="225">
      <c r="A225" s="4" t="s">
        <v>370</v>
      </c>
      <c r="B225" s="5" t="s">
        <v>15</v>
      </c>
      <c r="C225" s="5" t="s">
        <v>23</v>
      </c>
      <c r="D225" s="5" t="s">
        <v>29</v>
      </c>
      <c r="E225" s="6" t="s">
        <v>365</v>
      </c>
      <c r="F225" s="5" t="s">
        <v>19</v>
      </c>
      <c r="G225" s="5" t="s">
        <v>52</v>
      </c>
      <c r="H225" s="5">
        <v>127090.0</v>
      </c>
      <c r="I225" s="5">
        <v>299.0</v>
      </c>
      <c r="J225" s="5">
        <v>30178.0</v>
      </c>
      <c r="K225" s="5">
        <v>113438.0</v>
      </c>
      <c r="L225" s="5">
        <v>24.0</v>
      </c>
      <c r="M225" s="5">
        <v>5808.911254</v>
      </c>
    </row>
    <row r="226">
      <c r="A226" s="4" t="s">
        <v>371</v>
      </c>
      <c r="B226" s="5" t="s">
        <v>22</v>
      </c>
      <c r="C226" s="5" t="s">
        <v>23</v>
      </c>
      <c r="D226" s="5" t="s">
        <v>35</v>
      </c>
      <c r="E226" s="6" t="s">
        <v>365</v>
      </c>
      <c r="F226" s="5" t="s">
        <v>19</v>
      </c>
      <c r="G226" s="5" t="s">
        <v>27</v>
      </c>
      <c r="H226" s="5">
        <v>232470.0</v>
      </c>
      <c r="I226" s="5">
        <v>504.0</v>
      </c>
      <c r="J226" s="5">
        <v>40870.0</v>
      </c>
      <c r="K226" s="5">
        <v>195447.0</v>
      </c>
      <c r="L226" s="5">
        <v>36.0</v>
      </c>
      <c r="M226" s="5">
        <v>5401.365085</v>
      </c>
    </row>
    <row r="227">
      <c r="A227" s="4" t="s">
        <v>372</v>
      </c>
      <c r="B227" s="5" t="s">
        <v>22</v>
      </c>
      <c r="C227" s="5" t="s">
        <v>42</v>
      </c>
      <c r="D227" s="5" t="s">
        <v>29</v>
      </c>
      <c r="E227" s="6" t="s">
        <v>365</v>
      </c>
      <c r="F227" s="5" t="s">
        <v>191</v>
      </c>
      <c r="G227" s="5" t="s">
        <v>27</v>
      </c>
      <c r="H227" s="5">
        <v>51056.0</v>
      </c>
      <c r="I227" s="5">
        <v>120.0</v>
      </c>
      <c r="J227" s="5">
        <v>24672.0</v>
      </c>
      <c r="K227" s="5">
        <v>45563.0</v>
      </c>
      <c r="L227" s="5">
        <v>4.0</v>
      </c>
      <c r="M227" s="5">
        <v>2215.631845</v>
      </c>
    </row>
    <row r="228">
      <c r="A228" s="4" t="s">
        <v>373</v>
      </c>
      <c r="B228" s="5" t="s">
        <v>22</v>
      </c>
      <c r="C228" s="5" t="s">
        <v>42</v>
      </c>
      <c r="D228" s="5" t="s">
        <v>84</v>
      </c>
      <c r="E228" s="6" t="s">
        <v>365</v>
      </c>
      <c r="F228" s="5" t="s">
        <v>19</v>
      </c>
      <c r="G228" s="5" t="s">
        <v>27</v>
      </c>
      <c r="H228" s="5">
        <v>52582.0</v>
      </c>
      <c r="I228" s="5">
        <v>140.0</v>
      </c>
      <c r="J228" s="5">
        <v>22065.0</v>
      </c>
      <c r="K228" s="5">
        <v>46126.0</v>
      </c>
      <c r="L228" s="5">
        <v>10.0</v>
      </c>
      <c r="M228" s="5">
        <v>1631.741712</v>
      </c>
    </row>
    <row r="229">
      <c r="A229" s="4" t="s">
        <v>374</v>
      </c>
      <c r="B229" s="5" t="s">
        <v>15</v>
      </c>
      <c r="C229" s="5" t="s">
        <v>16</v>
      </c>
      <c r="D229" s="5" t="s">
        <v>35</v>
      </c>
      <c r="E229" s="6" t="s">
        <v>365</v>
      </c>
      <c r="F229" s="5" t="s">
        <v>26</v>
      </c>
      <c r="G229" s="5" t="s">
        <v>27</v>
      </c>
      <c r="H229" s="5">
        <v>109567.0</v>
      </c>
      <c r="I229" s="5">
        <v>345.0</v>
      </c>
      <c r="J229" s="5">
        <v>57620.0</v>
      </c>
      <c r="K229" s="5">
        <v>97903.0</v>
      </c>
      <c r="L229" s="5">
        <v>5.0</v>
      </c>
      <c r="M229" s="5">
        <v>1616.714722</v>
      </c>
    </row>
    <row r="230">
      <c r="A230" s="4" t="s">
        <v>375</v>
      </c>
      <c r="B230" s="5" t="s">
        <v>15</v>
      </c>
      <c r="C230" s="5" t="s">
        <v>31</v>
      </c>
      <c r="D230" s="5" t="s">
        <v>24</v>
      </c>
      <c r="E230" s="6" t="s">
        <v>365</v>
      </c>
      <c r="F230" s="5" t="s">
        <v>80</v>
      </c>
      <c r="G230" s="5" t="s">
        <v>52</v>
      </c>
      <c r="H230" s="5">
        <v>74426.0</v>
      </c>
      <c r="I230" s="5">
        <v>150.0</v>
      </c>
      <c r="J230" s="5">
        <v>39257.0</v>
      </c>
      <c r="K230" s="5">
        <v>67151.0</v>
      </c>
      <c r="L230" s="5">
        <v>15.0</v>
      </c>
      <c r="M230" s="5">
        <v>1519.596552</v>
      </c>
    </row>
    <row r="231">
      <c r="A231" s="4" t="s">
        <v>376</v>
      </c>
      <c r="B231" s="5" t="s">
        <v>22</v>
      </c>
      <c r="C231" s="5" t="s">
        <v>42</v>
      </c>
      <c r="D231" s="5" t="s">
        <v>78</v>
      </c>
      <c r="E231" s="6" t="s">
        <v>365</v>
      </c>
      <c r="F231" s="5" t="s">
        <v>19</v>
      </c>
      <c r="G231" s="5" t="s">
        <v>27</v>
      </c>
      <c r="H231" s="5">
        <v>22163.0</v>
      </c>
      <c r="I231" s="5">
        <v>55.0</v>
      </c>
      <c r="J231" s="5">
        <v>2368.0</v>
      </c>
      <c r="K231" s="5">
        <v>8130.0</v>
      </c>
      <c r="L231" s="5">
        <v>3.0</v>
      </c>
      <c r="M231" s="5">
        <v>1493.779328</v>
      </c>
    </row>
    <row r="232">
      <c r="A232" s="4" t="s">
        <v>377</v>
      </c>
      <c r="B232" s="5" t="s">
        <v>15</v>
      </c>
      <c r="C232" s="5" t="s">
        <v>31</v>
      </c>
      <c r="D232" s="5" t="s">
        <v>17</v>
      </c>
      <c r="E232" s="6" t="s">
        <v>378</v>
      </c>
      <c r="F232" s="5" t="s">
        <v>46</v>
      </c>
      <c r="G232" s="5" t="s">
        <v>52</v>
      </c>
      <c r="H232" s="5">
        <v>25021.0</v>
      </c>
      <c r="I232" s="5">
        <v>50.0</v>
      </c>
      <c r="J232" s="5">
        <v>11084.0</v>
      </c>
      <c r="K232" s="5">
        <v>18079.0</v>
      </c>
      <c r="L232" s="5">
        <v>9.0</v>
      </c>
      <c r="M232" s="5">
        <v>4961.478884</v>
      </c>
    </row>
    <row r="233">
      <c r="A233" s="4" t="s">
        <v>379</v>
      </c>
      <c r="B233" s="5" t="s">
        <v>22</v>
      </c>
      <c r="C233" s="5" t="s">
        <v>16</v>
      </c>
      <c r="D233" s="5" t="s">
        <v>78</v>
      </c>
      <c r="E233" s="6" t="s">
        <v>378</v>
      </c>
      <c r="F233" s="5" t="s">
        <v>36</v>
      </c>
      <c r="G233" s="5" t="s">
        <v>27</v>
      </c>
      <c r="H233" s="5">
        <v>26304.0</v>
      </c>
      <c r="I233" s="5">
        <v>75.0</v>
      </c>
      <c r="J233" s="5">
        <v>12354.0</v>
      </c>
      <c r="K233" s="5">
        <v>17500.0</v>
      </c>
      <c r="L233" s="5">
        <v>11.0</v>
      </c>
      <c r="M233" s="5">
        <v>4727.813916</v>
      </c>
    </row>
    <row r="234">
      <c r="A234" s="4" t="s">
        <v>380</v>
      </c>
      <c r="B234" s="5" t="s">
        <v>15</v>
      </c>
      <c r="C234" s="5" t="s">
        <v>23</v>
      </c>
      <c r="D234" s="5" t="s">
        <v>78</v>
      </c>
      <c r="E234" s="6" t="s">
        <v>378</v>
      </c>
      <c r="F234" s="5" t="s">
        <v>26</v>
      </c>
      <c r="G234" s="5" t="s">
        <v>27</v>
      </c>
      <c r="H234" s="5">
        <v>13100.0</v>
      </c>
      <c r="I234" s="5">
        <v>80.0</v>
      </c>
      <c r="J234" s="5">
        <v>6507.0</v>
      </c>
      <c r="K234" s="5">
        <v>10895.0</v>
      </c>
      <c r="L234" s="5">
        <v>5.0</v>
      </c>
      <c r="M234" s="5">
        <v>3411.590029</v>
      </c>
    </row>
    <row r="235">
      <c r="A235" s="4" t="s">
        <v>381</v>
      </c>
      <c r="B235" s="5" t="s">
        <v>22</v>
      </c>
      <c r="C235" s="5" t="s">
        <v>16</v>
      </c>
      <c r="D235" s="5" t="s">
        <v>39</v>
      </c>
      <c r="E235" s="6" t="s">
        <v>382</v>
      </c>
      <c r="F235" s="5" t="s">
        <v>19</v>
      </c>
      <c r="G235" s="5" t="s">
        <v>27</v>
      </c>
      <c r="H235" s="5">
        <v>9533.0</v>
      </c>
      <c r="I235" s="5">
        <v>66.0</v>
      </c>
      <c r="J235" s="5">
        <v>6548.0</v>
      </c>
      <c r="K235" s="5">
        <v>9042.0</v>
      </c>
      <c r="L235" s="5">
        <v>16.0</v>
      </c>
      <c r="M235" s="5">
        <v>5574.543505</v>
      </c>
    </row>
    <row r="236">
      <c r="A236" s="4" t="s">
        <v>383</v>
      </c>
      <c r="B236" s="5" t="s">
        <v>15</v>
      </c>
      <c r="C236" s="5" t="s">
        <v>23</v>
      </c>
      <c r="D236" s="5" t="s">
        <v>95</v>
      </c>
      <c r="E236" s="6" t="s">
        <v>384</v>
      </c>
      <c r="F236" s="5" t="s">
        <v>46</v>
      </c>
      <c r="G236" s="5" t="s">
        <v>27</v>
      </c>
      <c r="H236" s="5">
        <v>12092.0</v>
      </c>
      <c r="I236" s="5">
        <v>30.0</v>
      </c>
      <c r="J236" s="5">
        <v>2042.0</v>
      </c>
      <c r="K236" s="5">
        <v>10315.0</v>
      </c>
      <c r="L236" s="5">
        <v>8.0</v>
      </c>
      <c r="M236" s="5">
        <v>6245.134793</v>
      </c>
    </row>
    <row r="237">
      <c r="A237" s="4" t="s">
        <v>385</v>
      </c>
      <c r="B237" s="5" t="s">
        <v>15</v>
      </c>
      <c r="C237" s="5" t="s">
        <v>16</v>
      </c>
      <c r="D237" s="5" t="s">
        <v>35</v>
      </c>
      <c r="E237" s="6" t="s">
        <v>386</v>
      </c>
      <c r="F237" s="5" t="s">
        <v>117</v>
      </c>
      <c r="G237" s="5" t="s">
        <v>27</v>
      </c>
      <c r="H237" s="5">
        <v>12710.0</v>
      </c>
      <c r="I237" s="5">
        <v>10.0</v>
      </c>
      <c r="J237" s="5">
        <v>8159.0</v>
      </c>
      <c r="K237" s="5">
        <v>11984.0</v>
      </c>
      <c r="L237" s="5">
        <v>11.0</v>
      </c>
      <c r="M237" s="5">
        <v>7851.397478</v>
      </c>
    </row>
    <row r="238">
      <c r="A238" s="4" t="s">
        <v>387</v>
      </c>
      <c r="B238" s="5" t="s">
        <v>22</v>
      </c>
      <c r="C238" s="5" t="s">
        <v>42</v>
      </c>
      <c r="D238" s="5" t="s">
        <v>35</v>
      </c>
      <c r="E238" s="6" t="s">
        <v>386</v>
      </c>
      <c r="F238" s="5" t="s">
        <v>19</v>
      </c>
      <c r="G238" s="5" t="s">
        <v>27</v>
      </c>
      <c r="H238" s="5">
        <v>9463.0</v>
      </c>
      <c r="I238" s="5">
        <v>56.0</v>
      </c>
      <c r="J238" s="5">
        <v>1518.0</v>
      </c>
      <c r="K238" s="5">
        <v>8191.0</v>
      </c>
      <c r="L238" s="5">
        <v>4.0</v>
      </c>
      <c r="M238" s="5">
        <v>6879.601707</v>
      </c>
    </row>
    <row r="239">
      <c r="A239" s="4" t="s">
        <v>388</v>
      </c>
      <c r="B239" s="5" t="s">
        <v>15</v>
      </c>
      <c r="C239" s="5" t="s">
        <v>16</v>
      </c>
      <c r="D239" s="5" t="s">
        <v>35</v>
      </c>
      <c r="E239" s="6" t="s">
        <v>386</v>
      </c>
      <c r="F239" s="5" t="s">
        <v>26</v>
      </c>
      <c r="G239" s="5" t="s">
        <v>27</v>
      </c>
      <c r="H239" s="5">
        <v>12136.0</v>
      </c>
      <c r="I239" s="5">
        <v>97.0</v>
      </c>
      <c r="J239" s="5">
        <v>2089.0</v>
      </c>
      <c r="K239" s="5">
        <v>11500.0</v>
      </c>
      <c r="L239" s="5">
        <v>3.0</v>
      </c>
      <c r="M239" s="5">
        <v>5224.932463</v>
      </c>
    </row>
    <row r="240">
      <c r="A240" s="4" t="s">
        <v>389</v>
      </c>
      <c r="B240" s="5" t="s">
        <v>22</v>
      </c>
      <c r="C240" s="5" t="s">
        <v>31</v>
      </c>
      <c r="D240" s="5" t="s">
        <v>39</v>
      </c>
      <c r="E240" s="6" t="s">
        <v>390</v>
      </c>
      <c r="F240" s="5" t="s">
        <v>19</v>
      </c>
      <c r="G240" s="5" t="s">
        <v>27</v>
      </c>
      <c r="H240" s="5">
        <v>15326.0</v>
      </c>
      <c r="I240" s="5">
        <v>68.0</v>
      </c>
      <c r="J240" s="5">
        <v>7941.0</v>
      </c>
      <c r="K240" s="5">
        <v>14331.0</v>
      </c>
      <c r="L240" s="5">
        <v>8.0</v>
      </c>
      <c r="M240" s="5">
        <v>6943.515824</v>
      </c>
    </row>
    <row r="241">
      <c r="A241" s="4" t="s">
        <v>391</v>
      </c>
      <c r="B241" s="5" t="s">
        <v>22</v>
      </c>
      <c r="C241" s="5" t="s">
        <v>31</v>
      </c>
      <c r="D241" s="5" t="s">
        <v>35</v>
      </c>
      <c r="E241" s="6" t="s">
        <v>390</v>
      </c>
      <c r="F241" s="5" t="s">
        <v>19</v>
      </c>
      <c r="G241" s="5" t="s">
        <v>27</v>
      </c>
      <c r="H241" s="5">
        <v>18095.0</v>
      </c>
      <c r="I241" s="5">
        <v>50.0</v>
      </c>
      <c r="J241" s="5">
        <v>10021.0</v>
      </c>
      <c r="K241" s="5">
        <v>16755.0</v>
      </c>
      <c r="L241" s="5">
        <v>24.0</v>
      </c>
      <c r="M241" s="5">
        <v>6768.758768</v>
      </c>
    </row>
    <row r="242">
      <c r="A242" s="4" t="s">
        <v>392</v>
      </c>
      <c r="B242" s="5" t="s">
        <v>61</v>
      </c>
      <c r="C242" s="5" t="s">
        <v>23</v>
      </c>
      <c r="D242" s="5" t="s">
        <v>55</v>
      </c>
      <c r="E242" s="6" t="s">
        <v>390</v>
      </c>
      <c r="F242" s="5" t="s">
        <v>19</v>
      </c>
      <c r="G242" s="5" t="s">
        <v>27</v>
      </c>
      <c r="H242" s="5">
        <v>119280.0</v>
      </c>
      <c r="I242" s="5">
        <v>400.0</v>
      </c>
      <c r="J242" s="5">
        <v>55665.0</v>
      </c>
      <c r="K242" s="5">
        <v>112913.0</v>
      </c>
      <c r="L242" s="5">
        <v>23.0</v>
      </c>
      <c r="M242" s="5">
        <v>6492.676343</v>
      </c>
    </row>
    <row r="243">
      <c r="A243" s="4" t="s">
        <v>393</v>
      </c>
      <c r="B243" s="5" t="s">
        <v>22</v>
      </c>
      <c r="C243" s="5" t="s">
        <v>31</v>
      </c>
      <c r="D243" s="5" t="s">
        <v>150</v>
      </c>
      <c r="E243" s="6" t="s">
        <v>390</v>
      </c>
      <c r="F243" s="5" t="s">
        <v>46</v>
      </c>
      <c r="G243" s="5" t="s">
        <v>27</v>
      </c>
      <c r="H243" s="5">
        <v>8204.0</v>
      </c>
      <c r="I243" s="5">
        <v>20.0</v>
      </c>
      <c r="J243" s="5">
        <v>1348.0</v>
      </c>
      <c r="K243" s="5">
        <v>7832.0</v>
      </c>
      <c r="L243" s="5">
        <v>1.0</v>
      </c>
      <c r="M243" s="5">
        <v>5973.379892</v>
      </c>
    </row>
    <row r="244">
      <c r="A244" s="4" t="s">
        <v>394</v>
      </c>
      <c r="B244" s="5" t="s">
        <v>61</v>
      </c>
      <c r="C244" s="5" t="s">
        <v>31</v>
      </c>
      <c r="D244" s="5" t="s">
        <v>95</v>
      </c>
      <c r="E244" s="6" t="s">
        <v>390</v>
      </c>
      <c r="F244" s="5" t="s">
        <v>161</v>
      </c>
      <c r="G244" s="5" t="s">
        <v>27</v>
      </c>
      <c r="H244" s="5">
        <v>88022.0</v>
      </c>
      <c r="I244" s="5">
        <v>370.0</v>
      </c>
      <c r="J244" s="5">
        <v>45972.0</v>
      </c>
      <c r="K244" s="5">
        <v>83922.0</v>
      </c>
      <c r="L244" s="5">
        <v>11.0</v>
      </c>
      <c r="M244" s="5">
        <v>5669.14476</v>
      </c>
    </row>
    <row r="245">
      <c r="A245" s="4" t="s">
        <v>395</v>
      </c>
      <c r="B245" s="5" t="s">
        <v>22</v>
      </c>
      <c r="C245" s="5" t="s">
        <v>31</v>
      </c>
      <c r="D245" s="5" t="s">
        <v>78</v>
      </c>
      <c r="E245" s="6" t="s">
        <v>390</v>
      </c>
      <c r="F245" s="5" t="s">
        <v>19</v>
      </c>
      <c r="G245" s="5" t="s">
        <v>27</v>
      </c>
      <c r="H245" s="5">
        <v>12879.0</v>
      </c>
      <c r="I245" s="5">
        <v>71.0</v>
      </c>
      <c r="J245" s="5">
        <v>7225.0</v>
      </c>
      <c r="K245" s="5">
        <v>12173.0</v>
      </c>
      <c r="L245" s="5">
        <v>9.0</v>
      </c>
      <c r="M245" s="5">
        <v>5099.28249</v>
      </c>
    </row>
    <row r="246">
      <c r="A246" s="4" t="s">
        <v>396</v>
      </c>
      <c r="B246" s="5" t="s">
        <v>15</v>
      </c>
      <c r="C246" s="5" t="s">
        <v>16</v>
      </c>
      <c r="D246" s="5" t="s">
        <v>39</v>
      </c>
      <c r="E246" s="6" t="s">
        <v>390</v>
      </c>
      <c r="F246" s="5" t="s">
        <v>19</v>
      </c>
      <c r="G246" s="5" t="s">
        <v>52</v>
      </c>
      <c r="H246" s="5">
        <v>69239.0</v>
      </c>
      <c r="I246" s="5">
        <v>160.0</v>
      </c>
      <c r="J246" s="5">
        <v>23112.0</v>
      </c>
      <c r="K246" s="5">
        <v>65390.0</v>
      </c>
      <c r="L246" s="5">
        <v>1.0</v>
      </c>
      <c r="M246" s="5">
        <v>4514.952724</v>
      </c>
    </row>
    <row r="247">
      <c r="A247" s="4" t="s">
        <v>397</v>
      </c>
      <c r="B247" s="5" t="s">
        <v>22</v>
      </c>
      <c r="C247" s="5" t="s">
        <v>31</v>
      </c>
      <c r="D247" s="5" t="s">
        <v>398</v>
      </c>
      <c r="E247" s="6" t="s">
        <v>390</v>
      </c>
      <c r="F247" s="5" t="s">
        <v>19</v>
      </c>
      <c r="G247" s="5" t="s">
        <v>27</v>
      </c>
      <c r="H247" s="5">
        <v>111884.0</v>
      </c>
      <c r="I247" s="5">
        <v>220.0</v>
      </c>
      <c r="J247" s="5">
        <v>53017.0</v>
      </c>
      <c r="K247" s="5">
        <v>106432.0</v>
      </c>
      <c r="L247" s="5">
        <v>7.0</v>
      </c>
      <c r="M247" s="5">
        <v>1786.105122</v>
      </c>
    </row>
    <row r="248">
      <c r="A248" s="4" t="s">
        <v>399</v>
      </c>
      <c r="B248" s="5" t="s">
        <v>22</v>
      </c>
      <c r="C248" s="5" t="s">
        <v>23</v>
      </c>
      <c r="D248" s="5" t="s">
        <v>78</v>
      </c>
      <c r="E248" s="6" t="s">
        <v>390</v>
      </c>
      <c r="F248" s="5" t="s">
        <v>19</v>
      </c>
      <c r="G248" s="5" t="s">
        <v>27</v>
      </c>
      <c r="H248" s="5">
        <v>20899.0</v>
      </c>
      <c r="I248" s="5">
        <v>20.0</v>
      </c>
      <c r="J248" s="5">
        <v>11394.0</v>
      </c>
      <c r="K248" s="5">
        <v>19576.0</v>
      </c>
      <c r="L248" s="5">
        <v>19.0</v>
      </c>
      <c r="M248" s="5">
        <v>1649.459852</v>
      </c>
    </row>
    <row r="249">
      <c r="A249" s="4" t="s">
        <v>400</v>
      </c>
      <c r="B249" s="5" t="s">
        <v>15</v>
      </c>
      <c r="C249" s="5" t="s">
        <v>42</v>
      </c>
      <c r="D249" s="5" t="s">
        <v>121</v>
      </c>
      <c r="E249" s="6" t="s">
        <v>390</v>
      </c>
      <c r="F249" s="5" t="s">
        <v>19</v>
      </c>
      <c r="G249" s="5" t="s">
        <v>52</v>
      </c>
      <c r="H249" s="5">
        <v>22800.0</v>
      </c>
      <c r="I249" s="5">
        <v>79.0</v>
      </c>
      <c r="J249" s="5">
        <v>8298.0</v>
      </c>
      <c r="K249" s="5">
        <v>21161.0</v>
      </c>
      <c r="L249" s="5">
        <v>24.0</v>
      </c>
      <c r="M249" s="5">
        <v>1620.1655</v>
      </c>
    </row>
    <row r="250">
      <c r="A250" s="4" t="s">
        <v>401</v>
      </c>
      <c r="B250" s="5" t="s">
        <v>22</v>
      </c>
      <c r="C250" s="5" t="s">
        <v>31</v>
      </c>
      <c r="D250" s="5" t="s">
        <v>78</v>
      </c>
      <c r="E250" s="6" t="s">
        <v>390</v>
      </c>
      <c r="F250" s="5" t="s">
        <v>19</v>
      </c>
      <c r="G250" s="5" t="s">
        <v>27</v>
      </c>
      <c r="H250" s="5">
        <v>15441.0</v>
      </c>
      <c r="I250" s="5">
        <v>48.0</v>
      </c>
      <c r="J250" s="5">
        <v>7626.0</v>
      </c>
      <c r="K250" s="5">
        <v>14456.0</v>
      </c>
      <c r="L250" s="5">
        <v>19.0</v>
      </c>
      <c r="M250" s="5">
        <v>1614.309013</v>
      </c>
    </row>
    <row r="251">
      <c r="A251" s="4" t="s">
        <v>402</v>
      </c>
      <c r="B251" s="5" t="s">
        <v>22</v>
      </c>
      <c r="C251" s="5" t="s">
        <v>23</v>
      </c>
      <c r="D251" s="5" t="s">
        <v>78</v>
      </c>
      <c r="E251" s="6" t="s">
        <v>390</v>
      </c>
      <c r="F251" s="5" t="s">
        <v>19</v>
      </c>
      <c r="G251" s="5" t="s">
        <v>27</v>
      </c>
      <c r="H251" s="5">
        <v>33069.0</v>
      </c>
      <c r="I251" s="5">
        <v>140.0</v>
      </c>
      <c r="J251" s="5">
        <v>17744.0</v>
      </c>
      <c r="K251" s="5">
        <v>31192.0</v>
      </c>
      <c r="L251" s="5">
        <v>14.0</v>
      </c>
      <c r="M251" s="5">
        <v>1543.310611</v>
      </c>
    </row>
    <row r="252">
      <c r="A252" s="4" t="s">
        <v>403</v>
      </c>
      <c r="B252" s="5" t="s">
        <v>22</v>
      </c>
      <c r="C252" s="5" t="s">
        <v>31</v>
      </c>
      <c r="D252" s="5" t="s">
        <v>84</v>
      </c>
      <c r="E252" s="6" t="s">
        <v>404</v>
      </c>
      <c r="F252" s="5" t="s">
        <v>19</v>
      </c>
      <c r="G252" s="5" t="s">
        <v>27</v>
      </c>
      <c r="H252" s="5">
        <v>54134.0</v>
      </c>
      <c r="I252" s="5">
        <v>155.0</v>
      </c>
      <c r="J252" s="5">
        <v>37418.0</v>
      </c>
      <c r="K252" s="5">
        <v>51299.0</v>
      </c>
      <c r="L252" s="5">
        <v>4.0</v>
      </c>
      <c r="M252" s="5">
        <v>1502.01775</v>
      </c>
    </row>
    <row r="253">
      <c r="A253" s="4" t="s">
        <v>405</v>
      </c>
      <c r="B253" s="5" t="s">
        <v>15</v>
      </c>
      <c r="C253" s="5" t="s">
        <v>16</v>
      </c>
      <c r="D253" s="5" t="s">
        <v>173</v>
      </c>
      <c r="E253" s="6" t="s">
        <v>406</v>
      </c>
      <c r="F253" s="5" t="s">
        <v>19</v>
      </c>
      <c r="G253" s="5" t="s">
        <v>27</v>
      </c>
      <c r="H253" s="5">
        <v>7583.0</v>
      </c>
      <c r="I253" s="5">
        <v>45.0</v>
      </c>
      <c r="J253" s="5">
        <v>4608.0</v>
      </c>
      <c r="K253" s="5">
        <v>5881.0</v>
      </c>
      <c r="L253" s="5">
        <v>1.0</v>
      </c>
      <c r="M253" s="5">
        <v>5033.482578</v>
      </c>
    </row>
    <row r="254">
      <c r="A254" s="4" t="s">
        <v>407</v>
      </c>
      <c r="B254" s="5" t="s">
        <v>15</v>
      </c>
      <c r="C254" s="5" t="s">
        <v>42</v>
      </c>
      <c r="D254" s="5" t="s">
        <v>39</v>
      </c>
      <c r="E254" s="6" t="s">
        <v>408</v>
      </c>
      <c r="F254" s="5" t="s">
        <v>19</v>
      </c>
      <c r="G254" s="5" t="s">
        <v>20</v>
      </c>
      <c r="H254" s="5">
        <v>12436.0</v>
      </c>
      <c r="I254" s="5">
        <v>84.0</v>
      </c>
      <c r="J254" s="5">
        <v>7055.0</v>
      </c>
      <c r="K254" s="5">
        <v>11497.0</v>
      </c>
      <c r="L254" s="5">
        <v>9.0</v>
      </c>
      <c r="M254" s="5">
        <v>1720.870126</v>
      </c>
    </row>
    <row r="255">
      <c r="A255" s="4" t="s">
        <v>409</v>
      </c>
      <c r="B255" s="5" t="s">
        <v>22</v>
      </c>
      <c r="C255" s="5" t="s">
        <v>31</v>
      </c>
      <c r="D255" s="5" t="s">
        <v>35</v>
      </c>
      <c r="E255" s="6" t="s">
        <v>410</v>
      </c>
      <c r="F255" s="5" t="s">
        <v>36</v>
      </c>
      <c r="G255" s="5" t="s">
        <v>27</v>
      </c>
      <c r="H255" s="5">
        <v>122086.0</v>
      </c>
      <c r="I255" s="5">
        <v>299.0</v>
      </c>
      <c r="J255" s="5">
        <v>82898.0</v>
      </c>
      <c r="K255" s="5">
        <v>116235.0</v>
      </c>
      <c r="L255" s="5">
        <v>16.0</v>
      </c>
      <c r="M255" s="5">
        <v>7663.695294</v>
      </c>
    </row>
    <row r="256">
      <c r="A256" s="4" t="s">
        <v>411</v>
      </c>
      <c r="B256" s="5" t="s">
        <v>22</v>
      </c>
      <c r="C256" s="5" t="s">
        <v>16</v>
      </c>
      <c r="D256" s="5" t="s">
        <v>66</v>
      </c>
      <c r="E256" s="6" t="s">
        <v>410</v>
      </c>
      <c r="F256" s="5" t="s">
        <v>46</v>
      </c>
      <c r="G256" s="5" t="s">
        <v>27</v>
      </c>
      <c r="H256" s="5">
        <v>63794.0</v>
      </c>
      <c r="I256" s="5">
        <v>200.0</v>
      </c>
      <c r="J256" s="5">
        <v>46557.0</v>
      </c>
      <c r="K256" s="5">
        <v>60868.0</v>
      </c>
      <c r="L256" s="5">
        <v>9.0</v>
      </c>
      <c r="M256" s="5">
        <v>6832.940067</v>
      </c>
    </row>
    <row r="257">
      <c r="A257" s="4" t="s">
        <v>412</v>
      </c>
      <c r="B257" s="5" t="s">
        <v>15</v>
      </c>
      <c r="C257" s="5" t="s">
        <v>42</v>
      </c>
      <c r="D257" s="5" t="s">
        <v>39</v>
      </c>
      <c r="E257" s="6" t="s">
        <v>410</v>
      </c>
      <c r="F257" s="5" t="s">
        <v>46</v>
      </c>
      <c r="G257" s="5" t="s">
        <v>20</v>
      </c>
      <c r="H257" s="5">
        <v>29323.0</v>
      </c>
      <c r="I257" s="5">
        <v>88.0</v>
      </c>
      <c r="J257" s="5">
        <v>13822.0</v>
      </c>
      <c r="K257" s="5">
        <v>26934.0</v>
      </c>
      <c r="L257" s="5">
        <v>9.0</v>
      </c>
      <c r="M257" s="5">
        <v>6096.045521</v>
      </c>
    </row>
    <row r="258">
      <c r="A258" s="4" t="s">
        <v>413</v>
      </c>
      <c r="B258" s="5" t="s">
        <v>22</v>
      </c>
      <c r="C258" s="5" t="s">
        <v>23</v>
      </c>
      <c r="D258" s="5" t="s">
        <v>45</v>
      </c>
      <c r="E258" s="6" t="s">
        <v>410</v>
      </c>
      <c r="F258" s="5" t="s">
        <v>46</v>
      </c>
      <c r="G258" s="5" t="s">
        <v>27</v>
      </c>
      <c r="H258" s="5">
        <v>38408.0</v>
      </c>
      <c r="I258" s="5">
        <v>101.0</v>
      </c>
      <c r="J258" s="5">
        <v>23557.0</v>
      </c>
      <c r="K258" s="5">
        <v>35247.0</v>
      </c>
      <c r="L258" s="5">
        <v>7.0</v>
      </c>
      <c r="M258" s="5">
        <v>5343.459431</v>
      </c>
    </row>
    <row r="259">
      <c r="A259" s="4" t="s">
        <v>414</v>
      </c>
      <c r="B259" s="5" t="s">
        <v>22</v>
      </c>
      <c r="C259" s="5" t="s">
        <v>23</v>
      </c>
      <c r="D259" s="5" t="s">
        <v>173</v>
      </c>
      <c r="E259" s="6" t="s">
        <v>410</v>
      </c>
      <c r="F259" s="5" t="s">
        <v>19</v>
      </c>
      <c r="G259" s="5" t="s">
        <v>27</v>
      </c>
      <c r="H259" s="5">
        <v>70134.0</v>
      </c>
      <c r="I259" s="5">
        <v>169.0</v>
      </c>
      <c r="J259" s="5">
        <v>48862.0</v>
      </c>
      <c r="K259" s="5">
        <v>66739.0</v>
      </c>
      <c r="L259" s="5">
        <v>14.0</v>
      </c>
      <c r="M259" s="5">
        <v>2514.868116</v>
      </c>
    </row>
    <row r="260">
      <c r="A260" s="4" t="s">
        <v>415</v>
      </c>
      <c r="B260" s="5" t="s">
        <v>15</v>
      </c>
      <c r="C260" s="5" t="s">
        <v>23</v>
      </c>
      <c r="D260" s="5" t="s">
        <v>17</v>
      </c>
      <c r="E260" s="6" t="s">
        <v>410</v>
      </c>
      <c r="F260" s="5" t="s">
        <v>19</v>
      </c>
      <c r="G260" s="5" t="s">
        <v>52</v>
      </c>
      <c r="H260" s="5">
        <v>51889.0</v>
      </c>
      <c r="I260" s="5">
        <v>174.0</v>
      </c>
      <c r="J260" s="5">
        <v>33879.0</v>
      </c>
      <c r="K260" s="5">
        <v>49382.0</v>
      </c>
      <c r="L260" s="5">
        <v>5.0</v>
      </c>
      <c r="M260" s="5">
        <v>2172.841747</v>
      </c>
    </row>
    <row r="261">
      <c r="A261" s="4" t="s">
        <v>416</v>
      </c>
      <c r="B261" s="5" t="s">
        <v>15</v>
      </c>
      <c r="C261" s="5" t="s">
        <v>23</v>
      </c>
      <c r="D261" s="5" t="s">
        <v>66</v>
      </c>
      <c r="E261" s="6" t="s">
        <v>410</v>
      </c>
      <c r="F261" s="5" t="s">
        <v>19</v>
      </c>
      <c r="G261" s="5" t="s">
        <v>52</v>
      </c>
      <c r="H261" s="5">
        <v>19951.0</v>
      </c>
      <c r="I261" s="5">
        <v>81.0</v>
      </c>
      <c r="J261" s="5">
        <v>10511.0</v>
      </c>
      <c r="K261" s="5">
        <v>18132.0</v>
      </c>
      <c r="L261" s="5">
        <v>15.0</v>
      </c>
      <c r="M261" s="5">
        <v>1801.14885</v>
      </c>
    </row>
    <row r="262">
      <c r="A262" s="4" t="s">
        <v>417</v>
      </c>
      <c r="B262" s="5" t="s">
        <v>22</v>
      </c>
      <c r="C262" s="5" t="s">
        <v>23</v>
      </c>
      <c r="D262" s="5" t="s">
        <v>240</v>
      </c>
      <c r="E262" s="6" t="s">
        <v>410</v>
      </c>
      <c r="F262" s="5" t="s">
        <v>19</v>
      </c>
      <c r="G262" s="5" t="s">
        <v>27</v>
      </c>
      <c r="H262" s="5">
        <v>91593.0</v>
      </c>
      <c r="I262" s="5">
        <v>40.0</v>
      </c>
      <c r="J262" s="5">
        <v>51004.0</v>
      </c>
      <c r="K262" s="5">
        <v>82985.0</v>
      </c>
      <c r="L262" s="5">
        <v>18.0</v>
      </c>
      <c r="M262" s="5">
        <v>1731.584862</v>
      </c>
    </row>
    <row r="263">
      <c r="A263" s="4" t="s">
        <v>418</v>
      </c>
      <c r="B263" s="5" t="s">
        <v>61</v>
      </c>
      <c r="C263" s="5" t="s">
        <v>31</v>
      </c>
      <c r="D263" s="5" t="s">
        <v>95</v>
      </c>
      <c r="E263" s="6" t="s">
        <v>410</v>
      </c>
      <c r="F263" s="5" t="s">
        <v>46</v>
      </c>
      <c r="G263" s="5" t="s">
        <v>27</v>
      </c>
      <c r="H263" s="5">
        <v>69722.0</v>
      </c>
      <c r="I263" s="5">
        <v>194.0</v>
      </c>
      <c r="J263" s="5">
        <v>40640.0</v>
      </c>
      <c r="K263" s="5">
        <v>64819.0</v>
      </c>
      <c r="L263" s="5">
        <v>10.0</v>
      </c>
      <c r="M263" s="5">
        <v>1667.655895</v>
      </c>
    </row>
    <row r="264">
      <c r="A264" s="4" t="s">
        <v>419</v>
      </c>
      <c r="B264" s="5" t="s">
        <v>15</v>
      </c>
      <c r="C264" s="5" t="s">
        <v>23</v>
      </c>
      <c r="D264" s="5" t="s">
        <v>95</v>
      </c>
      <c r="E264" s="6" t="s">
        <v>410</v>
      </c>
      <c r="F264" s="5" t="s">
        <v>48</v>
      </c>
      <c r="G264" s="5" t="s">
        <v>52</v>
      </c>
      <c r="H264" s="5">
        <v>76724.0</v>
      </c>
      <c r="I264" s="5">
        <v>187.0</v>
      </c>
      <c r="J264" s="5">
        <v>43209.0</v>
      </c>
      <c r="K264" s="5">
        <v>69530.0</v>
      </c>
      <c r="L264" s="5">
        <v>9.0</v>
      </c>
      <c r="M264" s="5">
        <v>1493.204528</v>
      </c>
    </row>
    <row r="265">
      <c r="A265" s="4" t="s">
        <v>420</v>
      </c>
      <c r="B265" s="5" t="s">
        <v>22</v>
      </c>
      <c r="C265" s="5" t="s">
        <v>16</v>
      </c>
      <c r="D265" s="5" t="s">
        <v>78</v>
      </c>
      <c r="E265" s="6" t="s">
        <v>410</v>
      </c>
      <c r="F265" s="5" t="s">
        <v>231</v>
      </c>
      <c r="G265" s="5" t="s">
        <v>27</v>
      </c>
      <c r="H265" s="5">
        <v>34959.0</v>
      </c>
      <c r="I265" s="5">
        <v>122.0</v>
      </c>
      <c r="J265" s="5">
        <v>17511.0</v>
      </c>
      <c r="K265" s="5">
        <v>31974.0</v>
      </c>
      <c r="L265" s="5">
        <v>5.0</v>
      </c>
      <c r="M265" s="5">
        <v>1477.493357</v>
      </c>
    </row>
    <row r="266">
      <c r="A266" s="4" t="s">
        <v>421</v>
      </c>
      <c r="B266" s="5" t="s">
        <v>15</v>
      </c>
      <c r="C266" s="5" t="s">
        <v>42</v>
      </c>
      <c r="D266" s="5" t="s">
        <v>39</v>
      </c>
      <c r="E266" s="6" t="s">
        <v>422</v>
      </c>
      <c r="F266" s="5" t="s">
        <v>19</v>
      </c>
      <c r="G266" s="5" t="s">
        <v>27</v>
      </c>
      <c r="H266" s="5">
        <v>9273.0</v>
      </c>
      <c r="I266" s="5">
        <v>70.0</v>
      </c>
      <c r="J266" s="5">
        <v>4648.0</v>
      </c>
      <c r="K266" s="5">
        <v>8751.0</v>
      </c>
      <c r="L266" s="5">
        <v>5.0</v>
      </c>
      <c r="M266" s="5">
        <v>4986.51937</v>
      </c>
    </row>
    <row r="267">
      <c r="A267" s="4" t="s">
        <v>423</v>
      </c>
      <c r="B267" s="5" t="s">
        <v>15</v>
      </c>
      <c r="C267" s="5" t="s">
        <v>23</v>
      </c>
      <c r="D267" s="5" t="s">
        <v>35</v>
      </c>
      <c r="E267" s="6" t="s">
        <v>424</v>
      </c>
      <c r="F267" s="5" t="s">
        <v>46</v>
      </c>
      <c r="G267" s="5" t="s">
        <v>27</v>
      </c>
      <c r="H267" s="5">
        <v>11681.0</v>
      </c>
      <c r="I267" s="5">
        <v>88.0</v>
      </c>
      <c r="J267" s="5">
        <v>4713.0</v>
      </c>
      <c r="K267" s="5">
        <v>8230.0</v>
      </c>
      <c r="L267" s="5">
        <v>4.0</v>
      </c>
      <c r="M267" s="5">
        <v>5216.648879</v>
      </c>
    </row>
    <row r="268">
      <c r="A268" s="4" t="s">
        <v>425</v>
      </c>
      <c r="B268" s="5" t="s">
        <v>15</v>
      </c>
      <c r="C268" s="5" t="s">
        <v>31</v>
      </c>
      <c r="D268" s="5" t="s">
        <v>78</v>
      </c>
      <c r="E268" s="6" t="s">
        <v>426</v>
      </c>
      <c r="F268" s="5" t="s">
        <v>19</v>
      </c>
      <c r="G268" s="5" t="s">
        <v>27</v>
      </c>
      <c r="H268" s="5">
        <v>17770.0</v>
      </c>
      <c r="I268" s="5">
        <v>70.0</v>
      </c>
      <c r="J268" s="5">
        <v>12771.0</v>
      </c>
      <c r="K268" s="5">
        <v>16749.0</v>
      </c>
      <c r="L268" s="5">
        <v>9.0</v>
      </c>
      <c r="M268" s="5">
        <v>5195.234677</v>
      </c>
    </row>
    <row r="269">
      <c r="A269" s="4" t="s">
        <v>427</v>
      </c>
      <c r="B269" s="5" t="s">
        <v>15</v>
      </c>
      <c r="C269" s="5" t="s">
        <v>42</v>
      </c>
      <c r="D269" s="5" t="s">
        <v>35</v>
      </c>
      <c r="E269" s="6" t="s">
        <v>426</v>
      </c>
      <c r="F269" s="5" t="s">
        <v>19</v>
      </c>
      <c r="G269" s="5" t="s">
        <v>52</v>
      </c>
      <c r="H269" s="5">
        <v>16202.0</v>
      </c>
      <c r="I269" s="5">
        <v>80.0</v>
      </c>
      <c r="J269" s="5">
        <v>11786.0</v>
      </c>
      <c r="K269" s="5">
        <v>15365.0</v>
      </c>
      <c r="L269" s="5">
        <v>2.0</v>
      </c>
      <c r="M269" s="5">
        <v>1570.34276</v>
      </c>
    </row>
    <row r="270">
      <c r="A270" s="4" t="s">
        <v>428</v>
      </c>
      <c r="B270" s="5" t="s">
        <v>22</v>
      </c>
      <c r="C270" s="5" t="s">
        <v>31</v>
      </c>
      <c r="D270" s="5" t="s">
        <v>17</v>
      </c>
      <c r="E270" s="6" t="s">
        <v>429</v>
      </c>
      <c r="F270" s="5" t="s">
        <v>46</v>
      </c>
      <c r="G270" s="5" t="s">
        <v>27</v>
      </c>
      <c r="H270" s="5">
        <v>13779.0</v>
      </c>
      <c r="I270" s="5">
        <v>96.0</v>
      </c>
      <c r="J270" s="5">
        <v>3482.0</v>
      </c>
      <c r="K270" s="5">
        <v>12487.0</v>
      </c>
      <c r="L270" s="5">
        <v>4.0</v>
      </c>
      <c r="M270" s="5">
        <v>1530.041892</v>
      </c>
    </row>
    <row r="271">
      <c r="A271" s="4" t="s">
        <v>430</v>
      </c>
      <c r="B271" s="5" t="s">
        <v>15</v>
      </c>
      <c r="C271" s="5" t="s">
        <v>16</v>
      </c>
      <c r="D271" s="5" t="s">
        <v>43</v>
      </c>
      <c r="E271" s="6" t="s">
        <v>431</v>
      </c>
      <c r="F271" s="5" t="s">
        <v>19</v>
      </c>
      <c r="G271" s="5" t="s">
        <v>27</v>
      </c>
      <c r="H271" s="5">
        <v>13183.0</v>
      </c>
      <c r="I271" s="5">
        <v>100.0</v>
      </c>
      <c r="J271" s="5">
        <v>4337.0</v>
      </c>
      <c r="K271" s="5">
        <v>10596.0</v>
      </c>
      <c r="L271" s="5">
        <v>1.0</v>
      </c>
      <c r="M271" s="5">
        <v>2430.243664</v>
      </c>
    </row>
    <row r="272">
      <c r="A272" s="4" t="s">
        <v>432</v>
      </c>
      <c r="B272" s="5" t="s">
        <v>22</v>
      </c>
      <c r="C272" s="5" t="s">
        <v>42</v>
      </c>
      <c r="D272" s="5" t="s">
        <v>433</v>
      </c>
      <c r="E272" s="6" t="s">
        <v>434</v>
      </c>
      <c r="F272" s="5" t="s">
        <v>19</v>
      </c>
      <c r="G272" s="5" t="s">
        <v>27</v>
      </c>
      <c r="H272" s="5">
        <v>109709.0</v>
      </c>
      <c r="I272" s="5">
        <v>278.0</v>
      </c>
      <c r="J272" s="5">
        <v>3064.0</v>
      </c>
      <c r="K272" s="5">
        <v>15428.0</v>
      </c>
      <c r="L272" s="5">
        <v>20.0</v>
      </c>
      <c r="M272" s="5">
        <v>5409.083955</v>
      </c>
    </row>
    <row r="273">
      <c r="A273" s="4" t="s">
        <v>435</v>
      </c>
      <c r="B273" s="5" t="s">
        <v>15</v>
      </c>
      <c r="C273" s="5" t="s">
        <v>16</v>
      </c>
      <c r="D273" s="5" t="s">
        <v>17</v>
      </c>
      <c r="E273" s="6" t="s">
        <v>434</v>
      </c>
      <c r="F273" s="5" t="s">
        <v>46</v>
      </c>
      <c r="G273" s="5" t="s">
        <v>20</v>
      </c>
      <c r="H273" s="5">
        <v>120902.0</v>
      </c>
      <c r="I273" s="5">
        <v>333.0</v>
      </c>
      <c r="J273" s="5">
        <v>9964.0</v>
      </c>
      <c r="K273" s="5">
        <v>70015.0</v>
      </c>
      <c r="L273" s="5">
        <v>15.0</v>
      </c>
      <c r="M273" s="5">
        <v>4669.013669</v>
      </c>
    </row>
    <row r="274">
      <c r="A274" s="4" t="s">
        <v>436</v>
      </c>
      <c r="B274" s="5" t="s">
        <v>22</v>
      </c>
      <c r="C274" s="5" t="s">
        <v>42</v>
      </c>
      <c r="D274" s="5" t="s">
        <v>78</v>
      </c>
      <c r="E274" s="6" t="s">
        <v>434</v>
      </c>
      <c r="F274" s="5" t="s">
        <v>46</v>
      </c>
      <c r="G274" s="5" t="s">
        <v>27</v>
      </c>
      <c r="H274" s="5">
        <v>45397.0</v>
      </c>
      <c r="I274" s="5">
        <v>114.0</v>
      </c>
      <c r="J274" s="5">
        <v>716.0</v>
      </c>
      <c r="K274" s="5">
        <v>6867.0</v>
      </c>
      <c r="L274" s="5">
        <v>15.0</v>
      </c>
      <c r="M274" s="5">
        <v>4582.453291</v>
      </c>
    </row>
    <row r="275">
      <c r="A275" s="4" t="s">
        <v>437</v>
      </c>
      <c r="B275" s="5" t="s">
        <v>22</v>
      </c>
      <c r="C275" s="5" t="s">
        <v>16</v>
      </c>
      <c r="D275" s="5" t="s">
        <v>84</v>
      </c>
      <c r="E275" s="6" t="s">
        <v>434</v>
      </c>
      <c r="F275" s="5" t="s">
        <v>117</v>
      </c>
      <c r="G275" s="5" t="s">
        <v>27</v>
      </c>
      <c r="H275" s="5">
        <v>13293.0</v>
      </c>
      <c r="I275" s="5">
        <v>74.0</v>
      </c>
      <c r="J275" s="5">
        <v>9054.0</v>
      </c>
      <c r="K275" s="5">
        <v>12676.0</v>
      </c>
      <c r="L275" s="5">
        <v>5.0</v>
      </c>
      <c r="M275" s="5">
        <v>2901.209509</v>
      </c>
    </row>
    <row r="276">
      <c r="A276" s="4" t="s">
        <v>438</v>
      </c>
      <c r="B276" s="5" t="s">
        <v>15</v>
      </c>
      <c r="C276" s="5" t="s">
        <v>42</v>
      </c>
      <c r="D276" s="5" t="s">
        <v>17</v>
      </c>
      <c r="E276" s="6" t="s">
        <v>439</v>
      </c>
      <c r="F276" s="5" t="s">
        <v>46</v>
      </c>
      <c r="G276" s="5" t="s">
        <v>20</v>
      </c>
      <c r="H276" s="5">
        <v>12001.0</v>
      </c>
      <c r="I276" s="5">
        <v>40.0</v>
      </c>
      <c r="J276" s="5">
        <v>7173.0</v>
      </c>
      <c r="K276" s="5">
        <v>11432.0</v>
      </c>
      <c r="L276" s="5">
        <v>2.0</v>
      </c>
      <c r="M276" s="5">
        <v>1659.932713</v>
      </c>
    </row>
    <row r="277">
      <c r="A277" s="4" t="s">
        <v>440</v>
      </c>
      <c r="B277" s="5" t="s">
        <v>61</v>
      </c>
      <c r="C277" s="5" t="s">
        <v>31</v>
      </c>
      <c r="D277" s="5" t="s">
        <v>17</v>
      </c>
      <c r="E277" s="6" t="s">
        <v>441</v>
      </c>
      <c r="F277" s="5" t="s">
        <v>19</v>
      </c>
      <c r="G277" s="5" t="s">
        <v>27</v>
      </c>
      <c r="H277" s="5">
        <v>20537.0</v>
      </c>
      <c r="I277" s="5">
        <v>84.0</v>
      </c>
      <c r="J277" s="5">
        <v>15587.0</v>
      </c>
      <c r="K277" s="5">
        <v>19288.0</v>
      </c>
      <c r="L277" s="5">
        <v>10.0</v>
      </c>
      <c r="M277" s="5">
        <v>1609.880674</v>
      </c>
    </row>
    <row r="278">
      <c r="A278" s="4" t="s">
        <v>442</v>
      </c>
      <c r="B278" s="5" t="s">
        <v>15</v>
      </c>
      <c r="C278" s="5" t="s">
        <v>31</v>
      </c>
      <c r="D278" s="5" t="s">
        <v>304</v>
      </c>
      <c r="E278" s="6" t="s">
        <v>443</v>
      </c>
      <c r="F278" s="5" t="s">
        <v>19</v>
      </c>
      <c r="G278" s="5" t="s">
        <v>27</v>
      </c>
      <c r="H278" s="5">
        <v>8730.0</v>
      </c>
      <c r="I278" s="5">
        <v>22.0</v>
      </c>
      <c r="J278" s="5">
        <v>3725.0</v>
      </c>
      <c r="K278" s="5">
        <v>7413.0</v>
      </c>
      <c r="L278" s="5">
        <v>3.0</v>
      </c>
      <c r="M278" s="5">
        <v>3268.007134</v>
      </c>
    </row>
    <row r="279">
      <c r="A279" s="4" t="s">
        <v>444</v>
      </c>
      <c r="B279" s="5" t="s">
        <v>22</v>
      </c>
      <c r="C279" s="5" t="s">
        <v>31</v>
      </c>
      <c r="D279" s="5" t="s">
        <v>95</v>
      </c>
      <c r="E279" s="6" t="s">
        <v>445</v>
      </c>
      <c r="F279" s="5" t="s">
        <v>19</v>
      </c>
      <c r="G279" s="5" t="s">
        <v>27</v>
      </c>
      <c r="H279" s="5">
        <v>26820.0</v>
      </c>
      <c r="I279" s="5">
        <v>80.0</v>
      </c>
      <c r="J279" s="5">
        <v>13553.0</v>
      </c>
      <c r="K279" s="5">
        <v>21192.0</v>
      </c>
      <c r="L279" s="5">
        <v>12.0</v>
      </c>
      <c r="M279" s="5">
        <v>6745.10344</v>
      </c>
    </row>
    <row r="280">
      <c r="A280" s="4" t="s">
        <v>446</v>
      </c>
      <c r="B280" s="5" t="s">
        <v>15</v>
      </c>
      <c r="C280" s="5" t="s">
        <v>42</v>
      </c>
      <c r="D280" s="5" t="s">
        <v>17</v>
      </c>
      <c r="E280" s="6" t="s">
        <v>447</v>
      </c>
      <c r="F280" s="5" t="s">
        <v>167</v>
      </c>
      <c r="G280" s="5" t="s">
        <v>27</v>
      </c>
      <c r="H280" s="5">
        <v>9149.0</v>
      </c>
      <c r="I280" s="5">
        <v>40.0</v>
      </c>
      <c r="J280" s="5">
        <v>4568.0</v>
      </c>
      <c r="K280" s="5">
        <v>8648.0</v>
      </c>
      <c r="L280" s="5">
        <v>4.0</v>
      </c>
      <c r="M280" s="5">
        <v>1758.098365</v>
      </c>
    </row>
    <row r="281">
      <c r="A281" s="4" t="s">
        <v>448</v>
      </c>
      <c r="B281" s="5" t="s">
        <v>22</v>
      </c>
      <c r="C281" s="5" t="s">
        <v>42</v>
      </c>
      <c r="D281" s="5" t="s">
        <v>78</v>
      </c>
      <c r="E281" s="6" t="s">
        <v>449</v>
      </c>
      <c r="F281" s="5" t="s">
        <v>184</v>
      </c>
      <c r="G281" s="5" t="s">
        <v>27</v>
      </c>
      <c r="H281" s="5">
        <v>13655.0</v>
      </c>
      <c r="I281" s="5">
        <v>66.0</v>
      </c>
      <c r="J281" s="5">
        <v>9519.0</v>
      </c>
      <c r="K281" s="5">
        <v>13041.0</v>
      </c>
      <c r="L281" s="5">
        <v>3.0</v>
      </c>
      <c r="M281" s="5">
        <v>1475.245119</v>
      </c>
    </row>
    <row r="282">
      <c r="A282" s="4" t="s">
        <v>450</v>
      </c>
      <c r="B282" s="5" t="s">
        <v>61</v>
      </c>
      <c r="C282" s="5" t="s">
        <v>31</v>
      </c>
      <c r="D282" s="5" t="s">
        <v>78</v>
      </c>
      <c r="E282" s="6" t="s">
        <v>451</v>
      </c>
      <c r="F282" s="5" t="s">
        <v>19</v>
      </c>
      <c r="G282" s="5" t="s">
        <v>27</v>
      </c>
      <c r="H282" s="5">
        <v>17518.0</v>
      </c>
      <c r="I282" s="5">
        <v>60.0</v>
      </c>
      <c r="J282" s="5">
        <v>11513.0</v>
      </c>
      <c r="K282" s="5">
        <v>16192.0</v>
      </c>
      <c r="L282" s="5">
        <v>12.0</v>
      </c>
      <c r="M282" s="5">
        <v>6765.0004</v>
      </c>
    </row>
    <row r="283">
      <c r="A283" s="4" t="s">
        <v>452</v>
      </c>
      <c r="B283" s="5" t="s">
        <v>22</v>
      </c>
      <c r="C283" s="5" t="s">
        <v>16</v>
      </c>
      <c r="D283" s="5" t="s">
        <v>55</v>
      </c>
      <c r="E283" s="6" t="s">
        <v>451</v>
      </c>
      <c r="F283" s="5" t="s">
        <v>19</v>
      </c>
      <c r="G283" s="5" t="s">
        <v>27</v>
      </c>
      <c r="H283" s="5">
        <v>16580.0</v>
      </c>
      <c r="I283" s="5">
        <v>84.0</v>
      </c>
      <c r="J283" s="5">
        <v>11928.0</v>
      </c>
      <c r="K283" s="5">
        <v>14527.0</v>
      </c>
      <c r="L283" s="5">
        <v>6.0</v>
      </c>
      <c r="M283" s="5">
        <v>1965.738947</v>
      </c>
    </row>
    <row r="284">
      <c r="A284" s="4" t="s">
        <v>453</v>
      </c>
      <c r="B284" s="5" t="s">
        <v>22</v>
      </c>
      <c r="C284" s="5" t="s">
        <v>23</v>
      </c>
      <c r="D284" s="5" t="s">
        <v>55</v>
      </c>
      <c r="E284" s="6" t="s">
        <v>454</v>
      </c>
      <c r="F284" s="5" t="s">
        <v>46</v>
      </c>
      <c r="G284" s="5" t="s">
        <v>27</v>
      </c>
      <c r="H284" s="5">
        <v>14379.0</v>
      </c>
      <c r="I284" s="5">
        <v>30.0</v>
      </c>
      <c r="J284" s="5">
        <v>6272.0</v>
      </c>
      <c r="K284" s="5">
        <v>11886.0</v>
      </c>
      <c r="L284" s="5">
        <v>18.0</v>
      </c>
      <c r="M284" s="5">
        <v>1973.562233</v>
      </c>
    </row>
    <row r="285">
      <c r="A285" s="4" t="s">
        <v>455</v>
      </c>
      <c r="B285" s="5" t="s">
        <v>22</v>
      </c>
      <c r="C285" s="5" t="s">
        <v>16</v>
      </c>
      <c r="D285" s="5" t="s">
        <v>43</v>
      </c>
      <c r="E285" s="6" t="s">
        <v>456</v>
      </c>
      <c r="F285" s="5" t="s">
        <v>19</v>
      </c>
      <c r="G285" s="5" t="s">
        <v>27</v>
      </c>
      <c r="H285" s="5">
        <v>138904.0</v>
      </c>
      <c r="I285" s="5">
        <v>399.0</v>
      </c>
      <c r="J285" s="5">
        <v>98952.0</v>
      </c>
      <c r="K285" s="5">
        <v>120688.0</v>
      </c>
      <c r="L285" s="5">
        <v>25.0</v>
      </c>
      <c r="M285" s="5">
        <v>5038.644724</v>
      </c>
    </row>
    <row r="286">
      <c r="A286" s="4" t="s">
        <v>457</v>
      </c>
      <c r="B286" s="5" t="s">
        <v>15</v>
      </c>
      <c r="C286" s="5" t="s">
        <v>23</v>
      </c>
      <c r="D286" s="5" t="s">
        <v>78</v>
      </c>
      <c r="E286" s="6" t="s">
        <v>458</v>
      </c>
      <c r="F286" s="5" t="s">
        <v>46</v>
      </c>
      <c r="G286" s="5" t="s">
        <v>52</v>
      </c>
      <c r="H286" s="5">
        <v>99205.0</v>
      </c>
      <c r="I286" s="5">
        <v>230.0</v>
      </c>
      <c r="J286" s="5">
        <v>49240.0</v>
      </c>
      <c r="K286" s="5">
        <v>72687.0</v>
      </c>
      <c r="L286" s="5">
        <v>21.0</v>
      </c>
      <c r="M286" s="5">
        <v>6185.002486</v>
      </c>
    </row>
    <row r="287">
      <c r="A287" s="4" t="s">
        <v>459</v>
      </c>
      <c r="B287" s="5" t="s">
        <v>15</v>
      </c>
      <c r="C287" s="5" t="s">
        <v>42</v>
      </c>
      <c r="D287" s="5" t="s">
        <v>29</v>
      </c>
      <c r="E287" s="6" t="s">
        <v>460</v>
      </c>
      <c r="F287" s="5" t="s">
        <v>19</v>
      </c>
      <c r="G287" s="5" t="s">
        <v>52</v>
      </c>
      <c r="H287" s="5">
        <v>27473.0</v>
      </c>
      <c r="I287" s="5">
        <v>69.0</v>
      </c>
      <c r="J287" s="5">
        <v>11306.0</v>
      </c>
      <c r="K287" s="5">
        <v>20625.0</v>
      </c>
      <c r="L287" s="5">
        <v>2.0</v>
      </c>
      <c r="M287" s="5">
        <v>2922.286102</v>
      </c>
    </row>
    <row r="288">
      <c r="A288" s="4" t="s">
        <v>461</v>
      </c>
      <c r="B288" s="5" t="s">
        <v>15</v>
      </c>
      <c r="C288" s="5" t="s">
        <v>16</v>
      </c>
      <c r="D288" s="5" t="s">
        <v>78</v>
      </c>
      <c r="E288" s="6" t="s">
        <v>462</v>
      </c>
      <c r="F288" s="5" t="s">
        <v>46</v>
      </c>
      <c r="G288" s="5" t="s">
        <v>27</v>
      </c>
      <c r="H288" s="5">
        <v>7356.0</v>
      </c>
      <c r="I288" s="5">
        <v>10.0</v>
      </c>
      <c r="J288" s="5">
        <v>1588.0</v>
      </c>
      <c r="K288" s="5">
        <v>7088.0</v>
      </c>
      <c r="L288" s="5">
        <v>1.0</v>
      </c>
      <c r="M288" s="5">
        <v>1730.37357</v>
      </c>
    </row>
    <row r="289">
      <c r="A289" s="4" t="s">
        <v>463</v>
      </c>
      <c r="B289" s="5" t="s">
        <v>22</v>
      </c>
      <c r="C289" s="5" t="s">
        <v>42</v>
      </c>
      <c r="D289" s="5" t="s">
        <v>24</v>
      </c>
      <c r="E289" s="6" t="s">
        <v>464</v>
      </c>
      <c r="F289" s="5" t="s">
        <v>19</v>
      </c>
      <c r="G289" s="5" t="s">
        <v>27</v>
      </c>
      <c r="H289" s="5">
        <v>9261.0</v>
      </c>
      <c r="I289" s="5">
        <v>66.0</v>
      </c>
      <c r="J289" s="5">
        <v>3852.0</v>
      </c>
      <c r="K289" s="5">
        <v>8526.0</v>
      </c>
      <c r="L289" s="5">
        <v>9.0</v>
      </c>
      <c r="M289" s="5">
        <v>6511.029576</v>
      </c>
    </row>
    <row r="290">
      <c r="A290" s="4" t="s">
        <v>465</v>
      </c>
      <c r="B290" s="5" t="s">
        <v>22</v>
      </c>
      <c r="C290" s="5" t="s">
        <v>16</v>
      </c>
      <c r="D290" s="5" t="s">
        <v>131</v>
      </c>
      <c r="E290" s="6" t="s">
        <v>464</v>
      </c>
      <c r="F290" s="5" t="s">
        <v>26</v>
      </c>
      <c r="G290" s="5" t="s">
        <v>27</v>
      </c>
      <c r="H290" s="5">
        <v>19344.0</v>
      </c>
      <c r="I290" s="5">
        <v>68.0</v>
      </c>
      <c r="J290" s="5">
        <v>2353.0</v>
      </c>
      <c r="K290" s="5">
        <v>18261.0</v>
      </c>
      <c r="L290" s="5">
        <v>10.0</v>
      </c>
      <c r="M290" s="5">
        <v>1500.722291</v>
      </c>
    </row>
    <row r="291">
      <c r="A291" s="4" t="s">
        <v>466</v>
      </c>
      <c r="B291" s="5" t="s">
        <v>15</v>
      </c>
      <c r="C291" s="5" t="s">
        <v>42</v>
      </c>
      <c r="D291" s="5" t="s">
        <v>55</v>
      </c>
      <c r="E291" s="6" t="s">
        <v>467</v>
      </c>
      <c r="F291" s="5" t="s">
        <v>19</v>
      </c>
      <c r="G291" s="5" t="s">
        <v>27</v>
      </c>
      <c r="H291" s="5">
        <v>11672.0</v>
      </c>
      <c r="I291" s="5">
        <v>84.0</v>
      </c>
      <c r="J291" s="5">
        <v>7619.0</v>
      </c>
      <c r="K291" s="5">
        <v>9999.0</v>
      </c>
      <c r="L291" s="5">
        <v>7.0</v>
      </c>
      <c r="M291" s="5">
        <v>5284.27704</v>
      </c>
    </row>
    <row r="292">
      <c r="A292" s="4" t="s">
        <v>468</v>
      </c>
      <c r="B292" s="5" t="s">
        <v>15</v>
      </c>
      <c r="C292" s="5" t="s">
        <v>42</v>
      </c>
      <c r="D292" s="5" t="s">
        <v>17</v>
      </c>
      <c r="E292" s="6" t="s">
        <v>469</v>
      </c>
      <c r="F292" s="5" t="s">
        <v>117</v>
      </c>
      <c r="G292" s="5" t="s">
        <v>27</v>
      </c>
      <c r="H292" s="5">
        <v>8273.0</v>
      </c>
      <c r="I292" s="5">
        <v>24.0</v>
      </c>
      <c r="J292" s="5">
        <v>1929.0</v>
      </c>
      <c r="K292" s="5">
        <v>7441.0</v>
      </c>
      <c r="L292" s="5">
        <v>3.0</v>
      </c>
      <c r="M292" s="5">
        <v>4689.521024</v>
      </c>
    </row>
    <row r="293">
      <c r="A293" s="4" t="s">
        <v>470</v>
      </c>
      <c r="B293" s="5" t="s">
        <v>15</v>
      </c>
      <c r="C293" s="5" t="s">
        <v>16</v>
      </c>
      <c r="D293" s="5" t="s">
        <v>471</v>
      </c>
      <c r="E293" s="6" t="s">
        <v>469</v>
      </c>
      <c r="F293" s="5" t="s">
        <v>48</v>
      </c>
      <c r="G293" s="5" t="s">
        <v>27</v>
      </c>
      <c r="H293" s="5">
        <v>13833.0</v>
      </c>
      <c r="I293" s="5">
        <v>84.0</v>
      </c>
      <c r="J293" s="5">
        <v>7693.0</v>
      </c>
      <c r="K293" s="5">
        <v>13237.0</v>
      </c>
      <c r="L293" s="5">
        <v>6.0</v>
      </c>
      <c r="M293" s="5">
        <v>1526.787066</v>
      </c>
    </row>
    <row r="294">
      <c r="A294" s="4" t="s">
        <v>472</v>
      </c>
      <c r="B294" s="5" t="s">
        <v>22</v>
      </c>
      <c r="C294" s="5" t="s">
        <v>23</v>
      </c>
      <c r="D294" s="5" t="s">
        <v>356</v>
      </c>
      <c r="E294" s="6" t="s">
        <v>469</v>
      </c>
      <c r="F294" s="5" t="s">
        <v>19</v>
      </c>
      <c r="G294" s="5" t="s">
        <v>27</v>
      </c>
      <c r="H294" s="5">
        <v>22180.0</v>
      </c>
      <c r="I294" s="5">
        <v>60.0</v>
      </c>
      <c r="J294" s="5">
        <v>4835.0</v>
      </c>
      <c r="K294" s="5">
        <v>19291.0</v>
      </c>
      <c r="L294" s="5">
        <v>9.0</v>
      </c>
      <c r="M294" s="5">
        <v>1441.631095</v>
      </c>
    </row>
    <row r="295">
      <c r="A295" s="4" t="s">
        <v>473</v>
      </c>
      <c r="B295" s="5" t="s">
        <v>22</v>
      </c>
      <c r="C295" s="5" t="s">
        <v>16</v>
      </c>
      <c r="D295" s="5" t="s">
        <v>95</v>
      </c>
      <c r="E295" s="6" t="s">
        <v>474</v>
      </c>
      <c r="F295" s="5" t="s">
        <v>19</v>
      </c>
      <c r="G295" s="5" t="s">
        <v>27</v>
      </c>
      <c r="H295" s="5">
        <v>102905.0</v>
      </c>
      <c r="I295" s="5">
        <v>421.0</v>
      </c>
      <c r="J295" s="5">
        <v>45324.0</v>
      </c>
      <c r="K295" s="5">
        <v>99065.0</v>
      </c>
      <c r="L295" s="5">
        <v>1.0</v>
      </c>
      <c r="M295" s="5">
        <v>6407.581828</v>
      </c>
    </row>
    <row r="296">
      <c r="A296" s="4" t="s">
        <v>475</v>
      </c>
      <c r="B296" s="5" t="s">
        <v>61</v>
      </c>
      <c r="C296" s="5" t="s">
        <v>23</v>
      </c>
      <c r="D296" s="5" t="s">
        <v>78</v>
      </c>
      <c r="E296" s="6" t="s">
        <v>474</v>
      </c>
      <c r="F296" s="5" t="s">
        <v>19</v>
      </c>
      <c r="G296" s="5" t="s">
        <v>27</v>
      </c>
      <c r="H296" s="5">
        <v>89744.0</v>
      </c>
      <c r="I296" s="5">
        <v>311.0</v>
      </c>
      <c r="J296" s="5">
        <v>48786.0</v>
      </c>
      <c r="K296" s="5">
        <v>85900.0</v>
      </c>
      <c r="L296" s="5">
        <v>3.0</v>
      </c>
      <c r="M296" s="5">
        <v>6369.811226</v>
      </c>
    </row>
    <row r="297">
      <c r="A297" s="4" t="s">
        <v>476</v>
      </c>
      <c r="B297" s="5" t="s">
        <v>15</v>
      </c>
      <c r="C297" s="5" t="s">
        <v>23</v>
      </c>
      <c r="D297" s="5" t="s">
        <v>43</v>
      </c>
      <c r="E297" s="6" t="s">
        <v>474</v>
      </c>
      <c r="F297" s="5" t="s">
        <v>26</v>
      </c>
      <c r="G297" s="5" t="s">
        <v>27</v>
      </c>
      <c r="H297" s="5">
        <v>39705.0</v>
      </c>
      <c r="I297" s="5">
        <v>190.0</v>
      </c>
      <c r="J297" s="5">
        <v>12950.0</v>
      </c>
      <c r="K297" s="5">
        <v>38030.0</v>
      </c>
      <c r="L297" s="5">
        <v>3.0</v>
      </c>
      <c r="M297" s="5">
        <v>1476.419509</v>
      </c>
    </row>
    <row r="298">
      <c r="A298" s="4" t="s">
        <v>477</v>
      </c>
      <c r="B298" s="5" t="s">
        <v>22</v>
      </c>
      <c r="C298" s="5" t="s">
        <v>23</v>
      </c>
      <c r="D298" s="5" t="s">
        <v>55</v>
      </c>
      <c r="E298" s="6" t="s">
        <v>478</v>
      </c>
      <c r="F298" s="5" t="s">
        <v>36</v>
      </c>
      <c r="G298" s="5" t="s">
        <v>27</v>
      </c>
      <c r="H298" s="5">
        <v>23941.0</v>
      </c>
      <c r="I298" s="5">
        <v>150.0</v>
      </c>
      <c r="J298" s="5">
        <v>13054.0</v>
      </c>
      <c r="K298" s="5">
        <v>22276.0</v>
      </c>
      <c r="L298" s="5">
        <v>6.0</v>
      </c>
      <c r="M298" s="5">
        <v>2856.165425</v>
      </c>
    </row>
    <row r="299">
      <c r="A299" s="4" t="s">
        <v>479</v>
      </c>
      <c r="B299" s="5" t="s">
        <v>22</v>
      </c>
      <c r="C299" s="5" t="s">
        <v>16</v>
      </c>
      <c r="D299" s="5" t="s">
        <v>35</v>
      </c>
      <c r="E299" s="6" t="s">
        <v>480</v>
      </c>
      <c r="F299" s="5" t="s">
        <v>19</v>
      </c>
      <c r="G299" s="5" t="s">
        <v>27</v>
      </c>
      <c r="H299" s="5">
        <v>42759.0</v>
      </c>
      <c r="I299" s="5">
        <v>177.0</v>
      </c>
      <c r="J299" s="5">
        <v>17744.0</v>
      </c>
      <c r="K299" s="5">
        <v>34812.0</v>
      </c>
      <c r="L299" s="5">
        <v>12.0</v>
      </c>
      <c r="M299" s="5">
        <v>6316.488054</v>
      </c>
    </row>
    <row r="300">
      <c r="A300" s="4" t="s">
        <v>481</v>
      </c>
      <c r="B300" s="5" t="s">
        <v>22</v>
      </c>
      <c r="C300" s="5" t="s">
        <v>23</v>
      </c>
      <c r="D300" s="5" t="s">
        <v>35</v>
      </c>
      <c r="E300" s="6" t="s">
        <v>480</v>
      </c>
      <c r="F300" s="5" t="s">
        <v>117</v>
      </c>
      <c r="G300" s="5" t="s">
        <v>27</v>
      </c>
      <c r="H300" s="5">
        <v>115673.0</v>
      </c>
      <c r="I300" s="5">
        <v>410.0</v>
      </c>
      <c r="J300" s="5">
        <v>52475.0</v>
      </c>
      <c r="K300" s="5">
        <v>97166.0</v>
      </c>
      <c r="L300" s="5">
        <v>22.0</v>
      </c>
      <c r="M300" s="5">
        <v>5045.93793</v>
      </c>
    </row>
    <row r="301">
      <c r="A301" s="4" t="s">
        <v>482</v>
      </c>
      <c r="B301" s="5" t="s">
        <v>15</v>
      </c>
      <c r="C301" s="5" t="s">
        <v>31</v>
      </c>
      <c r="D301" s="5" t="s">
        <v>29</v>
      </c>
      <c r="E301" s="6" t="s">
        <v>480</v>
      </c>
      <c r="F301" s="5" t="s">
        <v>36</v>
      </c>
      <c r="G301" s="5" t="s">
        <v>20</v>
      </c>
      <c r="H301" s="5">
        <v>81486.0</v>
      </c>
      <c r="I301" s="5">
        <v>193.0</v>
      </c>
      <c r="J301" s="5">
        <v>57653.0</v>
      </c>
      <c r="K301" s="5">
        <v>76803.0</v>
      </c>
      <c r="L301" s="5">
        <v>6.0</v>
      </c>
      <c r="M301" s="5">
        <v>1463.842874</v>
      </c>
    </row>
    <row r="302">
      <c r="A302" s="4" t="s">
        <v>483</v>
      </c>
      <c r="B302" s="5" t="s">
        <v>15</v>
      </c>
      <c r="C302" s="5" t="s">
        <v>31</v>
      </c>
      <c r="D302" s="5" t="s">
        <v>55</v>
      </c>
      <c r="E302" s="6" t="s">
        <v>484</v>
      </c>
      <c r="F302" s="5" t="s">
        <v>48</v>
      </c>
      <c r="G302" s="5" t="s">
        <v>52</v>
      </c>
      <c r="H302" s="5">
        <v>31813.0</v>
      </c>
      <c r="I302" s="5">
        <v>84.0</v>
      </c>
      <c r="J302" s="5">
        <v>14149.0</v>
      </c>
      <c r="K302" s="5">
        <v>21281.0</v>
      </c>
      <c r="L302" s="5">
        <v>13.0</v>
      </c>
      <c r="M302" s="5">
        <v>2060.993882</v>
      </c>
    </row>
    <row r="303">
      <c r="A303" s="4" t="s">
        <v>485</v>
      </c>
      <c r="B303" s="5" t="s">
        <v>22</v>
      </c>
      <c r="C303" s="5" t="s">
        <v>31</v>
      </c>
      <c r="D303" s="5" t="s">
        <v>84</v>
      </c>
      <c r="E303" s="6" t="s">
        <v>486</v>
      </c>
      <c r="F303" s="5" t="s">
        <v>19</v>
      </c>
      <c r="G303" s="5" t="s">
        <v>27</v>
      </c>
      <c r="H303" s="5">
        <v>7687.0</v>
      </c>
      <c r="I303" s="5">
        <v>10.0</v>
      </c>
      <c r="J303" s="5">
        <v>5311.0</v>
      </c>
      <c r="K303" s="5">
        <v>7266.0</v>
      </c>
      <c r="L303" s="5">
        <v>6.0</v>
      </c>
      <c r="M303" s="5">
        <v>6486.853909</v>
      </c>
    </row>
    <row r="304">
      <c r="A304" s="4" t="s">
        <v>487</v>
      </c>
      <c r="B304" s="5" t="s">
        <v>15</v>
      </c>
      <c r="C304" s="5" t="s">
        <v>31</v>
      </c>
      <c r="D304" s="5" t="s">
        <v>24</v>
      </c>
      <c r="E304" s="6" t="s">
        <v>486</v>
      </c>
      <c r="F304" s="5" t="s">
        <v>46</v>
      </c>
      <c r="G304" s="5" t="s">
        <v>20</v>
      </c>
      <c r="H304" s="5">
        <v>17228.0</v>
      </c>
      <c r="I304" s="5">
        <v>30.0</v>
      </c>
      <c r="J304" s="5">
        <v>11116.0</v>
      </c>
      <c r="K304" s="5">
        <v>16044.0</v>
      </c>
      <c r="L304" s="5">
        <v>3.0</v>
      </c>
      <c r="M304" s="5">
        <v>1547.513459</v>
      </c>
    </row>
    <row r="305">
      <c r="A305" s="4" t="s">
        <v>488</v>
      </c>
      <c r="B305" s="5" t="s">
        <v>22</v>
      </c>
      <c r="C305" s="5" t="s">
        <v>42</v>
      </c>
      <c r="D305" s="5" t="s">
        <v>78</v>
      </c>
      <c r="E305" s="6" t="s">
        <v>489</v>
      </c>
      <c r="F305" s="5" t="s">
        <v>48</v>
      </c>
      <c r="G305" s="5" t="s">
        <v>27</v>
      </c>
      <c r="H305" s="5">
        <v>21482.0</v>
      </c>
      <c r="I305" s="5">
        <v>67.0</v>
      </c>
      <c r="J305" s="5">
        <v>10473.0</v>
      </c>
      <c r="K305" s="5">
        <v>19679.0</v>
      </c>
      <c r="L305" s="5">
        <v>3.0</v>
      </c>
      <c r="M305" s="5">
        <v>3563.098841</v>
      </c>
    </row>
    <row r="306">
      <c r="A306" s="4" t="s">
        <v>490</v>
      </c>
      <c r="B306" s="5" t="s">
        <v>61</v>
      </c>
      <c r="C306" s="5" t="s">
        <v>16</v>
      </c>
      <c r="D306" s="5" t="s">
        <v>17</v>
      </c>
      <c r="E306" s="6" t="s">
        <v>489</v>
      </c>
      <c r="F306" s="5" t="s">
        <v>19</v>
      </c>
      <c r="G306" s="5" t="s">
        <v>27</v>
      </c>
      <c r="H306" s="5">
        <v>9178.0</v>
      </c>
      <c r="I306" s="5">
        <v>25.0</v>
      </c>
      <c r="J306" s="5">
        <v>4644.0</v>
      </c>
      <c r="K306" s="5">
        <v>8462.0</v>
      </c>
      <c r="L306" s="5">
        <v>2.0</v>
      </c>
      <c r="M306" s="5">
        <v>1503.205183</v>
      </c>
    </row>
    <row r="307">
      <c r="A307" s="4" t="s">
        <v>491</v>
      </c>
      <c r="B307" s="5" t="s">
        <v>22</v>
      </c>
      <c r="C307" s="5" t="s">
        <v>16</v>
      </c>
      <c r="D307" s="5" t="s">
        <v>24</v>
      </c>
      <c r="E307" s="6" t="s">
        <v>489</v>
      </c>
      <c r="F307" s="5" t="s">
        <v>36</v>
      </c>
      <c r="G307" s="5" t="s">
        <v>27</v>
      </c>
      <c r="H307" s="5">
        <v>9040.0</v>
      </c>
      <c r="I307" s="5">
        <v>21.0</v>
      </c>
      <c r="J307" s="5">
        <v>3585.0</v>
      </c>
      <c r="K307" s="5">
        <v>8450.0</v>
      </c>
      <c r="L307" s="5">
        <v>3.0</v>
      </c>
      <c r="M307" s="5">
        <v>1473.192464</v>
      </c>
    </row>
    <row r="308">
      <c r="A308" s="4" t="s">
        <v>492</v>
      </c>
      <c r="B308" s="5" t="s">
        <v>22</v>
      </c>
      <c r="C308" s="5" t="s">
        <v>16</v>
      </c>
      <c r="D308" s="5" t="s">
        <v>78</v>
      </c>
      <c r="E308" s="6" t="s">
        <v>493</v>
      </c>
      <c r="F308" s="5" t="s">
        <v>36</v>
      </c>
      <c r="G308" s="5" t="s">
        <v>27</v>
      </c>
      <c r="H308" s="5">
        <v>96728.0</v>
      </c>
      <c r="I308" s="5">
        <v>341.0</v>
      </c>
      <c r="J308" s="5">
        <v>69700.0</v>
      </c>
      <c r="K308" s="5">
        <v>91910.0</v>
      </c>
      <c r="L308" s="5">
        <v>15.0</v>
      </c>
      <c r="M308" s="5">
        <v>6587.243331</v>
      </c>
    </row>
    <row r="309">
      <c r="A309" s="4" t="s">
        <v>494</v>
      </c>
      <c r="B309" s="5" t="s">
        <v>22</v>
      </c>
      <c r="C309" s="5" t="s">
        <v>23</v>
      </c>
      <c r="D309" s="5" t="s">
        <v>29</v>
      </c>
      <c r="E309" s="6" t="s">
        <v>493</v>
      </c>
      <c r="F309" s="5" t="s">
        <v>19</v>
      </c>
      <c r="G309" s="5" t="s">
        <v>27</v>
      </c>
      <c r="H309" s="5">
        <v>48947.0</v>
      </c>
      <c r="I309" s="5">
        <v>230.0</v>
      </c>
      <c r="J309" s="5">
        <v>32089.0</v>
      </c>
      <c r="K309" s="5">
        <v>45597.0</v>
      </c>
      <c r="L309" s="5">
        <v>21.0</v>
      </c>
      <c r="M309" s="5">
        <v>5702.290265</v>
      </c>
    </row>
    <row r="310">
      <c r="A310" s="4" t="s">
        <v>495</v>
      </c>
      <c r="B310" s="5" t="s">
        <v>61</v>
      </c>
      <c r="C310" s="5" t="s">
        <v>42</v>
      </c>
      <c r="D310" s="5" t="s">
        <v>78</v>
      </c>
      <c r="E310" s="6" t="s">
        <v>493</v>
      </c>
      <c r="F310" s="5" t="s">
        <v>19</v>
      </c>
      <c r="G310" s="5" t="s">
        <v>27</v>
      </c>
      <c r="H310" s="5">
        <v>58938.0</v>
      </c>
      <c r="I310" s="5">
        <v>175.0</v>
      </c>
      <c r="J310" s="5">
        <v>41861.0</v>
      </c>
      <c r="K310" s="5">
        <v>55929.0</v>
      </c>
      <c r="L310" s="5">
        <v>9.0</v>
      </c>
      <c r="M310" s="5">
        <v>4881.198269</v>
      </c>
    </row>
    <row r="311">
      <c r="A311" s="4" t="s">
        <v>496</v>
      </c>
      <c r="B311" s="5" t="s">
        <v>15</v>
      </c>
      <c r="C311" s="5" t="s">
        <v>23</v>
      </c>
      <c r="D311" s="5" t="s">
        <v>35</v>
      </c>
      <c r="E311" s="6" t="s">
        <v>493</v>
      </c>
      <c r="F311" s="5" t="s">
        <v>48</v>
      </c>
      <c r="G311" s="5" t="s">
        <v>27</v>
      </c>
      <c r="H311" s="5">
        <v>49014.0</v>
      </c>
      <c r="I311" s="5">
        <v>100.0</v>
      </c>
      <c r="J311" s="5">
        <v>30349.0</v>
      </c>
      <c r="K311" s="5">
        <v>46446.0</v>
      </c>
      <c r="L311" s="5">
        <v>6.0</v>
      </c>
      <c r="M311" s="5">
        <v>3628.34617</v>
      </c>
    </row>
    <row r="312">
      <c r="A312" s="4" t="s">
        <v>497</v>
      </c>
      <c r="B312" s="5" t="s">
        <v>22</v>
      </c>
      <c r="C312" s="5" t="s">
        <v>42</v>
      </c>
      <c r="D312" s="5" t="s">
        <v>433</v>
      </c>
      <c r="E312" s="6" t="s">
        <v>493</v>
      </c>
      <c r="F312" s="5" t="s">
        <v>46</v>
      </c>
      <c r="G312" s="5" t="s">
        <v>27</v>
      </c>
      <c r="H312" s="5">
        <v>69523.0</v>
      </c>
      <c r="I312" s="5">
        <v>174.0</v>
      </c>
      <c r="J312" s="5">
        <v>48273.0</v>
      </c>
      <c r="K312" s="5">
        <v>65800.0</v>
      </c>
      <c r="L312" s="5">
        <v>9.0</v>
      </c>
      <c r="M312" s="5">
        <v>2649.997803</v>
      </c>
    </row>
    <row r="313">
      <c r="A313" s="4" t="s">
        <v>498</v>
      </c>
      <c r="B313" s="5" t="s">
        <v>61</v>
      </c>
      <c r="C313" s="5" t="s">
        <v>31</v>
      </c>
      <c r="D313" s="5" t="s">
        <v>95</v>
      </c>
      <c r="E313" s="6" t="s">
        <v>493</v>
      </c>
      <c r="F313" s="5" t="s">
        <v>46</v>
      </c>
      <c r="G313" s="5" t="s">
        <v>27</v>
      </c>
      <c r="H313" s="5">
        <v>37717.0</v>
      </c>
      <c r="I313" s="5">
        <v>69.0</v>
      </c>
      <c r="J313" s="5">
        <v>26541.0</v>
      </c>
      <c r="K313" s="5">
        <v>35126.0</v>
      </c>
      <c r="L313" s="5">
        <v>5.0</v>
      </c>
      <c r="M313" s="5">
        <v>1725.271363</v>
      </c>
    </row>
    <row r="314">
      <c r="A314" s="4" t="s">
        <v>499</v>
      </c>
      <c r="B314" s="5" t="s">
        <v>15</v>
      </c>
      <c r="C314" s="5" t="s">
        <v>42</v>
      </c>
      <c r="D314" s="5" t="s">
        <v>131</v>
      </c>
      <c r="E314" s="6" t="s">
        <v>493</v>
      </c>
      <c r="F314" s="5" t="s">
        <v>19</v>
      </c>
      <c r="G314" s="5" t="s">
        <v>20</v>
      </c>
      <c r="H314" s="5">
        <v>16236.0</v>
      </c>
      <c r="I314" s="5">
        <v>50.0</v>
      </c>
      <c r="J314" s="5">
        <v>8669.0</v>
      </c>
      <c r="K314" s="5">
        <v>15208.0</v>
      </c>
      <c r="L314" s="5">
        <v>11.0</v>
      </c>
      <c r="M314" s="5">
        <v>1639.813696</v>
      </c>
    </row>
    <row r="315">
      <c r="A315" s="4" t="s">
        <v>500</v>
      </c>
      <c r="B315" s="5" t="s">
        <v>22</v>
      </c>
      <c r="C315" s="5" t="s">
        <v>16</v>
      </c>
      <c r="D315" s="5" t="s">
        <v>35</v>
      </c>
      <c r="E315" s="6" t="s">
        <v>493</v>
      </c>
      <c r="F315" s="5" t="s">
        <v>19</v>
      </c>
      <c r="G315" s="5" t="s">
        <v>27</v>
      </c>
      <c r="H315" s="5">
        <v>9222.0</v>
      </c>
      <c r="I315" s="5">
        <v>33.0</v>
      </c>
      <c r="J315" s="5">
        <v>5352.0</v>
      </c>
      <c r="K315" s="5">
        <v>8141.0</v>
      </c>
      <c r="L315" s="5">
        <v>2.0</v>
      </c>
      <c r="M315" s="5">
        <v>1583.164302</v>
      </c>
    </row>
    <row r="316">
      <c r="A316" s="4" t="s">
        <v>501</v>
      </c>
      <c r="B316" s="5" t="s">
        <v>22</v>
      </c>
      <c r="C316" s="5" t="s">
        <v>42</v>
      </c>
      <c r="D316" s="5" t="s">
        <v>240</v>
      </c>
      <c r="E316" s="6" t="s">
        <v>502</v>
      </c>
      <c r="F316" s="5" t="s">
        <v>48</v>
      </c>
      <c r="G316" s="5" t="s">
        <v>27</v>
      </c>
      <c r="H316" s="5">
        <v>8233.0</v>
      </c>
      <c r="I316" s="5">
        <v>65.0</v>
      </c>
      <c r="J316" s="5">
        <v>5361.0</v>
      </c>
      <c r="K316" s="5">
        <v>7643.0</v>
      </c>
      <c r="L316" s="5">
        <v>4.0</v>
      </c>
      <c r="M316" s="5">
        <v>6381.006576</v>
      </c>
    </row>
    <row r="317">
      <c r="A317" s="4" t="s">
        <v>503</v>
      </c>
      <c r="B317" s="5" t="s">
        <v>22</v>
      </c>
      <c r="C317" s="5" t="s">
        <v>23</v>
      </c>
      <c r="D317" s="5" t="s">
        <v>173</v>
      </c>
      <c r="E317" s="6" t="s">
        <v>504</v>
      </c>
      <c r="F317" s="5" t="s">
        <v>167</v>
      </c>
      <c r="G317" s="5" t="s">
        <v>27</v>
      </c>
      <c r="H317" s="5">
        <v>9014.0</v>
      </c>
      <c r="I317" s="5">
        <v>26.0</v>
      </c>
      <c r="J317" s="5">
        <v>5054.0</v>
      </c>
      <c r="K317" s="5">
        <v>7227.0</v>
      </c>
      <c r="L317" s="5">
        <v>4.0</v>
      </c>
      <c r="M317" s="5">
        <v>1539.60069</v>
      </c>
    </row>
    <row r="318">
      <c r="A318" s="4" t="s">
        <v>505</v>
      </c>
      <c r="B318" s="5" t="s">
        <v>15</v>
      </c>
      <c r="C318" s="5" t="s">
        <v>23</v>
      </c>
      <c r="D318" s="5" t="s">
        <v>84</v>
      </c>
      <c r="E318" s="6" t="s">
        <v>506</v>
      </c>
      <c r="F318" s="5" t="s">
        <v>46</v>
      </c>
      <c r="G318" s="5" t="s">
        <v>27</v>
      </c>
      <c r="H318" s="5">
        <v>9702.0</v>
      </c>
      <c r="I318" s="5">
        <v>40.0</v>
      </c>
      <c r="J318" s="5">
        <v>5564.0</v>
      </c>
      <c r="K318" s="5">
        <v>8210.0</v>
      </c>
      <c r="L318" s="5">
        <v>1.0</v>
      </c>
      <c r="M318" s="5">
        <v>5711.39201</v>
      </c>
    </row>
    <row r="319">
      <c r="A319" s="4" t="s">
        <v>507</v>
      </c>
      <c r="B319" s="5" t="s">
        <v>15</v>
      </c>
      <c r="C319" s="5" t="s">
        <v>23</v>
      </c>
      <c r="D319" s="5" t="s">
        <v>173</v>
      </c>
      <c r="E319" s="6" t="s">
        <v>508</v>
      </c>
      <c r="F319" s="5" t="s">
        <v>36</v>
      </c>
      <c r="G319" s="5" t="s">
        <v>27</v>
      </c>
      <c r="H319" s="5">
        <v>150457.0</v>
      </c>
      <c r="I319" s="5">
        <v>420.0</v>
      </c>
      <c r="J319" s="5">
        <v>58372.0</v>
      </c>
      <c r="K319" s="5">
        <v>135099.0</v>
      </c>
      <c r="L319" s="5">
        <v>14.0</v>
      </c>
      <c r="M319" s="5">
        <v>5906.830006</v>
      </c>
    </row>
    <row r="320">
      <c r="A320" s="4" t="s">
        <v>509</v>
      </c>
      <c r="B320" s="5" t="s">
        <v>22</v>
      </c>
      <c r="C320" s="5" t="s">
        <v>42</v>
      </c>
      <c r="D320" s="5" t="s">
        <v>471</v>
      </c>
      <c r="E320" s="6" t="s">
        <v>508</v>
      </c>
      <c r="F320" s="5" t="s">
        <v>48</v>
      </c>
      <c r="G320" s="5" t="s">
        <v>27</v>
      </c>
      <c r="H320" s="5">
        <v>190592.0</v>
      </c>
      <c r="I320" s="5">
        <v>601.0</v>
      </c>
      <c r="J320" s="5">
        <v>28906.0</v>
      </c>
      <c r="K320" s="5">
        <v>172515.0</v>
      </c>
      <c r="L320" s="5">
        <v>25.0</v>
      </c>
      <c r="M320" s="5">
        <v>4742.047766</v>
      </c>
    </row>
    <row r="321">
      <c r="A321" s="4" t="s">
        <v>510</v>
      </c>
      <c r="B321" s="5" t="s">
        <v>22</v>
      </c>
      <c r="C321" s="5" t="s">
        <v>23</v>
      </c>
      <c r="D321" s="5" t="s">
        <v>35</v>
      </c>
      <c r="E321" s="6" t="s">
        <v>511</v>
      </c>
      <c r="F321" s="5" t="s">
        <v>46</v>
      </c>
      <c r="G321" s="5" t="s">
        <v>27</v>
      </c>
      <c r="H321" s="5">
        <v>12868.0</v>
      </c>
      <c r="I321" s="5">
        <v>80.0</v>
      </c>
      <c r="J321" s="5">
        <v>6472.0</v>
      </c>
      <c r="K321" s="5">
        <v>11922.0</v>
      </c>
      <c r="L321" s="5">
        <v>6.0</v>
      </c>
      <c r="M321" s="5">
        <v>3137.143043</v>
      </c>
    </row>
    <row r="322">
      <c r="A322" s="4" t="s">
        <v>512</v>
      </c>
      <c r="B322" s="5" t="s">
        <v>22</v>
      </c>
      <c r="C322" s="5" t="s">
        <v>16</v>
      </c>
      <c r="D322" s="5" t="s">
        <v>29</v>
      </c>
      <c r="E322" s="6" t="s">
        <v>511</v>
      </c>
      <c r="F322" s="5" t="s">
        <v>19</v>
      </c>
      <c r="G322" s="5" t="s">
        <v>27</v>
      </c>
      <c r="H322" s="5">
        <v>9059.0</v>
      </c>
      <c r="I322" s="5">
        <v>22.0</v>
      </c>
      <c r="J322" s="5">
        <v>589.0</v>
      </c>
      <c r="K322" s="5">
        <v>7480.0</v>
      </c>
      <c r="L322" s="5">
        <v>4.0</v>
      </c>
      <c r="M322" s="5">
        <v>1908.526117</v>
      </c>
    </row>
    <row r="323">
      <c r="A323" s="4" t="s">
        <v>513</v>
      </c>
      <c r="B323" s="5" t="s">
        <v>15</v>
      </c>
      <c r="C323" s="5" t="s">
        <v>23</v>
      </c>
      <c r="D323" s="5" t="s">
        <v>45</v>
      </c>
      <c r="E323" s="6" t="s">
        <v>511</v>
      </c>
      <c r="F323" s="5" t="s">
        <v>191</v>
      </c>
      <c r="G323" s="5" t="s">
        <v>52</v>
      </c>
      <c r="H323" s="5">
        <v>15904.0</v>
      </c>
      <c r="I323" s="5">
        <v>190.0</v>
      </c>
      <c r="J323" s="5">
        <v>7523.0</v>
      </c>
      <c r="K323" s="5">
        <v>14815.0</v>
      </c>
      <c r="L323" s="5">
        <v>2.0</v>
      </c>
      <c r="M323" s="5">
        <v>1825.725708</v>
      </c>
    </row>
    <row r="324">
      <c r="A324" s="4" t="s">
        <v>514</v>
      </c>
      <c r="B324" s="5" t="s">
        <v>61</v>
      </c>
      <c r="C324" s="5" t="s">
        <v>31</v>
      </c>
      <c r="D324" s="5" t="s">
        <v>35</v>
      </c>
      <c r="E324" s="6" t="s">
        <v>515</v>
      </c>
      <c r="F324" s="5" t="s">
        <v>19</v>
      </c>
      <c r="G324" s="5" t="s">
        <v>27</v>
      </c>
      <c r="H324" s="5">
        <v>7822.0</v>
      </c>
      <c r="I324" s="5">
        <v>25.0</v>
      </c>
      <c r="J324" s="5">
        <v>3786.0</v>
      </c>
      <c r="K324" s="5">
        <v>7232.0</v>
      </c>
      <c r="L324" s="5">
        <v>13.0</v>
      </c>
      <c r="M324" s="5">
        <v>6781.821647</v>
      </c>
    </row>
    <row r="325">
      <c r="A325" s="4" t="s">
        <v>516</v>
      </c>
      <c r="B325" s="5" t="s">
        <v>22</v>
      </c>
      <c r="C325" s="5" t="s">
        <v>42</v>
      </c>
      <c r="D325" s="5" t="s">
        <v>173</v>
      </c>
      <c r="E325" s="6" t="s">
        <v>515</v>
      </c>
      <c r="F325" s="5" t="s">
        <v>26</v>
      </c>
      <c r="G325" s="5" t="s">
        <v>27</v>
      </c>
      <c r="H325" s="5">
        <v>12214.0</v>
      </c>
      <c r="I325" s="5">
        <v>50.0</v>
      </c>
      <c r="J325" s="5">
        <v>5376.0</v>
      </c>
      <c r="K325" s="5">
        <v>11490.0</v>
      </c>
      <c r="L325" s="5">
        <v>7.0</v>
      </c>
      <c r="M325" s="5">
        <v>5616.309402</v>
      </c>
    </row>
    <row r="326">
      <c r="A326" s="4" t="s">
        <v>517</v>
      </c>
      <c r="B326" s="5" t="s">
        <v>15</v>
      </c>
      <c r="C326" s="5" t="s">
        <v>16</v>
      </c>
      <c r="D326" s="5" t="s">
        <v>55</v>
      </c>
      <c r="E326" s="6" t="s">
        <v>518</v>
      </c>
      <c r="F326" s="5" t="s">
        <v>19</v>
      </c>
      <c r="G326" s="5" t="s">
        <v>52</v>
      </c>
      <c r="H326" s="5">
        <v>141165.0</v>
      </c>
      <c r="I326" s="5">
        <v>250.0</v>
      </c>
      <c r="J326" s="5">
        <v>102776.0</v>
      </c>
      <c r="K326" s="5">
        <v>128004.0</v>
      </c>
      <c r="L326" s="5">
        <v>28.0</v>
      </c>
      <c r="M326" s="5">
        <v>7222.211408</v>
      </c>
    </row>
    <row r="327">
      <c r="A327" s="4" t="s">
        <v>519</v>
      </c>
      <c r="B327" s="5" t="s">
        <v>22</v>
      </c>
      <c r="C327" s="5" t="s">
        <v>31</v>
      </c>
      <c r="D327" s="5" t="s">
        <v>35</v>
      </c>
      <c r="E327" s="6" t="s">
        <v>518</v>
      </c>
      <c r="F327" s="5" t="s">
        <v>19</v>
      </c>
      <c r="G327" s="5" t="s">
        <v>27</v>
      </c>
      <c r="H327" s="5">
        <v>7514.0</v>
      </c>
      <c r="I327" s="5">
        <v>20.0</v>
      </c>
      <c r="J327" s="5">
        <v>2646.0</v>
      </c>
      <c r="K327" s="5">
        <v>3373.0</v>
      </c>
      <c r="L327" s="5">
        <v>3.0</v>
      </c>
      <c r="M327" s="5">
        <v>6756.295179</v>
      </c>
    </row>
    <row r="328">
      <c r="A328" s="4" t="s">
        <v>520</v>
      </c>
      <c r="B328" s="5" t="s">
        <v>15</v>
      </c>
      <c r="C328" s="5" t="s">
        <v>23</v>
      </c>
      <c r="D328" s="5" t="s">
        <v>32</v>
      </c>
      <c r="E328" s="6" t="s">
        <v>518</v>
      </c>
      <c r="F328" s="5" t="s">
        <v>136</v>
      </c>
      <c r="G328" s="5" t="s">
        <v>52</v>
      </c>
      <c r="H328" s="5">
        <v>30460.0</v>
      </c>
      <c r="I328" s="5">
        <v>95.0</v>
      </c>
      <c r="J328" s="5">
        <v>21830.0</v>
      </c>
      <c r="K328" s="5">
        <v>27750.0</v>
      </c>
      <c r="L328" s="5">
        <v>25.0</v>
      </c>
      <c r="M328" s="5">
        <v>6643.966542</v>
      </c>
    </row>
    <row r="329">
      <c r="A329" s="4" t="s">
        <v>521</v>
      </c>
      <c r="B329" s="5" t="s">
        <v>15</v>
      </c>
      <c r="C329" s="5" t="s">
        <v>31</v>
      </c>
      <c r="D329" s="5" t="s">
        <v>35</v>
      </c>
      <c r="E329" s="6" t="s">
        <v>518</v>
      </c>
      <c r="F329" s="5" t="s">
        <v>46</v>
      </c>
      <c r="G329" s="5" t="s">
        <v>27</v>
      </c>
      <c r="H329" s="5">
        <v>14083.0</v>
      </c>
      <c r="I329" s="5">
        <v>97.0</v>
      </c>
      <c r="J329" s="5">
        <v>9945.0</v>
      </c>
      <c r="K329" s="5">
        <v>12878.0</v>
      </c>
      <c r="L329" s="5">
        <v>11.0</v>
      </c>
      <c r="M329" s="5">
        <v>5979.67</v>
      </c>
    </row>
    <row r="330">
      <c r="A330" s="4" t="s">
        <v>522</v>
      </c>
      <c r="B330" s="5" t="s">
        <v>61</v>
      </c>
      <c r="C330" s="5" t="s">
        <v>42</v>
      </c>
      <c r="D330" s="5" t="s">
        <v>35</v>
      </c>
      <c r="E330" s="6" t="s">
        <v>518</v>
      </c>
      <c r="F330" s="5" t="s">
        <v>19</v>
      </c>
      <c r="G330" s="5" t="s">
        <v>27</v>
      </c>
      <c r="H330" s="5">
        <v>100058.0</v>
      </c>
      <c r="I330" s="5">
        <v>435.0</v>
      </c>
      <c r="J330" s="5">
        <v>73422.0</v>
      </c>
      <c r="K330" s="5">
        <v>91976.0</v>
      </c>
      <c r="L330" s="5">
        <v>8.0</v>
      </c>
      <c r="M330" s="5">
        <v>5831.225793</v>
      </c>
    </row>
    <row r="331">
      <c r="A331" s="4" t="s">
        <v>523</v>
      </c>
      <c r="B331" s="5" t="s">
        <v>15</v>
      </c>
      <c r="C331" s="5" t="s">
        <v>16</v>
      </c>
      <c r="D331" s="5" t="s">
        <v>78</v>
      </c>
      <c r="E331" s="6" t="s">
        <v>518</v>
      </c>
      <c r="F331" s="5" t="s">
        <v>19</v>
      </c>
      <c r="G331" s="5" t="s">
        <v>52</v>
      </c>
      <c r="H331" s="5">
        <v>83854.0</v>
      </c>
      <c r="I331" s="5">
        <v>197.0</v>
      </c>
      <c r="J331" s="5">
        <v>60626.0</v>
      </c>
      <c r="K331" s="5">
        <v>76071.0</v>
      </c>
      <c r="L331" s="5">
        <v>15.0</v>
      </c>
      <c r="M331" s="5">
        <v>5783.843758</v>
      </c>
    </row>
    <row r="332">
      <c r="A332" s="4" t="s">
        <v>524</v>
      </c>
      <c r="B332" s="5" t="s">
        <v>15</v>
      </c>
      <c r="C332" s="5" t="s">
        <v>16</v>
      </c>
      <c r="D332" s="5" t="s">
        <v>17</v>
      </c>
      <c r="E332" s="6" t="s">
        <v>518</v>
      </c>
      <c r="F332" s="5" t="s">
        <v>26</v>
      </c>
      <c r="G332" s="5" t="s">
        <v>27</v>
      </c>
      <c r="H332" s="5">
        <v>103665.0</v>
      </c>
      <c r="I332" s="5">
        <v>270.0</v>
      </c>
      <c r="J332" s="5">
        <v>77283.0</v>
      </c>
      <c r="K332" s="5">
        <v>94019.0</v>
      </c>
      <c r="L332" s="5">
        <v>4.0</v>
      </c>
      <c r="M332" s="5">
        <v>5284.685565</v>
      </c>
    </row>
    <row r="333">
      <c r="A333" s="4" t="s">
        <v>525</v>
      </c>
      <c r="B333" s="5" t="s">
        <v>15</v>
      </c>
      <c r="C333" s="5" t="s">
        <v>23</v>
      </c>
      <c r="D333" s="5" t="s">
        <v>35</v>
      </c>
      <c r="E333" s="6" t="s">
        <v>518</v>
      </c>
      <c r="F333" s="5" t="s">
        <v>117</v>
      </c>
      <c r="G333" s="5" t="s">
        <v>52</v>
      </c>
      <c r="H333" s="5">
        <v>25889.0</v>
      </c>
      <c r="I333" s="5">
        <v>110.0</v>
      </c>
      <c r="J333" s="5">
        <v>18382.0</v>
      </c>
      <c r="K333" s="5">
        <v>23328.0</v>
      </c>
      <c r="L333" s="5">
        <v>15.0</v>
      </c>
      <c r="M333" s="5">
        <v>4977.784794</v>
      </c>
    </row>
    <row r="334">
      <c r="A334" s="4" t="s">
        <v>526</v>
      </c>
      <c r="B334" s="5" t="s">
        <v>61</v>
      </c>
      <c r="C334" s="5" t="s">
        <v>42</v>
      </c>
      <c r="D334" s="5" t="s">
        <v>24</v>
      </c>
      <c r="E334" s="6" t="s">
        <v>518</v>
      </c>
      <c r="F334" s="5" t="s">
        <v>19</v>
      </c>
      <c r="G334" s="5" t="s">
        <v>27</v>
      </c>
      <c r="H334" s="5">
        <v>39844.0</v>
      </c>
      <c r="I334" s="5">
        <v>101.0</v>
      </c>
      <c r="J334" s="5">
        <v>28001.0</v>
      </c>
      <c r="K334" s="5">
        <v>36335.0</v>
      </c>
      <c r="L334" s="5">
        <v>3.0</v>
      </c>
      <c r="M334" s="5">
        <v>4439.368082</v>
      </c>
    </row>
    <row r="335">
      <c r="A335" s="4" t="s">
        <v>527</v>
      </c>
      <c r="B335" s="5" t="s">
        <v>15</v>
      </c>
      <c r="C335" s="5" t="s">
        <v>23</v>
      </c>
      <c r="D335" s="5" t="s">
        <v>17</v>
      </c>
      <c r="E335" s="6" t="s">
        <v>518</v>
      </c>
      <c r="F335" s="5" t="s">
        <v>19</v>
      </c>
      <c r="G335" s="5" t="s">
        <v>27</v>
      </c>
      <c r="H335" s="5">
        <v>224359.0</v>
      </c>
      <c r="I335" s="5">
        <v>480.0</v>
      </c>
      <c r="J335" s="5">
        <v>163149.0</v>
      </c>
      <c r="K335" s="5">
        <v>200859.0</v>
      </c>
      <c r="L335" s="5">
        <v>5.0</v>
      </c>
      <c r="M335" s="5">
        <v>4196.936777</v>
      </c>
    </row>
    <row r="336">
      <c r="A336" s="4" t="s">
        <v>528</v>
      </c>
      <c r="B336" s="5" t="s">
        <v>22</v>
      </c>
      <c r="C336" s="5" t="s">
        <v>16</v>
      </c>
      <c r="D336" s="5" t="s">
        <v>240</v>
      </c>
      <c r="E336" s="6" t="s">
        <v>518</v>
      </c>
      <c r="F336" s="5" t="s">
        <v>36</v>
      </c>
      <c r="G336" s="5" t="s">
        <v>27</v>
      </c>
      <c r="H336" s="5">
        <v>15399.0</v>
      </c>
      <c r="I336" s="5">
        <v>35.0</v>
      </c>
      <c r="J336" s="5">
        <v>3398.0</v>
      </c>
      <c r="K336" s="5">
        <v>4324.0</v>
      </c>
      <c r="L336" s="5">
        <v>3.0</v>
      </c>
      <c r="M336" s="5">
        <v>3434.731153</v>
      </c>
    </row>
    <row r="337">
      <c r="A337" s="4" t="s">
        <v>529</v>
      </c>
      <c r="B337" s="5" t="s">
        <v>15</v>
      </c>
      <c r="C337" s="5" t="s">
        <v>16</v>
      </c>
      <c r="D337" s="5" t="s">
        <v>17</v>
      </c>
      <c r="E337" s="6" t="s">
        <v>518</v>
      </c>
      <c r="F337" s="5" t="s">
        <v>46</v>
      </c>
      <c r="G337" s="5" t="s">
        <v>27</v>
      </c>
      <c r="H337" s="5">
        <v>136733.0</v>
      </c>
      <c r="I337" s="5">
        <v>110.0</v>
      </c>
      <c r="J337" s="5">
        <v>102728.0</v>
      </c>
      <c r="K337" s="5">
        <v>127130.0</v>
      </c>
      <c r="L337" s="5">
        <v>4.0</v>
      </c>
      <c r="M337" s="5">
        <v>1946.050447</v>
      </c>
    </row>
    <row r="338">
      <c r="A338" s="4" t="s">
        <v>530</v>
      </c>
      <c r="B338" s="5" t="s">
        <v>22</v>
      </c>
      <c r="C338" s="5" t="s">
        <v>31</v>
      </c>
      <c r="D338" s="5" t="s">
        <v>531</v>
      </c>
      <c r="E338" s="6" t="s">
        <v>518</v>
      </c>
      <c r="F338" s="5" t="s">
        <v>19</v>
      </c>
      <c r="G338" s="5" t="s">
        <v>27</v>
      </c>
      <c r="H338" s="5">
        <v>198754.0</v>
      </c>
      <c r="I338" s="5">
        <v>480.0</v>
      </c>
      <c r="J338" s="5">
        <v>137649.0</v>
      </c>
      <c r="K338" s="5">
        <v>178415.0</v>
      </c>
      <c r="L338" s="5">
        <v>4.0</v>
      </c>
      <c r="M338" s="5">
        <v>1803.081497</v>
      </c>
    </row>
    <row r="339">
      <c r="A339" s="4" t="s">
        <v>532</v>
      </c>
      <c r="B339" s="5" t="s">
        <v>15</v>
      </c>
      <c r="C339" s="5" t="s">
        <v>16</v>
      </c>
      <c r="D339" s="5" t="s">
        <v>84</v>
      </c>
      <c r="E339" s="6" t="s">
        <v>518</v>
      </c>
      <c r="F339" s="5" t="s">
        <v>117</v>
      </c>
      <c r="G339" s="5" t="s">
        <v>27</v>
      </c>
      <c r="H339" s="5">
        <v>15033.0</v>
      </c>
      <c r="I339" s="5">
        <v>76.0</v>
      </c>
      <c r="J339" s="5">
        <v>5495.0</v>
      </c>
      <c r="K339" s="5">
        <v>7050.0</v>
      </c>
      <c r="L339" s="5">
        <v>3.0</v>
      </c>
      <c r="M339" s="5">
        <v>1650.72301</v>
      </c>
    </row>
    <row r="340">
      <c r="A340" s="4" t="s">
        <v>533</v>
      </c>
      <c r="B340" s="5" t="s">
        <v>15</v>
      </c>
      <c r="C340" s="5" t="s">
        <v>16</v>
      </c>
      <c r="D340" s="5" t="s">
        <v>78</v>
      </c>
      <c r="E340" s="6" t="s">
        <v>518</v>
      </c>
      <c r="F340" s="5" t="s">
        <v>19</v>
      </c>
      <c r="G340" s="5" t="s">
        <v>27</v>
      </c>
      <c r="H340" s="5">
        <v>92806.0</v>
      </c>
      <c r="I340" s="5">
        <v>212.0</v>
      </c>
      <c r="J340" s="5">
        <v>67534.0</v>
      </c>
      <c r="K340" s="5">
        <v>85013.0</v>
      </c>
      <c r="L340" s="5">
        <v>11.0</v>
      </c>
      <c r="M340" s="5">
        <v>1579.379602</v>
      </c>
    </row>
    <row r="341">
      <c r="A341" s="4" t="s">
        <v>534</v>
      </c>
      <c r="B341" s="5" t="s">
        <v>22</v>
      </c>
      <c r="C341" s="5" t="s">
        <v>16</v>
      </c>
      <c r="D341" s="5" t="s">
        <v>29</v>
      </c>
      <c r="E341" s="6" t="s">
        <v>518</v>
      </c>
      <c r="F341" s="5" t="s">
        <v>46</v>
      </c>
      <c r="G341" s="5" t="s">
        <v>27</v>
      </c>
      <c r="H341" s="5">
        <v>186702.0</v>
      </c>
      <c r="I341" s="5">
        <v>370.0</v>
      </c>
      <c r="J341" s="5">
        <v>132038.0</v>
      </c>
      <c r="K341" s="5">
        <v>167406.0</v>
      </c>
      <c r="L341" s="5">
        <v>4.0</v>
      </c>
      <c r="M341" s="5">
        <v>1568.73602</v>
      </c>
    </row>
    <row r="342">
      <c r="A342" s="4" t="s">
        <v>535</v>
      </c>
      <c r="B342" s="5" t="s">
        <v>22</v>
      </c>
      <c r="C342" s="5" t="s">
        <v>23</v>
      </c>
      <c r="D342" s="5" t="s">
        <v>29</v>
      </c>
      <c r="E342" s="6" t="s">
        <v>518</v>
      </c>
      <c r="F342" s="5" t="s">
        <v>46</v>
      </c>
      <c r="G342" s="5" t="s">
        <v>27</v>
      </c>
      <c r="H342" s="5">
        <v>69136.0</v>
      </c>
      <c r="I342" s="5">
        <v>190.0</v>
      </c>
      <c r="J342" s="5">
        <v>40571.0</v>
      </c>
      <c r="K342" s="5">
        <v>63614.0</v>
      </c>
      <c r="L342" s="5">
        <v>3.0</v>
      </c>
      <c r="M342" s="5">
        <v>1507.946851</v>
      </c>
    </row>
    <row r="343">
      <c r="A343" s="4" t="s">
        <v>536</v>
      </c>
      <c r="B343" s="5" t="s">
        <v>15</v>
      </c>
      <c r="C343" s="5" t="s">
        <v>42</v>
      </c>
      <c r="D343" s="5" t="s">
        <v>95</v>
      </c>
      <c r="E343" s="6" t="s">
        <v>518</v>
      </c>
      <c r="F343" s="5" t="s">
        <v>26</v>
      </c>
      <c r="G343" s="5" t="s">
        <v>52</v>
      </c>
      <c r="H343" s="5">
        <v>32173.0</v>
      </c>
      <c r="I343" s="5">
        <v>104.0</v>
      </c>
      <c r="J343" s="5">
        <v>24427.0</v>
      </c>
      <c r="K343" s="5">
        <v>30084.0</v>
      </c>
      <c r="L343" s="5">
        <v>11.0</v>
      </c>
      <c r="M343" s="5">
        <v>1498.29154</v>
      </c>
    </row>
    <row r="344">
      <c r="A344" s="4" t="s">
        <v>537</v>
      </c>
      <c r="B344" s="5" t="s">
        <v>22</v>
      </c>
      <c r="C344" s="5" t="s">
        <v>23</v>
      </c>
      <c r="D344" s="5" t="s">
        <v>24</v>
      </c>
      <c r="E344" s="6" t="s">
        <v>518</v>
      </c>
      <c r="F344" s="5" t="s">
        <v>36</v>
      </c>
      <c r="G344" s="5" t="s">
        <v>27</v>
      </c>
      <c r="H344" s="5">
        <v>88819.0</v>
      </c>
      <c r="I344" s="5">
        <v>200.0</v>
      </c>
      <c r="J344" s="5">
        <v>65488.0</v>
      </c>
      <c r="K344" s="5">
        <v>80451.0</v>
      </c>
      <c r="L344" s="5">
        <v>6.0</v>
      </c>
      <c r="M344" s="5">
        <v>1442.22799</v>
      </c>
    </row>
    <row r="345">
      <c r="A345" s="4" t="s">
        <v>538</v>
      </c>
      <c r="B345" s="5" t="s">
        <v>22</v>
      </c>
      <c r="C345" s="5" t="s">
        <v>42</v>
      </c>
      <c r="D345" s="5" t="s">
        <v>35</v>
      </c>
      <c r="E345" s="6" t="s">
        <v>539</v>
      </c>
      <c r="F345" s="5" t="s">
        <v>33</v>
      </c>
      <c r="G345" s="5" t="s">
        <v>27</v>
      </c>
      <c r="H345" s="5">
        <v>1323451.0</v>
      </c>
      <c r="I345" s="5">
        <v>3414.0</v>
      </c>
      <c r="J345" s="5">
        <v>737990.0</v>
      </c>
      <c r="K345" s="5">
        <v>1177859.0</v>
      </c>
      <c r="L345" s="5">
        <v>123.0</v>
      </c>
      <c r="M345" s="5">
        <v>8187.114541</v>
      </c>
    </row>
    <row r="346">
      <c r="A346" s="4" t="s">
        <v>540</v>
      </c>
      <c r="B346" s="5" t="s">
        <v>15</v>
      </c>
      <c r="C346" s="5" t="s">
        <v>42</v>
      </c>
      <c r="D346" s="5" t="s">
        <v>35</v>
      </c>
      <c r="E346" s="6" t="s">
        <v>539</v>
      </c>
      <c r="F346" s="5" t="s">
        <v>46</v>
      </c>
      <c r="G346" s="5" t="s">
        <v>27</v>
      </c>
      <c r="H346" s="5">
        <v>728841.0</v>
      </c>
      <c r="I346" s="5">
        <v>2174.0</v>
      </c>
      <c r="J346" s="5">
        <v>424340.0</v>
      </c>
      <c r="K346" s="5">
        <v>634059.0</v>
      </c>
      <c r="L346" s="5">
        <v>37.0</v>
      </c>
      <c r="M346" s="5">
        <v>8054.141368</v>
      </c>
    </row>
    <row r="347">
      <c r="A347" s="4" t="s">
        <v>541</v>
      </c>
      <c r="B347" s="5" t="s">
        <v>22</v>
      </c>
      <c r="C347" s="5" t="s">
        <v>31</v>
      </c>
      <c r="D347" s="5" t="s">
        <v>78</v>
      </c>
      <c r="E347" s="6" t="s">
        <v>539</v>
      </c>
      <c r="F347" s="5" t="s">
        <v>36</v>
      </c>
      <c r="G347" s="5" t="s">
        <v>27</v>
      </c>
      <c r="H347" s="5">
        <v>1010148.0</v>
      </c>
      <c r="I347" s="5">
        <v>2874.0</v>
      </c>
      <c r="J347" s="5">
        <v>699834.0</v>
      </c>
      <c r="K347" s="5">
        <v>955905.0</v>
      </c>
      <c r="L347" s="5">
        <v>31.0</v>
      </c>
      <c r="M347" s="5">
        <v>7788.701621</v>
      </c>
    </row>
    <row r="348">
      <c r="A348" s="4" t="s">
        <v>542</v>
      </c>
      <c r="B348" s="5" t="s">
        <v>15</v>
      </c>
      <c r="C348" s="5" t="s">
        <v>42</v>
      </c>
      <c r="D348" s="5" t="s">
        <v>78</v>
      </c>
      <c r="E348" s="6" t="s">
        <v>539</v>
      </c>
      <c r="F348" s="5" t="s">
        <v>46</v>
      </c>
      <c r="G348" s="5" t="s">
        <v>27</v>
      </c>
      <c r="H348" s="5">
        <v>1956642.0</v>
      </c>
      <c r="I348" s="5">
        <v>4563.0</v>
      </c>
      <c r="J348" s="5">
        <v>981461.0</v>
      </c>
      <c r="K348" s="5">
        <v>1731673.0</v>
      </c>
      <c r="L348" s="5">
        <v>106.0</v>
      </c>
      <c r="M348" s="5">
        <v>7730.240616</v>
      </c>
    </row>
    <row r="349">
      <c r="A349" s="4" t="s">
        <v>543</v>
      </c>
      <c r="B349" s="5" t="s">
        <v>15</v>
      </c>
      <c r="C349" s="5" t="s">
        <v>31</v>
      </c>
      <c r="D349" s="5" t="s">
        <v>55</v>
      </c>
      <c r="E349" s="6" t="s">
        <v>539</v>
      </c>
      <c r="F349" s="5" t="s">
        <v>19</v>
      </c>
      <c r="G349" s="5" t="s">
        <v>27</v>
      </c>
      <c r="H349" s="5">
        <v>23774.0</v>
      </c>
      <c r="I349" s="5">
        <v>60.0</v>
      </c>
      <c r="J349" s="5">
        <v>10735.0</v>
      </c>
      <c r="K349" s="5">
        <v>21076.0</v>
      </c>
      <c r="L349" s="5">
        <v>24.0</v>
      </c>
      <c r="M349" s="5">
        <v>7657.108034</v>
      </c>
    </row>
    <row r="350">
      <c r="A350" s="4" t="s">
        <v>544</v>
      </c>
      <c r="B350" s="5" t="s">
        <v>61</v>
      </c>
      <c r="C350" s="5" t="s">
        <v>31</v>
      </c>
      <c r="D350" s="5" t="s">
        <v>35</v>
      </c>
      <c r="E350" s="6" t="s">
        <v>539</v>
      </c>
      <c r="F350" s="5" t="s">
        <v>36</v>
      </c>
      <c r="G350" s="5" t="s">
        <v>27</v>
      </c>
      <c r="H350" s="5">
        <v>1083050.0</v>
      </c>
      <c r="I350" s="5">
        <v>3984.0</v>
      </c>
      <c r="J350" s="5">
        <v>590156.0</v>
      </c>
      <c r="K350" s="5">
        <v>953556.0</v>
      </c>
      <c r="L350" s="5">
        <v>19.0</v>
      </c>
      <c r="M350" s="5">
        <v>7495.749847</v>
      </c>
    </row>
    <row r="351">
      <c r="A351" s="4" t="s">
        <v>545</v>
      </c>
      <c r="B351" s="5" t="s">
        <v>61</v>
      </c>
      <c r="C351" s="5" t="s">
        <v>16</v>
      </c>
      <c r="D351" s="5" t="s">
        <v>78</v>
      </c>
      <c r="E351" s="6" t="s">
        <v>539</v>
      </c>
      <c r="F351" s="5" t="s">
        <v>19</v>
      </c>
      <c r="G351" s="5" t="s">
        <v>27</v>
      </c>
      <c r="H351" s="5">
        <v>184622.0</v>
      </c>
      <c r="I351" s="5">
        <v>180.0</v>
      </c>
      <c r="J351" s="5">
        <v>98938.0</v>
      </c>
      <c r="K351" s="5">
        <v>161848.0</v>
      </c>
      <c r="L351" s="5">
        <v>13.0</v>
      </c>
      <c r="M351" s="5">
        <v>7149.816075</v>
      </c>
    </row>
    <row r="352">
      <c r="A352" s="4" t="s">
        <v>546</v>
      </c>
      <c r="B352" s="5" t="s">
        <v>22</v>
      </c>
      <c r="C352" s="5" t="s">
        <v>31</v>
      </c>
      <c r="D352" s="5" t="s">
        <v>35</v>
      </c>
      <c r="E352" s="6" t="s">
        <v>539</v>
      </c>
      <c r="F352" s="5" t="s">
        <v>50</v>
      </c>
      <c r="G352" s="5" t="s">
        <v>27</v>
      </c>
      <c r="H352" s="5">
        <v>742281.0</v>
      </c>
      <c r="I352" s="5">
        <v>1999.0</v>
      </c>
      <c r="J352" s="5">
        <v>432673.0</v>
      </c>
      <c r="K352" s="5">
        <v>642404.0</v>
      </c>
      <c r="L352" s="5">
        <v>11.0</v>
      </c>
      <c r="M352" s="5">
        <v>6024.422487</v>
      </c>
    </row>
    <row r="353">
      <c r="A353" s="4" t="s">
        <v>547</v>
      </c>
      <c r="B353" s="5" t="s">
        <v>15</v>
      </c>
      <c r="C353" s="5" t="s">
        <v>16</v>
      </c>
      <c r="D353" s="5" t="s">
        <v>17</v>
      </c>
      <c r="E353" s="6" t="s">
        <v>539</v>
      </c>
      <c r="F353" s="5" t="s">
        <v>26</v>
      </c>
      <c r="G353" s="5" t="s">
        <v>27</v>
      </c>
      <c r="H353" s="5">
        <v>1720462.0</v>
      </c>
      <c r="I353" s="5">
        <v>4865.0</v>
      </c>
      <c r="J353" s="5">
        <v>940296.0</v>
      </c>
      <c r="K353" s="5">
        <v>1516537.0</v>
      </c>
      <c r="L353" s="5">
        <v>20.0</v>
      </c>
      <c r="M353" s="5">
        <v>5906.464967</v>
      </c>
    </row>
    <row r="354">
      <c r="A354" s="4" t="s">
        <v>548</v>
      </c>
      <c r="B354" s="5" t="s">
        <v>15</v>
      </c>
      <c r="C354" s="5" t="s">
        <v>16</v>
      </c>
      <c r="D354" s="5" t="s">
        <v>45</v>
      </c>
      <c r="E354" s="6" t="s">
        <v>539</v>
      </c>
      <c r="F354" s="5" t="s">
        <v>19</v>
      </c>
      <c r="G354" s="5" t="s">
        <v>27</v>
      </c>
      <c r="H354" s="5">
        <v>766674.0</v>
      </c>
      <c r="I354" s="5">
        <v>1984.0</v>
      </c>
      <c r="J354" s="5">
        <v>344201.0</v>
      </c>
      <c r="K354" s="5">
        <v>720606.0</v>
      </c>
      <c r="L354" s="5">
        <v>17.0</v>
      </c>
      <c r="M354" s="5">
        <v>5816.234619</v>
      </c>
    </row>
    <row r="355">
      <c r="A355" s="4" t="s">
        <v>549</v>
      </c>
      <c r="B355" s="5" t="s">
        <v>15</v>
      </c>
      <c r="C355" s="5" t="s">
        <v>23</v>
      </c>
      <c r="D355" s="5" t="s">
        <v>131</v>
      </c>
      <c r="E355" s="6" t="s">
        <v>539</v>
      </c>
      <c r="F355" s="5" t="s">
        <v>19</v>
      </c>
      <c r="G355" s="5" t="s">
        <v>27</v>
      </c>
      <c r="H355" s="5">
        <v>14730.0</v>
      </c>
      <c r="I355" s="5">
        <v>86.0</v>
      </c>
      <c r="J355" s="5">
        <v>6410.0</v>
      </c>
      <c r="K355" s="5">
        <v>10860.0</v>
      </c>
      <c r="L355" s="5">
        <v>6.0</v>
      </c>
      <c r="M355" s="5">
        <v>5287.567528</v>
      </c>
    </row>
    <row r="356">
      <c r="A356" s="4" t="s">
        <v>550</v>
      </c>
      <c r="B356" s="5" t="s">
        <v>22</v>
      </c>
      <c r="C356" s="5" t="s">
        <v>42</v>
      </c>
      <c r="D356" s="5" t="s">
        <v>121</v>
      </c>
      <c r="E356" s="6" t="s">
        <v>539</v>
      </c>
      <c r="F356" s="5" t="s">
        <v>26</v>
      </c>
      <c r="G356" s="5" t="s">
        <v>27</v>
      </c>
      <c r="H356" s="5">
        <v>207685.0</v>
      </c>
      <c r="I356" s="5">
        <v>512.0</v>
      </c>
      <c r="J356" s="5">
        <v>20134.0</v>
      </c>
      <c r="K356" s="5">
        <v>30708.0</v>
      </c>
      <c r="L356" s="5">
        <v>34.0</v>
      </c>
      <c r="M356" s="5">
        <v>5239.204787</v>
      </c>
    </row>
    <row r="357">
      <c r="A357" s="4" t="s">
        <v>551</v>
      </c>
      <c r="B357" s="5" t="s">
        <v>15</v>
      </c>
      <c r="C357" s="5" t="s">
        <v>23</v>
      </c>
      <c r="D357" s="5" t="s">
        <v>17</v>
      </c>
      <c r="E357" s="6" t="s">
        <v>539</v>
      </c>
      <c r="F357" s="5" t="s">
        <v>80</v>
      </c>
      <c r="G357" s="5" t="s">
        <v>27</v>
      </c>
      <c r="H357" s="5">
        <v>908899.0</v>
      </c>
      <c r="I357" s="5">
        <v>1984.0</v>
      </c>
      <c r="J357" s="5">
        <v>644697.0</v>
      </c>
      <c r="K357" s="5">
        <v>853964.0</v>
      </c>
      <c r="L357" s="5">
        <v>32.0</v>
      </c>
      <c r="M357" s="5">
        <v>5181.087383</v>
      </c>
    </row>
    <row r="358">
      <c r="A358" s="4" t="s">
        <v>552</v>
      </c>
      <c r="B358" s="5" t="s">
        <v>15</v>
      </c>
      <c r="C358" s="5" t="s">
        <v>31</v>
      </c>
      <c r="D358" s="5" t="s">
        <v>35</v>
      </c>
      <c r="E358" s="6" t="s">
        <v>539</v>
      </c>
      <c r="F358" s="5" t="s">
        <v>19</v>
      </c>
      <c r="G358" s="5" t="s">
        <v>27</v>
      </c>
      <c r="H358" s="5">
        <v>470192.0</v>
      </c>
      <c r="I358" s="5">
        <v>940.0</v>
      </c>
      <c r="J358" s="5">
        <v>336480.0</v>
      </c>
      <c r="K358" s="5">
        <v>443202.0</v>
      </c>
      <c r="L358" s="5">
        <v>3.0</v>
      </c>
      <c r="M358" s="5">
        <v>4963.966251</v>
      </c>
    </row>
    <row r="359">
      <c r="A359" s="4" t="s">
        <v>553</v>
      </c>
      <c r="B359" s="5" t="s">
        <v>22</v>
      </c>
      <c r="C359" s="5" t="s">
        <v>31</v>
      </c>
      <c r="D359" s="5" t="s">
        <v>78</v>
      </c>
      <c r="E359" s="6" t="s">
        <v>539</v>
      </c>
      <c r="F359" s="5" t="s">
        <v>26</v>
      </c>
      <c r="G359" s="5" t="s">
        <v>27</v>
      </c>
      <c r="H359" s="5">
        <v>65257.0</v>
      </c>
      <c r="I359" s="5">
        <v>201.0</v>
      </c>
      <c r="J359" s="5">
        <v>12749.0</v>
      </c>
      <c r="K359" s="5">
        <v>19274.0</v>
      </c>
      <c r="L359" s="5">
        <v>3.0</v>
      </c>
      <c r="M359" s="5">
        <v>2468.135837</v>
      </c>
    </row>
    <row r="360">
      <c r="A360" s="4" t="s">
        <v>554</v>
      </c>
      <c r="B360" s="5" t="s">
        <v>22</v>
      </c>
      <c r="C360" s="5" t="s">
        <v>23</v>
      </c>
      <c r="D360" s="5" t="s">
        <v>66</v>
      </c>
      <c r="E360" s="6" t="s">
        <v>539</v>
      </c>
      <c r="F360" s="5" t="s">
        <v>19</v>
      </c>
      <c r="G360" s="5" t="s">
        <v>27</v>
      </c>
      <c r="H360" s="5">
        <v>31003.0</v>
      </c>
      <c r="I360" s="5">
        <v>87.0</v>
      </c>
      <c r="J360" s="5">
        <v>12591.0</v>
      </c>
      <c r="K360" s="5">
        <v>22656.0</v>
      </c>
      <c r="L360" s="5">
        <v>8.0</v>
      </c>
      <c r="M360" s="5">
        <v>2294.003778</v>
      </c>
    </row>
    <row r="361">
      <c r="A361" s="4" t="s">
        <v>555</v>
      </c>
      <c r="B361" s="5" t="s">
        <v>15</v>
      </c>
      <c r="C361" s="5" t="s">
        <v>31</v>
      </c>
      <c r="D361" s="5" t="s">
        <v>55</v>
      </c>
      <c r="E361" s="6" t="s">
        <v>539</v>
      </c>
      <c r="F361" s="5" t="s">
        <v>19</v>
      </c>
      <c r="G361" s="5" t="s">
        <v>27</v>
      </c>
      <c r="H361" s="5">
        <v>12988.0</v>
      </c>
      <c r="I361" s="5">
        <v>69.0</v>
      </c>
      <c r="J361" s="5">
        <v>6514.0</v>
      </c>
      <c r="K361" s="5">
        <v>9378.0</v>
      </c>
      <c r="L361" s="5">
        <v>4.0</v>
      </c>
      <c r="M361" s="5">
        <v>2236.485099</v>
      </c>
    </row>
    <row r="362">
      <c r="A362" s="4" t="s">
        <v>556</v>
      </c>
      <c r="B362" s="5" t="s">
        <v>61</v>
      </c>
      <c r="C362" s="5" t="s">
        <v>23</v>
      </c>
      <c r="D362" s="5" t="s">
        <v>35</v>
      </c>
      <c r="E362" s="6" t="s">
        <v>539</v>
      </c>
      <c r="F362" s="5" t="s">
        <v>19</v>
      </c>
      <c r="G362" s="5" t="s">
        <v>27</v>
      </c>
      <c r="H362" s="5">
        <v>562103.0</v>
      </c>
      <c r="I362" s="5">
        <v>1450.0</v>
      </c>
      <c r="J362" s="5">
        <v>340616.0</v>
      </c>
      <c r="K362" s="5">
        <v>488921.0</v>
      </c>
      <c r="L362" s="5">
        <v>8.0</v>
      </c>
      <c r="M362" s="5">
        <v>1733.830172</v>
      </c>
    </row>
    <row r="363">
      <c r="A363" s="4" t="s">
        <v>557</v>
      </c>
      <c r="B363" s="5" t="s">
        <v>22</v>
      </c>
      <c r="C363" s="5" t="s">
        <v>23</v>
      </c>
      <c r="D363" s="5" t="s">
        <v>29</v>
      </c>
      <c r="E363" s="6" t="s">
        <v>539</v>
      </c>
      <c r="F363" s="5" t="s">
        <v>19</v>
      </c>
      <c r="G363" s="5" t="s">
        <v>27</v>
      </c>
      <c r="H363" s="5">
        <v>780475.0</v>
      </c>
      <c r="I363" s="5">
        <v>2186.0</v>
      </c>
      <c r="J363" s="5">
        <v>453974.0</v>
      </c>
      <c r="K363" s="5">
        <v>691696.0</v>
      </c>
      <c r="L363" s="5">
        <v>11.0</v>
      </c>
      <c r="M363" s="5">
        <v>1726.249457</v>
      </c>
    </row>
    <row r="364">
      <c r="A364" s="4" t="s">
        <v>558</v>
      </c>
      <c r="B364" s="5" t="s">
        <v>15</v>
      </c>
      <c r="C364" s="5" t="s">
        <v>16</v>
      </c>
      <c r="D364" s="5" t="s">
        <v>78</v>
      </c>
      <c r="E364" s="6" t="s">
        <v>539</v>
      </c>
      <c r="F364" s="5" t="s">
        <v>46</v>
      </c>
      <c r="G364" s="5" t="s">
        <v>27</v>
      </c>
      <c r="H364" s="5">
        <v>7540.0</v>
      </c>
      <c r="I364" s="5">
        <v>10.0</v>
      </c>
      <c r="J364" s="5">
        <v>1475.0</v>
      </c>
      <c r="K364" s="5">
        <v>2054.0</v>
      </c>
      <c r="L364" s="5">
        <v>1.0</v>
      </c>
      <c r="M364" s="5">
        <v>1713.978863</v>
      </c>
    </row>
    <row r="365">
      <c r="A365" s="4" t="s">
        <v>559</v>
      </c>
      <c r="B365" s="5" t="s">
        <v>15</v>
      </c>
      <c r="C365" s="5" t="s">
        <v>23</v>
      </c>
      <c r="D365" s="5" t="s">
        <v>39</v>
      </c>
      <c r="E365" s="6" t="s">
        <v>539</v>
      </c>
      <c r="F365" s="5" t="s">
        <v>19</v>
      </c>
      <c r="G365" s="5" t="s">
        <v>27</v>
      </c>
      <c r="H365" s="5">
        <v>482834.0</v>
      </c>
      <c r="I365" s="5">
        <v>1269.0</v>
      </c>
      <c r="J365" s="5">
        <v>292059.0</v>
      </c>
      <c r="K365" s="5">
        <v>428761.0</v>
      </c>
      <c r="L365" s="5">
        <v>7.0</v>
      </c>
      <c r="M365" s="5">
        <v>1594.463397</v>
      </c>
    </row>
    <row r="366">
      <c r="A366" s="4" t="s">
        <v>560</v>
      </c>
      <c r="B366" s="5" t="s">
        <v>15</v>
      </c>
      <c r="C366" s="5" t="s">
        <v>16</v>
      </c>
      <c r="D366" s="5" t="s">
        <v>39</v>
      </c>
      <c r="E366" s="6" t="s">
        <v>539</v>
      </c>
      <c r="F366" s="5" t="s">
        <v>117</v>
      </c>
      <c r="G366" s="5" t="s">
        <v>27</v>
      </c>
      <c r="H366" s="5">
        <v>19464.0</v>
      </c>
      <c r="I366" s="5">
        <v>68.0</v>
      </c>
      <c r="J366" s="5">
        <v>11814.0</v>
      </c>
      <c r="K366" s="5">
        <v>17040.0</v>
      </c>
      <c r="L366" s="5">
        <v>9.0</v>
      </c>
      <c r="M366" s="5">
        <v>1540.46935</v>
      </c>
    </row>
    <row r="367">
      <c r="A367" s="4" t="s">
        <v>561</v>
      </c>
      <c r="B367" s="5" t="s">
        <v>22</v>
      </c>
      <c r="C367" s="5" t="s">
        <v>16</v>
      </c>
      <c r="D367" s="5" t="s">
        <v>17</v>
      </c>
      <c r="E367" s="6" t="s">
        <v>539</v>
      </c>
      <c r="F367" s="5" t="s">
        <v>26</v>
      </c>
      <c r="G367" s="5" t="s">
        <v>27</v>
      </c>
      <c r="H367" s="5">
        <v>50838.0</v>
      </c>
      <c r="I367" s="5">
        <v>130.0</v>
      </c>
      <c r="J367" s="5">
        <v>23274.0</v>
      </c>
      <c r="K367" s="5">
        <v>35934.0</v>
      </c>
      <c r="L367" s="5">
        <v>11.0</v>
      </c>
      <c r="M367" s="5">
        <v>1521.372273</v>
      </c>
    </row>
    <row r="368">
      <c r="A368" s="4" t="s">
        <v>562</v>
      </c>
      <c r="B368" s="5" t="s">
        <v>15</v>
      </c>
      <c r="C368" s="5" t="s">
        <v>23</v>
      </c>
      <c r="D368" s="5" t="s">
        <v>55</v>
      </c>
      <c r="E368" s="6" t="s">
        <v>539</v>
      </c>
      <c r="F368" s="5" t="s">
        <v>136</v>
      </c>
      <c r="G368" s="5" t="s">
        <v>27</v>
      </c>
      <c r="H368" s="5">
        <v>679098.0</v>
      </c>
      <c r="I368" s="5">
        <v>1984.0</v>
      </c>
      <c r="J368" s="5">
        <v>467726.0</v>
      </c>
      <c r="K368" s="5">
        <v>634589.0</v>
      </c>
      <c r="L368" s="5">
        <v>9.0</v>
      </c>
      <c r="M368" s="5">
        <v>1477.424856</v>
      </c>
    </row>
    <row r="369">
      <c r="A369" s="4" t="s">
        <v>563</v>
      </c>
      <c r="B369" s="5" t="s">
        <v>15</v>
      </c>
      <c r="C369" s="5" t="s">
        <v>42</v>
      </c>
      <c r="D369" s="5" t="s">
        <v>29</v>
      </c>
      <c r="E369" s="6" t="s">
        <v>539</v>
      </c>
      <c r="F369" s="5" t="s">
        <v>19</v>
      </c>
      <c r="G369" s="5" t="s">
        <v>52</v>
      </c>
      <c r="H369" s="5">
        <v>32436.0</v>
      </c>
      <c r="I369" s="5">
        <v>56.0</v>
      </c>
      <c r="J369" s="5">
        <v>17531.0</v>
      </c>
      <c r="K369" s="5">
        <v>28429.0</v>
      </c>
      <c r="L369" s="5">
        <v>6.0</v>
      </c>
      <c r="M369" s="5">
        <v>1470.670167</v>
      </c>
    </row>
    <row r="370">
      <c r="A370" s="4" t="s">
        <v>564</v>
      </c>
      <c r="B370" s="5" t="s">
        <v>61</v>
      </c>
      <c r="C370" s="5" t="s">
        <v>23</v>
      </c>
      <c r="D370" s="5" t="s">
        <v>78</v>
      </c>
      <c r="E370" s="6" t="s">
        <v>565</v>
      </c>
      <c r="F370" s="5" t="s">
        <v>117</v>
      </c>
      <c r="G370" s="5" t="s">
        <v>27</v>
      </c>
      <c r="H370" s="5">
        <v>11734.0</v>
      </c>
      <c r="I370" s="5">
        <v>78.0</v>
      </c>
      <c r="J370" s="5">
        <v>8741.0</v>
      </c>
      <c r="K370" s="5">
        <v>10606.0</v>
      </c>
      <c r="L370" s="5">
        <v>5.0</v>
      </c>
      <c r="M370" s="5">
        <v>6439.283498</v>
      </c>
    </row>
    <row r="371">
      <c r="A371" s="4" t="s">
        <v>566</v>
      </c>
      <c r="B371" s="5" t="s">
        <v>22</v>
      </c>
      <c r="C371" s="5" t="s">
        <v>23</v>
      </c>
      <c r="D371" s="5" t="s">
        <v>147</v>
      </c>
      <c r="E371" s="6" t="s">
        <v>565</v>
      </c>
      <c r="F371" s="5" t="s">
        <v>36</v>
      </c>
      <c r="G371" s="5" t="s">
        <v>27</v>
      </c>
      <c r="H371" s="5">
        <v>27371.0</v>
      </c>
      <c r="I371" s="5">
        <v>60.0</v>
      </c>
      <c r="J371" s="5">
        <v>22256.0</v>
      </c>
      <c r="K371" s="5">
        <v>25986.0</v>
      </c>
      <c r="L371" s="5">
        <v>5.0</v>
      </c>
      <c r="M371" s="5">
        <v>4984.485583</v>
      </c>
    </row>
    <row r="372">
      <c r="A372" s="4" t="s">
        <v>567</v>
      </c>
      <c r="B372" s="5" t="s">
        <v>22</v>
      </c>
      <c r="C372" s="5" t="s">
        <v>23</v>
      </c>
      <c r="D372" s="5" t="s">
        <v>84</v>
      </c>
      <c r="E372" s="6" t="s">
        <v>565</v>
      </c>
      <c r="F372" s="5" t="s">
        <v>117</v>
      </c>
      <c r="G372" s="5" t="s">
        <v>27</v>
      </c>
      <c r="H372" s="5">
        <v>21903.0</v>
      </c>
      <c r="I372" s="5">
        <v>124.0</v>
      </c>
      <c r="J372" s="5">
        <v>18831.0</v>
      </c>
      <c r="K372" s="5">
        <v>20922.0</v>
      </c>
      <c r="L372" s="5">
        <v>4.0</v>
      </c>
      <c r="M372" s="5">
        <v>1661.167909</v>
      </c>
    </row>
    <row r="373">
      <c r="A373" s="4" t="s">
        <v>568</v>
      </c>
      <c r="B373" s="5" t="s">
        <v>15</v>
      </c>
      <c r="C373" s="5" t="s">
        <v>16</v>
      </c>
      <c r="D373" s="5" t="s">
        <v>35</v>
      </c>
      <c r="E373" s="6" t="s">
        <v>569</v>
      </c>
      <c r="F373" s="5" t="s">
        <v>184</v>
      </c>
      <c r="G373" s="5" t="s">
        <v>27</v>
      </c>
      <c r="H373" s="5">
        <v>9725.0</v>
      </c>
      <c r="I373" s="5">
        <v>80.0</v>
      </c>
      <c r="J373" s="5">
        <v>6616.0</v>
      </c>
      <c r="K373" s="5">
        <v>8778.0</v>
      </c>
      <c r="L373" s="5">
        <v>1.0</v>
      </c>
      <c r="M373" s="5">
        <v>4942.283987</v>
      </c>
    </row>
    <row r="374">
      <c r="A374" s="4" t="s">
        <v>570</v>
      </c>
      <c r="B374" s="5" t="s">
        <v>22</v>
      </c>
      <c r="C374" s="5" t="s">
        <v>23</v>
      </c>
      <c r="D374" s="5" t="s">
        <v>35</v>
      </c>
      <c r="E374" s="6" t="s">
        <v>569</v>
      </c>
      <c r="F374" s="5" t="s">
        <v>19</v>
      </c>
      <c r="G374" s="5" t="s">
        <v>27</v>
      </c>
      <c r="H374" s="5">
        <v>45965.0</v>
      </c>
      <c r="I374" s="5">
        <v>190.0</v>
      </c>
      <c r="J374" s="5">
        <v>10028.0</v>
      </c>
      <c r="K374" s="5">
        <v>37295.0</v>
      </c>
      <c r="L374" s="5">
        <v>1.0</v>
      </c>
      <c r="M374" s="5">
        <v>4718.836114</v>
      </c>
    </row>
    <row r="375">
      <c r="A375" s="4" t="s">
        <v>571</v>
      </c>
      <c r="B375" s="5" t="s">
        <v>15</v>
      </c>
      <c r="C375" s="5" t="s">
        <v>31</v>
      </c>
      <c r="D375" s="5" t="s">
        <v>17</v>
      </c>
      <c r="E375" s="6" t="s">
        <v>572</v>
      </c>
      <c r="F375" s="5" t="s">
        <v>19</v>
      </c>
      <c r="G375" s="5" t="s">
        <v>27</v>
      </c>
      <c r="H375" s="5">
        <v>8944.0</v>
      </c>
      <c r="I375" s="5">
        <v>45.0</v>
      </c>
      <c r="J375" s="5">
        <v>3002.0</v>
      </c>
      <c r="K375" s="5">
        <v>6361.0</v>
      </c>
      <c r="L375" s="5">
        <v>6.0</v>
      </c>
      <c r="M375" s="5">
        <v>1755.484542</v>
      </c>
    </row>
    <row r="376">
      <c r="A376" s="4" t="s">
        <v>573</v>
      </c>
      <c r="B376" s="5" t="s">
        <v>15</v>
      </c>
      <c r="C376" s="5" t="s">
        <v>42</v>
      </c>
      <c r="D376" s="5" t="s">
        <v>29</v>
      </c>
      <c r="E376" s="6" t="s">
        <v>574</v>
      </c>
      <c r="F376" s="5" t="s">
        <v>117</v>
      </c>
      <c r="G376" s="5" t="s">
        <v>27</v>
      </c>
      <c r="H376" s="5">
        <v>14398.0</v>
      </c>
      <c r="I376" s="5">
        <v>30.0</v>
      </c>
      <c r="J376" s="5">
        <v>2807.0</v>
      </c>
      <c r="K376" s="5">
        <v>13393.0</v>
      </c>
      <c r="L376" s="5">
        <v>7.0</v>
      </c>
      <c r="M376" s="5">
        <v>5154.644555</v>
      </c>
    </row>
    <row r="377">
      <c r="A377" s="4" t="s">
        <v>575</v>
      </c>
      <c r="B377" s="5" t="s">
        <v>22</v>
      </c>
      <c r="C377" s="5" t="s">
        <v>23</v>
      </c>
      <c r="D377" s="5" t="s">
        <v>214</v>
      </c>
      <c r="E377" s="6" t="s">
        <v>576</v>
      </c>
      <c r="F377" s="5" t="s">
        <v>50</v>
      </c>
      <c r="G377" s="5" t="s">
        <v>27</v>
      </c>
      <c r="H377" s="5">
        <v>117879.0</v>
      </c>
      <c r="I377" s="5">
        <v>390.0</v>
      </c>
      <c r="J377" s="5">
        <v>52098.0</v>
      </c>
      <c r="K377" s="5">
        <v>86127.0</v>
      </c>
      <c r="L377" s="5">
        <v>1.0</v>
      </c>
      <c r="M377" s="5">
        <v>5102.706729</v>
      </c>
    </row>
    <row r="378">
      <c r="A378" s="4" t="s">
        <v>577</v>
      </c>
      <c r="B378" s="5" t="s">
        <v>15</v>
      </c>
      <c r="C378" s="5" t="s">
        <v>31</v>
      </c>
      <c r="D378" s="5" t="s">
        <v>32</v>
      </c>
      <c r="E378" s="6" t="s">
        <v>578</v>
      </c>
      <c r="F378" s="5" t="s">
        <v>19</v>
      </c>
      <c r="G378" s="5" t="s">
        <v>27</v>
      </c>
      <c r="H378" s="5">
        <v>22444.0</v>
      </c>
      <c r="I378" s="5">
        <v>160.0</v>
      </c>
      <c r="J378" s="5">
        <v>12672.0</v>
      </c>
      <c r="K378" s="5">
        <v>21345.0</v>
      </c>
      <c r="L378" s="5">
        <v>5.0</v>
      </c>
      <c r="M378" s="5">
        <v>2539.200563</v>
      </c>
    </row>
    <row r="379">
      <c r="A379" s="4" t="s">
        <v>579</v>
      </c>
      <c r="B379" s="5" t="s">
        <v>15</v>
      </c>
      <c r="C379" s="5" t="s">
        <v>31</v>
      </c>
      <c r="D379" s="5" t="s">
        <v>173</v>
      </c>
      <c r="E379" s="6" t="s">
        <v>578</v>
      </c>
      <c r="F379" s="5" t="s">
        <v>46</v>
      </c>
      <c r="G379" s="5" t="s">
        <v>20</v>
      </c>
      <c r="H379" s="5">
        <v>17645.0</v>
      </c>
      <c r="I379" s="5">
        <v>40.0</v>
      </c>
      <c r="J379" s="5">
        <v>9673.0</v>
      </c>
      <c r="K379" s="5">
        <v>15088.0</v>
      </c>
      <c r="L379" s="5">
        <v>15.0</v>
      </c>
      <c r="M379" s="5">
        <v>1591.772246</v>
      </c>
    </row>
    <row r="380">
      <c r="A380" s="4" t="s">
        <v>580</v>
      </c>
      <c r="B380" s="5" t="s">
        <v>22</v>
      </c>
      <c r="C380" s="5" t="s">
        <v>23</v>
      </c>
      <c r="D380" s="5" t="s">
        <v>35</v>
      </c>
      <c r="E380" s="6" t="s">
        <v>578</v>
      </c>
      <c r="F380" s="5" t="s">
        <v>36</v>
      </c>
      <c r="G380" s="5" t="s">
        <v>27</v>
      </c>
      <c r="H380" s="5">
        <v>9881.0</v>
      </c>
      <c r="I380" s="5">
        <v>15.0</v>
      </c>
      <c r="J380" s="5">
        <v>2344.0</v>
      </c>
      <c r="K380" s="5">
        <v>7324.0</v>
      </c>
      <c r="L380" s="5">
        <v>1.0</v>
      </c>
      <c r="M380" s="5">
        <v>1505.01155</v>
      </c>
    </row>
    <row r="381">
      <c r="A381" s="4" t="s">
        <v>581</v>
      </c>
      <c r="B381" s="5" t="s">
        <v>22</v>
      </c>
      <c r="C381" s="5" t="s">
        <v>23</v>
      </c>
      <c r="D381" s="5" t="s">
        <v>273</v>
      </c>
      <c r="E381" s="6" t="s">
        <v>582</v>
      </c>
      <c r="F381" s="5" t="s">
        <v>167</v>
      </c>
      <c r="G381" s="5" t="s">
        <v>27</v>
      </c>
      <c r="H381" s="5">
        <v>12148.0</v>
      </c>
      <c r="I381" s="5">
        <v>40.0</v>
      </c>
      <c r="J381" s="5">
        <v>7950.0</v>
      </c>
      <c r="K381" s="5">
        <v>11360.0</v>
      </c>
      <c r="L381" s="5">
        <v>9.0</v>
      </c>
      <c r="M381" s="5">
        <v>1936.008049</v>
      </c>
    </row>
    <row r="382">
      <c r="A382" s="4" t="s">
        <v>583</v>
      </c>
      <c r="B382" s="5" t="s">
        <v>22</v>
      </c>
      <c r="C382" s="5" t="s">
        <v>23</v>
      </c>
      <c r="D382" s="5" t="s">
        <v>29</v>
      </c>
      <c r="E382" s="6" t="s">
        <v>584</v>
      </c>
      <c r="F382" s="5" t="s">
        <v>19</v>
      </c>
      <c r="G382" s="5" t="s">
        <v>27</v>
      </c>
      <c r="H382" s="5">
        <v>18771.0</v>
      </c>
      <c r="I382" s="5">
        <v>69.0</v>
      </c>
      <c r="J382" s="5">
        <v>10871.0</v>
      </c>
      <c r="K382" s="5">
        <v>17138.0</v>
      </c>
      <c r="L382" s="5">
        <v>6.0</v>
      </c>
      <c r="M382" s="5">
        <v>3827.366381</v>
      </c>
    </row>
    <row r="383">
      <c r="A383" s="4" t="s">
        <v>585</v>
      </c>
      <c r="B383" s="5" t="s">
        <v>15</v>
      </c>
      <c r="C383" s="5" t="s">
        <v>23</v>
      </c>
      <c r="D383" s="5" t="s">
        <v>39</v>
      </c>
      <c r="E383" s="6" t="s">
        <v>584</v>
      </c>
      <c r="F383" s="5" t="s">
        <v>46</v>
      </c>
      <c r="G383" s="5" t="s">
        <v>27</v>
      </c>
      <c r="H383" s="5">
        <v>7402.0</v>
      </c>
      <c r="I383" s="5">
        <v>9.0</v>
      </c>
      <c r="J383" s="5">
        <v>3860.0</v>
      </c>
      <c r="K383" s="5">
        <v>6406.0</v>
      </c>
      <c r="L383" s="5">
        <v>1.0</v>
      </c>
      <c r="M383" s="5">
        <v>1560.449936</v>
      </c>
    </row>
    <row r="384">
      <c r="A384" s="4" t="s">
        <v>586</v>
      </c>
      <c r="B384" s="5" t="s">
        <v>22</v>
      </c>
      <c r="C384" s="5" t="s">
        <v>23</v>
      </c>
      <c r="D384" s="5" t="s">
        <v>35</v>
      </c>
      <c r="E384" s="6" t="s">
        <v>587</v>
      </c>
      <c r="F384" s="5" t="s">
        <v>19</v>
      </c>
      <c r="G384" s="5" t="s">
        <v>27</v>
      </c>
      <c r="H384" s="5">
        <v>38735.0</v>
      </c>
      <c r="I384" s="5">
        <v>114.0</v>
      </c>
      <c r="J384" s="5">
        <v>28719.0</v>
      </c>
      <c r="K384" s="5">
        <v>36629.0</v>
      </c>
      <c r="L384" s="5">
        <v>4.0</v>
      </c>
      <c r="M384" s="5">
        <v>2127.824066</v>
      </c>
    </row>
    <row r="385">
      <c r="A385" s="4" t="s">
        <v>588</v>
      </c>
      <c r="B385" s="5" t="s">
        <v>22</v>
      </c>
      <c r="C385" s="5" t="s">
        <v>42</v>
      </c>
      <c r="D385" s="5" t="s">
        <v>55</v>
      </c>
      <c r="E385" s="6" t="s">
        <v>587</v>
      </c>
      <c r="F385" s="5" t="s">
        <v>33</v>
      </c>
      <c r="G385" s="5" t="s">
        <v>27</v>
      </c>
      <c r="H385" s="5">
        <v>7320.0</v>
      </c>
      <c r="I385" s="5">
        <v>33.0</v>
      </c>
      <c r="J385" s="5">
        <v>4020.0</v>
      </c>
      <c r="K385" s="5">
        <v>6692.0</v>
      </c>
      <c r="L385" s="5">
        <v>15.0</v>
      </c>
      <c r="M385" s="5">
        <v>1730.37357</v>
      </c>
    </row>
    <row r="386">
      <c r="A386" s="4" t="s">
        <v>589</v>
      </c>
      <c r="B386" s="5" t="s">
        <v>22</v>
      </c>
      <c r="C386" s="5" t="s">
        <v>42</v>
      </c>
      <c r="D386" s="5" t="s">
        <v>356</v>
      </c>
      <c r="E386" s="6" t="s">
        <v>590</v>
      </c>
      <c r="F386" s="5" t="s">
        <v>26</v>
      </c>
      <c r="G386" s="5" t="s">
        <v>27</v>
      </c>
      <c r="H386" s="5">
        <v>90463.0</v>
      </c>
      <c r="I386" s="5">
        <v>204.0</v>
      </c>
      <c r="J386" s="5">
        <v>803.0</v>
      </c>
      <c r="K386" s="5">
        <v>2465.0</v>
      </c>
      <c r="L386" s="5">
        <v>9.0</v>
      </c>
      <c r="M386" s="5">
        <v>6120.602514</v>
      </c>
    </row>
    <row r="387">
      <c r="A387" s="4" t="s">
        <v>591</v>
      </c>
      <c r="B387" s="5" t="s">
        <v>22</v>
      </c>
      <c r="C387" s="5" t="s">
        <v>31</v>
      </c>
      <c r="D387" s="5" t="s">
        <v>304</v>
      </c>
      <c r="E387" s="6" t="s">
        <v>590</v>
      </c>
      <c r="F387" s="5" t="s">
        <v>36</v>
      </c>
      <c r="G387" s="5" t="s">
        <v>27</v>
      </c>
      <c r="H387" s="5">
        <v>252170.0</v>
      </c>
      <c r="I387" s="5">
        <v>650.0</v>
      </c>
      <c r="J387" s="5">
        <v>9248.0</v>
      </c>
      <c r="K387" s="5">
        <v>14192.0</v>
      </c>
      <c r="L387" s="5">
        <v>1.0</v>
      </c>
      <c r="M387" s="5">
        <v>5874.00478</v>
      </c>
    </row>
    <row r="388">
      <c r="A388" s="4" t="s">
        <v>592</v>
      </c>
      <c r="B388" s="5" t="s">
        <v>22</v>
      </c>
      <c r="C388" s="5" t="s">
        <v>16</v>
      </c>
      <c r="D388" s="5" t="s">
        <v>593</v>
      </c>
      <c r="E388" s="6" t="s">
        <v>590</v>
      </c>
      <c r="F388" s="5" t="s">
        <v>26</v>
      </c>
      <c r="G388" s="5" t="s">
        <v>27</v>
      </c>
      <c r="H388" s="5">
        <v>68114.0</v>
      </c>
      <c r="I388" s="5">
        <v>174.0</v>
      </c>
      <c r="J388" s="5">
        <v>569.0</v>
      </c>
      <c r="K388" s="5">
        <v>2059.0</v>
      </c>
      <c r="L388" s="5">
        <v>15.0</v>
      </c>
      <c r="M388" s="5">
        <v>2753.711986</v>
      </c>
    </row>
    <row r="389">
      <c r="A389" s="4" t="s">
        <v>594</v>
      </c>
      <c r="B389" s="5" t="s">
        <v>15</v>
      </c>
      <c r="C389" s="5" t="s">
        <v>42</v>
      </c>
      <c r="D389" s="5" t="s">
        <v>29</v>
      </c>
      <c r="E389" s="6" t="s">
        <v>590</v>
      </c>
      <c r="F389" s="5" t="s">
        <v>231</v>
      </c>
      <c r="G389" s="5" t="s">
        <v>27</v>
      </c>
      <c r="H389" s="5">
        <v>292578.0</v>
      </c>
      <c r="I389" s="5">
        <v>812.0</v>
      </c>
      <c r="J389" s="5">
        <v>6474.0</v>
      </c>
      <c r="K389" s="5">
        <v>12323.0</v>
      </c>
      <c r="L389" s="5">
        <v>4.0</v>
      </c>
      <c r="M389" s="5">
        <v>1826.318738</v>
      </c>
    </row>
    <row r="390">
      <c r="A390" s="4" t="s">
        <v>595</v>
      </c>
      <c r="B390" s="5" t="s">
        <v>15</v>
      </c>
      <c r="C390" s="5" t="s">
        <v>42</v>
      </c>
      <c r="D390" s="5" t="s">
        <v>17</v>
      </c>
      <c r="E390" s="6" t="s">
        <v>596</v>
      </c>
      <c r="F390" s="5" t="s">
        <v>19</v>
      </c>
      <c r="G390" s="5" t="s">
        <v>20</v>
      </c>
      <c r="H390" s="5">
        <v>39725.0</v>
      </c>
      <c r="I390" s="5">
        <v>144.0</v>
      </c>
      <c r="J390" s="5">
        <v>5402.0</v>
      </c>
      <c r="K390" s="5">
        <v>36080.0</v>
      </c>
      <c r="L390" s="5">
        <v>12.0</v>
      </c>
      <c r="M390" s="5">
        <v>6431.555152</v>
      </c>
    </row>
    <row r="391">
      <c r="A391" s="4" t="s">
        <v>597</v>
      </c>
      <c r="B391" s="5" t="s">
        <v>15</v>
      </c>
      <c r="C391" s="5" t="s">
        <v>23</v>
      </c>
      <c r="D391" s="5" t="s">
        <v>78</v>
      </c>
      <c r="E391" s="6" t="s">
        <v>598</v>
      </c>
      <c r="F391" s="5" t="s">
        <v>26</v>
      </c>
      <c r="G391" s="5" t="s">
        <v>52</v>
      </c>
      <c r="H391" s="5">
        <v>25206.0</v>
      </c>
      <c r="I391" s="5">
        <v>75.0</v>
      </c>
      <c r="J391" s="5">
        <v>3588.0</v>
      </c>
      <c r="K391" s="5">
        <v>23556.0</v>
      </c>
      <c r="L391" s="5">
        <v>19.0</v>
      </c>
      <c r="M391" s="5">
        <v>6846.356434</v>
      </c>
    </row>
    <row r="392">
      <c r="A392" s="4" t="s">
        <v>599</v>
      </c>
      <c r="B392" s="5" t="s">
        <v>15</v>
      </c>
      <c r="C392" s="5" t="s">
        <v>16</v>
      </c>
      <c r="D392" s="5" t="s">
        <v>45</v>
      </c>
      <c r="E392" s="6" t="s">
        <v>598</v>
      </c>
      <c r="F392" s="5" t="s">
        <v>19</v>
      </c>
      <c r="G392" s="5" t="s">
        <v>27</v>
      </c>
      <c r="H392" s="5">
        <v>7789.0</v>
      </c>
      <c r="I392" s="5">
        <v>30.0</v>
      </c>
      <c r="J392" s="5">
        <v>4655.0</v>
      </c>
      <c r="K392" s="5">
        <v>7434.0</v>
      </c>
      <c r="L392" s="5">
        <v>1.0</v>
      </c>
      <c r="M392" s="5">
        <v>6396.868763</v>
      </c>
    </row>
    <row r="393">
      <c r="A393" s="4" t="s">
        <v>600</v>
      </c>
      <c r="B393" s="5" t="s">
        <v>22</v>
      </c>
      <c r="C393" s="5" t="s">
        <v>31</v>
      </c>
      <c r="D393" s="5" t="s">
        <v>35</v>
      </c>
      <c r="E393" s="6" t="s">
        <v>598</v>
      </c>
      <c r="F393" s="5" t="s">
        <v>19</v>
      </c>
      <c r="G393" s="5" t="s">
        <v>27</v>
      </c>
      <c r="H393" s="5">
        <v>38396.0</v>
      </c>
      <c r="I393" s="5">
        <v>87.0</v>
      </c>
      <c r="J393" s="5">
        <v>6305.0</v>
      </c>
      <c r="K393" s="5">
        <v>35118.0</v>
      </c>
      <c r="L393" s="5">
        <v>9.0</v>
      </c>
      <c r="M393" s="5">
        <v>5740.164546</v>
      </c>
    </row>
    <row r="394">
      <c r="A394" s="4" t="s">
        <v>601</v>
      </c>
      <c r="B394" s="5" t="s">
        <v>22</v>
      </c>
      <c r="C394" s="5" t="s">
        <v>16</v>
      </c>
      <c r="D394" s="5" t="s">
        <v>78</v>
      </c>
      <c r="E394" s="6" t="s">
        <v>598</v>
      </c>
      <c r="F394" s="5" t="s">
        <v>19</v>
      </c>
      <c r="G394" s="5" t="s">
        <v>27</v>
      </c>
      <c r="H394" s="5">
        <v>10012.0</v>
      </c>
      <c r="I394" s="5">
        <v>25.0</v>
      </c>
      <c r="J394" s="5">
        <v>5734.0</v>
      </c>
      <c r="K394" s="5">
        <v>9413.0</v>
      </c>
      <c r="L394" s="5">
        <v>4.0</v>
      </c>
      <c r="M394" s="5">
        <v>1805.926086</v>
      </c>
    </row>
    <row r="395">
      <c r="A395" s="4" t="s">
        <v>602</v>
      </c>
      <c r="B395" s="5" t="s">
        <v>61</v>
      </c>
      <c r="C395" s="5" t="s">
        <v>23</v>
      </c>
      <c r="D395" s="5" t="s">
        <v>45</v>
      </c>
      <c r="E395" s="6" t="s">
        <v>598</v>
      </c>
      <c r="F395" s="5" t="s">
        <v>603</v>
      </c>
      <c r="G395" s="5" t="s">
        <v>27</v>
      </c>
      <c r="H395" s="5">
        <v>12459.0</v>
      </c>
      <c r="I395" s="5">
        <v>84.0</v>
      </c>
      <c r="J395" s="5">
        <v>7290.0</v>
      </c>
      <c r="K395" s="5">
        <v>11731.0</v>
      </c>
      <c r="L395" s="5">
        <v>14.0</v>
      </c>
      <c r="M395" s="5">
        <v>1593.010399</v>
      </c>
    </row>
    <row r="396">
      <c r="A396" s="4" t="s">
        <v>604</v>
      </c>
      <c r="B396" s="5" t="s">
        <v>22</v>
      </c>
      <c r="C396" s="5" t="s">
        <v>23</v>
      </c>
      <c r="D396" s="5" t="s">
        <v>183</v>
      </c>
      <c r="E396" s="6" t="s">
        <v>598</v>
      </c>
      <c r="F396" s="5" t="s">
        <v>46</v>
      </c>
      <c r="G396" s="5" t="s">
        <v>27</v>
      </c>
      <c r="H396" s="5">
        <v>32714.0</v>
      </c>
      <c r="I396" s="5">
        <v>69.0</v>
      </c>
      <c r="J396" s="5">
        <v>3756.0</v>
      </c>
      <c r="K396" s="5">
        <v>30764.0</v>
      </c>
      <c r="L396" s="5">
        <v>15.0</v>
      </c>
      <c r="M396" s="5">
        <v>1506.624304</v>
      </c>
    </row>
    <row r="397">
      <c r="A397" s="4" t="s">
        <v>605</v>
      </c>
      <c r="B397" s="5" t="s">
        <v>22</v>
      </c>
      <c r="C397" s="5" t="s">
        <v>23</v>
      </c>
      <c r="D397" s="5" t="s">
        <v>84</v>
      </c>
      <c r="E397" s="6" t="s">
        <v>606</v>
      </c>
      <c r="F397" s="5" t="s">
        <v>19</v>
      </c>
      <c r="G397" s="5" t="s">
        <v>27</v>
      </c>
      <c r="H397" s="5">
        <v>98509.0</v>
      </c>
      <c r="I397" s="5">
        <v>299.0</v>
      </c>
      <c r="J397" s="5">
        <v>30688.0</v>
      </c>
      <c r="K397" s="5">
        <v>109518.0</v>
      </c>
      <c r="L397" s="5">
        <v>15.0</v>
      </c>
      <c r="M397" s="5">
        <v>2059.270294</v>
      </c>
    </row>
    <row r="398">
      <c r="A398" s="4" t="s">
        <v>607</v>
      </c>
      <c r="B398" s="5" t="s">
        <v>15</v>
      </c>
      <c r="C398" s="5" t="s">
        <v>23</v>
      </c>
      <c r="D398" s="5" t="s">
        <v>29</v>
      </c>
      <c r="E398" s="6" t="s">
        <v>608</v>
      </c>
      <c r="F398" s="5" t="s">
        <v>33</v>
      </c>
      <c r="G398" s="5" t="s">
        <v>52</v>
      </c>
      <c r="H398" s="5">
        <v>37076.0</v>
      </c>
      <c r="I398" s="5">
        <v>113.0</v>
      </c>
      <c r="J398" s="5">
        <v>9246.0</v>
      </c>
      <c r="K398" s="5">
        <v>22565.0</v>
      </c>
      <c r="L398" s="5">
        <v>12.0</v>
      </c>
      <c r="M398" s="5">
        <v>1487.996078</v>
      </c>
    </row>
    <row r="399">
      <c r="A399" s="4" t="s">
        <v>609</v>
      </c>
      <c r="B399" s="5" t="s">
        <v>15</v>
      </c>
      <c r="C399" s="5" t="s">
        <v>42</v>
      </c>
      <c r="D399" s="5" t="s">
        <v>131</v>
      </c>
      <c r="E399" s="6" t="s">
        <v>610</v>
      </c>
      <c r="F399" s="5" t="s">
        <v>26</v>
      </c>
      <c r="G399" s="5" t="s">
        <v>52</v>
      </c>
      <c r="H399" s="5">
        <v>70506.0</v>
      </c>
      <c r="I399" s="5">
        <v>270.0</v>
      </c>
      <c r="J399" s="5">
        <v>26779.0</v>
      </c>
      <c r="K399" s="5">
        <v>48902.0</v>
      </c>
      <c r="L399" s="5">
        <v>3.0</v>
      </c>
      <c r="M399" s="5">
        <v>1912.966882</v>
      </c>
    </row>
    <row r="400">
      <c r="A400" s="4" t="s">
        <v>611</v>
      </c>
      <c r="B400" s="5" t="s">
        <v>22</v>
      </c>
      <c r="C400" s="5" t="s">
        <v>42</v>
      </c>
      <c r="D400" s="5" t="s">
        <v>17</v>
      </c>
      <c r="E400" s="6" t="s">
        <v>612</v>
      </c>
      <c r="F400" s="5" t="s">
        <v>19</v>
      </c>
      <c r="G400" s="5" t="s">
        <v>27</v>
      </c>
      <c r="H400" s="5">
        <v>921791.0</v>
      </c>
      <c r="I400" s="5">
        <v>2150.0</v>
      </c>
      <c r="J400" s="5">
        <v>668449.0</v>
      </c>
      <c r="K400" s="5">
        <v>852442.0</v>
      </c>
      <c r="L400" s="5">
        <v>69.0</v>
      </c>
      <c r="M400" s="5">
        <v>8042.897949</v>
      </c>
    </row>
    <row r="401">
      <c r="A401" s="4" t="s">
        <v>613</v>
      </c>
      <c r="B401" s="5" t="s">
        <v>22</v>
      </c>
      <c r="C401" s="5" t="s">
        <v>42</v>
      </c>
      <c r="D401" s="5" t="s">
        <v>35</v>
      </c>
      <c r="E401" s="6" t="s">
        <v>612</v>
      </c>
      <c r="F401" s="5" t="s">
        <v>26</v>
      </c>
      <c r="G401" s="5" t="s">
        <v>27</v>
      </c>
      <c r="H401" s="5">
        <v>4154911.0</v>
      </c>
      <c r="I401" s="5">
        <v>1254.0</v>
      </c>
      <c r="J401" s="5">
        <v>2338732.0</v>
      </c>
      <c r="K401" s="5">
        <v>3445626.0</v>
      </c>
      <c r="L401" s="5">
        <v>154.0</v>
      </c>
      <c r="M401" s="5">
        <v>8038.570371</v>
      </c>
    </row>
    <row r="402">
      <c r="A402" s="4" t="s">
        <v>614</v>
      </c>
      <c r="B402" s="5" t="s">
        <v>22</v>
      </c>
      <c r="C402" s="5" t="s">
        <v>16</v>
      </c>
      <c r="D402" s="5" t="s">
        <v>55</v>
      </c>
      <c r="E402" s="6" t="s">
        <v>612</v>
      </c>
      <c r="F402" s="5" t="s">
        <v>19</v>
      </c>
      <c r="G402" s="5" t="s">
        <v>27</v>
      </c>
      <c r="H402" s="5">
        <v>1222302.0</v>
      </c>
      <c r="I402" s="5">
        <v>3142.0</v>
      </c>
      <c r="J402" s="5">
        <v>553773.0</v>
      </c>
      <c r="K402" s="5">
        <v>1120128.0</v>
      </c>
      <c r="L402" s="5">
        <v>42.0</v>
      </c>
      <c r="M402" s="5">
        <v>7880.770406</v>
      </c>
    </row>
    <row r="403">
      <c r="A403" s="4" t="s">
        <v>615</v>
      </c>
      <c r="B403" s="5" t="s">
        <v>22</v>
      </c>
      <c r="C403" s="5" t="s">
        <v>23</v>
      </c>
      <c r="D403" s="5" t="s">
        <v>29</v>
      </c>
      <c r="E403" s="6" t="s">
        <v>612</v>
      </c>
      <c r="F403" s="5" t="s">
        <v>19</v>
      </c>
      <c r="G403" s="5" t="s">
        <v>27</v>
      </c>
      <c r="H403" s="5">
        <v>999915.0</v>
      </c>
      <c r="I403" s="5">
        <v>2748.0</v>
      </c>
      <c r="J403" s="5">
        <v>618816.0</v>
      </c>
      <c r="K403" s="5">
        <v>829942.0</v>
      </c>
      <c r="L403" s="5">
        <v>23.0</v>
      </c>
      <c r="M403" s="5">
        <v>7879.316787</v>
      </c>
    </row>
    <row r="404">
      <c r="A404" s="4" t="s">
        <v>616</v>
      </c>
      <c r="B404" s="5" t="s">
        <v>22</v>
      </c>
      <c r="C404" s="5" t="s">
        <v>42</v>
      </c>
      <c r="D404" s="5" t="s">
        <v>17</v>
      </c>
      <c r="E404" s="6" t="s">
        <v>612</v>
      </c>
      <c r="F404" s="5" t="s">
        <v>19</v>
      </c>
      <c r="G404" s="5" t="s">
        <v>27</v>
      </c>
      <c r="H404" s="5">
        <v>1515751.0</v>
      </c>
      <c r="I404" s="5">
        <v>3874.0</v>
      </c>
      <c r="J404" s="5">
        <v>1151776.0</v>
      </c>
      <c r="K404" s="5">
        <v>1396230.0</v>
      </c>
      <c r="L404" s="5">
        <v>49.0</v>
      </c>
      <c r="M404" s="5">
        <v>7850.644244</v>
      </c>
    </row>
    <row r="405">
      <c r="A405" s="4" t="s">
        <v>617</v>
      </c>
      <c r="B405" s="5" t="s">
        <v>15</v>
      </c>
      <c r="C405" s="5" t="s">
        <v>31</v>
      </c>
      <c r="D405" s="5" t="s">
        <v>17</v>
      </c>
      <c r="E405" s="6" t="s">
        <v>612</v>
      </c>
      <c r="F405" s="5" t="s">
        <v>117</v>
      </c>
      <c r="G405" s="5" t="s">
        <v>27</v>
      </c>
      <c r="H405" s="5">
        <v>1575592.0</v>
      </c>
      <c r="I405" s="5">
        <v>3874.0</v>
      </c>
      <c r="J405" s="5">
        <v>1155869.0</v>
      </c>
      <c r="K405" s="5">
        <v>1447900.0</v>
      </c>
      <c r="L405" s="5">
        <v>88.0</v>
      </c>
      <c r="M405" s="5">
        <v>7818.648297</v>
      </c>
    </row>
    <row r="406">
      <c r="A406" s="4" t="s">
        <v>618</v>
      </c>
      <c r="B406" s="5" t="s">
        <v>22</v>
      </c>
      <c r="C406" s="5" t="s">
        <v>23</v>
      </c>
      <c r="D406" s="5" t="s">
        <v>39</v>
      </c>
      <c r="E406" s="6" t="s">
        <v>612</v>
      </c>
      <c r="F406" s="5" t="s">
        <v>26</v>
      </c>
      <c r="G406" s="5" t="s">
        <v>27</v>
      </c>
      <c r="H406" s="5">
        <v>458931.0</v>
      </c>
      <c r="I406" s="5">
        <v>974.0</v>
      </c>
      <c r="J406" s="5">
        <v>264325.0</v>
      </c>
      <c r="K406" s="5">
        <v>378011.0</v>
      </c>
      <c r="L406" s="5">
        <v>30.0</v>
      </c>
      <c r="M406" s="5">
        <v>7462.677935</v>
      </c>
    </row>
    <row r="407">
      <c r="A407" s="4" t="s">
        <v>619</v>
      </c>
      <c r="B407" s="5" t="s">
        <v>22</v>
      </c>
      <c r="C407" s="5" t="s">
        <v>42</v>
      </c>
      <c r="D407" s="5" t="s">
        <v>29</v>
      </c>
      <c r="E407" s="6" t="s">
        <v>612</v>
      </c>
      <c r="F407" s="5" t="s">
        <v>26</v>
      </c>
      <c r="G407" s="5" t="s">
        <v>27</v>
      </c>
      <c r="H407" s="5">
        <v>1601933.0</v>
      </c>
      <c r="I407" s="5">
        <v>4265.0</v>
      </c>
      <c r="J407" s="5">
        <v>1135085.0</v>
      </c>
      <c r="K407" s="5">
        <v>1487426.0</v>
      </c>
      <c r="L407" s="5">
        <v>29.0</v>
      </c>
      <c r="M407" s="5">
        <v>6785.70979</v>
      </c>
    </row>
    <row r="408">
      <c r="A408" s="4" t="s">
        <v>620</v>
      </c>
      <c r="B408" s="5" t="s">
        <v>22</v>
      </c>
      <c r="C408" s="5" t="s">
        <v>23</v>
      </c>
      <c r="D408" s="5" t="s">
        <v>45</v>
      </c>
      <c r="E408" s="6" t="s">
        <v>612</v>
      </c>
      <c r="F408" s="5" t="s">
        <v>19</v>
      </c>
      <c r="G408" s="5" t="s">
        <v>27</v>
      </c>
      <c r="H408" s="5">
        <v>26270.0</v>
      </c>
      <c r="I408" s="5">
        <v>63.0</v>
      </c>
      <c r="J408" s="5">
        <v>12813.0</v>
      </c>
      <c r="K408" s="5">
        <v>21893.0</v>
      </c>
      <c r="L408" s="5">
        <v>12.0</v>
      </c>
      <c r="M408" s="5">
        <v>6417.264564</v>
      </c>
    </row>
    <row r="409">
      <c r="A409" s="4" t="s">
        <v>621</v>
      </c>
      <c r="B409" s="5" t="s">
        <v>15</v>
      </c>
      <c r="C409" s="5" t="s">
        <v>31</v>
      </c>
      <c r="D409" s="5" t="s">
        <v>66</v>
      </c>
      <c r="E409" s="6" t="s">
        <v>612</v>
      </c>
      <c r="F409" s="5" t="s">
        <v>46</v>
      </c>
      <c r="G409" s="5" t="s">
        <v>27</v>
      </c>
      <c r="H409" s="5">
        <v>12974.0</v>
      </c>
      <c r="I409" s="5">
        <v>84.0</v>
      </c>
      <c r="J409" s="5">
        <v>7521.0</v>
      </c>
      <c r="K409" s="5">
        <v>10959.0</v>
      </c>
      <c r="L409" s="5">
        <v>7.0</v>
      </c>
      <c r="M409" s="5">
        <v>6301.868847</v>
      </c>
    </row>
    <row r="410">
      <c r="A410" s="4" t="s">
        <v>622</v>
      </c>
      <c r="B410" s="5" t="s">
        <v>22</v>
      </c>
      <c r="C410" s="5" t="s">
        <v>16</v>
      </c>
      <c r="D410" s="5" t="s">
        <v>35</v>
      </c>
      <c r="E410" s="6" t="s">
        <v>612</v>
      </c>
      <c r="F410" s="5" t="s">
        <v>26</v>
      </c>
      <c r="G410" s="5" t="s">
        <v>27</v>
      </c>
      <c r="H410" s="5">
        <v>192201.0</v>
      </c>
      <c r="I410" s="5">
        <v>489.0</v>
      </c>
      <c r="J410" s="5">
        <v>113707.0</v>
      </c>
      <c r="K410" s="5">
        <v>157940.0</v>
      </c>
      <c r="L410" s="5">
        <v>3.0</v>
      </c>
      <c r="M410" s="5">
        <v>6176.004154</v>
      </c>
    </row>
    <row r="411">
      <c r="A411" s="4" t="s">
        <v>623</v>
      </c>
      <c r="B411" s="5" t="s">
        <v>15</v>
      </c>
      <c r="C411" s="5" t="s">
        <v>23</v>
      </c>
      <c r="D411" s="5" t="s">
        <v>35</v>
      </c>
      <c r="E411" s="6" t="s">
        <v>612</v>
      </c>
      <c r="F411" s="5" t="s">
        <v>19</v>
      </c>
      <c r="G411" s="5" t="s">
        <v>20</v>
      </c>
      <c r="H411" s="5">
        <v>29834.0</v>
      </c>
      <c r="I411" s="5">
        <v>99.0</v>
      </c>
      <c r="J411" s="5">
        <v>14599.0</v>
      </c>
      <c r="K411" s="5">
        <v>24656.0</v>
      </c>
      <c r="L411" s="5">
        <v>14.0</v>
      </c>
      <c r="M411" s="5">
        <v>6032.837114</v>
      </c>
    </row>
    <row r="412">
      <c r="A412" s="4" t="s">
        <v>624</v>
      </c>
      <c r="B412" s="5" t="s">
        <v>15</v>
      </c>
      <c r="C412" s="5" t="s">
        <v>42</v>
      </c>
      <c r="D412" s="5" t="s">
        <v>183</v>
      </c>
      <c r="E412" s="6" t="s">
        <v>612</v>
      </c>
      <c r="F412" s="5" t="s">
        <v>161</v>
      </c>
      <c r="G412" s="5" t="s">
        <v>52</v>
      </c>
      <c r="H412" s="5">
        <v>117518.0</v>
      </c>
      <c r="I412" s="5">
        <v>299.0</v>
      </c>
      <c r="J412" s="5">
        <v>66458.0</v>
      </c>
      <c r="K412" s="5">
        <v>86571.0</v>
      </c>
      <c r="L412" s="5">
        <v>1.0</v>
      </c>
      <c r="M412" s="5">
        <v>5999.993781</v>
      </c>
    </row>
    <row r="413">
      <c r="A413" s="4" t="s">
        <v>625</v>
      </c>
      <c r="B413" s="5" t="s">
        <v>22</v>
      </c>
      <c r="C413" s="5" t="s">
        <v>23</v>
      </c>
      <c r="D413" s="5" t="s">
        <v>35</v>
      </c>
      <c r="E413" s="6" t="s">
        <v>612</v>
      </c>
      <c r="F413" s="5" t="s">
        <v>48</v>
      </c>
      <c r="G413" s="5" t="s">
        <v>27</v>
      </c>
      <c r="H413" s="5">
        <v>3196231.0</v>
      </c>
      <c r="I413" s="5">
        <v>8745.0</v>
      </c>
      <c r="J413" s="5">
        <v>2013324.0</v>
      </c>
      <c r="K413" s="5">
        <v>2669103.0</v>
      </c>
      <c r="L413" s="5">
        <v>70.0</v>
      </c>
      <c r="M413" s="5">
        <v>5756.271172</v>
      </c>
    </row>
    <row r="414">
      <c r="A414" s="4" t="s">
        <v>626</v>
      </c>
      <c r="B414" s="5" t="s">
        <v>15</v>
      </c>
      <c r="C414" s="5" t="s">
        <v>42</v>
      </c>
      <c r="D414" s="5" t="s">
        <v>29</v>
      </c>
      <c r="E414" s="6" t="s">
        <v>612</v>
      </c>
      <c r="F414" s="5" t="s">
        <v>19</v>
      </c>
      <c r="G414" s="5" t="s">
        <v>27</v>
      </c>
      <c r="H414" s="5">
        <v>109128.0</v>
      </c>
      <c r="I414" s="5">
        <v>470.0</v>
      </c>
      <c r="J414" s="5">
        <v>38487.0</v>
      </c>
      <c r="K414" s="5">
        <v>90615.0</v>
      </c>
      <c r="L414" s="5">
        <v>3.0</v>
      </c>
      <c r="M414" s="5">
        <v>5153.117204</v>
      </c>
    </row>
    <row r="415">
      <c r="A415" s="4" t="s">
        <v>627</v>
      </c>
      <c r="B415" s="5" t="s">
        <v>61</v>
      </c>
      <c r="C415" s="5" t="s">
        <v>16</v>
      </c>
      <c r="D415" s="5" t="s">
        <v>78</v>
      </c>
      <c r="E415" s="6" t="s">
        <v>612</v>
      </c>
      <c r="F415" s="5" t="s">
        <v>46</v>
      </c>
      <c r="G415" s="5" t="s">
        <v>27</v>
      </c>
      <c r="H415" s="5">
        <v>13946.0</v>
      </c>
      <c r="I415" s="5">
        <v>40.0</v>
      </c>
      <c r="J415" s="5">
        <v>3142.0</v>
      </c>
      <c r="K415" s="5">
        <v>8823.0</v>
      </c>
      <c r="L415" s="5">
        <v>8.0</v>
      </c>
      <c r="M415" s="5">
        <v>4920.23463</v>
      </c>
    </row>
    <row r="416">
      <c r="A416" s="4" t="s">
        <v>628</v>
      </c>
      <c r="B416" s="5" t="s">
        <v>15</v>
      </c>
      <c r="C416" s="5" t="s">
        <v>23</v>
      </c>
      <c r="D416" s="5" t="s">
        <v>29</v>
      </c>
      <c r="E416" s="6" t="s">
        <v>612</v>
      </c>
      <c r="F416" s="5" t="s">
        <v>136</v>
      </c>
      <c r="G416" s="5" t="s">
        <v>27</v>
      </c>
      <c r="H416" s="5">
        <v>335461.0</v>
      </c>
      <c r="I416" s="5">
        <v>963.0</v>
      </c>
      <c r="J416" s="5">
        <v>171464.0</v>
      </c>
      <c r="K416" s="5">
        <v>247450.0</v>
      </c>
      <c r="L416" s="5">
        <v>5.0</v>
      </c>
      <c r="M416" s="5">
        <v>4445.874629</v>
      </c>
    </row>
    <row r="417">
      <c r="A417" s="4" t="s">
        <v>629</v>
      </c>
      <c r="B417" s="5" t="s">
        <v>22</v>
      </c>
      <c r="C417" s="5" t="s">
        <v>31</v>
      </c>
      <c r="D417" s="5" t="s">
        <v>155</v>
      </c>
      <c r="E417" s="6" t="s">
        <v>612</v>
      </c>
      <c r="F417" s="5" t="s">
        <v>19</v>
      </c>
      <c r="G417" s="5" t="s">
        <v>27</v>
      </c>
      <c r="H417" s="5">
        <v>48436.0</v>
      </c>
      <c r="I417" s="5">
        <v>171.0</v>
      </c>
      <c r="J417" s="5">
        <v>16543.0</v>
      </c>
      <c r="K417" s="5">
        <v>42427.0</v>
      </c>
      <c r="L417" s="5">
        <v>6.0</v>
      </c>
      <c r="M417" s="5">
        <v>4386.648215</v>
      </c>
    </row>
    <row r="418">
      <c r="A418" s="4" t="s">
        <v>630</v>
      </c>
      <c r="B418" s="5" t="s">
        <v>22</v>
      </c>
      <c r="C418" s="5" t="s">
        <v>31</v>
      </c>
      <c r="D418" s="5" t="s">
        <v>39</v>
      </c>
      <c r="E418" s="6" t="s">
        <v>612</v>
      </c>
      <c r="F418" s="5" t="s">
        <v>19</v>
      </c>
      <c r="G418" s="5" t="s">
        <v>27</v>
      </c>
      <c r="H418" s="5">
        <v>58738.0</v>
      </c>
      <c r="I418" s="5">
        <v>165.0</v>
      </c>
      <c r="J418" s="5">
        <v>33538.0</v>
      </c>
      <c r="K418" s="5">
        <v>47535.0</v>
      </c>
      <c r="L418" s="5">
        <v>14.0</v>
      </c>
      <c r="M418" s="5">
        <v>2801.584386</v>
      </c>
    </row>
    <row r="419">
      <c r="A419" s="4" t="s">
        <v>631</v>
      </c>
      <c r="B419" s="5" t="s">
        <v>22</v>
      </c>
      <c r="C419" s="5" t="s">
        <v>31</v>
      </c>
      <c r="D419" s="5" t="s">
        <v>35</v>
      </c>
      <c r="E419" s="6" t="s">
        <v>612</v>
      </c>
      <c r="F419" s="5" t="s">
        <v>19</v>
      </c>
      <c r="G419" s="5" t="s">
        <v>27</v>
      </c>
      <c r="H419" s="5">
        <v>297347.0</v>
      </c>
      <c r="I419" s="5">
        <v>751.0</v>
      </c>
      <c r="J419" s="5">
        <v>166412.0</v>
      </c>
      <c r="K419" s="5">
        <v>251319.0</v>
      </c>
      <c r="L419" s="5">
        <v>4.0</v>
      </c>
      <c r="M419" s="5">
        <v>2255.522409</v>
      </c>
    </row>
    <row r="420">
      <c r="A420" s="4" t="s">
        <v>632</v>
      </c>
      <c r="B420" s="5" t="s">
        <v>22</v>
      </c>
      <c r="C420" s="5" t="s">
        <v>31</v>
      </c>
      <c r="D420" s="5" t="s">
        <v>35</v>
      </c>
      <c r="E420" s="6" t="s">
        <v>612</v>
      </c>
      <c r="F420" s="5" t="s">
        <v>19</v>
      </c>
      <c r="G420" s="5" t="s">
        <v>27</v>
      </c>
      <c r="H420" s="5">
        <v>80456.0</v>
      </c>
      <c r="I420" s="5">
        <v>204.0</v>
      </c>
      <c r="J420" s="5">
        <v>46039.0</v>
      </c>
      <c r="K420" s="5">
        <v>65383.0</v>
      </c>
      <c r="L420" s="5">
        <v>3.0</v>
      </c>
      <c r="M420" s="5">
        <v>2039.848792</v>
      </c>
    </row>
    <row r="421">
      <c r="A421" s="4" t="s">
        <v>633</v>
      </c>
      <c r="B421" s="5" t="s">
        <v>15</v>
      </c>
      <c r="C421" s="5" t="s">
        <v>42</v>
      </c>
      <c r="D421" s="5" t="s">
        <v>39</v>
      </c>
      <c r="E421" s="6" t="s">
        <v>612</v>
      </c>
      <c r="F421" s="5" t="s">
        <v>19</v>
      </c>
      <c r="G421" s="5" t="s">
        <v>52</v>
      </c>
      <c r="H421" s="5">
        <v>60412.0</v>
      </c>
      <c r="I421" s="5">
        <v>169.0</v>
      </c>
      <c r="J421" s="5">
        <v>33457.0</v>
      </c>
      <c r="K421" s="5">
        <v>52172.0</v>
      </c>
      <c r="L421" s="5">
        <v>24.0</v>
      </c>
      <c r="M421" s="5">
        <v>1679.572708</v>
      </c>
    </row>
    <row r="422">
      <c r="A422" s="4" t="s">
        <v>634</v>
      </c>
      <c r="B422" s="5" t="s">
        <v>22</v>
      </c>
      <c r="C422" s="5" t="s">
        <v>16</v>
      </c>
      <c r="D422" s="5" t="s">
        <v>433</v>
      </c>
      <c r="E422" s="6" t="s">
        <v>612</v>
      </c>
      <c r="F422" s="5" t="s">
        <v>33</v>
      </c>
      <c r="G422" s="5" t="s">
        <v>27</v>
      </c>
      <c r="H422" s="5">
        <v>171575.0</v>
      </c>
      <c r="I422" s="5">
        <v>499.0</v>
      </c>
      <c r="J422" s="5">
        <v>101487.0</v>
      </c>
      <c r="K422" s="5">
        <v>136036.0</v>
      </c>
      <c r="L422" s="5">
        <v>8.0</v>
      </c>
      <c r="M422" s="5">
        <v>1658.332426</v>
      </c>
    </row>
    <row r="423">
      <c r="A423" s="4" t="s">
        <v>635</v>
      </c>
      <c r="B423" s="5" t="s">
        <v>15</v>
      </c>
      <c r="C423" s="5" t="s">
        <v>31</v>
      </c>
      <c r="D423" s="5" t="s">
        <v>35</v>
      </c>
      <c r="E423" s="6" t="s">
        <v>612</v>
      </c>
      <c r="F423" s="5" t="s">
        <v>19</v>
      </c>
      <c r="G423" s="5" t="s">
        <v>27</v>
      </c>
      <c r="H423" s="5">
        <v>554980.0</v>
      </c>
      <c r="I423" s="5">
        <v>1542.0</v>
      </c>
      <c r="J423" s="5">
        <v>323498.0</v>
      </c>
      <c r="K423" s="5">
        <v>467646.0</v>
      </c>
      <c r="L423" s="5">
        <v>8.0</v>
      </c>
      <c r="M423" s="5">
        <v>1600.769588</v>
      </c>
    </row>
    <row r="424">
      <c r="A424" s="4" t="s">
        <v>636</v>
      </c>
      <c r="B424" s="5" t="s">
        <v>15</v>
      </c>
      <c r="C424" s="5" t="s">
        <v>31</v>
      </c>
      <c r="D424" s="5" t="s">
        <v>17</v>
      </c>
      <c r="E424" s="6" t="s">
        <v>612</v>
      </c>
      <c r="F424" s="5" t="s">
        <v>19</v>
      </c>
      <c r="G424" s="5" t="s">
        <v>27</v>
      </c>
      <c r="H424" s="5">
        <v>321263.0</v>
      </c>
      <c r="I424" s="5">
        <v>852.0</v>
      </c>
      <c r="J424" s="5">
        <v>172887.0</v>
      </c>
      <c r="K424" s="5">
        <v>263424.0</v>
      </c>
      <c r="L424" s="5">
        <v>6.0</v>
      </c>
      <c r="M424" s="5">
        <v>1576.051434</v>
      </c>
    </row>
    <row r="425">
      <c r="A425" s="4" t="s">
        <v>637</v>
      </c>
      <c r="B425" s="5" t="s">
        <v>15</v>
      </c>
      <c r="C425" s="5" t="s">
        <v>23</v>
      </c>
      <c r="D425" s="5" t="s">
        <v>147</v>
      </c>
      <c r="E425" s="6" t="s">
        <v>612</v>
      </c>
      <c r="F425" s="5" t="s">
        <v>19</v>
      </c>
      <c r="G425" s="5" t="s">
        <v>27</v>
      </c>
      <c r="H425" s="5">
        <v>311753.0</v>
      </c>
      <c r="I425" s="5">
        <v>763.0</v>
      </c>
      <c r="J425" s="5">
        <v>170122.0</v>
      </c>
      <c r="K425" s="5">
        <v>256841.0</v>
      </c>
      <c r="L425" s="5">
        <v>6.0</v>
      </c>
      <c r="M425" s="5">
        <v>1543.612655</v>
      </c>
    </row>
    <row r="426">
      <c r="A426" s="4" t="s">
        <v>638</v>
      </c>
      <c r="B426" s="5" t="s">
        <v>15</v>
      </c>
      <c r="C426" s="5" t="s">
        <v>16</v>
      </c>
      <c r="D426" s="5" t="s">
        <v>35</v>
      </c>
      <c r="E426" s="6" t="s">
        <v>612</v>
      </c>
      <c r="F426" s="5" t="s">
        <v>46</v>
      </c>
      <c r="G426" s="5" t="s">
        <v>20</v>
      </c>
      <c r="H426" s="5">
        <v>96031.0</v>
      </c>
      <c r="I426" s="5">
        <v>311.0</v>
      </c>
      <c r="J426" s="5">
        <v>57187.0</v>
      </c>
      <c r="K426" s="5">
        <v>78396.0</v>
      </c>
      <c r="L426" s="5">
        <v>21.0</v>
      </c>
      <c r="M426" s="5">
        <v>1508.90767</v>
      </c>
    </row>
    <row r="427">
      <c r="A427" s="4" t="s">
        <v>639</v>
      </c>
      <c r="B427" s="5" t="s">
        <v>22</v>
      </c>
      <c r="C427" s="5" t="s">
        <v>16</v>
      </c>
      <c r="D427" s="5" t="s">
        <v>142</v>
      </c>
      <c r="E427" s="6" t="s">
        <v>612</v>
      </c>
      <c r="F427" s="5" t="s">
        <v>19</v>
      </c>
      <c r="G427" s="5" t="s">
        <v>27</v>
      </c>
      <c r="H427" s="5">
        <v>47931.0</v>
      </c>
      <c r="I427" s="5">
        <v>170.0</v>
      </c>
      <c r="J427" s="5">
        <v>15989.0</v>
      </c>
      <c r="K427" s="5">
        <v>38916.0</v>
      </c>
      <c r="L427" s="5">
        <v>4.0</v>
      </c>
      <c r="M427" s="5">
        <v>1487.228625</v>
      </c>
    </row>
    <row r="428">
      <c r="A428" s="4" t="s">
        <v>640</v>
      </c>
      <c r="B428" s="5" t="s">
        <v>15</v>
      </c>
      <c r="C428" s="5" t="s">
        <v>23</v>
      </c>
      <c r="D428" s="5" t="s">
        <v>641</v>
      </c>
      <c r="E428" s="6" t="s">
        <v>612</v>
      </c>
      <c r="F428" s="5" t="s">
        <v>36</v>
      </c>
      <c r="G428" s="5" t="s">
        <v>27</v>
      </c>
      <c r="H428" s="5">
        <v>177632.0</v>
      </c>
      <c r="I428" s="5">
        <v>485.0</v>
      </c>
      <c r="J428" s="5">
        <v>70865.0</v>
      </c>
      <c r="K428" s="5">
        <v>95871.0</v>
      </c>
      <c r="L428" s="5">
        <v>5.0</v>
      </c>
      <c r="M428" s="5">
        <v>1483.384404</v>
      </c>
    </row>
    <row r="429">
      <c r="A429" s="4" t="s">
        <v>642</v>
      </c>
      <c r="B429" s="5" t="s">
        <v>15</v>
      </c>
      <c r="C429" s="5" t="s">
        <v>31</v>
      </c>
      <c r="D429" s="5" t="s">
        <v>84</v>
      </c>
      <c r="E429" s="6" t="s">
        <v>643</v>
      </c>
      <c r="F429" s="5" t="s">
        <v>19</v>
      </c>
      <c r="G429" s="5" t="s">
        <v>20</v>
      </c>
      <c r="H429" s="5">
        <v>7470.0</v>
      </c>
      <c r="I429" s="5">
        <v>0.0</v>
      </c>
      <c r="J429" s="5">
        <v>6753.0</v>
      </c>
      <c r="K429" s="5">
        <v>7229.0</v>
      </c>
      <c r="L429" s="5">
        <v>1.0</v>
      </c>
      <c r="M429" s="5">
        <v>1738.995282</v>
      </c>
    </row>
    <row r="430">
      <c r="A430" s="4" t="s">
        <v>644</v>
      </c>
      <c r="B430" s="5" t="s">
        <v>22</v>
      </c>
      <c r="C430" s="5" t="s">
        <v>16</v>
      </c>
      <c r="D430" s="5" t="s">
        <v>131</v>
      </c>
      <c r="E430" s="6" t="s">
        <v>645</v>
      </c>
      <c r="F430" s="5" t="s">
        <v>46</v>
      </c>
      <c r="G430" s="5" t="s">
        <v>27</v>
      </c>
      <c r="H430" s="5">
        <v>26784.0</v>
      </c>
      <c r="I430" s="5">
        <v>85.0</v>
      </c>
      <c r="J430" s="5">
        <v>12708.0</v>
      </c>
      <c r="K430" s="5">
        <v>22261.0</v>
      </c>
      <c r="L430" s="5">
        <v>9.0</v>
      </c>
      <c r="M430" s="5">
        <v>6643.161647</v>
      </c>
    </row>
    <row r="431">
      <c r="A431" s="4" t="s">
        <v>646</v>
      </c>
      <c r="B431" s="5" t="s">
        <v>22</v>
      </c>
      <c r="C431" s="5" t="s">
        <v>16</v>
      </c>
      <c r="D431" s="5" t="s">
        <v>35</v>
      </c>
      <c r="E431" s="6" t="s">
        <v>645</v>
      </c>
      <c r="F431" s="5" t="s">
        <v>19</v>
      </c>
      <c r="G431" s="5" t="s">
        <v>27</v>
      </c>
      <c r="H431" s="5">
        <v>21028.0</v>
      </c>
      <c r="I431" s="5">
        <v>10.0</v>
      </c>
      <c r="J431" s="5">
        <v>5781.0</v>
      </c>
      <c r="K431" s="5">
        <v>16134.0</v>
      </c>
      <c r="L431" s="5">
        <v>11.0</v>
      </c>
      <c r="M431" s="5">
        <v>5101.321655</v>
      </c>
    </row>
    <row r="432">
      <c r="A432" s="4" t="s">
        <v>647</v>
      </c>
      <c r="B432" s="5" t="s">
        <v>61</v>
      </c>
      <c r="C432" s="5" t="s">
        <v>16</v>
      </c>
      <c r="D432" s="5" t="s">
        <v>29</v>
      </c>
      <c r="E432" s="6" t="s">
        <v>648</v>
      </c>
      <c r="F432" s="5" t="s">
        <v>19</v>
      </c>
      <c r="G432" s="5" t="s">
        <v>27</v>
      </c>
      <c r="H432" s="5">
        <v>9238.0</v>
      </c>
      <c r="I432" s="5">
        <v>84.0</v>
      </c>
      <c r="J432" s="5">
        <v>4626.0</v>
      </c>
      <c r="K432" s="5">
        <v>8264.0</v>
      </c>
      <c r="L432" s="5">
        <v>15.0</v>
      </c>
      <c r="M432" s="5">
        <v>6683.225487</v>
      </c>
    </row>
    <row r="433">
      <c r="A433" s="4" t="s">
        <v>649</v>
      </c>
      <c r="B433" s="5" t="s">
        <v>22</v>
      </c>
      <c r="C433" s="5" t="s">
        <v>23</v>
      </c>
      <c r="D433" s="5" t="s">
        <v>29</v>
      </c>
      <c r="E433" s="6" t="s">
        <v>650</v>
      </c>
      <c r="F433" s="5" t="s">
        <v>26</v>
      </c>
      <c r="G433" s="5" t="s">
        <v>27</v>
      </c>
      <c r="H433" s="5">
        <v>39881.0</v>
      </c>
      <c r="I433" s="5">
        <v>125.0</v>
      </c>
      <c r="J433" s="5">
        <v>6331.0</v>
      </c>
      <c r="K433" s="5">
        <v>36245.0</v>
      </c>
      <c r="L433" s="5">
        <v>10.0</v>
      </c>
      <c r="M433" s="5">
        <v>7098.889706</v>
      </c>
    </row>
    <row r="434">
      <c r="A434" s="4" t="s">
        <v>651</v>
      </c>
      <c r="B434" s="5" t="s">
        <v>15</v>
      </c>
      <c r="C434" s="5" t="s">
        <v>16</v>
      </c>
      <c r="D434" s="5" t="s">
        <v>471</v>
      </c>
      <c r="E434" s="6" t="s">
        <v>652</v>
      </c>
      <c r="F434" s="5" t="s">
        <v>19</v>
      </c>
      <c r="G434" s="5" t="s">
        <v>27</v>
      </c>
      <c r="H434" s="5">
        <v>10883.0</v>
      </c>
      <c r="I434" s="5">
        <v>46.0</v>
      </c>
      <c r="J434" s="5">
        <v>1652.0</v>
      </c>
      <c r="K434" s="5">
        <v>8869.0</v>
      </c>
      <c r="L434" s="5">
        <v>16.0</v>
      </c>
      <c r="M434" s="5">
        <v>1942.482395</v>
      </c>
    </row>
    <row r="435">
      <c r="A435" s="4" t="s">
        <v>653</v>
      </c>
      <c r="B435" s="5" t="s">
        <v>15</v>
      </c>
      <c r="C435" s="5" t="s">
        <v>16</v>
      </c>
      <c r="D435" s="5" t="s">
        <v>78</v>
      </c>
      <c r="E435" s="6" t="s">
        <v>654</v>
      </c>
      <c r="F435" s="5" t="s">
        <v>19</v>
      </c>
      <c r="G435" s="5" t="s">
        <v>20</v>
      </c>
      <c r="H435" s="5">
        <v>50517.0</v>
      </c>
      <c r="I435" s="5">
        <v>270.0</v>
      </c>
      <c r="J435" s="5">
        <v>17179.0</v>
      </c>
      <c r="K435" s="5">
        <v>48389.0</v>
      </c>
      <c r="L435" s="5">
        <v>2.0</v>
      </c>
      <c r="M435" s="5">
        <v>1718.471077</v>
      </c>
    </row>
    <row r="436">
      <c r="A436" s="4" t="s">
        <v>655</v>
      </c>
      <c r="B436" s="5" t="s">
        <v>22</v>
      </c>
      <c r="C436" s="5" t="s">
        <v>16</v>
      </c>
      <c r="D436" s="5" t="s">
        <v>24</v>
      </c>
      <c r="E436" s="6" t="s">
        <v>654</v>
      </c>
      <c r="F436" s="5" t="s">
        <v>19</v>
      </c>
      <c r="G436" s="5" t="s">
        <v>27</v>
      </c>
      <c r="H436" s="5">
        <v>7248.0</v>
      </c>
      <c r="I436" s="5">
        <v>10.0</v>
      </c>
      <c r="J436" s="5">
        <v>3988.0</v>
      </c>
      <c r="K436" s="5">
        <v>6863.0</v>
      </c>
      <c r="L436" s="5">
        <v>7.0</v>
      </c>
      <c r="M436" s="5">
        <v>1247.0</v>
      </c>
    </row>
    <row r="437">
      <c r="A437" s="4" t="s">
        <v>656</v>
      </c>
      <c r="B437" s="5" t="s">
        <v>22</v>
      </c>
      <c r="C437" s="5" t="s">
        <v>42</v>
      </c>
      <c r="D437" s="5" t="s">
        <v>29</v>
      </c>
      <c r="E437" s="6" t="s">
        <v>657</v>
      </c>
      <c r="F437" s="5" t="s">
        <v>46</v>
      </c>
      <c r="G437" s="5" t="s">
        <v>27</v>
      </c>
      <c r="H437" s="5">
        <v>10835.0</v>
      </c>
      <c r="I437" s="5">
        <v>25.0</v>
      </c>
      <c r="J437" s="5">
        <v>2888.0</v>
      </c>
      <c r="K437" s="5">
        <v>10487.0</v>
      </c>
      <c r="L437" s="5">
        <v>3.0</v>
      </c>
      <c r="M437" s="5">
        <v>4704.249956</v>
      </c>
    </row>
    <row r="438">
      <c r="A438" s="4" t="s">
        <v>658</v>
      </c>
      <c r="B438" s="5" t="s">
        <v>15</v>
      </c>
      <c r="C438" s="5" t="s">
        <v>31</v>
      </c>
      <c r="D438" s="5" t="s">
        <v>17</v>
      </c>
      <c r="E438" s="6" t="s">
        <v>659</v>
      </c>
      <c r="F438" s="5" t="s">
        <v>19</v>
      </c>
      <c r="G438" s="5" t="s">
        <v>27</v>
      </c>
      <c r="H438" s="5">
        <v>11476.0</v>
      </c>
      <c r="I438" s="5">
        <v>45.0</v>
      </c>
      <c r="J438" s="5">
        <v>4963.0</v>
      </c>
      <c r="K438" s="5">
        <v>10991.0</v>
      </c>
      <c r="L438" s="5">
        <v>8.0</v>
      </c>
      <c r="M438" s="5">
        <v>7227.417349</v>
      </c>
    </row>
    <row r="439">
      <c r="A439" s="4" t="s">
        <v>660</v>
      </c>
      <c r="B439" s="5" t="s">
        <v>22</v>
      </c>
      <c r="C439" s="5" t="s">
        <v>23</v>
      </c>
      <c r="D439" s="5" t="s">
        <v>78</v>
      </c>
      <c r="E439" s="6" t="s">
        <v>661</v>
      </c>
      <c r="F439" s="5" t="s">
        <v>19</v>
      </c>
      <c r="G439" s="5" t="s">
        <v>27</v>
      </c>
      <c r="H439" s="5">
        <v>92764.0</v>
      </c>
      <c r="I439" s="5">
        <v>320.0</v>
      </c>
      <c r="J439" s="5">
        <v>19625.0</v>
      </c>
      <c r="K439" s="5">
        <v>76531.0</v>
      </c>
      <c r="L439" s="5">
        <v>14.0</v>
      </c>
      <c r="M439" s="5">
        <v>6730.012549</v>
      </c>
    </row>
    <row r="440">
      <c r="A440" s="4" t="s">
        <v>662</v>
      </c>
      <c r="B440" s="5" t="s">
        <v>22</v>
      </c>
      <c r="C440" s="5" t="s">
        <v>23</v>
      </c>
      <c r="D440" s="5" t="s">
        <v>273</v>
      </c>
      <c r="E440" s="6" t="s">
        <v>661</v>
      </c>
      <c r="F440" s="5" t="s">
        <v>36</v>
      </c>
      <c r="G440" s="5" t="s">
        <v>27</v>
      </c>
      <c r="H440" s="5">
        <v>189571.0</v>
      </c>
      <c r="I440" s="5">
        <v>500.0</v>
      </c>
      <c r="J440" s="5">
        <v>130676.0</v>
      </c>
      <c r="K440" s="5">
        <v>183688.0</v>
      </c>
      <c r="L440" s="5">
        <v>39.0</v>
      </c>
      <c r="M440" s="5">
        <v>6335.948388</v>
      </c>
    </row>
    <row r="441">
      <c r="A441" s="4" t="s">
        <v>663</v>
      </c>
      <c r="B441" s="5" t="s">
        <v>15</v>
      </c>
      <c r="C441" s="5" t="s">
        <v>42</v>
      </c>
      <c r="D441" s="5" t="s">
        <v>24</v>
      </c>
      <c r="E441" s="6" t="s">
        <v>661</v>
      </c>
      <c r="F441" s="5" t="s">
        <v>50</v>
      </c>
      <c r="G441" s="5" t="s">
        <v>27</v>
      </c>
      <c r="H441" s="5">
        <v>14224.0</v>
      </c>
      <c r="I441" s="5">
        <v>30.0</v>
      </c>
      <c r="J441" s="5">
        <v>2549.0</v>
      </c>
      <c r="K441" s="5">
        <v>11974.0</v>
      </c>
      <c r="L441" s="5">
        <v>7.0</v>
      </c>
      <c r="M441" s="5">
        <v>5637.303497</v>
      </c>
    </row>
    <row r="442">
      <c r="A442" s="4" t="s">
        <v>664</v>
      </c>
      <c r="B442" s="5" t="s">
        <v>15</v>
      </c>
      <c r="C442" s="5" t="s">
        <v>31</v>
      </c>
      <c r="D442" s="5" t="s">
        <v>17</v>
      </c>
      <c r="E442" s="6" t="s">
        <v>661</v>
      </c>
      <c r="F442" s="5" t="s">
        <v>19</v>
      </c>
      <c r="G442" s="5" t="s">
        <v>27</v>
      </c>
      <c r="H442" s="5">
        <v>183208.0</v>
      </c>
      <c r="I442" s="5">
        <v>620.0</v>
      </c>
      <c r="J442" s="5">
        <v>131164.0</v>
      </c>
      <c r="K442" s="5">
        <v>177952.0</v>
      </c>
      <c r="L442" s="5">
        <v>43.0</v>
      </c>
      <c r="M442" s="5">
        <v>2682.436623</v>
      </c>
    </row>
    <row r="443">
      <c r="A443" s="4" t="s">
        <v>665</v>
      </c>
      <c r="B443" s="5" t="s">
        <v>22</v>
      </c>
      <c r="C443" s="5" t="s">
        <v>42</v>
      </c>
      <c r="D443" s="5" t="s">
        <v>78</v>
      </c>
      <c r="E443" s="6" t="s">
        <v>661</v>
      </c>
      <c r="F443" s="5" t="s">
        <v>46</v>
      </c>
      <c r="G443" s="5" t="s">
        <v>27</v>
      </c>
      <c r="H443" s="5">
        <v>20486.0</v>
      </c>
      <c r="I443" s="5">
        <v>42.0</v>
      </c>
      <c r="J443" s="5">
        <v>14583.0</v>
      </c>
      <c r="K443" s="5">
        <v>19860.0</v>
      </c>
      <c r="L443" s="5">
        <v>2.0</v>
      </c>
      <c r="M443" s="5">
        <v>1718.513762</v>
      </c>
    </row>
    <row r="444">
      <c r="A444" s="4" t="s">
        <v>666</v>
      </c>
      <c r="B444" s="5" t="s">
        <v>15</v>
      </c>
      <c r="C444" s="5" t="s">
        <v>42</v>
      </c>
      <c r="D444" s="5" t="s">
        <v>35</v>
      </c>
      <c r="E444" s="6" t="s">
        <v>667</v>
      </c>
      <c r="F444" s="5" t="s">
        <v>117</v>
      </c>
      <c r="G444" s="5" t="s">
        <v>27</v>
      </c>
      <c r="H444" s="5">
        <v>15047.0</v>
      </c>
      <c r="I444" s="5">
        <v>84.0</v>
      </c>
      <c r="J444" s="5">
        <v>5653.0</v>
      </c>
      <c r="K444" s="5">
        <v>14459.0</v>
      </c>
      <c r="L444" s="5">
        <v>4.0</v>
      </c>
      <c r="M444" s="5">
        <v>2127.495962</v>
      </c>
    </row>
    <row r="445">
      <c r="A445" s="4" t="s">
        <v>668</v>
      </c>
      <c r="B445" s="5" t="s">
        <v>22</v>
      </c>
      <c r="C445" s="5" t="s">
        <v>16</v>
      </c>
      <c r="D445" s="5" t="s">
        <v>32</v>
      </c>
      <c r="E445" s="6" t="s">
        <v>669</v>
      </c>
      <c r="F445" s="5" t="s">
        <v>161</v>
      </c>
      <c r="G445" s="5" t="s">
        <v>27</v>
      </c>
      <c r="H445" s="5">
        <v>41513.0</v>
      </c>
      <c r="I445" s="5">
        <v>113.0</v>
      </c>
      <c r="J445" s="5">
        <v>20872.0</v>
      </c>
      <c r="K445" s="5">
        <v>39250.0</v>
      </c>
      <c r="L445" s="5">
        <v>9.0</v>
      </c>
      <c r="M445" s="5">
        <v>6789.533401</v>
      </c>
    </row>
    <row r="446">
      <c r="A446" s="4" t="s">
        <v>670</v>
      </c>
      <c r="B446" s="5" t="s">
        <v>15</v>
      </c>
      <c r="C446" s="5" t="s">
        <v>31</v>
      </c>
      <c r="D446" s="5" t="s">
        <v>35</v>
      </c>
      <c r="E446" s="6" t="s">
        <v>669</v>
      </c>
      <c r="F446" s="5" t="s">
        <v>46</v>
      </c>
      <c r="G446" s="5" t="s">
        <v>27</v>
      </c>
      <c r="H446" s="5">
        <v>16503.0</v>
      </c>
      <c r="I446" s="5">
        <v>69.0</v>
      </c>
      <c r="J446" s="5">
        <v>8595.0</v>
      </c>
      <c r="K446" s="5">
        <v>14466.0</v>
      </c>
      <c r="L446" s="5">
        <v>7.0</v>
      </c>
      <c r="M446" s="5">
        <v>5714.523867</v>
      </c>
    </row>
    <row r="447">
      <c r="A447" s="4" t="s">
        <v>671</v>
      </c>
      <c r="B447" s="5" t="s">
        <v>15</v>
      </c>
      <c r="C447" s="5" t="s">
        <v>16</v>
      </c>
      <c r="D447" s="5" t="s">
        <v>17</v>
      </c>
      <c r="E447" s="6" t="s">
        <v>669</v>
      </c>
      <c r="F447" s="5" t="s">
        <v>19</v>
      </c>
      <c r="G447" s="5" t="s">
        <v>27</v>
      </c>
      <c r="H447" s="5">
        <v>52006.0</v>
      </c>
      <c r="I447" s="5">
        <v>160.0</v>
      </c>
      <c r="J447" s="5">
        <v>24711.0</v>
      </c>
      <c r="K447" s="5">
        <v>48019.0</v>
      </c>
      <c r="L447" s="5">
        <v>12.0</v>
      </c>
      <c r="M447" s="5">
        <v>5200.010118</v>
      </c>
    </row>
    <row r="448">
      <c r="A448" s="4" t="s">
        <v>672</v>
      </c>
      <c r="B448" s="5" t="s">
        <v>15</v>
      </c>
      <c r="C448" s="5" t="s">
        <v>42</v>
      </c>
      <c r="D448" s="5" t="s">
        <v>66</v>
      </c>
      <c r="E448" s="6" t="s">
        <v>669</v>
      </c>
      <c r="F448" s="5" t="s">
        <v>46</v>
      </c>
      <c r="G448" s="5" t="s">
        <v>27</v>
      </c>
      <c r="H448" s="5">
        <v>8420.0</v>
      </c>
      <c r="I448" s="5">
        <v>80.0</v>
      </c>
      <c r="J448" s="5">
        <v>4430.0</v>
      </c>
      <c r="K448" s="5">
        <v>7869.0</v>
      </c>
      <c r="L448" s="5">
        <v>8.0</v>
      </c>
      <c r="M448" s="5">
        <v>5184.585424</v>
      </c>
    </row>
    <row r="449">
      <c r="A449" s="4" t="s">
        <v>673</v>
      </c>
      <c r="B449" s="5" t="s">
        <v>61</v>
      </c>
      <c r="C449" s="5" t="s">
        <v>16</v>
      </c>
      <c r="D449" s="5" t="s">
        <v>45</v>
      </c>
      <c r="E449" s="6" t="s">
        <v>669</v>
      </c>
      <c r="F449" s="5" t="s">
        <v>19</v>
      </c>
      <c r="G449" s="5" t="s">
        <v>27</v>
      </c>
      <c r="H449" s="5">
        <v>63415.0</v>
      </c>
      <c r="I449" s="5">
        <v>185.0</v>
      </c>
      <c r="J449" s="5">
        <v>28161.0</v>
      </c>
      <c r="K449" s="5">
        <v>59169.0</v>
      </c>
      <c r="L449" s="5">
        <v>9.0</v>
      </c>
      <c r="M449" s="5">
        <v>1924.162675</v>
      </c>
    </row>
    <row r="450">
      <c r="A450" s="4" t="s">
        <v>674</v>
      </c>
      <c r="B450" s="5" t="s">
        <v>22</v>
      </c>
      <c r="C450" s="5" t="s">
        <v>31</v>
      </c>
      <c r="D450" s="5" t="s">
        <v>17</v>
      </c>
      <c r="E450" s="6" t="s">
        <v>669</v>
      </c>
      <c r="F450" s="5" t="s">
        <v>26</v>
      </c>
      <c r="G450" s="5" t="s">
        <v>27</v>
      </c>
      <c r="H450" s="5">
        <v>73544.0</v>
      </c>
      <c r="I450" s="5">
        <v>223.0</v>
      </c>
      <c r="J450" s="5">
        <v>40405.0</v>
      </c>
      <c r="K450" s="5">
        <v>67406.0</v>
      </c>
      <c r="L450" s="5">
        <v>1.0</v>
      </c>
      <c r="M450" s="5">
        <v>1465.872266</v>
      </c>
    </row>
    <row r="451">
      <c r="A451" s="4" t="s">
        <v>675</v>
      </c>
      <c r="B451" s="5" t="s">
        <v>22</v>
      </c>
      <c r="C451" s="5" t="s">
        <v>31</v>
      </c>
      <c r="D451" s="5" t="s">
        <v>32</v>
      </c>
      <c r="E451" s="6" t="s">
        <v>676</v>
      </c>
      <c r="F451" s="5" t="s">
        <v>161</v>
      </c>
      <c r="G451" s="5" t="s">
        <v>27</v>
      </c>
      <c r="H451" s="5">
        <v>16288.0</v>
      </c>
      <c r="I451" s="5">
        <v>56.0</v>
      </c>
      <c r="J451" s="5">
        <v>5304.0</v>
      </c>
      <c r="K451" s="5">
        <v>10731.0</v>
      </c>
      <c r="L451" s="5">
        <v>3.0</v>
      </c>
      <c r="M451" s="5">
        <v>2030.142709</v>
      </c>
    </row>
    <row r="452">
      <c r="A452" s="4" t="s">
        <v>677</v>
      </c>
      <c r="B452" s="5" t="s">
        <v>15</v>
      </c>
      <c r="C452" s="5" t="s">
        <v>42</v>
      </c>
      <c r="D452" s="5" t="s">
        <v>183</v>
      </c>
      <c r="E452" s="6" t="s">
        <v>678</v>
      </c>
      <c r="F452" s="5" t="s">
        <v>19</v>
      </c>
      <c r="G452" s="5" t="s">
        <v>20</v>
      </c>
      <c r="H452" s="5">
        <v>7695.0</v>
      </c>
      <c r="I452" s="5">
        <v>20.0</v>
      </c>
      <c r="J452" s="5">
        <v>3481.0</v>
      </c>
      <c r="K452" s="5">
        <v>7050.0</v>
      </c>
      <c r="L452" s="5">
        <v>14.0</v>
      </c>
      <c r="M452" s="5">
        <v>6727.440499</v>
      </c>
    </row>
    <row r="453">
      <c r="A453" s="4" t="s">
        <v>679</v>
      </c>
      <c r="B453" s="5" t="s">
        <v>61</v>
      </c>
      <c r="C453" s="5" t="s">
        <v>16</v>
      </c>
      <c r="D453" s="5" t="s">
        <v>183</v>
      </c>
      <c r="E453" s="6" t="s">
        <v>678</v>
      </c>
      <c r="F453" s="5" t="s">
        <v>19</v>
      </c>
      <c r="G453" s="5" t="s">
        <v>27</v>
      </c>
      <c r="H453" s="5">
        <v>15602.0</v>
      </c>
      <c r="I453" s="5">
        <v>50.0</v>
      </c>
      <c r="J453" s="5">
        <v>7676.0</v>
      </c>
      <c r="K453" s="5">
        <v>13775.0</v>
      </c>
      <c r="L453" s="5">
        <v>1.0</v>
      </c>
      <c r="M453" s="5">
        <v>2600.894327</v>
      </c>
    </row>
    <row r="454">
      <c r="A454" s="4" t="s">
        <v>680</v>
      </c>
      <c r="B454" s="5" t="s">
        <v>15</v>
      </c>
      <c r="C454" s="5" t="s">
        <v>16</v>
      </c>
      <c r="D454" s="5" t="s">
        <v>39</v>
      </c>
      <c r="E454" s="6" t="s">
        <v>681</v>
      </c>
      <c r="F454" s="5" t="s">
        <v>50</v>
      </c>
      <c r="G454" s="5" t="s">
        <v>27</v>
      </c>
      <c r="H454" s="5">
        <v>8000.0</v>
      </c>
      <c r="I454" s="5">
        <v>10.0</v>
      </c>
      <c r="J454" s="5">
        <v>4400.0</v>
      </c>
      <c r="K454" s="5">
        <v>6379.0</v>
      </c>
      <c r="L454" s="5">
        <v>1.0</v>
      </c>
      <c r="M454" s="5">
        <v>6159.366902</v>
      </c>
    </row>
    <row r="455">
      <c r="A455" s="4" t="s">
        <v>682</v>
      </c>
      <c r="B455" s="5" t="s">
        <v>22</v>
      </c>
      <c r="C455" s="5" t="s">
        <v>31</v>
      </c>
      <c r="D455" s="5" t="s">
        <v>17</v>
      </c>
      <c r="E455" s="6" t="s">
        <v>681</v>
      </c>
      <c r="F455" s="5" t="s">
        <v>136</v>
      </c>
      <c r="G455" s="5" t="s">
        <v>27</v>
      </c>
      <c r="H455" s="5">
        <v>13592.0</v>
      </c>
      <c r="I455" s="5">
        <v>85.0</v>
      </c>
      <c r="J455" s="5">
        <v>7747.0</v>
      </c>
      <c r="K455" s="5">
        <v>10690.0</v>
      </c>
      <c r="L455" s="5">
        <v>1.0</v>
      </c>
      <c r="M455" s="5">
        <v>1555.112078</v>
      </c>
    </row>
    <row r="456">
      <c r="A456" s="4" t="s">
        <v>683</v>
      </c>
      <c r="B456" s="5" t="s">
        <v>22</v>
      </c>
      <c r="C456" s="5" t="s">
        <v>42</v>
      </c>
      <c r="D456" s="5" t="s">
        <v>78</v>
      </c>
      <c r="E456" s="6" t="s">
        <v>684</v>
      </c>
      <c r="F456" s="5" t="s">
        <v>26</v>
      </c>
      <c r="G456" s="5" t="s">
        <v>27</v>
      </c>
      <c r="H456" s="5">
        <v>15588.0</v>
      </c>
      <c r="I456" s="5">
        <v>80.0</v>
      </c>
      <c r="J456" s="5">
        <v>2089.0</v>
      </c>
      <c r="K456" s="5">
        <v>14526.0</v>
      </c>
      <c r="L456" s="5">
        <v>9.0</v>
      </c>
      <c r="M456" s="5">
        <v>3518.533482</v>
      </c>
    </row>
    <row r="457">
      <c r="A457" s="4" t="s">
        <v>685</v>
      </c>
      <c r="B457" s="5" t="s">
        <v>22</v>
      </c>
      <c r="C457" s="5" t="s">
        <v>31</v>
      </c>
      <c r="D457" s="5" t="s">
        <v>29</v>
      </c>
      <c r="E457" s="6" t="s">
        <v>686</v>
      </c>
      <c r="F457" s="5" t="s">
        <v>19</v>
      </c>
      <c r="G457" s="5" t="s">
        <v>27</v>
      </c>
      <c r="H457" s="5">
        <v>14038.0</v>
      </c>
      <c r="I457" s="5">
        <v>63.0</v>
      </c>
      <c r="J457" s="5">
        <v>1600.0</v>
      </c>
      <c r="K457" s="5">
        <v>11345.0</v>
      </c>
      <c r="L457" s="5">
        <v>8.0</v>
      </c>
      <c r="M457" s="5">
        <v>6368.862913</v>
      </c>
    </row>
    <row r="458">
      <c r="A458" s="4" t="s">
        <v>687</v>
      </c>
      <c r="B458" s="5" t="s">
        <v>61</v>
      </c>
      <c r="C458" s="5" t="s">
        <v>31</v>
      </c>
      <c r="D458" s="5" t="s">
        <v>55</v>
      </c>
      <c r="E458" s="6" t="s">
        <v>686</v>
      </c>
      <c r="F458" s="5" t="s">
        <v>33</v>
      </c>
      <c r="G458" s="5" t="s">
        <v>27</v>
      </c>
      <c r="H458" s="5">
        <v>140359.0</v>
      </c>
      <c r="I458" s="5">
        <v>352.0</v>
      </c>
      <c r="J458" s="5">
        <v>76130.0</v>
      </c>
      <c r="K458" s="5">
        <v>133578.0</v>
      </c>
      <c r="L458" s="5">
        <v>26.0</v>
      </c>
      <c r="M458" s="5">
        <v>6094.666799</v>
      </c>
    </row>
    <row r="459">
      <c r="A459" s="4" t="s">
        <v>688</v>
      </c>
      <c r="B459" s="5" t="s">
        <v>22</v>
      </c>
      <c r="C459" s="5" t="s">
        <v>31</v>
      </c>
      <c r="D459" s="5" t="s">
        <v>35</v>
      </c>
      <c r="E459" s="6" t="s">
        <v>686</v>
      </c>
      <c r="F459" s="5" t="s">
        <v>19</v>
      </c>
      <c r="G459" s="5" t="s">
        <v>27</v>
      </c>
      <c r="H459" s="5">
        <v>25377.0</v>
      </c>
      <c r="I459" s="5">
        <v>101.0</v>
      </c>
      <c r="J459" s="5">
        <v>16698.0</v>
      </c>
      <c r="K459" s="5">
        <v>23798.0</v>
      </c>
      <c r="L459" s="5">
        <v>2.0</v>
      </c>
      <c r="M459" s="5">
        <v>5175.142919</v>
      </c>
    </row>
    <row r="460">
      <c r="A460" s="4" t="s">
        <v>689</v>
      </c>
      <c r="B460" s="5" t="s">
        <v>22</v>
      </c>
      <c r="C460" s="5" t="s">
        <v>23</v>
      </c>
      <c r="D460" s="5" t="s">
        <v>55</v>
      </c>
      <c r="E460" s="6" t="s">
        <v>686</v>
      </c>
      <c r="F460" s="5" t="s">
        <v>19</v>
      </c>
      <c r="G460" s="5" t="s">
        <v>27</v>
      </c>
      <c r="H460" s="5">
        <v>29092.0</v>
      </c>
      <c r="I460" s="5">
        <v>75.0</v>
      </c>
      <c r="J460" s="5">
        <v>16986.0</v>
      </c>
      <c r="K460" s="5">
        <v>26606.0</v>
      </c>
      <c r="L460" s="5">
        <v>15.0</v>
      </c>
      <c r="M460" s="5">
        <v>1801.058111</v>
      </c>
    </row>
    <row r="461">
      <c r="A461" s="4" t="s">
        <v>690</v>
      </c>
      <c r="B461" s="5" t="s">
        <v>15</v>
      </c>
      <c r="C461" s="5" t="s">
        <v>16</v>
      </c>
      <c r="D461" s="5" t="s">
        <v>95</v>
      </c>
      <c r="E461" s="6" t="s">
        <v>686</v>
      </c>
      <c r="F461" s="5" t="s">
        <v>26</v>
      </c>
      <c r="G461" s="5" t="s">
        <v>20</v>
      </c>
      <c r="H461" s="5">
        <v>73567.0</v>
      </c>
      <c r="I461" s="5">
        <v>197.0</v>
      </c>
      <c r="J461" s="5">
        <v>28800.0</v>
      </c>
      <c r="K461" s="5">
        <v>68566.0</v>
      </c>
      <c r="L461" s="5">
        <v>2.0</v>
      </c>
      <c r="M461" s="5">
        <v>1567.366071</v>
      </c>
    </row>
    <row r="462">
      <c r="A462" s="4" t="s">
        <v>691</v>
      </c>
      <c r="B462" s="5" t="s">
        <v>22</v>
      </c>
      <c r="C462" s="5" t="s">
        <v>16</v>
      </c>
      <c r="D462" s="5" t="s">
        <v>35</v>
      </c>
      <c r="E462" s="6" t="s">
        <v>686</v>
      </c>
      <c r="F462" s="5" t="s">
        <v>19</v>
      </c>
      <c r="G462" s="5" t="s">
        <v>27</v>
      </c>
      <c r="H462" s="5">
        <v>152881.0</v>
      </c>
      <c r="I462" s="5">
        <v>426.0</v>
      </c>
      <c r="J462" s="5">
        <v>94895.0</v>
      </c>
      <c r="K462" s="5">
        <v>145113.0</v>
      </c>
      <c r="L462" s="5">
        <v>11.0</v>
      </c>
      <c r="M462" s="5">
        <v>1496.668524</v>
      </c>
    </row>
    <row r="463">
      <c r="A463" s="4" t="s">
        <v>692</v>
      </c>
      <c r="B463" s="5" t="s">
        <v>22</v>
      </c>
      <c r="C463" s="5" t="s">
        <v>23</v>
      </c>
      <c r="D463" s="5" t="s">
        <v>35</v>
      </c>
      <c r="E463" s="6" t="s">
        <v>693</v>
      </c>
      <c r="F463" s="5" t="s">
        <v>19</v>
      </c>
      <c r="G463" s="5" t="s">
        <v>27</v>
      </c>
      <c r="H463" s="5">
        <v>16239.0</v>
      </c>
      <c r="I463" s="5">
        <v>78.0</v>
      </c>
      <c r="J463" s="5">
        <v>9375.0</v>
      </c>
      <c r="K463" s="5">
        <v>15562.0</v>
      </c>
      <c r="L463" s="5">
        <v>5.0</v>
      </c>
      <c r="M463" s="5">
        <v>2387.686295</v>
      </c>
    </row>
    <row r="464">
      <c r="A464" s="4" t="s">
        <v>694</v>
      </c>
      <c r="B464" s="5" t="s">
        <v>15</v>
      </c>
      <c r="C464" s="5" t="s">
        <v>16</v>
      </c>
      <c r="D464" s="5" t="s">
        <v>35</v>
      </c>
      <c r="E464" s="6" t="s">
        <v>693</v>
      </c>
      <c r="F464" s="5" t="s">
        <v>36</v>
      </c>
      <c r="G464" s="5" t="s">
        <v>27</v>
      </c>
      <c r="H464" s="5">
        <v>14932.0</v>
      </c>
      <c r="I464" s="5">
        <v>90.0</v>
      </c>
      <c r="J464" s="5">
        <v>8947.0</v>
      </c>
      <c r="K464" s="5">
        <v>14256.0</v>
      </c>
      <c r="L464" s="5">
        <v>3.0</v>
      </c>
      <c r="M464" s="5">
        <v>1724.417704</v>
      </c>
    </row>
    <row r="465">
      <c r="A465" s="4" t="s">
        <v>695</v>
      </c>
      <c r="B465" s="5" t="s">
        <v>15</v>
      </c>
      <c r="C465" s="5" t="s">
        <v>23</v>
      </c>
      <c r="D465" s="5" t="s">
        <v>24</v>
      </c>
      <c r="E465" s="6" t="s">
        <v>696</v>
      </c>
      <c r="F465" s="5" t="s">
        <v>36</v>
      </c>
      <c r="G465" s="5" t="s">
        <v>27</v>
      </c>
      <c r="H465" s="5">
        <v>13823.0</v>
      </c>
      <c r="I465" s="5">
        <v>58.0</v>
      </c>
      <c r="J465" s="5">
        <v>10671.0</v>
      </c>
      <c r="K465" s="5">
        <v>12937.0</v>
      </c>
      <c r="L465" s="5">
        <v>3.0</v>
      </c>
      <c r="M465" s="5">
        <v>1574.709734</v>
      </c>
    </row>
    <row r="466">
      <c r="A466" s="4" t="s">
        <v>697</v>
      </c>
      <c r="B466" s="5" t="s">
        <v>15</v>
      </c>
      <c r="C466" s="5" t="s">
        <v>16</v>
      </c>
      <c r="D466" s="5" t="s">
        <v>32</v>
      </c>
      <c r="E466" s="6" t="s">
        <v>696</v>
      </c>
      <c r="F466" s="5" t="s">
        <v>19</v>
      </c>
      <c r="G466" s="5" t="s">
        <v>27</v>
      </c>
      <c r="H466" s="5">
        <v>11214.0</v>
      </c>
      <c r="I466" s="5">
        <v>49.0</v>
      </c>
      <c r="J466" s="5">
        <v>5523.0</v>
      </c>
      <c r="K466" s="5">
        <v>10267.0</v>
      </c>
      <c r="L466" s="5">
        <v>2.0</v>
      </c>
      <c r="M466" s="5">
        <v>1554.389215</v>
      </c>
    </row>
    <row r="467">
      <c r="A467" s="4" t="s">
        <v>698</v>
      </c>
      <c r="B467" s="5" t="s">
        <v>22</v>
      </c>
      <c r="C467" s="5" t="s">
        <v>42</v>
      </c>
      <c r="D467" s="5" t="s">
        <v>699</v>
      </c>
      <c r="E467" s="6" t="s">
        <v>700</v>
      </c>
      <c r="F467" s="5" t="s">
        <v>36</v>
      </c>
      <c r="G467" s="5" t="s">
        <v>27</v>
      </c>
      <c r="H467" s="5">
        <v>19829.0</v>
      </c>
      <c r="I467" s="5">
        <v>42.0</v>
      </c>
      <c r="J467" s="5">
        <v>15071.0</v>
      </c>
      <c r="K467" s="5">
        <v>19095.0</v>
      </c>
      <c r="L467" s="5">
        <v>2.0</v>
      </c>
      <c r="M467" s="5">
        <v>1952.463773</v>
      </c>
    </row>
    <row r="468">
      <c r="A468" s="4" t="s">
        <v>701</v>
      </c>
      <c r="B468" s="5" t="s">
        <v>22</v>
      </c>
      <c r="C468" s="5" t="s">
        <v>23</v>
      </c>
      <c r="D468" s="5" t="s">
        <v>39</v>
      </c>
      <c r="E468" s="6" t="s">
        <v>702</v>
      </c>
      <c r="F468" s="5" t="s">
        <v>33</v>
      </c>
      <c r="G468" s="5" t="s">
        <v>27</v>
      </c>
      <c r="H468" s="5">
        <v>183230.0</v>
      </c>
      <c r="I468" s="5">
        <v>666.0</v>
      </c>
      <c r="J468" s="5">
        <v>155260.0</v>
      </c>
      <c r="K468" s="5">
        <v>169583.0</v>
      </c>
      <c r="L468" s="5">
        <v>34.0</v>
      </c>
      <c r="M468" s="5">
        <v>7863.469709</v>
      </c>
    </row>
    <row r="469">
      <c r="A469" s="4" t="s">
        <v>703</v>
      </c>
      <c r="B469" s="5" t="s">
        <v>22</v>
      </c>
      <c r="C469" s="5" t="s">
        <v>42</v>
      </c>
      <c r="D469" s="5" t="s">
        <v>84</v>
      </c>
      <c r="E469" s="6" t="s">
        <v>702</v>
      </c>
      <c r="F469" s="5" t="s">
        <v>117</v>
      </c>
      <c r="G469" s="5" t="s">
        <v>27</v>
      </c>
      <c r="H469" s="5">
        <v>113262.0</v>
      </c>
      <c r="I469" s="5">
        <v>380.0</v>
      </c>
      <c r="J469" s="5">
        <v>95762.0</v>
      </c>
      <c r="K469" s="5">
        <v>104612.0</v>
      </c>
      <c r="L469" s="5">
        <v>4.0</v>
      </c>
      <c r="M469" s="5">
        <v>7443.483233</v>
      </c>
    </row>
    <row r="470">
      <c r="A470" s="4" t="s">
        <v>704</v>
      </c>
      <c r="B470" s="5" t="s">
        <v>15</v>
      </c>
      <c r="C470" s="5" t="s">
        <v>31</v>
      </c>
      <c r="D470" s="5" t="s">
        <v>29</v>
      </c>
      <c r="E470" s="6" t="s">
        <v>702</v>
      </c>
      <c r="F470" s="5" t="s">
        <v>19</v>
      </c>
      <c r="G470" s="5" t="s">
        <v>27</v>
      </c>
      <c r="H470" s="5">
        <v>75531.0</v>
      </c>
      <c r="I470" s="5">
        <v>200.0</v>
      </c>
      <c r="J470" s="5">
        <v>63816.0</v>
      </c>
      <c r="K470" s="5">
        <v>70011.0</v>
      </c>
      <c r="L470" s="5">
        <v>9.0</v>
      </c>
      <c r="M470" s="5">
        <v>7261.86504</v>
      </c>
    </row>
    <row r="471">
      <c r="A471" s="4" t="s">
        <v>705</v>
      </c>
      <c r="B471" s="5" t="s">
        <v>15</v>
      </c>
      <c r="C471" s="5" t="s">
        <v>42</v>
      </c>
      <c r="D471" s="5" t="s">
        <v>17</v>
      </c>
      <c r="E471" s="6" t="s">
        <v>702</v>
      </c>
      <c r="F471" s="5" t="s">
        <v>19</v>
      </c>
      <c r="G471" s="5" t="s">
        <v>52</v>
      </c>
      <c r="H471" s="5">
        <v>102958.0</v>
      </c>
      <c r="I471" s="5">
        <v>320.0</v>
      </c>
      <c r="J471" s="5">
        <v>86884.0</v>
      </c>
      <c r="K471" s="5">
        <v>94687.0</v>
      </c>
      <c r="L471" s="5">
        <v>12.0</v>
      </c>
      <c r="M471" s="5">
        <v>6624.221175</v>
      </c>
    </row>
    <row r="472">
      <c r="A472" s="4" t="s">
        <v>706</v>
      </c>
      <c r="B472" s="5" t="s">
        <v>15</v>
      </c>
      <c r="C472" s="5" t="s">
        <v>23</v>
      </c>
      <c r="D472" s="5" t="s">
        <v>35</v>
      </c>
      <c r="E472" s="6" t="s">
        <v>702</v>
      </c>
      <c r="F472" s="5" t="s">
        <v>50</v>
      </c>
      <c r="G472" s="5" t="s">
        <v>20</v>
      </c>
      <c r="H472" s="5">
        <v>42755.0</v>
      </c>
      <c r="I472" s="5">
        <v>117.0</v>
      </c>
      <c r="J472" s="5">
        <v>36503.0</v>
      </c>
      <c r="K472" s="5">
        <v>40051.0</v>
      </c>
      <c r="L472" s="5">
        <v>12.0</v>
      </c>
      <c r="M472" s="5">
        <v>6550.30297</v>
      </c>
    </row>
    <row r="473">
      <c r="A473" s="4" t="s">
        <v>707</v>
      </c>
      <c r="B473" s="5" t="s">
        <v>22</v>
      </c>
      <c r="C473" s="5" t="s">
        <v>31</v>
      </c>
      <c r="D473" s="5" t="s">
        <v>55</v>
      </c>
      <c r="E473" s="6" t="s">
        <v>702</v>
      </c>
      <c r="F473" s="5" t="s">
        <v>46</v>
      </c>
      <c r="G473" s="5" t="s">
        <v>27</v>
      </c>
      <c r="H473" s="5">
        <v>264580.0</v>
      </c>
      <c r="I473" s="5">
        <v>691.0</v>
      </c>
      <c r="J473" s="5">
        <v>217526.0</v>
      </c>
      <c r="K473" s="5">
        <v>240731.0</v>
      </c>
      <c r="L473" s="5">
        <v>9.0</v>
      </c>
      <c r="M473" s="5">
        <v>4874.651722</v>
      </c>
    </row>
    <row r="474">
      <c r="A474" s="4" t="s">
        <v>708</v>
      </c>
      <c r="B474" s="5" t="s">
        <v>22</v>
      </c>
      <c r="C474" s="5" t="s">
        <v>42</v>
      </c>
      <c r="D474" s="5" t="s">
        <v>32</v>
      </c>
      <c r="E474" s="6" t="s">
        <v>702</v>
      </c>
      <c r="F474" s="5" t="s">
        <v>19</v>
      </c>
      <c r="G474" s="5" t="s">
        <v>27</v>
      </c>
      <c r="H474" s="5">
        <v>42833.0</v>
      </c>
      <c r="I474" s="5">
        <v>120.0</v>
      </c>
      <c r="J474" s="5">
        <v>37438.0</v>
      </c>
      <c r="K474" s="5">
        <v>40447.0</v>
      </c>
      <c r="L474" s="5">
        <v>9.0</v>
      </c>
      <c r="M474" s="5">
        <v>2040.934819</v>
      </c>
    </row>
    <row r="475">
      <c r="A475" s="4" t="s">
        <v>709</v>
      </c>
      <c r="B475" s="5" t="s">
        <v>22</v>
      </c>
      <c r="C475" s="5" t="s">
        <v>16</v>
      </c>
      <c r="D475" s="5" t="s">
        <v>39</v>
      </c>
      <c r="E475" s="6" t="s">
        <v>702</v>
      </c>
      <c r="F475" s="5" t="s">
        <v>36</v>
      </c>
      <c r="G475" s="5" t="s">
        <v>27</v>
      </c>
      <c r="H475" s="5">
        <v>481526.0</v>
      </c>
      <c r="I475" s="5">
        <v>1235.0</v>
      </c>
      <c r="J475" s="5">
        <v>396802.0</v>
      </c>
      <c r="K475" s="5">
        <v>437639.0</v>
      </c>
      <c r="L475" s="5">
        <v>23.0</v>
      </c>
      <c r="M475" s="5">
        <v>2037.865594</v>
      </c>
    </row>
    <row r="476">
      <c r="A476" s="4" t="s">
        <v>710</v>
      </c>
      <c r="B476" s="5" t="s">
        <v>15</v>
      </c>
      <c r="C476" s="5" t="s">
        <v>42</v>
      </c>
      <c r="D476" s="5" t="s">
        <v>78</v>
      </c>
      <c r="E476" s="6" t="s">
        <v>702</v>
      </c>
      <c r="F476" s="5" t="s">
        <v>19</v>
      </c>
      <c r="G476" s="5" t="s">
        <v>20</v>
      </c>
      <c r="H476" s="5">
        <v>50183.0</v>
      </c>
      <c r="I476" s="5">
        <v>199.0</v>
      </c>
      <c r="J476" s="5">
        <v>41506.0</v>
      </c>
      <c r="K476" s="5">
        <v>46163.0</v>
      </c>
      <c r="L476" s="5">
        <v>15.0</v>
      </c>
      <c r="M476" s="5">
        <v>1628.882813</v>
      </c>
    </row>
    <row r="477">
      <c r="A477" s="4" t="s">
        <v>711</v>
      </c>
      <c r="B477" s="5" t="s">
        <v>15</v>
      </c>
      <c r="C477" s="5" t="s">
        <v>42</v>
      </c>
      <c r="D477" s="5" t="s">
        <v>17</v>
      </c>
      <c r="E477" s="6" t="s">
        <v>702</v>
      </c>
      <c r="F477" s="5" t="s">
        <v>19</v>
      </c>
      <c r="G477" s="5" t="s">
        <v>27</v>
      </c>
      <c r="H477" s="5">
        <v>21088.0</v>
      </c>
      <c r="I477" s="5">
        <v>60.0</v>
      </c>
      <c r="J477" s="5">
        <v>17930.0</v>
      </c>
      <c r="K477" s="5">
        <v>19822.0</v>
      </c>
      <c r="L477" s="5">
        <v>4.0</v>
      </c>
      <c r="M477" s="5">
        <v>1623.681601</v>
      </c>
    </row>
    <row r="478">
      <c r="A478" s="4" t="s">
        <v>712</v>
      </c>
      <c r="B478" s="5" t="s">
        <v>15</v>
      </c>
      <c r="C478" s="5" t="s">
        <v>23</v>
      </c>
      <c r="D478" s="5" t="s">
        <v>29</v>
      </c>
      <c r="E478" s="6" t="s">
        <v>702</v>
      </c>
      <c r="F478" s="5" t="s">
        <v>19</v>
      </c>
      <c r="G478" s="5" t="s">
        <v>27</v>
      </c>
      <c r="H478" s="5">
        <v>284783.0</v>
      </c>
      <c r="I478" s="5">
        <v>756.0</v>
      </c>
      <c r="J478" s="5">
        <v>239363.0</v>
      </c>
      <c r="K478" s="5">
        <v>261467.0</v>
      </c>
      <c r="L478" s="5">
        <v>9.0</v>
      </c>
      <c r="M478" s="5">
        <v>1605.538072</v>
      </c>
    </row>
    <row r="479">
      <c r="A479" s="4" t="s">
        <v>713</v>
      </c>
      <c r="B479" s="5" t="s">
        <v>22</v>
      </c>
      <c r="C479" s="5" t="s">
        <v>42</v>
      </c>
      <c r="D479" s="5" t="s">
        <v>531</v>
      </c>
      <c r="E479" s="6" t="s">
        <v>702</v>
      </c>
      <c r="F479" s="5" t="s">
        <v>19</v>
      </c>
      <c r="G479" s="5" t="s">
        <v>27</v>
      </c>
      <c r="H479" s="5">
        <v>21229.0</v>
      </c>
      <c r="I479" s="5">
        <v>80.0</v>
      </c>
      <c r="J479" s="5">
        <v>18073.0</v>
      </c>
      <c r="K479" s="5">
        <v>19655.0</v>
      </c>
      <c r="L479" s="5">
        <v>10.0</v>
      </c>
      <c r="M479" s="5">
        <v>1550.076655</v>
      </c>
    </row>
    <row r="480">
      <c r="A480" s="4" t="s">
        <v>714</v>
      </c>
      <c r="B480" s="5" t="s">
        <v>22</v>
      </c>
      <c r="C480" s="5" t="s">
        <v>42</v>
      </c>
      <c r="D480" s="5" t="s">
        <v>214</v>
      </c>
      <c r="E480" s="6" t="s">
        <v>702</v>
      </c>
      <c r="F480" s="5" t="s">
        <v>19</v>
      </c>
      <c r="G480" s="5" t="s">
        <v>27</v>
      </c>
      <c r="H480" s="5">
        <v>55274.0</v>
      </c>
      <c r="I480" s="5">
        <v>219.0</v>
      </c>
      <c r="J480" s="5">
        <v>47583.0</v>
      </c>
      <c r="K480" s="5">
        <v>51275.0</v>
      </c>
      <c r="L480" s="5">
        <v>3.0</v>
      </c>
      <c r="M480" s="5">
        <v>1532.757905</v>
      </c>
    </row>
    <row r="481">
      <c r="A481" s="4" t="s">
        <v>715</v>
      </c>
      <c r="B481" s="5" t="s">
        <v>22</v>
      </c>
      <c r="C481" s="5" t="s">
        <v>31</v>
      </c>
      <c r="D481" s="5" t="s">
        <v>55</v>
      </c>
      <c r="E481" s="6" t="s">
        <v>702</v>
      </c>
      <c r="F481" s="5" t="s">
        <v>36</v>
      </c>
      <c r="G481" s="5" t="s">
        <v>27</v>
      </c>
      <c r="H481" s="5">
        <v>8278.0</v>
      </c>
      <c r="I481" s="5">
        <v>40.0</v>
      </c>
      <c r="J481" s="5">
        <v>6758.0</v>
      </c>
      <c r="K481" s="5">
        <v>7537.0</v>
      </c>
      <c r="L481" s="5">
        <v>1.0</v>
      </c>
      <c r="M481" s="5">
        <v>1526.296619</v>
      </c>
    </row>
    <row r="482">
      <c r="A482" s="4" t="s">
        <v>716</v>
      </c>
      <c r="B482" s="5" t="s">
        <v>15</v>
      </c>
      <c r="C482" s="5" t="s">
        <v>31</v>
      </c>
      <c r="D482" s="5" t="s">
        <v>29</v>
      </c>
      <c r="E482" s="6" t="s">
        <v>702</v>
      </c>
      <c r="F482" s="5" t="s">
        <v>46</v>
      </c>
      <c r="G482" s="5" t="s">
        <v>20</v>
      </c>
      <c r="H482" s="5">
        <v>87245.0</v>
      </c>
      <c r="I482" s="5">
        <v>350.0</v>
      </c>
      <c r="J482" s="5">
        <v>71903.0</v>
      </c>
      <c r="K482" s="5">
        <v>80390.0</v>
      </c>
      <c r="L482" s="5">
        <v>2.0</v>
      </c>
      <c r="M482" s="5">
        <v>1500.838771</v>
      </c>
    </row>
    <row r="483">
      <c r="A483" s="4" t="s">
        <v>717</v>
      </c>
      <c r="B483" s="5" t="s">
        <v>15</v>
      </c>
      <c r="C483" s="5" t="s">
        <v>42</v>
      </c>
      <c r="D483" s="5" t="s">
        <v>35</v>
      </c>
      <c r="E483" s="6" t="s">
        <v>718</v>
      </c>
      <c r="F483" s="5" t="s">
        <v>19</v>
      </c>
      <c r="G483" s="5" t="s">
        <v>52</v>
      </c>
      <c r="H483" s="5">
        <v>24962.0</v>
      </c>
      <c r="I483" s="5">
        <v>75.0</v>
      </c>
      <c r="J483" s="5">
        <v>18450.0</v>
      </c>
      <c r="K483" s="5">
        <v>24128.0</v>
      </c>
      <c r="L483" s="5">
        <v>16.0</v>
      </c>
      <c r="M483" s="5">
        <v>6809.056051</v>
      </c>
    </row>
    <row r="484">
      <c r="A484" s="4" t="s">
        <v>719</v>
      </c>
      <c r="B484" s="5" t="s">
        <v>15</v>
      </c>
      <c r="C484" s="5" t="s">
        <v>42</v>
      </c>
      <c r="D484" s="5" t="s">
        <v>95</v>
      </c>
      <c r="E484" s="6" t="s">
        <v>718</v>
      </c>
      <c r="F484" s="5" t="s">
        <v>36</v>
      </c>
      <c r="G484" s="5" t="s">
        <v>27</v>
      </c>
      <c r="H484" s="5">
        <v>57168.0</v>
      </c>
      <c r="I484" s="5">
        <v>160.0</v>
      </c>
      <c r="J484" s="5">
        <v>43261.0</v>
      </c>
      <c r="K484" s="5">
        <v>55261.0</v>
      </c>
      <c r="L484" s="5">
        <v>12.0</v>
      </c>
      <c r="M484" s="5">
        <v>5841.15136</v>
      </c>
    </row>
    <row r="485">
      <c r="A485" s="4" t="s">
        <v>720</v>
      </c>
      <c r="B485" s="5" t="s">
        <v>15</v>
      </c>
      <c r="C485" s="5" t="s">
        <v>16</v>
      </c>
      <c r="D485" s="5" t="s">
        <v>55</v>
      </c>
      <c r="E485" s="6" t="s">
        <v>718</v>
      </c>
      <c r="F485" s="5" t="s">
        <v>33</v>
      </c>
      <c r="G485" s="5" t="s">
        <v>27</v>
      </c>
      <c r="H485" s="5">
        <v>58477.0</v>
      </c>
      <c r="I485" s="5">
        <v>135.0</v>
      </c>
      <c r="J485" s="5">
        <v>43554.0</v>
      </c>
      <c r="K485" s="5">
        <v>56558.0</v>
      </c>
      <c r="L485" s="5">
        <v>19.0</v>
      </c>
      <c r="M485" s="5">
        <v>5247.623883</v>
      </c>
    </row>
    <row r="486">
      <c r="A486" s="4" t="s">
        <v>721</v>
      </c>
      <c r="B486" s="5" t="s">
        <v>15</v>
      </c>
      <c r="C486" s="5" t="s">
        <v>31</v>
      </c>
      <c r="D486" s="5" t="s">
        <v>175</v>
      </c>
      <c r="E486" s="6" t="s">
        <v>718</v>
      </c>
      <c r="F486" s="5" t="s">
        <v>19</v>
      </c>
      <c r="G486" s="5" t="s">
        <v>27</v>
      </c>
      <c r="H486" s="5">
        <v>13202.0</v>
      </c>
      <c r="I486" s="5">
        <v>101.0</v>
      </c>
      <c r="J486" s="5">
        <v>10871.0</v>
      </c>
      <c r="K486" s="5">
        <v>12885.0</v>
      </c>
      <c r="L486" s="5">
        <v>3.0</v>
      </c>
      <c r="M486" s="5">
        <v>1699.060809</v>
      </c>
    </row>
    <row r="487">
      <c r="A487" s="4" t="s">
        <v>722</v>
      </c>
      <c r="B487" s="5" t="s">
        <v>15</v>
      </c>
      <c r="C487" s="5" t="s">
        <v>42</v>
      </c>
      <c r="D487" s="5" t="s">
        <v>55</v>
      </c>
      <c r="E487" s="6" t="s">
        <v>723</v>
      </c>
      <c r="F487" s="5" t="s">
        <v>48</v>
      </c>
      <c r="G487" s="5" t="s">
        <v>27</v>
      </c>
      <c r="H487" s="5">
        <v>8187.0</v>
      </c>
      <c r="I487" s="5">
        <v>20.0</v>
      </c>
      <c r="J487" s="5">
        <v>4888.0</v>
      </c>
      <c r="K487" s="5">
        <v>7510.0</v>
      </c>
      <c r="L487" s="5">
        <v>3.0</v>
      </c>
      <c r="M487" s="5">
        <v>6980.229304</v>
      </c>
    </row>
    <row r="488">
      <c r="A488" s="4" t="s">
        <v>724</v>
      </c>
      <c r="B488" s="5" t="s">
        <v>15</v>
      </c>
      <c r="C488" s="5" t="s">
        <v>23</v>
      </c>
      <c r="D488" s="5" t="s">
        <v>84</v>
      </c>
      <c r="E488" s="6" t="s">
        <v>723</v>
      </c>
      <c r="F488" s="5" t="s">
        <v>26</v>
      </c>
      <c r="G488" s="5" t="s">
        <v>27</v>
      </c>
      <c r="H488" s="5">
        <v>21280.0</v>
      </c>
      <c r="I488" s="5">
        <v>70.0</v>
      </c>
      <c r="J488" s="5">
        <v>15309.0</v>
      </c>
      <c r="K488" s="5">
        <v>20244.0</v>
      </c>
      <c r="L488" s="5">
        <v>6.0</v>
      </c>
      <c r="M488" s="5">
        <v>6837.510602</v>
      </c>
    </row>
    <row r="489">
      <c r="A489" s="4" t="s">
        <v>725</v>
      </c>
      <c r="B489" s="5" t="s">
        <v>22</v>
      </c>
      <c r="C489" s="5" t="s">
        <v>23</v>
      </c>
      <c r="D489" s="5" t="s">
        <v>121</v>
      </c>
      <c r="E489" s="6" t="s">
        <v>723</v>
      </c>
      <c r="F489" s="5" t="s">
        <v>19</v>
      </c>
      <c r="G489" s="5" t="s">
        <v>27</v>
      </c>
      <c r="H489" s="5">
        <v>81567.0</v>
      </c>
      <c r="I489" s="5">
        <v>440.0</v>
      </c>
      <c r="J489" s="5">
        <v>53264.0</v>
      </c>
      <c r="K489" s="5">
        <v>68123.0</v>
      </c>
      <c r="L489" s="5">
        <v>4.0</v>
      </c>
      <c r="M489" s="5">
        <v>6392.471955</v>
      </c>
    </row>
    <row r="490">
      <c r="A490" s="4" t="s">
        <v>726</v>
      </c>
      <c r="B490" s="5" t="s">
        <v>15</v>
      </c>
      <c r="C490" s="5" t="s">
        <v>16</v>
      </c>
      <c r="D490" s="5" t="s">
        <v>356</v>
      </c>
      <c r="E490" s="6" t="s">
        <v>723</v>
      </c>
      <c r="F490" s="5" t="s">
        <v>19</v>
      </c>
      <c r="G490" s="5" t="s">
        <v>27</v>
      </c>
      <c r="H490" s="5">
        <v>17620.0</v>
      </c>
      <c r="I490" s="5">
        <v>52.0</v>
      </c>
      <c r="J490" s="5">
        <v>11197.0</v>
      </c>
      <c r="K490" s="5">
        <v>16687.0</v>
      </c>
      <c r="L490" s="5">
        <v>9.0</v>
      </c>
      <c r="M490" s="5">
        <v>2407.794325</v>
      </c>
    </row>
    <row r="491">
      <c r="A491" s="4" t="s">
        <v>727</v>
      </c>
      <c r="B491" s="5" t="s">
        <v>15</v>
      </c>
      <c r="C491" s="5" t="s">
        <v>23</v>
      </c>
      <c r="D491" s="5" t="s">
        <v>17</v>
      </c>
      <c r="E491" s="6" t="s">
        <v>723</v>
      </c>
      <c r="F491" s="5" t="s">
        <v>19</v>
      </c>
      <c r="G491" s="5" t="s">
        <v>52</v>
      </c>
      <c r="H491" s="5">
        <v>31625.0</v>
      </c>
      <c r="I491" s="5">
        <v>99.0</v>
      </c>
      <c r="J491" s="5">
        <v>23764.0</v>
      </c>
      <c r="K491" s="5">
        <v>29364.0</v>
      </c>
      <c r="L491" s="5">
        <v>6.0</v>
      </c>
      <c r="M491" s="5">
        <v>2360.555244</v>
      </c>
    </row>
    <row r="492">
      <c r="A492" s="4" t="s">
        <v>728</v>
      </c>
      <c r="B492" s="5" t="s">
        <v>22</v>
      </c>
      <c r="C492" s="5" t="s">
        <v>31</v>
      </c>
      <c r="D492" s="5" t="s">
        <v>84</v>
      </c>
      <c r="E492" s="6" t="s">
        <v>723</v>
      </c>
      <c r="F492" s="5" t="s">
        <v>167</v>
      </c>
      <c r="G492" s="5" t="s">
        <v>27</v>
      </c>
      <c r="H492" s="5">
        <v>22175.0</v>
      </c>
      <c r="I492" s="5">
        <v>140.0</v>
      </c>
      <c r="J492" s="5">
        <v>14910.0</v>
      </c>
      <c r="K492" s="5">
        <v>20074.0</v>
      </c>
      <c r="L492" s="5">
        <v>6.0</v>
      </c>
      <c r="M492" s="5">
        <v>1909.277483</v>
      </c>
    </row>
    <row r="493">
      <c r="A493" s="4" t="s">
        <v>729</v>
      </c>
      <c r="B493" s="5" t="s">
        <v>22</v>
      </c>
      <c r="C493" s="5" t="s">
        <v>16</v>
      </c>
      <c r="D493" s="5" t="s">
        <v>35</v>
      </c>
      <c r="E493" s="6" t="s">
        <v>730</v>
      </c>
      <c r="F493" s="5" t="s">
        <v>327</v>
      </c>
      <c r="G493" s="5" t="s">
        <v>27</v>
      </c>
      <c r="H493" s="5">
        <v>56927.0</v>
      </c>
      <c r="I493" s="5">
        <v>165.0</v>
      </c>
      <c r="J493" s="5">
        <v>20980.0</v>
      </c>
      <c r="K493" s="5">
        <v>55050.0</v>
      </c>
      <c r="L493" s="5">
        <v>5.0</v>
      </c>
      <c r="M493" s="5">
        <v>2463.821917</v>
      </c>
    </row>
    <row r="494">
      <c r="A494" s="4" t="s">
        <v>731</v>
      </c>
      <c r="B494" s="5" t="s">
        <v>22</v>
      </c>
      <c r="C494" s="5" t="s">
        <v>23</v>
      </c>
      <c r="D494" s="5" t="s">
        <v>55</v>
      </c>
      <c r="E494" s="6" t="s">
        <v>732</v>
      </c>
      <c r="F494" s="5" t="s">
        <v>46</v>
      </c>
      <c r="G494" s="5" t="s">
        <v>27</v>
      </c>
      <c r="H494" s="5">
        <v>20165.0</v>
      </c>
      <c r="I494" s="5">
        <v>60.0</v>
      </c>
      <c r="J494" s="5">
        <v>6601.0</v>
      </c>
      <c r="K494" s="5">
        <v>18909.0</v>
      </c>
      <c r="L494" s="5">
        <v>10.0</v>
      </c>
      <c r="M494" s="5">
        <v>1743.078687</v>
      </c>
    </row>
    <row r="495">
      <c r="A495" s="4" t="s">
        <v>733</v>
      </c>
      <c r="B495" s="5" t="s">
        <v>15</v>
      </c>
      <c r="C495" s="5" t="s">
        <v>23</v>
      </c>
      <c r="D495" s="5" t="s">
        <v>55</v>
      </c>
      <c r="E495" s="6" t="s">
        <v>732</v>
      </c>
      <c r="F495" s="5" t="s">
        <v>19</v>
      </c>
      <c r="G495" s="5" t="s">
        <v>52</v>
      </c>
      <c r="H495" s="5">
        <v>22501.0</v>
      </c>
      <c r="I495" s="5">
        <v>120.0</v>
      </c>
      <c r="J495" s="5">
        <v>13003.0</v>
      </c>
      <c r="K495" s="5">
        <v>21286.0</v>
      </c>
      <c r="L495" s="5">
        <v>9.0</v>
      </c>
      <c r="M495" s="5">
        <v>1522.517949</v>
      </c>
    </row>
    <row r="496">
      <c r="A496" s="4" t="s">
        <v>734</v>
      </c>
      <c r="B496" s="5" t="s">
        <v>15</v>
      </c>
      <c r="C496" s="5" t="s">
        <v>16</v>
      </c>
      <c r="D496" s="5" t="s">
        <v>32</v>
      </c>
      <c r="E496" s="6" t="s">
        <v>735</v>
      </c>
      <c r="F496" s="5" t="s">
        <v>117</v>
      </c>
      <c r="G496" s="5" t="s">
        <v>20</v>
      </c>
      <c r="H496" s="5">
        <v>123430.0</v>
      </c>
      <c r="I496" s="5">
        <v>360.0</v>
      </c>
      <c r="J496" s="5">
        <v>45294.0</v>
      </c>
      <c r="K496" s="5">
        <v>77646.0</v>
      </c>
      <c r="L496" s="5">
        <v>15.0</v>
      </c>
      <c r="M496" s="5">
        <v>6808.562584</v>
      </c>
    </row>
    <row r="497">
      <c r="A497" s="4" t="s">
        <v>736</v>
      </c>
      <c r="B497" s="5" t="s">
        <v>22</v>
      </c>
      <c r="C497" s="5" t="s">
        <v>16</v>
      </c>
      <c r="D497" s="5" t="s">
        <v>131</v>
      </c>
      <c r="E497" s="6" t="s">
        <v>735</v>
      </c>
      <c r="F497" s="5" t="s">
        <v>19</v>
      </c>
      <c r="G497" s="5" t="s">
        <v>27</v>
      </c>
      <c r="H497" s="5">
        <v>268811.0</v>
      </c>
      <c r="I497" s="5">
        <v>799.0</v>
      </c>
      <c r="J497" s="5">
        <v>95989.0</v>
      </c>
      <c r="K497" s="5">
        <v>173923.0</v>
      </c>
      <c r="L497" s="5">
        <v>4.0</v>
      </c>
      <c r="M497" s="5">
        <v>2549.115158</v>
      </c>
    </row>
    <row r="498">
      <c r="A498" s="4" t="s">
        <v>737</v>
      </c>
      <c r="B498" s="5" t="s">
        <v>15</v>
      </c>
      <c r="C498" s="5" t="s">
        <v>42</v>
      </c>
      <c r="D498" s="5" t="s">
        <v>121</v>
      </c>
      <c r="E498" s="6" t="s">
        <v>735</v>
      </c>
      <c r="F498" s="5" t="s">
        <v>36</v>
      </c>
      <c r="G498" s="5" t="s">
        <v>52</v>
      </c>
      <c r="H498" s="5">
        <v>16669.0</v>
      </c>
      <c r="I498" s="5">
        <v>26.0</v>
      </c>
      <c r="J498" s="5">
        <v>10961.0</v>
      </c>
      <c r="K498" s="5">
        <v>15451.0</v>
      </c>
      <c r="L498" s="5">
        <v>5.0</v>
      </c>
      <c r="M498" s="5">
        <v>1658.358536</v>
      </c>
    </row>
    <row r="499">
      <c r="A499" s="4" t="s">
        <v>738</v>
      </c>
      <c r="B499" s="5" t="s">
        <v>15</v>
      </c>
      <c r="C499" s="5" t="s">
        <v>16</v>
      </c>
      <c r="D499" s="5" t="s">
        <v>32</v>
      </c>
      <c r="E499" s="6" t="s">
        <v>735</v>
      </c>
      <c r="F499" s="5" t="s">
        <v>19</v>
      </c>
      <c r="G499" s="5" t="s">
        <v>27</v>
      </c>
      <c r="H499" s="5">
        <v>9130.0</v>
      </c>
      <c r="I499" s="5">
        <v>33.0</v>
      </c>
      <c r="J499" s="5">
        <v>3721.0</v>
      </c>
      <c r="K499" s="5">
        <v>5564.0</v>
      </c>
      <c r="L499" s="5">
        <v>1.0</v>
      </c>
      <c r="M499" s="5">
        <v>1655.792857</v>
      </c>
    </row>
    <row r="500">
      <c r="A500" s="4" t="s">
        <v>739</v>
      </c>
      <c r="B500" s="5" t="s">
        <v>15</v>
      </c>
      <c r="C500" s="5" t="s">
        <v>42</v>
      </c>
      <c r="D500" s="5" t="s">
        <v>55</v>
      </c>
      <c r="E500" s="6" t="s">
        <v>740</v>
      </c>
      <c r="F500" s="5" t="s">
        <v>19</v>
      </c>
      <c r="G500" s="5" t="s">
        <v>27</v>
      </c>
      <c r="H500" s="5">
        <v>8097.0</v>
      </c>
      <c r="I500" s="5">
        <v>20.0</v>
      </c>
      <c r="J500" s="5">
        <v>4942.0</v>
      </c>
      <c r="K500" s="5">
        <v>6868.0</v>
      </c>
      <c r="L500" s="5">
        <v>1.0</v>
      </c>
      <c r="M500" s="5">
        <v>6177.464545</v>
      </c>
    </row>
    <row r="501">
      <c r="A501" s="4" t="s">
        <v>741</v>
      </c>
      <c r="B501" s="5" t="s">
        <v>15</v>
      </c>
      <c r="C501" s="5" t="s">
        <v>23</v>
      </c>
      <c r="D501" s="5" t="s">
        <v>17</v>
      </c>
      <c r="E501" s="6" t="s">
        <v>740</v>
      </c>
      <c r="F501" s="5" t="s">
        <v>46</v>
      </c>
      <c r="G501" s="5" t="s">
        <v>52</v>
      </c>
      <c r="H501" s="5">
        <v>65243.0</v>
      </c>
      <c r="I501" s="5">
        <v>120.0</v>
      </c>
      <c r="J501" s="5">
        <v>39543.0</v>
      </c>
      <c r="K501" s="5">
        <v>54290.0</v>
      </c>
      <c r="L501" s="5">
        <v>4.0</v>
      </c>
      <c r="M501" s="5">
        <v>3754.685247</v>
      </c>
    </row>
    <row r="502">
      <c r="A502" s="4" t="s">
        <v>742</v>
      </c>
      <c r="B502" s="5" t="s">
        <v>15</v>
      </c>
      <c r="C502" s="5" t="s">
        <v>16</v>
      </c>
      <c r="D502" s="5" t="s">
        <v>39</v>
      </c>
      <c r="E502" s="6" t="s">
        <v>743</v>
      </c>
      <c r="F502" s="5" t="s">
        <v>19</v>
      </c>
      <c r="G502" s="5" t="s">
        <v>27</v>
      </c>
      <c r="H502" s="5">
        <v>224877.0</v>
      </c>
      <c r="I502" s="5">
        <v>805.0</v>
      </c>
      <c r="J502" s="5">
        <v>121175.0</v>
      </c>
      <c r="K502" s="5">
        <v>213280.0</v>
      </c>
      <c r="L502" s="5">
        <v>11.0</v>
      </c>
      <c r="M502" s="5">
        <v>7360.992969</v>
      </c>
    </row>
    <row r="503">
      <c r="A503" s="4" t="s">
        <v>744</v>
      </c>
      <c r="B503" s="5" t="s">
        <v>15</v>
      </c>
      <c r="C503" s="5" t="s">
        <v>23</v>
      </c>
      <c r="D503" s="5" t="s">
        <v>78</v>
      </c>
      <c r="E503" s="6" t="s">
        <v>743</v>
      </c>
      <c r="F503" s="5" t="s">
        <v>46</v>
      </c>
      <c r="G503" s="5" t="s">
        <v>52</v>
      </c>
      <c r="H503" s="5">
        <v>109372.0</v>
      </c>
      <c r="I503" s="5">
        <v>364.0</v>
      </c>
      <c r="J503" s="5">
        <v>58336.0</v>
      </c>
      <c r="K503" s="5">
        <v>103569.0</v>
      </c>
      <c r="L503" s="5">
        <v>21.0</v>
      </c>
      <c r="M503" s="5">
        <v>6928.006202</v>
      </c>
    </row>
    <row r="504">
      <c r="A504" s="4" t="s">
        <v>745</v>
      </c>
      <c r="B504" s="5" t="s">
        <v>22</v>
      </c>
      <c r="C504" s="5" t="s">
        <v>23</v>
      </c>
      <c r="D504" s="5" t="s">
        <v>183</v>
      </c>
      <c r="E504" s="6" t="s">
        <v>743</v>
      </c>
      <c r="F504" s="5" t="s">
        <v>50</v>
      </c>
      <c r="G504" s="5" t="s">
        <v>27</v>
      </c>
      <c r="H504" s="5">
        <v>44889.0</v>
      </c>
      <c r="I504" s="5">
        <v>125.0</v>
      </c>
      <c r="J504" s="5">
        <v>17477.0</v>
      </c>
      <c r="K504" s="5">
        <v>38621.0</v>
      </c>
      <c r="L504" s="5">
        <v>25.0</v>
      </c>
      <c r="M504" s="5">
        <v>6644.954146</v>
      </c>
    </row>
    <row r="505">
      <c r="A505" s="4" t="s">
        <v>746</v>
      </c>
      <c r="B505" s="5" t="s">
        <v>22</v>
      </c>
      <c r="C505" s="5" t="s">
        <v>16</v>
      </c>
      <c r="D505" s="5" t="s">
        <v>204</v>
      </c>
      <c r="E505" s="6" t="s">
        <v>743</v>
      </c>
      <c r="F505" s="5" t="s">
        <v>117</v>
      </c>
      <c r="G505" s="5" t="s">
        <v>27</v>
      </c>
      <c r="H505" s="5">
        <v>42459.0</v>
      </c>
      <c r="I505" s="5">
        <v>121.0</v>
      </c>
      <c r="J505" s="5">
        <v>15187.0</v>
      </c>
      <c r="K505" s="5">
        <v>37408.0</v>
      </c>
      <c r="L505" s="5">
        <v>11.0</v>
      </c>
      <c r="M505" s="5">
        <v>6321.491689</v>
      </c>
    </row>
    <row r="506">
      <c r="A506" s="4" t="s">
        <v>747</v>
      </c>
      <c r="B506" s="5" t="s">
        <v>15</v>
      </c>
      <c r="C506" s="5" t="s">
        <v>23</v>
      </c>
      <c r="D506" s="5" t="s">
        <v>55</v>
      </c>
      <c r="E506" s="6" t="s">
        <v>743</v>
      </c>
      <c r="F506" s="5" t="s">
        <v>117</v>
      </c>
      <c r="G506" s="5" t="s">
        <v>27</v>
      </c>
      <c r="H506" s="5">
        <v>69928.0</v>
      </c>
      <c r="I506" s="5">
        <v>210.0</v>
      </c>
      <c r="J506" s="5">
        <v>30196.0</v>
      </c>
      <c r="K506" s="5">
        <v>62327.0</v>
      </c>
      <c r="L506" s="5">
        <v>9.0</v>
      </c>
      <c r="M506" s="5">
        <v>6318.413085</v>
      </c>
    </row>
    <row r="507">
      <c r="A507" s="4" t="s">
        <v>748</v>
      </c>
      <c r="B507" s="5" t="s">
        <v>22</v>
      </c>
      <c r="C507" s="5" t="s">
        <v>31</v>
      </c>
      <c r="D507" s="5" t="s">
        <v>17</v>
      </c>
      <c r="E507" s="6" t="s">
        <v>743</v>
      </c>
      <c r="F507" s="5" t="s">
        <v>19</v>
      </c>
      <c r="G507" s="5" t="s">
        <v>27</v>
      </c>
      <c r="H507" s="5">
        <v>40859.0</v>
      </c>
      <c r="I507" s="5">
        <v>144.0</v>
      </c>
      <c r="J507" s="5">
        <v>17695.0</v>
      </c>
      <c r="K507" s="5">
        <v>37108.0</v>
      </c>
      <c r="L507" s="5">
        <v>4.0</v>
      </c>
      <c r="M507" s="5">
        <v>6130.368425</v>
      </c>
    </row>
    <row r="508">
      <c r="A508" s="4" t="s">
        <v>749</v>
      </c>
      <c r="B508" s="5" t="s">
        <v>15</v>
      </c>
      <c r="C508" s="5" t="s">
        <v>42</v>
      </c>
      <c r="D508" s="5" t="s">
        <v>35</v>
      </c>
      <c r="E508" s="6" t="s">
        <v>743</v>
      </c>
      <c r="F508" s="5" t="s">
        <v>117</v>
      </c>
      <c r="G508" s="5" t="s">
        <v>52</v>
      </c>
      <c r="H508" s="5">
        <v>16978.0</v>
      </c>
      <c r="I508" s="5">
        <v>30.0</v>
      </c>
      <c r="J508" s="5">
        <v>8367.0</v>
      </c>
      <c r="K508" s="5">
        <v>15731.0</v>
      </c>
      <c r="L508" s="5">
        <v>9.0</v>
      </c>
      <c r="M508" s="5">
        <v>5886.071146</v>
      </c>
    </row>
    <row r="509">
      <c r="A509" s="4" t="s">
        <v>750</v>
      </c>
      <c r="B509" s="5" t="s">
        <v>22</v>
      </c>
      <c r="C509" s="5" t="s">
        <v>16</v>
      </c>
      <c r="D509" s="5" t="s">
        <v>55</v>
      </c>
      <c r="E509" s="6" t="s">
        <v>743</v>
      </c>
      <c r="F509" s="5" t="s">
        <v>36</v>
      </c>
      <c r="G509" s="5" t="s">
        <v>27</v>
      </c>
      <c r="H509" s="5">
        <v>14581.0</v>
      </c>
      <c r="I509" s="5">
        <v>45.0</v>
      </c>
      <c r="J509" s="5">
        <v>3821.0</v>
      </c>
      <c r="K509" s="5">
        <v>12741.0</v>
      </c>
      <c r="L509" s="5">
        <v>6.0</v>
      </c>
      <c r="M509" s="5">
        <v>5296.970091</v>
      </c>
    </row>
    <row r="510">
      <c r="A510" s="4" t="s">
        <v>751</v>
      </c>
      <c r="B510" s="5" t="s">
        <v>15</v>
      </c>
      <c r="C510" s="5" t="s">
        <v>42</v>
      </c>
      <c r="D510" s="5" t="s">
        <v>35</v>
      </c>
      <c r="E510" s="6" t="s">
        <v>743</v>
      </c>
      <c r="F510" s="5" t="s">
        <v>46</v>
      </c>
      <c r="G510" s="5" t="s">
        <v>20</v>
      </c>
      <c r="H510" s="5">
        <v>10815.0</v>
      </c>
      <c r="I510" s="5">
        <v>25.0</v>
      </c>
      <c r="J510" s="5">
        <v>4321.0</v>
      </c>
      <c r="K510" s="5">
        <v>9646.0</v>
      </c>
      <c r="L510" s="5">
        <v>2.0</v>
      </c>
      <c r="M510" s="5">
        <v>4921.594843</v>
      </c>
    </row>
    <row r="511">
      <c r="A511" s="4" t="s">
        <v>752</v>
      </c>
      <c r="B511" s="5" t="s">
        <v>15</v>
      </c>
      <c r="C511" s="5" t="s">
        <v>42</v>
      </c>
      <c r="D511" s="5" t="s">
        <v>240</v>
      </c>
      <c r="E511" s="6" t="s">
        <v>743</v>
      </c>
      <c r="F511" s="5" t="s">
        <v>50</v>
      </c>
      <c r="G511" s="5" t="s">
        <v>20</v>
      </c>
      <c r="H511" s="5">
        <v>114194.0</v>
      </c>
      <c r="I511" s="5">
        <v>380.0</v>
      </c>
      <c r="J511" s="5">
        <v>50923.0</v>
      </c>
      <c r="K511" s="5">
        <v>104074.0</v>
      </c>
      <c r="L511" s="5">
        <v>2.0</v>
      </c>
      <c r="M511" s="5">
        <v>4036.089376</v>
      </c>
    </row>
    <row r="512">
      <c r="A512" s="4" t="s">
        <v>753</v>
      </c>
      <c r="B512" s="5" t="s">
        <v>15</v>
      </c>
      <c r="C512" s="5" t="s">
        <v>16</v>
      </c>
      <c r="D512" s="5" t="s">
        <v>356</v>
      </c>
      <c r="E512" s="6" t="s">
        <v>743</v>
      </c>
      <c r="F512" s="5" t="s">
        <v>19</v>
      </c>
      <c r="G512" s="5" t="s">
        <v>27</v>
      </c>
      <c r="H512" s="5">
        <v>15449.0</v>
      </c>
      <c r="I512" s="5">
        <v>50.0</v>
      </c>
      <c r="J512" s="5">
        <v>4595.0</v>
      </c>
      <c r="K512" s="5">
        <v>13765.0</v>
      </c>
      <c r="L512" s="5">
        <v>1.0</v>
      </c>
      <c r="M512" s="5">
        <v>3122.942574</v>
      </c>
    </row>
    <row r="513">
      <c r="A513" s="4" t="s">
        <v>754</v>
      </c>
      <c r="B513" s="5" t="s">
        <v>15</v>
      </c>
      <c r="C513" s="5" t="s">
        <v>31</v>
      </c>
      <c r="D513" s="5" t="s">
        <v>78</v>
      </c>
      <c r="E513" s="6" t="s">
        <v>743</v>
      </c>
      <c r="F513" s="5" t="s">
        <v>191</v>
      </c>
      <c r="G513" s="5" t="s">
        <v>27</v>
      </c>
      <c r="H513" s="5">
        <v>114267.0</v>
      </c>
      <c r="I513" s="5">
        <v>110.0</v>
      </c>
      <c r="J513" s="5">
        <v>60964.0</v>
      </c>
      <c r="K513" s="5">
        <v>108301.0</v>
      </c>
      <c r="L513" s="5">
        <v>5.0</v>
      </c>
      <c r="M513" s="5">
        <v>2679.154068</v>
      </c>
    </row>
    <row r="514">
      <c r="A514" s="4" t="s">
        <v>755</v>
      </c>
      <c r="B514" s="5" t="s">
        <v>15</v>
      </c>
      <c r="C514" s="5" t="s">
        <v>16</v>
      </c>
      <c r="D514" s="5" t="s">
        <v>173</v>
      </c>
      <c r="E514" s="6" t="s">
        <v>743</v>
      </c>
      <c r="F514" s="5" t="s">
        <v>26</v>
      </c>
      <c r="G514" s="5" t="s">
        <v>20</v>
      </c>
      <c r="H514" s="5">
        <v>65043.0</v>
      </c>
      <c r="I514" s="5">
        <v>160.0</v>
      </c>
      <c r="J514" s="5">
        <v>25871.0</v>
      </c>
      <c r="K514" s="5">
        <v>53969.0</v>
      </c>
      <c r="L514" s="5">
        <v>4.0</v>
      </c>
      <c r="M514" s="5">
        <v>2347.918531</v>
      </c>
    </row>
    <row r="515">
      <c r="A515" s="4" t="s">
        <v>756</v>
      </c>
      <c r="B515" s="5" t="s">
        <v>22</v>
      </c>
      <c r="C515" s="5" t="s">
        <v>23</v>
      </c>
      <c r="D515" s="5" t="s">
        <v>35</v>
      </c>
      <c r="E515" s="6" t="s">
        <v>743</v>
      </c>
      <c r="F515" s="5" t="s">
        <v>19</v>
      </c>
      <c r="G515" s="5" t="s">
        <v>27</v>
      </c>
      <c r="H515" s="5">
        <v>85280.0</v>
      </c>
      <c r="I515" s="5">
        <v>211.0</v>
      </c>
      <c r="J515" s="5">
        <v>35860.0</v>
      </c>
      <c r="K515" s="5">
        <v>79837.0</v>
      </c>
      <c r="L515" s="5">
        <v>5.0</v>
      </c>
      <c r="M515" s="5">
        <v>2217.932092</v>
      </c>
    </row>
    <row r="516">
      <c r="A516" s="4" t="s">
        <v>757</v>
      </c>
      <c r="B516" s="5" t="s">
        <v>22</v>
      </c>
      <c r="C516" s="5" t="s">
        <v>16</v>
      </c>
      <c r="D516" s="5" t="s">
        <v>35</v>
      </c>
      <c r="E516" s="6" t="s">
        <v>743</v>
      </c>
      <c r="F516" s="5" t="s">
        <v>36</v>
      </c>
      <c r="G516" s="5" t="s">
        <v>27</v>
      </c>
      <c r="H516" s="5">
        <v>51515.0</v>
      </c>
      <c r="I516" s="5">
        <v>144.0</v>
      </c>
      <c r="J516" s="5">
        <v>18304.0</v>
      </c>
      <c r="K516" s="5">
        <v>44891.0</v>
      </c>
      <c r="L516" s="5">
        <v>14.0</v>
      </c>
      <c r="M516" s="5">
        <v>2160.307325</v>
      </c>
    </row>
    <row r="517">
      <c r="A517" s="4" t="s">
        <v>758</v>
      </c>
      <c r="B517" s="5" t="s">
        <v>22</v>
      </c>
      <c r="C517" s="5" t="s">
        <v>42</v>
      </c>
      <c r="D517" s="5" t="s">
        <v>66</v>
      </c>
      <c r="E517" s="6" t="s">
        <v>743</v>
      </c>
      <c r="F517" s="5" t="s">
        <v>46</v>
      </c>
      <c r="G517" s="5" t="s">
        <v>27</v>
      </c>
      <c r="H517" s="5">
        <v>43666.0</v>
      </c>
      <c r="I517" s="5">
        <v>133.0</v>
      </c>
      <c r="J517" s="5">
        <v>18513.0</v>
      </c>
      <c r="K517" s="5">
        <v>40506.0</v>
      </c>
      <c r="L517" s="5">
        <v>18.0</v>
      </c>
      <c r="M517" s="5">
        <v>1980.393834</v>
      </c>
    </row>
    <row r="518">
      <c r="A518" s="4" t="s">
        <v>759</v>
      </c>
      <c r="B518" s="5" t="s">
        <v>15</v>
      </c>
      <c r="C518" s="5" t="s">
        <v>31</v>
      </c>
      <c r="D518" s="5" t="s">
        <v>35</v>
      </c>
      <c r="E518" s="6" t="s">
        <v>743</v>
      </c>
      <c r="F518" s="5" t="s">
        <v>19</v>
      </c>
      <c r="G518" s="5" t="s">
        <v>20</v>
      </c>
      <c r="H518" s="5">
        <v>48892.0</v>
      </c>
      <c r="I518" s="5">
        <v>110.0</v>
      </c>
      <c r="J518" s="5">
        <v>32060.0</v>
      </c>
      <c r="K518" s="5">
        <v>45251.0</v>
      </c>
      <c r="L518" s="5">
        <v>9.0</v>
      </c>
      <c r="M518" s="5">
        <v>1978.609661</v>
      </c>
    </row>
    <row r="519">
      <c r="A519" s="4" t="s">
        <v>760</v>
      </c>
      <c r="B519" s="5" t="s">
        <v>22</v>
      </c>
      <c r="C519" s="5" t="s">
        <v>16</v>
      </c>
      <c r="D519" s="5" t="s">
        <v>55</v>
      </c>
      <c r="E519" s="6" t="s">
        <v>743</v>
      </c>
      <c r="F519" s="5" t="s">
        <v>19</v>
      </c>
      <c r="G519" s="5" t="s">
        <v>27</v>
      </c>
      <c r="H519" s="5">
        <v>104814.0</v>
      </c>
      <c r="I519" s="5">
        <v>369.0</v>
      </c>
      <c r="J519" s="5">
        <v>55984.0</v>
      </c>
      <c r="K519" s="5">
        <v>99432.0</v>
      </c>
      <c r="L519" s="5">
        <v>5.0</v>
      </c>
      <c r="M519" s="5">
        <v>1942.847513</v>
      </c>
    </row>
    <row r="520">
      <c r="A520" s="4" t="s">
        <v>761</v>
      </c>
      <c r="B520" s="5" t="s">
        <v>22</v>
      </c>
      <c r="C520" s="5" t="s">
        <v>42</v>
      </c>
      <c r="D520" s="5" t="s">
        <v>29</v>
      </c>
      <c r="E520" s="6" t="s">
        <v>743</v>
      </c>
      <c r="F520" s="5" t="s">
        <v>46</v>
      </c>
      <c r="G520" s="5" t="s">
        <v>27</v>
      </c>
      <c r="H520" s="5">
        <v>64577.0</v>
      </c>
      <c r="I520" s="5">
        <v>240.0</v>
      </c>
      <c r="J520" s="5">
        <v>37732.0</v>
      </c>
      <c r="K520" s="5">
        <v>60357.0</v>
      </c>
      <c r="L520" s="5">
        <v>11.0</v>
      </c>
      <c r="M520" s="5">
        <v>1801.349131</v>
      </c>
    </row>
    <row r="521">
      <c r="A521" s="4" t="s">
        <v>762</v>
      </c>
      <c r="B521" s="5" t="s">
        <v>15</v>
      </c>
      <c r="C521" s="5" t="s">
        <v>23</v>
      </c>
      <c r="D521" s="5" t="s">
        <v>39</v>
      </c>
      <c r="E521" s="6" t="s">
        <v>743</v>
      </c>
      <c r="F521" s="5" t="s">
        <v>46</v>
      </c>
      <c r="G521" s="5" t="s">
        <v>20</v>
      </c>
      <c r="H521" s="5">
        <v>49412.0</v>
      </c>
      <c r="I521" s="5">
        <v>170.0</v>
      </c>
      <c r="J521" s="5">
        <v>22155.0</v>
      </c>
      <c r="K521" s="5">
        <v>43802.0</v>
      </c>
      <c r="L521" s="5">
        <v>3.0</v>
      </c>
      <c r="M521" s="5">
        <v>1595.659466</v>
      </c>
    </row>
    <row r="522">
      <c r="A522" s="4" t="s">
        <v>763</v>
      </c>
      <c r="B522" s="5" t="s">
        <v>15</v>
      </c>
      <c r="C522" s="5" t="s">
        <v>16</v>
      </c>
      <c r="D522" s="5" t="s">
        <v>32</v>
      </c>
      <c r="E522" s="6" t="s">
        <v>743</v>
      </c>
      <c r="F522" s="5" t="s">
        <v>26</v>
      </c>
      <c r="G522" s="5" t="s">
        <v>20</v>
      </c>
      <c r="H522" s="5">
        <v>11269.0</v>
      </c>
      <c r="I522" s="5">
        <v>63.0</v>
      </c>
      <c r="J522" s="5">
        <v>4992.0</v>
      </c>
      <c r="K522" s="5">
        <v>10245.0</v>
      </c>
      <c r="L522" s="5">
        <v>3.0</v>
      </c>
      <c r="M522" s="5">
        <v>1576.38921</v>
      </c>
    </row>
    <row r="523">
      <c r="A523" s="4" t="s">
        <v>764</v>
      </c>
      <c r="B523" s="5" t="s">
        <v>22</v>
      </c>
      <c r="C523" s="5" t="s">
        <v>16</v>
      </c>
      <c r="D523" s="5" t="s">
        <v>78</v>
      </c>
      <c r="E523" s="6" t="s">
        <v>743</v>
      </c>
      <c r="F523" s="5" t="s">
        <v>46</v>
      </c>
      <c r="G523" s="5" t="s">
        <v>27</v>
      </c>
      <c r="H523" s="5">
        <v>15318.0</v>
      </c>
      <c r="I523" s="5">
        <v>30.0</v>
      </c>
      <c r="J523" s="5">
        <v>5928.0</v>
      </c>
      <c r="K523" s="5">
        <v>13298.0</v>
      </c>
      <c r="L523" s="5">
        <v>19.0</v>
      </c>
      <c r="M523" s="5">
        <v>1570.29739</v>
      </c>
    </row>
    <row r="524">
      <c r="A524" s="4" t="s">
        <v>765</v>
      </c>
      <c r="B524" s="5" t="s">
        <v>61</v>
      </c>
      <c r="C524" s="5" t="s">
        <v>42</v>
      </c>
      <c r="D524" s="5" t="s">
        <v>29</v>
      </c>
      <c r="E524" s="6" t="s">
        <v>743</v>
      </c>
      <c r="F524" s="5" t="s">
        <v>46</v>
      </c>
      <c r="G524" s="5" t="s">
        <v>27</v>
      </c>
      <c r="H524" s="5">
        <v>10819.0</v>
      </c>
      <c r="I524" s="5">
        <v>20.0</v>
      </c>
      <c r="J524" s="5">
        <v>4168.0</v>
      </c>
      <c r="K524" s="5">
        <v>9768.0</v>
      </c>
      <c r="L524" s="5">
        <v>2.0</v>
      </c>
      <c r="M524" s="5">
        <v>1504.329214</v>
      </c>
    </row>
    <row r="525">
      <c r="A525" s="4" t="s">
        <v>766</v>
      </c>
      <c r="B525" s="5" t="s">
        <v>15</v>
      </c>
      <c r="C525" s="5" t="s">
        <v>16</v>
      </c>
      <c r="D525" s="5" t="s">
        <v>32</v>
      </c>
      <c r="E525" s="6" t="s">
        <v>743</v>
      </c>
      <c r="F525" s="5" t="s">
        <v>46</v>
      </c>
      <c r="G525" s="5" t="s">
        <v>27</v>
      </c>
      <c r="H525" s="5">
        <v>30714.0</v>
      </c>
      <c r="I525" s="5">
        <v>111.0</v>
      </c>
      <c r="J525" s="5">
        <v>12531.0</v>
      </c>
      <c r="K525" s="5">
        <v>28461.0</v>
      </c>
      <c r="L525" s="5">
        <v>9.0</v>
      </c>
      <c r="M525" s="5">
        <v>1503.484311</v>
      </c>
    </row>
    <row r="526">
      <c r="A526" s="4" t="s">
        <v>767</v>
      </c>
      <c r="B526" s="5" t="s">
        <v>22</v>
      </c>
      <c r="C526" s="5" t="s">
        <v>16</v>
      </c>
      <c r="D526" s="5" t="s">
        <v>17</v>
      </c>
      <c r="E526" s="6" t="s">
        <v>768</v>
      </c>
      <c r="F526" s="5" t="s">
        <v>48</v>
      </c>
      <c r="G526" s="5" t="s">
        <v>27</v>
      </c>
      <c r="H526" s="5">
        <v>37617.0</v>
      </c>
      <c r="I526" s="5">
        <v>85.0</v>
      </c>
      <c r="J526" s="5">
        <v>5092.0</v>
      </c>
      <c r="K526" s="5">
        <v>34373.0</v>
      </c>
      <c r="L526" s="5">
        <v>6.0</v>
      </c>
      <c r="M526" s="5">
        <v>1608.882952</v>
      </c>
    </row>
    <row r="527">
      <c r="A527" s="4" t="s">
        <v>769</v>
      </c>
      <c r="B527" s="5" t="s">
        <v>15</v>
      </c>
      <c r="C527" s="5" t="s">
        <v>23</v>
      </c>
      <c r="D527" s="5" t="s">
        <v>55</v>
      </c>
      <c r="E527" s="6" t="s">
        <v>770</v>
      </c>
      <c r="F527" s="5" t="s">
        <v>19</v>
      </c>
      <c r="G527" s="5" t="s">
        <v>52</v>
      </c>
      <c r="H527" s="5">
        <v>219088.0</v>
      </c>
      <c r="I527" s="5">
        <v>541.0</v>
      </c>
      <c r="J527" s="5">
        <v>75638.0</v>
      </c>
      <c r="K527" s="5">
        <v>153987.0</v>
      </c>
      <c r="L527" s="5">
        <v>17.0</v>
      </c>
      <c r="M527" s="5">
        <v>6761.073824</v>
      </c>
    </row>
    <row r="528">
      <c r="A528" s="4" t="s">
        <v>771</v>
      </c>
      <c r="B528" s="5" t="s">
        <v>15</v>
      </c>
      <c r="C528" s="5" t="s">
        <v>31</v>
      </c>
      <c r="D528" s="5" t="s">
        <v>24</v>
      </c>
      <c r="E528" s="6" t="s">
        <v>772</v>
      </c>
      <c r="F528" s="5" t="s">
        <v>46</v>
      </c>
      <c r="G528" s="5" t="s">
        <v>27</v>
      </c>
      <c r="H528" s="5">
        <v>15277.0</v>
      </c>
      <c r="I528" s="5">
        <v>69.0</v>
      </c>
      <c r="J528" s="5">
        <v>3089.0</v>
      </c>
      <c r="K528" s="5">
        <v>13644.0</v>
      </c>
      <c r="L528" s="5">
        <v>4.0</v>
      </c>
      <c r="M528" s="5">
        <v>1904.564346</v>
      </c>
    </row>
    <row r="529">
      <c r="A529" s="4" t="s">
        <v>773</v>
      </c>
      <c r="B529" s="5" t="s">
        <v>15</v>
      </c>
      <c r="C529" s="5" t="s">
        <v>42</v>
      </c>
      <c r="D529" s="5" t="s">
        <v>204</v>
      </c>
      <c r="E529" s="6" t="s">
        <v>772</v>
      </c>
      <c r="F529" s="5" t="s">
        <v>19</v>
      </c>
      <c r="G529" s="5" t="s">
        <v>52</v>
      </c>
      <c r="H529" s="5">
        <v>34278.0</v>
      </c>
      <c r="I529" s="5">
        <v>100.0</v>
      </c>
      <c r="J529" s="5">
        <v>3704.0</v>
      </c>
      <c r="K529" s="5">
        <v>30227.0</v>
      </c>
      <c r="L529" s="5">
        <v>6.0</v>
      </c>
      <c r="M529" s="5">
        <v>1689.083186</v>
      </c>
    </row>
    <row r="530">
      <c r="A530" s="4" t="s">
        <v>774</v>
      </c>
      <c r="B530" s="5" t="s">
        <v>15</v>
      </c>
      <c r="C530" s="5" t="s">
        <v>31</v>
      </c>
      <c r="D530" s="5" t="s">
        <v>78</v>
      </c>
      <c r="E530" s="6" t="s">
        <v>775</v>
      </c>
      <c r="F530" s="5" t="s">
        <v>50</v>
      </c>
      <c r="G530" s="5" t="s">
        <v>27</v>
      </c>
      <c r="H530" s="5">
        <v>13382.0</v>
      </c>
      <c r="I530" s="5">
        <v>68.0</v>
      </c>
      <c r="J530" s="5">
        <v>3340.0</v>
      </c>
      <c r="K530" s="5">
        <v>11662.0</v>
      </c>
      <c r="L530" s="5">
        <v>1.0</v>
      </c>
      <c r="M530" s="5">
        <v>1447.927193</v>
      </c>
    </row>
    <row r="531">
      <c r="A531" s="4" t="s">
        <v>776</v>
      </c>
      <c r="B531" s="5" t="s">
        <v>22</v>
      </c>
      <c r="C531" s="5" t="s">
        <v>23</v>
      </c>
      <c r="D531" s="5" t="s">
        <v>777</v>
      </c>
      <c r="E531" s="6" t="s">
        <v>778</v>
      </c>
      <c r="F531" s="5" t="s">
        <v>36</v>
      </c>
      <c r="G531" s="5" t="s">
        <v>27</v>
      </c>
      <c r="H531" s="5">
        <v>9319.0</v>
      </c>
      <c r="I531" s="5">
        <v>30.0</v>
      </c>
      <c r="J531" s="5">
        <v>6193.0</v>
      </c>
      <c r="K531" s="5">
        <v>8682.0</v>
      </c>
      <c r="L531" s="5">
        <v>12.0</v>
      </c>
      <c r="M531" s="5">
        <v>4594.604003</v>
      </c>
    </row>
    <row r="532">
      <c r="A532" s="4" t="s">
        <v>779</v>
      </c>
      <c r="B532" s="5" t="s">
        <v>22</v>
      </c>
      <c r="C532" s="5" t="s">
        <v>31</v>
      </c>
      <c r="D532" s="5" t="s">
        <v>35</v>
      </c>
      <c r="E532" s="6" t="s">
        <v>778</v>
      </c>
      <c r="F532" s="5" t="s">
        <v>80</v>
      </c>
      <c r="G532" s="5" t="s">
        <v>27</v>
      </c>
      <c r="H532" s="5">
        <v>16791.0</v>
      </c>
      <c r="I532" s="5">
        <v>40.0</v>
      </c>
      <c r="J532" s="5">
        <v>11402.0</v>
      </c>
      <c r="K532" s="5">
        <v>14231.0</v>
      </c>
      <c r="L532" s="5">
        <v>3.0</v>
      </c>
      <c r="M532" s="5">
        <v>1522.512272</v>
      </c>
    </row>
    <row r="533">
      <c r="A533" s="4" t="s">
        <v>780</v>
      </c>
      <c r="B533" s="5" t="s">
        <v>22</v>
      </c>
      <c r="C533" s="5" t="s">
        <v>31</v>
      </c>
      <c r="D533" s="5" t="s">
        <v>78</v>
      </c>
      <c r="E533" s="6" t="s">
        <v>781</v>
      </c>
      <c r="F533" s="5" t="s">
        <v>136</v>
      </c>
      <c r="G533" s="5" t="s">
        <v>27</v>
      </c>
      <c r="H533" s="5">
        <v>19334.0</v>
      </c>
      <c r="I533" s="5">
        <v>40.0</v>
      </c>
      <c r="J533" s="5">
        <v>8673.0</v>
      </c>
      <c r="K533" s="5">
        <v>18578.0</v>
      </c>
      <c r="L533" s="5">
        <v>11.0</v>
      </c>
      <c r="M533" s="5">
        <v>7292.135059</v>
      </c>
    </row>
    <row r="534">
      <c r="A534" s="4" t="s">
        <v>782</v>
      </c>
      <c r="B534" s="5" t="s">
        <v>22</v>
      </c>
      <c r="C534" s="5" t="s">
        <v>23</v>
      </c>
      <c r="D534" s="5" t="s">
        <v>78</v>
      </c>
      <c r="E534" s="6" t="s">
        <v>781</v>
      </c>
      <c r="F534" s="5" t="s">
        <v>19</v>
      </c>
      <c r="G534" s="5" t="s">
        <v>27</v>
      </c>
      <c r="H534" s="5">
        <v>25835.0</v>
      </c>
      <c r="I534" s="5">
        <v>69.0</v>
      </c>
      <c r="J534" s="5">
        <v>3753.0</v>
      </c>
      <c r="K534" s="5">
        <v>20808.0</v>
      </c>
      <c r="L534" s="5">
        <v>11.0</v>
      </c>
      <c r="M534" s="5">
        <v>5751.912297</v>
      </c>
    </row>
    <row r="535">
      <c r="A535" s="4" t="s">
        <v>783</v>
      </c>
      <c r="B535" s="5" t="s">
        <v>15</v>
      </c>
      <c r="C535" s="5" t="s">
        <v>31</v>
      </c>
      <c r="D535" s="5" t="s">
        <v>78</v>
      </c>
      <c r="E535" s="6" t="s">
        <v>781</v>
      </c>
      <c r="F535" s="5" t="s">
        <v>19</v>
      </c>
      <c r="G535" s="5" t="s">
        <v>52</v>
      </c>
      <c r="H535" s="5">
        <v>33650.0</v>
      </c>
      <c r="I535" s="5">
        <v>100.0</v>
      </c>
      <c r="J535" s="5">
        <v>15621.0</v>
      </c>
      <c r="K535" s="5">
        <v>32539.0</v>
      </c>
      <c r="L535" s="5">
        <v>9.0</v>
      </c>
      <c r="M535" s="5">
        <v>3844.991165</v>
      </c>
    </row>
    <row r="536">
      <c r="A536" s="4" t="s">
        <v>784</v>
      </c>
      <c r="B536" s="5" t="s">
        <v>22</v>
      </c>
      <c r="C536" s="5" t="s">
        <v>16</v>
      </c>
      <c r="D536" s="5" t="s">
        <v>147</v>
      </c>
      <c r="E536" s="6" t="s">
        <v>785</v>
      </c>
      <c r="F536" s="5" t="s">
        <v>19</v>
      </c>
      <c r="G536" s="5" t="s">
        <v>27</v>
      </c>
      <c r="H536" s="5">
        <v>13168.0</v>
      </c>
      <c r="I536" s="5">
        <v>84.0</v>
      </c>
      <c r="J536" s="5">
        <v>8527.0</v>
      </c>
      <c r="K536" s="5">
        <v>12625.0</v>
      </c>
      <c r="L536" s="5">
        <v>4.0</v>
      </c>
      <c r="M536" s="5">
        <v>1639.72335</v>
      </c>
    </row>
    <row r="537">
      <c r="A537" s="4" t="s">
        <v>786</v>
      </c>
      <c r="B537" s="5" t="s">
        <v>15</v>
      </c>
      <c r="C537" s="5" t="s">
        <v>16</v>
      </c>
      <c r="D537" s="5" t="s">
        <v>35</v>
      </c>
      <c r="E537" s="6" t="s">
        <v>787</v>
      </c>
      <c r="F537" s="5" t="s">
        <v>19</v>
      </c>
      <c r="G537" s="5" t="s">
        <v>52</v>
      </c>
      <c r="H537" s="5">
        <v>26415.0</v>
      </c>
      <c r="I537" s="5">
        <v>60.0</v>
      </c>
      <c r="J537" s="5">
        <v>13791.0</v>
      </c>
      <c r="K537" s="5">
        <v>25315.0</v>
      </c>
      <c r="L537" s="5">
        <v>11.0</v>
      </c>
      <c r="M537" s="5">
        <v>6450.918637</v>
      </c>
    </row>
    <row r="538">
      <c r="A538" s="4" t="s">
        <v>788</v>
      </c>
      <c r="B538" s="5" t="s">
        <v>15</v>
      </c>
      <c r="C538" s="5" t="s">
        <v>23</v>
      </c>
      <c r="D538" s="5" t="s">
        <v>32</v>
      </c>
      <c r="E538" s="6" t="s">
        <v>789</v>
      </c>
      <c r="F538" s="5" t="s">
        <v>46</v>
      </c>
      <c r="G538" s="5" t="s">
        <v>27</v>
      </c>
      <c r="H538" s="5">
        <v>13347.0</v>
      </c>
      <c r="I538" s="5">
        <v>80.0</v>
      </c>
      <c r="J538" s="5">
        <v>8357.0</v>
      </c>
      <c r="K538" s="5">
        <v>11461.0</v>
      </c>
      <c r="L538" s="5">
        <v>10.0</v>
      </c>
      <c r="M538" s="5">
        <v>1543.66142</v>
      </c>
    </row>
    <row r="539">
      <c r="A539" s="4" t="s">
        <v>790</v>
      </c>
      <c r="B539" s="5" t="s">
        <v>22</v>
      </c>
      <c r="C539" s="5" t="s">
        <v>31</v>
      </c>
      <c r="D539" s="5" t="s">
        <v>78</v>
      </c>
      <c r="E539" s="6" t="s">
        <v>791</v>
      </c>
      <c r="F539" s="5" t="s">
        <v>48</v>
      </c>
      <c r="G539" s="5" t="s">
        <v>27</v>
      </c>
      <c r="H539" s="5">
        <v>20885.0</v>
      </c>
      <c r="I539" s="5">
        <v>99.0</v>
      </c>
      <c r="J539" s="5">
        <v>9901.0</v>
      </c>
      <c r="K539" s="5">
        <v>16266.0</v>
      </c>
      <c r="L539" s="5">
        <v>15.0</v>
      </c>
      <c r="M539" s="5">
        <v>2496.785436</v>
      </c>
    </row>
    <row r="540">
      <c r="A540" s="4" t="s">
        <v>792</v>
      </c>
      <c r="B540" s="5" t="s">
        <v>15</v>
      </c>
      <c r="C540" s="5" t="s">
        <v>42</v>
      </c>
      <c r="D540" s="5" t="s">
        <v>35</v>
      </c>
      <c r="E540" s="6" t="s">
        <v>793</v>
      </c>
      <c r="F540" s="5" t="s">
        <v>117</v>
      </c>
      <c r="G540" s="5" t="s">
        <v>27</v>
      </c>
      <c r="H540" s="5">
        <v>11289.0</v>
      </c>
      <c r="I540" s="5">
        <v>97.0</v>
      </c>
      <c r="J540" s="5">
        <v>1345.0</v>
      </c>
      <c r="K540" s="5">
        <v>8187.0</v>
      </c>
      <c r="L540" s="5">
        <v>3.0</v>
      </c>
      <c r="M540" s="5">
        <v>1665.160445</v>
      </c>
    </row>
    <row r="541">
      <c r="A541" s="4" t="s">
        <v>794</v>
      </c>
      <c r="B541" s="5" t="s">
        <v>15</v>
      </c>
      <c r="C541" s="5" t="s">
        <v>31</v>
      </c>
      <c r="D541" s="5" t="s">
        <v>24</v>
      </c>
      <c r="E541" s="6" t="s">
        <v>795</v>
      </c>
      <c r="F541" s="5" t="s">
        <v>36</v>
      </c>
      <c r="G541" s="5" t="s">
        <v>27</v>
      </c>
      <c r="H541" s="5">
        <v>10389.0</v>
      </c>
      <c r="I541" s="5">
        <v>55.0</v>
      </c>
      <c r="J541" s="5">
        <v>8161.0</v>
      </c>
      <c r="K541" s="5">
        <v>9951.0</v>
      </c>
      <c r="L541" s="5">
        <v>2.0</v>
      </c>
      <c r="M541" s="5">
        <v>2582.493847</v>
      </c>
    </row>
    <row r="542">
      <c r="A542" s="4" t="s">
        <v>796</v>
      </c>
      <c r="B542" s="5" t="s">
        <v>15</v>
      </c>
      <c r="C542" s="5" t="s">
        <v>42</v>
      </c>
      <c r="D542" s="5" t="s">
        <v>35</v>
      </c>
      <c r="E542" s="6" t="s">
        <v>795</v>
      </c>
      <c r="F542" s="5" t="s">
        <v>19</v>
      </c>
      <c r="G542" s="5" t="s">
        <v>52</v>
      </c>
      <c r="H542" s="5">
        <v>62040.0</v>
      </c>
      <c r="I542" s="5">
        <v>174.0</v>
      </c>
      <c r="J542" s="5">
        <v>43853.0</v>
      </c>
      <c r="K542" s="5">
        <v>58642.0</v>
      </c>
      <c r="L542" s="5">
        <v>15.0</v>
      </c>
      <c r="M542" s="5">
        <v>2139.065793</v>
      </c>
    </row>
    <row r="543">
      <c r="A543" s="4" t="s">
        <v>797</v>
      </c>
      <c r="B543" s="5" t="s">
        <v>15</v>
      </c>
      <c r="C543" s="5" t="s">
        <v>42</v>
      </c>
      <c r="D543" s="5" t="s">
        <v>78</v>
      </c>
      <c r="E543" s="6" t="s">
        <v>795</v>
      </c>
      <c r="F543" s="5" t="s">
        <v>46</v>
      </c>
      <c r="G543" s="5" t="s">
        <v>27</v>
      </c>
      <c r="H543" s="5">
        <v>83537.0</v>
      </c>
      <c r="I543" s="5">
        <v>222.0</v>
      </c>
      <c r="J543" s="5">
        <v>67987.0</v>
      </c>
      <c r="K543" s="5">
        <v>79409.0</v>
      </c>
      <c r="L543" s="5">
        <v>4.0</v>
      </c>
      <c r="M543" s="5">
        <v>1761.079323</v>
      </c>
    </row>
    <row r="544">
      <c r="A544" s="4" t="s">
        <v>798</v>
      </c>
      <c r="B544" s="5" t="s">
        <v>61</v>
      </c>
      <c r="C544" s="5" t="s">
        <v>23</v>
      </c>
      <c r="D544" s="5" t="s">
        <v>45</v>
      </c>
      <c r="E544" s="6" t="s">
        <v>795</v>
      </c>
      <c r="F544" s="5" t="s">
        <v>19</v>
      </c>
      <c r="G544" s="5" t="s">
        <v>27</v>
      </c>
      <c r="H544" s="5">
        <v>81054.0</v>
      </c>
      <c r="I544" s="5">
        <v>265.0</v>
      </c>
      <c r="J544" s="5">
        <v>56762.0</v>
      </c>
      <c r="K544" s="5">
        <v>76198.0</v>
      </c>
      <c r="L544" s="5">
        <v>16.0</v>
      </c>
      <c r="M544" s="5">
        <v>1532.357841</v>
      </c>
    </row>
    <row r="545">
      <c r="A545" s="4" t="s">
        <v>799</v>
      </c>
      <c r="B545" s="5" t="s">
        <v>15</v>
      </c>
      <c r="C545" s="5" t="s">
        <v>42</v>
      </c>
      <c r="D545" s="5" t="s">
        <v>173</v>
      </c>
      <c r="E545" s="6" t="s">
        <v>795</v>
      </c>
      <c r="F545" s="5" t="s">
        <v>191</v>
      </c>
      <c r="G545" s="5" t="s">
        <v>52</v>
      </c>
      <c r="H545" s="5">
        <v>35043.0</v>
      </c>
      <c r="I545" s="5">
        <v>140.0</v>
      </c>
      <c r="J545" s="5">
        <v>20942.0</v>
      </c>
      <c r="K545" s="5">
        <v>33479.0</v>
      </c>
      <c r="L545" s="5">
        <v>24.0</v>
      </c>
      <c r="M545" s="5">
        <v>1527.97628</v>
      </c>
    </row>
    <row r="546">
      <c r="A546" s="4" t="s">
        <v>800</v>
      </c>
      <c r="B546" s="5" t="s">
        <v>22</v>
      </c>
      <c r="C546" s="5" t="s">
        <v>23</v>
      </c>
      <c r="D546" s="5" t="s">
        <v>181</v>
      </c>
      <c r="E546" s="6" t="s">
        <v>801</v>
      </c>
      <c r="F546" s="5" t="s">
        <v>19</v>
      </c>
      <c r="G546" s="5" t="s">
        <v>27</v>
      </c>
      <c r="H546" s="5">
        <v>14509.0</v>
      </c>
      <c r="I546" s="5">
        <v>90.0</v>
      </c>
      <c r="J546" s="5">
        <v>866.0</v>
      </c>
      <c r="K546" s="5">
        <v>13268.0</v>
      </c>
      <c r="L546" s="5">
        <v>8.0</v>
      </c>
      <c r="M546" s="5">
        <v>5521.18913</v>
      </c>
    </row>
    <row r="547">
      <c r="A547" s="4" t="s">
        <v>802</v>
      </c>
      <c r="B547" s="5" t="s">
        <v>15</v>
      </c>
      <c r="C547" s="5" t="s">
        <v>23</v>
      </c>
      <c r="D547" s="5" t="s">
        <v>24</v>
      </c>
      <c r="E547" s="6" t="s">
        <v>803</v>
      </c>
      <c r="F547" s="5" t="s">
        <v>48</v>
      </c>
      <c r="G547" s="5" t="s">
        <v>52</v>
      </c>
      <c r="H547" s="5">
        <v>16325.0</v>
      </c>
      <c r="I547" s="5">
        <v>78.0</v>
      </c>
      <c r="J547" s="5">
        <v>9558.0</v>
      </c>
      <c r="K547" s="5">
        <v>15426.0</v>
      </c>
      <c r="L547" s="5">
        <v>21.0</v>
      </c>
      <c r="M547" s="5">
        <v>1814.098581</v>
      </c>
    </row>
    <row r="548">
      <c r="A548" s="4" t="s">
        <v>804</v>
      </c>
      <c r="B548" s="5" t="s">
        <v>15</v>
      </c>
      <c r="C548" s="5" t="s">
        <v>23</v>
      </c>
      <c r="D548" s="5" t="s">
        <v>183</v>
      </c>
      <c r="E548" s="6" t="s">
        <v>805</v>
      </c>
      <c r="F548" s="5" t="s">
        <v>19</v>
      </c>
      <c r="G548" s="5" t="s">
        <v>27</v>
      </c>
      <c r="H548" s="5">
        <v>10485.0</v>
      </c>
      <c r="I548" s="5">
        <v>84.0</v>
      </c>
      <c r="J548" s="5">
        <v>4255.0</v>
      </c>
      <c r="K548" s="5">
        <v>7669.0</v>
      </c>
      <c r="L548" s="5">
        <v>2.0</v>
      </c>
      <c r="M548" s="5">
        <v>2239.262819</v>
      </c>
    </row>
    <row r="549">
      <c r="A549" s="4" t="s">
        <v>806</v>
      </c>
      <c r="B549" s="5" t="s">
        <v>22</v>
      </c>
      <c r="C549" s="5" t="s">
        <v>16</v>
      </c>
      <c r="D549" s="5" t="s">
        <v>17</v>
      </c>
      <c r="E549" s="6" t="s">
        <v>807</v>
      </c>
      <c r="F549" s="5" t="s">
        <v>161</v>
      </c>
      <c r="G549" s="5" t="s">
        <v>27</v>
      </c>
      <c r="H549" s="5">
        <v>11561.0</v>
      </c>
      <c r="I549" s="5">
        <v>87.0</v>
      </c>
      <c r="J549" s="5">
        <v>4063.0</v>
      </c>
      <c r="K549" s="5">
        <v>9941.0</v>
      </c>
      <c r="L549" s="5">
        <v>5.0</v>
      </c>
      <c r="M549" s="5">
        <v>1911.931953</v>
      </c>
    </row>
    <row r="550">
      <c r="A550" s="4" t="s">
        <v>808</v>
      </c>
      <c r="B550" s="5" t="s">
        <v>22</v>
      </c>
      <c r="C550" s="5" t="s">
        <v>31</v>
      </c>
      <c r="D550" s="5" t="s">
        <v>84</v>
      </c>
      <c r="E550" s="6" t="s">
        <v>809</v>
      </c>
      <c r="F550" s="5" t="s">
        <v>50</v>
      </c>
      <c r="G550" s="5" t="s">
        <v>27</v>
      </c>
      <c r="H550" s="5">
        <v>18136.0</v>
      </c>
      <c r="I550" s="5">
        <v>69.0</v>
      </c>
      <c r="J550" s="5">
        <v>10842.0</v>
      </c>
      <c r="K550" s="5">
        <v>14953.0</v>
      </c>
      <c r="L550" s="5">
        <v>9.0</v>
      </c>
      <c r="M550" s="5">
        <v>6860.359597</v>
      </c>
    </row>
    <row r="551">
      <c r="A551" s="4" t="s">
        <v>810</v>
      </c>
      <c r="B551" s="5" t="s">
        <v>15</v>
      </c>
      <c r="C551" s="5" t="s">
        <v>23</v>
      </c>
      <c r="D551" s="5" t="s">
        <v>17</v>
      </c>
      <c r="E551" s="6" t="s">
        <v>809</v>
      </c>
      <c r="F551" s="5" t="s">
        <v>161</v>
      </c>
      <c r="G551" s="5" t="s">
        <v>27</v>
      </c>
      <c r="H551" s="5">
        <v>8437.0</v>
      </c>
      <c r="I551" s="5">
        <v>63.0</v>
      </c>
      <c r="J551" s="5">
        <v>5271.0</v>
      </c>
      <c r="K551" s="5">
        <v>7065.0</v>
      </c>
      <c r="L551" s="5">
        <v>2.0</v>
      </c>
      <c r="M551" s="5">
        <v>1880.533168</v>
      </c>
    </row>
    <row r="552">
      <c r="A552" s="4" t="s">
        <v>811</v>
      </c>
      <c r="B552" s="5" t="s">
        <v>15</v>
      </c>
      <c r="C552" s="5" t="s">
        <v>23</v>
      </c>
      <c r="D552" s="5" t="s">
        <v>17</v>
      </c>
      <c r="E552" s="6" t="s">
        <v>812</v>
      </c>
      <c r="F552" s="5" t="s">
        <v>36</v>
      </c>
      <c r="G552" s="5" t="s">
        <v>20</v>
      </c>
      <c r="H552" s="5">
        <v>7965.0</v>
      </c>
      <c r="I552" s="5">
        <v>50.0</v>
      </c>
      <c r="J552" s="5">
        <v>5230.0</v>
      </c>
      <c r="K552" s="5">
        <v>6923.0</v>
      </c>
      <c r="L552" s="5">
        <v>10.0</v>
      </c>
      <c r="M552" s="5">
        <v>6298.513929</v>
      </c>
    </row>
    <row r="553">
      <c r="A553" s="4" t="s">
        <v>813</v>
      </c>
      <c r="B553" s="5" t="s">
        <v>15</v>
      </c>
      <c r="C553" s="5" t="s">
        <v>16</v>
      </c>
      <c r="D553" s="5" t="s">
        <v>84</v>
      </c>
      <c r="E553" s="6" t="s">
        <v>812</v>
      </c>
      <c r="F553" s="5" t="s">
        <v>46</v>
      </c>
      <c r="G553" s="5" t="s">
        <v>27</v>
      </c>
      <c r="H553" s="5">
        <v>14350.0</v>
      </c>
      <c r="I553" s="5">
        <v>60.0</v>
      </c>
      <c r="J553" s="5">
        <v>8228.0</v>
      </c>
      <c r="K553" s="5">
        <v>13396.0</v>
      </c>
      <c r="L553" s="5">
        <v>6.0</v>
      </c>
      <c r="M553" s="5">
        <v>6114.034936</v>
      </c>
    </row>
    <row r="554">
      <c r="A554" s="4" t="s">
        <v>814</v>
      </c>
      <c r="B554" s="5" t="s">
        <v>22</v>
      </c>
      <c r="C554" s="5" t="s">
        <v>16</v>
      </c>
      <c r="D554" s="5" t="s">
        <v>131</v>
      </c>
      <c r="E554" s="6" t="s">
        <v>812</v>
      </c>
      <c r="F554" s="5" t="s">
        <v>26</v>
      </c>
      <c r="G554" s="5" t="s">
        <v>27</v>
      </c>
      <c r="H554" s="5">
        <v>24100.0</v>
      </c>
      <c r="I554" s="5">
        <v>110.0</v>
      </c>
      <c r="J554" s="5">
        <v>11355.0</v>
      </c>
      <c r="K554" s="5">
        <v>21740.0</v>
      </c>
      <c r="L554" s="5">
        <v>5.0</v>
      </c>
      <c r="M554" s="5">
        <v>5912.260975</v>
      </c>
    </row>
    <row r="555">
      <c r="A555" s="4" t="s">
        <v>815</v>
      </c>
      <c r="B555" s="5" t="s">
        <v>15</v>
      </c>
      <c r="C555" s="5" t="s">
        <v>16</v>
      </c>
      <c r="D555" s="5" t="s">
        <v>150</v>
      </c>
      <c r="E555" s="6" t="s">
        <v>812</v>
      </c>
      <c r="F555" s="5" t="s">
        <v>19</v>
      </c>
      <c r="G555" s="5" t="s">
        <v>20</v>
      </c>
      <c r="H555" s="5">
        <v>21599.0</v>
      </c>
      <c r="I555" s="5">
        <v>66.0</v>
      </c>
      <c r="J555" s="5">
        <v>13600.0</v>
      </c>
      <c r="K555" s="5">
        <v>20256.0</v>
      </c>
      <c r="L555" s="5">
        <v>9.0</v>
      </c>
      <c r="M555" s="5">
        <v>5551.387415</v>
      </c>
    </row>
    <row r="556">
      <c r="A556" s="4" t="s">
        <v>816</v>
      </c>
      <c r="B556" s="5" t="s">
        <v>15</v>
      </c>
      <c r="C556" s="5" t="s">
        <v>23</v>
      </c>
      <c r="D556" s="5" t="s">
        <v>35</v>
      </c>
      <c r="E556" s="6" t="s">
        <v>812</v>
      </c>
      <c r="F556" s="5" t="s">
        <v>36</v>
      </c>
      <c r="G556" s="5" t="s">
        <v>52</v>
      </c>
      <c r="H556" s="5">
        <v>35335.0</v>
      </c>
      <c r="I556" s="5">
        <v>120.0</v>
      </c>
      <c r="J556" s="5">
        <v>22566.0</v>
      </c>
      <c r="K556" s="5">
        <v>30685.0</v>
      </c>
      <c r="L556" s="5">
        <v>15.0</v>
      </c>
      <c r="M556" s="5">
        <v>1866.34747</v>
      </c>
    </row>
    <row r="557">
      <c r="A557" s="4" t="s">
        <v>817</v>
      </c>
      <c r="B557" s="5" t="s">
        <v>15</v>
      </c>
      <c r="C557" s="5" t="s">
        <v>42</v>
      </c>
      <c r="D557" s="5" t="s">
        <v>29</v>
      </c>
      <c r="E557" s="6" t="s">
        <v>812</v>
      </c>
      <c r="F557" s="5" t="s">
        <v>19</v>
      </c>
      <c r="G557" s="5" t="s">
        <v>27</v>
      </c>
      <c r="H557" s="5">
        <v>14763.0</v>
      </c>
      <c r="I557" s="5">
        <v>40.0</v>
      </c>
      <c r="J557" s="5">
        <v>8955.0</v>
      </c>
      <c r="K557" s="5">
        <v>13829.0</v>
      </c>
      <c r="L557" s="5">
        <v>2.0</v>
      </c>
      <c r="M557" s="5">
        <v>1531.926885</v>
      </c>
    </row>
    <row r="558">
      <c r="A558" s="4" t="s">
        <v>818</v>
      </c>
      <c r="B558" s="5" t="s">
        <v>22</v>
      </c>
      <c r="C558" s="5" t="s">
        <v>42</v>
      </c>
      <c r="D558" s="5" t="s">
        <v>29</v>
      </c>
      <c r="E558" s="6" t="s">
        <v>819</v>
      </c>
      <c r="F558" s="5" t="s">
        <v>117</v>
      </c>
      <c r="G558" s="5" t="s">
        <v>27</v>
      </c>
      <c r="H558" s="5">
        <v>47360.0</v>
      </c>
      <c r="I558" s="5">
        <v>126.0</v>
      </c>
      <c r="J558" s="5">
        <v>8047.0</v>
      </c>
      <c r="K558" s="5">
        <v>33641.0</v>
      </c>
      <c r="L558" s="5">
        <v>9.0</v>
      </c>
      <c r="M558" s="5">
        <v>6502.274933</v>
      </c>
    </row>
    <row r="559">
      <c r="A559" s="4" t="s">
        <v>820</v>
      </c>
      <c r="B559" s="5" t="s">
        <v>61</v>
      </c>
      <c r="C559" s="5" t="s">
        <v>23</v>
      </c>
      <c r="D559" s="5" t="s">
        <v>84</v>
      </c>
      <c r="E559" s="6" t="s">
        <v>819</v>
      </c>
      <c r="F559" s="5" t="s">
        <v>36</v>
      </c>
      <c r="G559" s="5" t="s">
        <v>27</v>
      </c>
      <c r="H559" s="5">
        <v>19408.0</v>
      </c>
      <c r="I559" s="5">
        <v>58.0</v>
      </c>
      <c r="J559" s="5">
        <v>6596.0</v>
      </c>
      <c r="K559" s="5">
        <v>13880.0</v>
      </c>
      <c r="L559" s="5">
        <v>2.0</v>
      </c>
      <c r="M559" s="5">
        <v>5492.821648</v>
      </c>
    </row>
    <row r="560">
      <c r="A560" s="4" t="s">
        <v>821</v>
      </c>
      <c r="B560" s="5" t="s">
        <v>61</v>
      </c>
      <c r="C560" s="5" t="s">
        <v>23</v>
      </c>
      <c r="D560" s="5" t="s">
        <v>55</v>
      </c>
      <c r="E560" s="6" t="s">
        <v>819</v>
      </c>
      <c r="F560" s="5" t="s">
        <v>26</v>
      </c>
      <c r="G560" s="5" t="s">
        <v>27</v>
      </c>
      <c r="H560" s="5">
        <v>46190.0</v>
      </c>
      <c r="I560" s="5">
        <v>130.0</v>
      </c>
      <c r="J560" s="5">
        <v>8618.0</v>
      </c>
      <c r="K560" s="5">
        <v>41618.0</v>
      </c>
      <c r="L560" s="5">
        <v>1.0</v>
      </c>
      <c r="M560" s="5">
        <v>5464.109817</v>
      </c>
    </row>
    <row r="561">
      <c r="A561" s="4" t="s">
        <v>822</v>
      </c>
      <c r="B561" s="5" t="s">
        <v>15</v>
      </c>
      <c r="C561" s="5" t="s">
        <v>23</v>
      </c>
      <c r="D561" s="5" t="s">
        <v>35</v>
      </c>
      <c r="E561" s="6" t="s">
        <v>819</v>
      </c>
      <c r="F561" s="5" t="s">
        <v>48</v>
      </c>
      <c r="G561" s="5" t="s">
        <v>52</v>
      </c>
      <c r="H561" s="5">
        <v>18537.0</v>
      </c>
      <c r="I561" s="5">
        <v>95.0</v>
      </c>
      <c r="J561" s="5">
        <v>6473.0</v>
      </c>
      <c r="K561" s="5">
        <v>17081.0</v>
      </c>
      <c r="L561" s="5">
        <v>4.0</v>
      </c>
      <c r="M561" s="5">
        <v>5206.238968</v>
      </c>
    </row>
    <row r="562">
      <c r="A562" s="4" t="s">
        <v>823</v>
      </c>
      <c r="B562" s="5" t="s">
        <v>22</v>
      </c>
      <c r="C562" s="5" t="s">
        <v>16</v>
      </c>
      <c r="D562" s="5" t="s">
        <v>39</v>
      </c>
      <c r="E562" s="6" t="s">
        <v>819</v>
      </c>
      <c r="F562" s="5" t="s">
        <v>26</v>
      </c>
      <c r="G562" s="5" t="s">
        <v>27</v>
      </c>
      <c r="H562" s="5">
        <v>12488.0</v>
      </c>
      <c r="I562" s="5">
        <v>99.0</v>
      </c>
      <c r="J562" s="5">
        <v>4021.0</v>
      </c>
      <c r="K562" s="5">
        <v>11403.0</v>
      </c>
      <c r="L562" s="5">
        <v>4.0</v>
      </c>
      <c r="M562" s="5">
        <v>2176.657469</v>
      </c>
    </row>
    <row r="563">
      <c r="A563" s="4" t="s">
        <v>824</v>
      </c>
      <c r="B563" s="5" t="s">
        <v>22</v>
      </c>
      <c r="C563" s="5" t="s">
        <v>42</v>
      </c>
      <c r="D563" s="5" t="s">
        <v>35</v>
      </c>
      <c r="E563" s="6" t="s">
        <v>819</v>
      </c>
      <c r="F563" s="5" t="s">
        <v>19</v>
      </c>
      <c r="G563" s="5" t="s">
        <v>27</v>
      </c>
      <c r="H563" s="5">
        <v>19212.0</v>
      </c>
      <c r="I563" s="5">
        <v>54.0</v>
      </c>
      <c r="J563" s="5">
        <v>6872.0</v>
      </c>
      <c r="K563" s="5">
        <v>14248.0</v>
      </c>
      <c r="L563" s="5">
        <v>10.0</v>
      </c>
      <c r="M563" s="5">
        <v>2133.077113</v>
      </c>
    </row>
    <row r="564">
      <c r="A564" s="4" t="s">
        <v>825</v>
      </c>
      <c r="B564" s="5" t="s">
        <v>15</v>
      </c>
      <c r="C564" s="5" t="s">
        <v>42</v>
      </c>
      <c r="D564" s="5" t="s">
        <v>183</v>
      </c>
      <c r="E564" s="6" t="s">
        <v>819</v>
      </c>
      <c r="F564" s="5" t="s">
        <v>19</v>
      </c>
      <c r="G564" s="5" t="s">
        <v>27</v>
      </c>
      <c r="H564" s="5">
        <v>37554.0</v>
      </c>
      <c r="I564" s="5">
        <v>92.0</v>
      </c>
      <c r="J564" s="5">
        <v>13128.0</v>
      </c>
      <c r="K564" s="5">
        <v>27596.0</v>
      </c>
      <c r="L564" s="5">
        <v>8.0</v>
      </c>
      <c r="M564" s="5">
        <v>1737.843485</v>
      </c>
    </row>
    <row r="565">
      <c r="A565" s="4" t="s">
        <v>826</v>
      </c>
      <c r="B565" s="5" t="s">
        <v>22</v>
      </c>
      <c r="C565" s="5" t="s">
        <v>31</v>
      </c>
      <c r="D565" s="5" t="s">
        <v>55</v>
      </c>
      <c r="E565" s="6" t="s">
        <v>819</v>
      </c>
      <c r="F565" s="5" t="s">
        <v>46</v>
      </c>
      <c r="G565" s="5" t="s">
        <v>27</v>
      </c>
      <c r="H565" s="5">
        <v>12510.0</v>
      </c>
      <c r="I565" s="5">
        <v>74.0</v>
      </c>
      <c r="J565" s="5">
        <v>4391.0</v>
      </c>
      <c r="K565" s="5">
        <v>9098.0</v>
      </c>
      <c r="L565" s="5">
        <v>6.0</v>
      </c>
      <c r="M565" s="5">
        <v>1524.470523</v>
      </c>
    </row>
    <row r="566">
      <c r="A566" s="4" t="s">
        <v>827</v>
      </c>
      <c r="B566" s="5" t="s">
        <v>61</v>
      </c>
      <c r="C566" s="5" t="s">
        <v>16</v>
      </c>
      <c r="D566" s="5" t="s">
        <v>29</v>
      </c>
      <c r="E566" s="6" t="s">
        <v>828</v>
      </c>
      <c r="F566" s="5" t="s">
        <v>26</v>
      </c>
      <c r="G566" s="5" t="s">
        <v>27</v>
      </c>
      <c r="H566" s="5">
        <v>15475.0</v>
      </c>
      <c r="I566" s="5">
        <v>110.0</v>
      </c>
      <c r="J566" s="5">
        <v>6019.0</v>
      </c>
      <c r="K566" s="5">
        <v>10952.0</v>
      </c>
      <c r="L566" s="5">
        <v>9.0</v>
      </c>
      <c r="M566" s="5">
        <v>4156.713383</v>
      </c>
    </row>
    <row r="567">
      <c r="A567" s="4" t="s">
        <v>829</v>
      </c>
      <c r="B567" s="5" t="s">
        <v>22</v>
      </c>
      <c r="C567" s="5" t="s">
        <v>23</v>
      </c>
      <c r="D567" s="5" t="s">
        <v>95</v>
      </c>
      <c r="E567" s="6" t="s">
        <v>830</v>
      </c>
      <c r="F567" s="5" t="s">
        <v>19</v>
      </c>
      <c r="G567" s="5" t="s">
        <v>27</v>
      </c>
      <c r="H567" s="5">
        <v>20572.0</v>
      </c>
      <c r="I567" s="5">
        <v>90.0</v>
      </c>
      <c r="J567" s="5">
        <v>2226.0</v>
      </c>
      <c r="K567" s="5">
        <v>16510.0</v>
      </c>
      <c r="L567" s="5">
        <v>10.0</v>
      </c>
      <c r="M567" s="5">
        <v>1529.307229</v>
      </c>
    </row>
    <row r="568">
      <c r="A568" s="4" t="s">
        <v>831</v>
      </c>
      <c r="B568" s="5" t="s">
        <v>22</v>
      </c>
      <c r="C568" s="5" t="s">
        <v>23</v>
      </c>
      <c r="D568" s="5" t="s">
        <v>84</v>
      </c>
      <c r="E568" s="6" t="s">
        <v>832</v>
      </c>
      <c r="F568" s="5" t="s">
        <v>327</v>
      </c>
      <c r="G568" s="5" t="s">
        <v>27</v>
      </c>
      <c r="H568" s="5">
        <v>16956.0</v>
      </c>
      <c r="I568" s="5">
        <v>65.0</v>
      </c>
      <c r="J568" s="5">
        <v>7553.0</v>
      </c>
      <c r="K568" s="5">
        <v>15201.0</v>
      </c>
      <c r="L568" s="5">
        <v>3.0</v>
      </c>
      <c r="M568" s="5">
        <v>1502.680139</v>
      </c>
    </row>
    <row r="569">
      <c r="A569" s="4" t="s">
        <v>833</v>
      </c>
      <c r="B569" s="5" t="s">
        <v>15</v>
      </c>
      <c r="C569" s="5" t="s">
        <v>16</v>
      </c>
      <c r="D569" s="5" t="s">
        <v>35</v>
      </c>
      <c r="E569" s="6" t="s">
        <v>834</v>
      </c>
      <c r="F569" s="5" t="s">
        <v>117</v>
      </c>
      <c r="G569" s="5" t="s">
        <v>52</v>
      </c>
      <c r="H569" s="5">
        <v>17075.0</v>
      </c>
      <c r="I569" s="5">
        <v>44.0</v>
      </c>
      <c r="J569" s="5">
        <v>5508.0</v>
      </c>
      <c r="K569" s="5">
        <v>11539.0</v>
      </c>
      <c r="L569" s="5">
        <v>10.0</v>
      </c>
      <c r="M569" s="5">
        <v>5086.08996</v>
      </c>
    </row>
    <row r="570">
      <c r="A570" s="4" t="s">
        <v>835</v>
      </c>
      <c r="B570" s="5" t="s">
        <v>22</v>
      </c>
      <c r="C570" s="5" t="s">
        <v>23</v>
      </c>
      <c r="D570" s="5" t="s">
        <v>84</v>
      </c>
      <c r="E570" s="6" t="s">
        <v>836</v>
      </c>
      <c r="F570" s="5" t="s">
        <v>19</v>
      </c>
      <c r="G570" s="5" t="s">
        <v>27</v>
      </c>
      <c r="H570" s="5">
        <v>9709.0</v>
      </c>
      <c r="I570" s="5">
        <v>58.0</v>
      </c>
      <c r="J570" s="5">
        <v>3339.0</v>
      </c>
      <c r="K570" s="5">
        <v>7891.0</v>
      </c>
      <c r="L570" s="5">
        <v>3.0</v>
      </c>
      <c r="M570" s="5">
        <v>6994.085353</v>
      </c>
    </row>
    <row r="571">
      <c r="A571" s="4" t="s">
        <v>837</v>
      </c>
      <c r="B571" s="5" t="s">
        <v>22</v>
      </c>
      <c r="C571" s="5" t="s">
        <v>16</v>
      </c>
      <c r="D571" s="5" t="s">
        <v>29</v>
      </c>
      <c r="E571" s="6" t="s">
        <v>836</v>
      </c>
      <c r="F571" s="5" t="s">
        <v>46</v>
      </c>
      <c r="G571" s="5" t="s">
        <v>27</v>
      </c>
      <c r="H571" s="5">
        <v>7769.0</v>
      </c>
      <c r="I571" s="5">
        <v>10.0</v>
      </c>
      <c r="J571" s="5">
        <v>3152.0</v>
      </c>
      <c r="K571" s="5">
        <v>6464.0</v>
      </c>
      <c r="L571" s="5">
        <v>1.0</v>
      </c>
      <c r="M571" s="5">
        <v>5603.048132</v>
      </c>
    </row>
    <row r="572">
      <c r="A572" s="4" t="s">
        <v>838</v>
      </c>
      <c r="B572" s="5" t="s">
        <v>15</v>
      </c>
      <c r="C572" s="5" t="s">
        <v>42</v>
      </c>
      <c r="D572" s="5" t="s">
        <v>17</v>
      </c>
      <c r="E572" s="6" t="s">
        <v>839</v>
      </c>
      <c r="F572" s="5" t="s">
        <v>19</v>
      </c>
      <c r="G572" s="5" t="s">
        <v>20</v>
      </c>
      <c r="H572" s="5">
        <v>28888.0</v>
      </c>
      <c r="I572" s="5">
        <v>85.0</v>
      </c>
      <c r="J572" s="5">
        <v>21437.0</v>
      </c>
      <c r="K572" s="5">
        <v>27586.0</v>
      </c>
      <c r="L572" s="5">
        <v>19.0</v>
      </c>
      <c r="M572" s="5">
        <v>6858.578118</v>
      </c>
    </row>
    <row r="573">
      <c r="A573" s="4" t="s">
        <v>840</v>
      </c>
      <c r="B573" s="5" t="s">
        <v>15</v>
      </c>
      <c r="C573" s="5" t="s">
        <v>23</v>
      </c>
      <c r="D573" s="5" t="s">
        <v>35</v>
      </c>
      <c r="E573" s="6" t="s">
        <v>839</v>
      </c>
      <c r="F573" s="5" t="s">
        <v>19</v>
      </c>
      <c r="G573" s="5" t="s">
        <v>27</v>
      </c>
      <c r="H573" s="5">
        <v>756687.0</v>
      </c>
      <c r="I573" s="5">
        <v>1984.0</v>
      </c>
      <c r="J573" s="5">
        <v>442979.0</v>
      </c>
      <c r="K573" s="5">
        <v>611813.0</v>
      </c>
      <c r="L573" s="5">
        <v>14.0</v>
      </c>
      <c r="M573" s="5">
        <v>2452.997504</v>
      </c>
    </row>
    <row r="574">
      <c r="A574" s="4" t="s">
        <v>841</v>
      </c>
      <c r="B574" s="5" t="s">
        <v>15</v>
      </c>
      <c r="C574" s="5" t="s">
        <v>16</v>
      </c>
      <c r="D574" s="5" t="s">
        <v>84</v>
      </c>
      <c r="E574" s="6" t="s">
        <v>839</v>
      </c>
      <c r="F574" s="5" t="s">
        <v>19</v>
      </c>
      <c r="G574" s="5" t="s">
        <v>52</v>
      </c>
      <c r="H574" s="5">
        <v>56737.0</v>
      </c>
      <c r="I574" s="5">
        <v>145.0</v>
      </c>
      <c r="J574" s="5">
        <v>41296.0</v>
      </c>
      <c r="K574" s="5">
        <v>53472.0</v>
      </c>
      <c r="L574" s="5">
        <v>5.0</v>
      </c>
      <c r="M574" s="5">
        <v>2028.370144</v>
      </c>
    </row>
    <row r="575">
      <c r="A575" s="4" t="s">
        <v>842</v>
      </c>
      <c r="B575" s="5" t="s">
        <v>15</v>
      </c>
      <c r="C575" s="5" t="s">
        <v>42</v>
      </c>
      <c r="D575" s="5" t="s">
        <v>95</v>
      </c>
      <c r="E575" s="6" t="s">
        <v>843</v>
      </c>
      <c r="F575" s="5" t="s">
        <v>161</v>
      </c>
      <c r="G575" s="5" t="s">
        <v>27</v>
      </c>
      <c r="H575" s="5">
        <v>217824.0</v>
      </c>
      <c r="I575" s="5">
        <v>560.0</v>
      </c>
      <c r="J575" s="5">
        <v>75089.0</v>
      </c>
      <c r="K575" s="5">
        <v>179723.0</v>
      </c>
      <c r="L575" s="5">
        <v>16.0</v>
      </c>
      <c r="M575" s="5">
        <v>1451.808544</v>
      </c>
    </row>
    <row r="576">
      <c r="A576" s="4" t="s">
        <v>844</v>
      </c>
      <c r="B576" s="5" t="s">
        <v>22</v>
      </c>
      <c r="C576" s="5" t="s">
        <v>23</v>
      </c>
      <c r="D576" s="5" t="s">
        <v>35</v>
      </c>
      <c r="E576" s="6" t="s">
        <v>845</v>
      </c>
      <c r="F576" s="5" t="s">
        <v>19</v>
      </c>
      <c r="G576" s="5" t="s">
        <v>27</v>
      </c>
      <c r="H576" s="5">
        <v>9153.0</v>
      </c>
      <c r="I576" s="5">
        <v>23.0</v>
      </c>
      <c r="J576" s="5">
        <v>4345.0</v>
      </c>
      <c r="K576" s="5">
        <v>8376.0</v>
      </c>
      <c r="L576" s="5">
        <v>14.0</v>
      </c>
      <c r="M576" s="5">
        <v>5007.525805</v>
      </c>
    </row>
    <row r="577">
      <c r="A577" s="4" t="s">
        <v>846</v>
      </c>
      <c r="B577" s="5" t="s">
        <v>22</v>
      </c>
      <c r="C577" s="5" t="s">
        <v>31</v>
      </c>
      <c r="D577" s="5" t="s">
        <v>43</v>
      </c>
      <c r="E577" s="6" t="s">
        <v>847</v>
      </c>
      <c r="F577" s="5" t="s">
        <v>46</v>
      </c>
      <c r="G577" s="5" t="s">
        <v>27</v>
      </c>
      <c r="H577" s="5">
        <v>21962.0</v>
      </c>
      <c r="I577" s="5">
        <v>120.0</v>
      </c>
      <c r="J577" s="5">
        <v>10702.0</v>
      </c>
      <c r="K577" s="5">
        <v>21034.0</v>
      </c>
      <c r="L577" s="5">
        <v>11.0</v>
      </c>
      <c r="M577" s="5">
        <v>6404.003128</v>
      </c>
    </row>
    <row r="578">
      <c r="A578" s="4" t="s">
        <v>848</v>
      </c>
      <c r="B578" s="5" t="s">
        <v>22</v>
      </c>
      <c r="C578" s="5" t="s">
        <v>23</v>
      </c>
      <c r="D578" s="5" t="s">
        <v>32</v>
      </c>
      <c r="E578" s="6" t="s">
        <v>849</v>
      </c>
      <c r="F578" s="5" t="s">
        <v>19</v>
      </c>
      <c r="G578" s="5" t="s">
        <v>27</v>
      </c>
      <c r="H578" s="5">
        <v>12161.0</v>
      </c>
      <c r="I578" s="5">
        <v>20.0</v>
      </c>
      <c r="J578" s="5">
        <v>6284.0</v>
      </c>
      <c r="K578" s="5">
        <v>10919.0</v>
      </c>
      <c r="L578" s="5">
        <v>4.0</v>
      </c>
      <c r="M578" s="5">
        <v>7273.265988</v>
      </c>
    </row>
    <row r="579">
      <c r="A579" s="4" t="s">
        <v>850</v>
      </c>
      <c r="B579" s="5" t="s">
        <v>15</v>
      </c>
      <c r="C579" s="5" t="s">
        <v>16</v>
      </c>
      <c r="D579" s="5" t="s">
        <v>29</v>
      </c>
      <c r="E579" s="6" t="s">
        <v>851</v>
      </c>
      <c r="F579" s="5" t="s">
        <v>46</v>
      </c>
      <c r="G579" s="5" t="s">
        <v>27</v>
      </c>
      <c r="H579" s="5">
        <v>10653.0</v>
      </c>
      <c r="I579" s="5">
        <v>68.0</v>
      </c>
      <c r="J579" s="5">
        <v>5263.0</v>
      </c>
      <c r="K579" s="5">
        <v>9921.0</v>
      </c>
      <c r="L579" s="5">
        <v>11.0</v>
      </c>
      <c r="M579" s="5">
        <v>2641.478397</v>
      </c>
    </row>
    <row r="580">
      <c r="A580" s="4" t="s">
        <v>852</v>
      </c>
      <c r="B580" s="5" t="s">
        <v>15</v>
      </c>
      <c r="C580" s="5" t="s">
        <v>23</v>
      </c>
      <c r="D580" s="5" t="s">
        <v>35</v>
      </c>
      <c r="E580" s="6" t="s">
        <v>853</v>
      </c>
      <c r="F580" s="5" t="s">
        <v>46</v>
      </c>
      <c r="G580" s="5" t="s">
        <v>27</v>
      </c>
      <c r="H580" s="5">
        <v>7691.0</v>
      </c>
      <c r="I580" s="5">
        <v>0.0</v>
      </c>
      <c r="J580" s="5">
        <v>3890.0</v>
      </c>
      <c r="K580" s="5">
        <v>5905.0</v>
      </c>
      <c r="L580" s="5">
        <v>1.0</v>
      </c>
      <c r="M580" s="5">
        <v>5927.806788</v>
      </c>
    </row>
    <row r="581">
      <c r="A581" s="4" t="s">
        <v>854</v>
      </c>
      <c r="B581" s="5" t="s">
        <v>15</v>
      </c>
      <c r="C581" s="5" t="s">
        <v>16</v>
      </c>
      <c r="D581" s="5" t="s">
        <v>35</v>
      </c>
      <c r="E581" s="6" t="s">
        <v>855</v>
      </c>
      <c r="F581" s="5" t="s">
        <v>46</v>
      </c>
      <c r="G581" s="5" t="s">
        <v>27</v>
      </c>
      <c r="H581" s="5">
        <v>8362.0</v>
      </c>
      <c r="I581" s="5">
        <v>31.0</v>
      </c>
      <c r="J581" s="5">
        <v>5959.0</v>
      </c>
      <c r="K581" s="5">
        <v>7947.0</v>
      </c>
      <c r="L581" s="5">
        <v>7.0</v>
      </c>
      <c r="M581" s="5">
        <v>6997.468963</v>
      </c>
    </row>
    <row r="582">
      <c r="A582" s="4" t="s">
        <v>856</v>
      </c>
      <c r="B582" s="5" t="s">
        <v>61</v>
      </c>
      <c r="C582" s="5" t="s">
        <v>16</v>
      </c>
      <c r="D582" s="5" t="s">
        <v>66</v>
      </c>
      <c r="E582" s="6" t="s">
        <v>857</v>
      </c>
      <c r="F582" s="5" t="s">
        <v>26</v>
      </c>
      <c r="G582" s="5" t="s">
        <v>27</v>
      </c>
      <c r="H582" s="5">
        <v>7531.0</v>
      </c>
      <c r="I582" s="5">
        <v>10.0</v>
      </c>
      <c r="J582" s="5">
        <v>3059.0</v>
      </c>
      <c r="K582" s="5">
        <v>6523.0</v>
      </c>
      <c r="L582" s="5">
        <v>1.0</v>
      </c>
      <c r="M582" s="5">
        <v>1937.058388</v>
      </c>
    </row>
    <row r="583">
      <c r="A583" s="4" t="s">
        <v>858</v>
      </c>
      <c r="B583" s="5" t="s">
        <v>15</v>
      </c>
      <c r="C583" s="5" t="s">
        <v>42</v>
      </c>
      <c r="D583" s="5" t="s">
        <v>35</v>
      </c>
      <c r="E583" s="6" t="s">
        <v>859</v>
      </c>
      <c r="F583" s="5" t="s">
        <v>36</v>
      </c>
      <c r="G583" s="5" t="s">
        <v>27</v>
      </c>
      <c r="H583" s="5">
        <v>11417.0</v>
      </c>
      <c r="I583" s="5">
        <v>78.0</v>
      </c>
      <c r="J583" s="5">
        <v>1387.0</v>
      </c>
      <c r="K583" s="5">
        <v>9924.0</v>
      </c>
      <c r="L583" s="5">
        <v>9.0</v>
      </c>
      <c r="M583" s="5">
        <v>6206.637108</v>
      </c>
    </row>
    <row r="584">
      <c r="A584" s="4" t="s">
        <v>860</v>
      </c>
      <c r="B584" s="5" t="s">
        <v>22</v>
      </c>
      <c r="C584" s="5" t="s">
        <v>16</v>
      </c>
      <c r="D584" s="5" t="s">
        <v>29</v>
      </c>
      <c r="E584" s="6" t="s">
        <v>861</v>
      </c>
      <c r="F584" s="5" t="s">
        <v>117</v>
      </c>
      <c r="G584" s="5" t="s">
        <v>27</v>
      </c>
      <c r="H584" s="5">
        <v>9157.0</v>
      </c>
      <c r="I584" s="5">
        <v>60.0</v>
      </c>
      <c r="J584" s="5">
        <v>4520.0</v>
      </c>
      <c r="K584" s="5">
        <v>8037.0</v>
      </c>
      <c r="L584" s="5">
        <v>2.0</v>
      </c>
      <c r="M584" s="5">
        <v>1449.177804</v>
      </c>
    </row>
    <row r="585">
      <c r="A585" s="4" t="s">
        <v>862</v>
      </c>
      <c r="B585" s="5" t="s">
        <v>15</v>
      </c>
      <c r="C585" s="5" t="s">
        <v>31</v>
      </c>
      <c r="D585" s="5" t="s">
        <v>35</v>
      </c>
      <c r="E585" s="6" t="s">
        <v>863</v>
      </c>
      <c r="F585" s="5" t="s">
        <v>19</v>
      </c>
      <c r="G585" s="5" t="s">
        <v>27</v>
      </c>
      <c r="H585" s="5">
        <v>15547.0</v>
      </c>
      <c r="I585" s="5">
        <v>70.0</v>
      </c>
      <c r="J585" s="5">
        <v>7615.0</v>
      </c>
      <c r="K585" s="5">
        <v>14939.0</v>
      </c>
      <c r="L585" s="5">
        <v>3.0</v>
      </c>
      <c r="M585" s="5">
        <v>1767.464456</v>
      </c>
    </row>
    <row r="586">
      <c r="A586" s="4" t="s">
        <v>864</v>
      </c>
      <c r="B586" s="5" t="s">
        <v>22</v>
      </c>
      <c r="C586" s="5" t="s">
        <v>23</v>
      </c>
      <c r="D586" s="5" t="s">
        <v>78</v>
      </c>
      <c r="E586" s="6" t="s">
        <v>865</v>
      </c>
      <c r="F586" s="5" t="s">
        <v>19</v>
      </c>
      <c r="G586" s="5" t="s">
        <v>27</v>
      </c>
      <c r="H586" s="5">
        <v>55445.0</v>
      </c>
      <c r="I586" s="5">
        <v>155.0</v>
      </c>
      <c r="J586" s="5">
        <v>4565.0</v>
      </c>
      <c r="K586" s="5">
        <v>53407.0</v>
      </c>
      <c r="L586" s="5">
        <v>36.0</v>
      </c>
      <c r="M586" s="5">
        <v>7948.480752</v>
      </c>
    </row>
    <row r="587">
      <c r="A587" s="4" t="s">
        <v>866</v>
      </c>
      <c r="B587" s="5" t="s">
        <v>22</v>
      </c>
      <c r="C587" s="5" t="s">
        <v>42</v>
      </c>
      <c r="D587" s="5" t="s">
        <v>78</v>
      </c>
      <c r="E587" s="6" t="s">
        <v>865</v>
      </c>
      <c r="F587" s="5" t="s">
        <v>19</v>
      </c>
      <c r="G587" s="5" t="s">
        <v>27</v>
      </c>
      <c r="H587" s="5">
        <v>18081.0</v>
      </c>
      <c r="I587" s="5">
        <v>44.0</v>
      </c>
      <c r="J587" s="5">
        <v>4545.0</v>
      </c>
      <c r="K587" s="5">
        <v>15617.0</v>
      </c>
      <c r="L587" s="5">
        <v>15.0</v>
      </c>
      <c r="M587" s="5">
        <v>6522.637526</v>
      </c>
    </row>
    <row r="588">
      <c r="A588" s="4" t="s">
        <v>867</v>
      </c>
      <c r="B588" s="5" t="s">
        <v>15</v>
      </c>
      <c r="C588" s="5" t="s">
        <v>31</v>
      </c>
      <c r="D588" s="5" t="s">
        <v>78</v>
      </c>
      <c r="E588" s="6" t="s">
        <v>865</v>
      </c>
      <c r="F588" s="5" t="s">
        <v>19</v>
      </c>
      <c r="G588" s="5" t="s">
        <v>52</v>
      </c>
      <c r="H588" s="5">
        <v>95655.0</v>
      </c>
      <c r="I588" s="5">
        <v>275.0</v>
      </c>
      <c r="J588" s="5">
        <v>9202.0</v>
      </c>
      <c r="K588" s="5">
        <v>85273.0</v>
      </c>
      <c r="L588" s="5">
        <v>24.0</v>
      </c>
      <c r="M588" s="5">
        <v>6189.416082</v>
      </c>
    </row>
    <row r="589">
      <c r="A589" s="4" t="s">
        <v>868</v>
      </c>
      <c r="B589" s="5" t="s">
        <v>15</v>
      </c>
      <c r="C589" s="5" t="s">
        <v>16</v>
      </c>
      <c r="D589" s="5" t="s">
        <v>641</v>
      </c>
      <c r="E589" s="6" t="s">
        <v>865</v>
      </c>
      <c r="F589" s="5" t="s">
        <v>26</v>
      </c>
      <c r="G589" s="5" t="s">
        <v>52</v>
      </c>
      <c r="H589" s="5">
        <v>57257.0</v>
      </c>
      <c r="I589" s="5">
        <v>167.0</v>
      </c>
      <c r="J589" s="5">
        <v>3797.0</v>
      </c>
      <c r="K589" s="5">
        <v>51520.0</v>
      </c>
      <c r="L589" s="5">
        <v>1.0</v>
      </c>
      <c r="M589" s="5">
        <v>1841.358126</v>
      </c>
    </row>
    <row r="590">
      <c r="A590" s="4" t="s">
        <v>869</v>
      </c>
      <c r="B590" s="5" t="s">
        <v>61</v>
      </c>
      <c r="C590" s="5" t="s">
        <v>42</v>
      </c>
      <c r="D590" s="5" t="s">
        <v>39</v>
      </c>
      <c r="E590" s="6" t="s">
        <v>865</v>
      </c>
      <c r="F590" s="5" t="s">
        <v>36</v>
      </c>
      <c r="G590" s="5" t="s">
        <v>27</v>
      </c>
      <c r="H590" s="5">
        <v>20417.0</v>
      </c>
      <c r="I590" s="5">
        <v>86.0</v>
      </c>
      <c r="J590" s="5">
        <v>1016.0</v>
      </c>
      <c r="K590" s="5">
        <v>13468.0</v>
      </c>
      <c r="L590" s="5">
        <v>5.0</v>
      </c>
      <c r="M590" s="5">
        <v>1805.600513</v>
      </c>
    </row>
    <row r="591">
      <c r="A591" s="4" t="s">
        <v>870</v>
      </c>
      <c r="B591" s="5" t="s">
        <v>15</v>
      </c>
      <c r="C591" s="5" t="s">
        <v>23</v>
      </c>
      <c r="D591" s="5" t="s">
        <v>35</v>
      </c>
      <c r="E591" s="6" t="s">
        <v>865</v>
      </c>
      <c r="F591" s="5" t="s">
        <v>46</v>
      </c>
      <c r="G591" s="5" t="s">
        <v>27</v>
      </c>
      <c r="H591" s="5">
        <v>57917.0</v>
      </c>
      <c r="I591" s="5">
        <v>212.0</v>
      </c>
      <c r="J591" s="5">
        <v>3650.0</v>
      </c>
      <c r="K591" s="5">
        <v>55128.0</v>
      </c>
      <c r="L591" s="5">
        <v>5.0</v>
      </c>
      <c r="M591" s="5">
        <v>1669.728905</v>
      </c>
    </row>
    <row r="592">
      <c r="A592" s="4" t="s">
        <v>871</v>
      </c>
      <c r="B592" s="5" t="s">
        <v>15</v>
      </c>
      <c r="C592" s="5" t="s">
        <v>16</v>
      </c>
      <c r="D592" s="5" t="s">
        <v>29</v>
      </c>
      <c r="E592" s="6" t="s">
        <v>865</v>
      </c>
      <c r="F592" s="5" t="s">
        <v>19</v>
      </c>
      <c r="G592" s="5" t="s">
        <v>27</v>
      </c>
      <c r="H592" s="5">
        <v>141157.0</v>
      </c>
      <c r="I592" s="5">
        <v>420.0</v>
      </c>
      <c r="J592" s="5">
        <v>8280.0</v>
      </c>
      <c r="K592" s="5">
        <v>107935.0</v>
      </c>
      <c r="L592" s="5">
        <v>4.0</v>
      </c>
      <c r="M592" s="5">
        <v>1631.782949</v>
      </c>
    </row>
    <row r="593">
      <c r="A593" s="4" t="s">
        <v>872</v>
      </c>
      <c r="B593" s="5" t="s">
        <v>15</v>
      </c>
      <c r="C593" s="5" t="s">
        <v>31</v>
      </c>
      <c r="D593" s="5" t="s">
        <v>35</v>
      </c>
      <c r="E593" s="6" t="s">
        <v>873</v>
      </c>
      <c r="F593" s="5" t="s">
        <v>48</v>
      </c>
      <c r="G593" s="5" t="s">
        <v>27</v>
      </c>
      <c r="H593" s="5">
        <v>247106.0</v>
      </c>
      <c r="I593" s="5">
        <v>750.0</v>
      </c>
      <c r="J593" s="5">
        <v>159618.0</v>
      </c>
      <c r="K593" s="5">
        <v>233150.0</v>
      </c>
      <c r="L593" s="5">
        <v>32.0</v>
      </c>
      <c r="M593" s="5">
        <v>7629.94427</v>
      </c>
    </row>
    <row r="594">
      <c r="A594" s="4" t="s">
        <v>874</v>
      </c>
      <c r="B594" s="5" t="s">
        <v>15</v>
      </c>
      <c r="C594" s="5" t="s">
        <v>16</v>
      </c>
      <c r="D594" s="5" t="s">
        <v>35</v>
      </c>
      <c r="E594" s="6" t="s">
        <v>873</v>
      </c>
      <c r="F594" s="5" t="s">
        <v>19</v>
      </c>
      <c r="G594" s="5" t="s">
        <v>27</v>
      </c>
      <c r="H594" s="5">
        <v>357707.0</v>
      </c>
      <c r="I594" s="5">
        <v>951.0</v>
      </c>
      <c r="J594" s="5">
        <v>203987.0</v>
      </c>
      <c r="K594" s="5">
        <v>338107.0</v>
      </c>
      <c r="L594" s="5">
        <v>74.0</v>
      </c>
      <c r="M594" s="5">
        <v>6749.202353</v>
      </c>
    </row>
    <row r="595">
      <c r="A595" s="4" t="s">
        <v>875</v>
      </c>
      <c r="B595" s="5" t="s">
        <v>15</v>
      </c>
      <c r="C595" s="5" t="s">
        <v>42</v>
      </c>
      <c r="D595" s="5" t="s">
        <v>35</v>
      </c>
      <c r="E595" s="6" t="s">
        <v>873</v>
      </c>
      <c r="F595" s="5" t="s">
        <v>117</v>
      </c>
      <c r="G595" s="5" t="s">
        <v>20</v>
      </c>
      <c r="H595" s="5">
        <v>48707.0</v>
      </c>
      <c r="I595" s="5">
        <v>185.0</v>
      </c>
      <c r="J595" s="5">
        <v>25182.0</v>
      </c>
      <c r="K595" s="5">
        <v>44696.0</v>
      </c>
      <c r="L595" s="5">
        <v>13.0</v>
      </c>
      <c r="M595" s="5">
        <v>5600.355643</v>
      </c>
    </row>
    <row r="596">
      <c r="A596" s="4" t="s">
        <v>876</v>
      </c>
      <c r="B596" s="5" t="s">
        <v>22</v>
      </c>
      <c r="C596" s="5" t="s">
        <v>16</v>
      </c>
      <c r="D596" s="5" t="s">
        <v>155</v>
      </c>
      <c r="E596" s="6" t="s">
        <v>873</v>
      </c>
      <c r="F596" s="5" t="s">
        <v>36</v>
      </c>
      <c r="G596" s="5" t="s">
        <v>27</v>
      </c>
      <c r="H596" s="5">
        <v>16372.0</v>
      </c>
      <c r="I596" s="5">
        <v>90.0</v>
      </c>
      <c r="J596" s="5">
        <v>4731.0</v>
      </c>
      <c r="K596" s="5">
        <v>15332.0</v>
      </c>
      <c r="L596" s="5">
        <v>9.0</v>
      </c>
      <c r="M596" s="5">
        <v>1704.511123</v>
      </c>
    </row>
    <row r="597">
      <c r="A597" s="4" t="s">
        <v>877</v>
      </c>
      <c r="B597" s="5" t="s">
        <v>15</v>
      </c>
      <c r="C597" s="5" t="s">
        <v>16</v>
      </c>
      <c r="D597" s="5" t="s">
        <v>55</v>
      </c>
      <c r="E597" s="6" t="s">
        <v>873</v>
      </c>
      <c r="F597" s="5" t="s">
        <v>19</v>
      </c>
      <c r="G597" s="5" t="s">
        <v>27</v>
      </c>
      <c r="H597" s="5">
        <v>14799.0</v>
      </c>
      <c r="I597" s="5">
        <v>59.0</v>
      </c>
      <c r="J597" s="5">
        <v>1403.0</v>
      </c>
      <c r="K597" s="5">
        <v>13410.0</v>
      </c>
      <c r="L597" s="5">
        <v>9.0</v>
      </c>
      <c r="M597" s="5">
        <v>1693.760435</v>
      </c>
    </row>
    <row r="598">
      <c r="A598" s="4" t="s">
        <v>878</v>
      </c>
      <c r="B598" s="5" t="s">
        <v>22</v>
      </c>
      <c r="C598" s="5" t="s">
        <v>42</v>
      </c>
      <c r="D598" s="5" t="s">
        <v>45</v>
      </c>
      <c r="E598" s="6" t="s">
        <v>873</v>
      </c>
      <c r="F598" s="5" t="s">
        <v>19</v>
      </c>
      <c r="G598" s="5" t="s">
        <v>27</v>
      </c>
      <c r="H598" s="5">
        <v>97346.0</v>
      </c>
      <c r="I598" s="5">
        <v>790.0</v>
      </c>
      <c r="J598" s="5">
        <v>44118.0</v>
      </c>
      <c r="K598" s="5">
        <v>91080.0</v>
      </c>
      <c r="L598" s="5">
        <v>19.0</v>
      </c>
      <c r="M598" s="5">
        <v>1657.56487</v>
      </c>
    </row>
    <row r="599">
      <c r="A599" s="4" t="s">
        <v>879</v>
      </c>
      <c r="B599" s="5" t="s">
        <v>22</v>
      </c>
      <c r="C599" s="5" t="s">
        <v>23</v>
      </c>
      <c r="D599" s="5" t="s">
        <v>78</v>
      </c>
      <c r="E599" s="6" t="s">
        <v>880</v>
      </c>
      <c r="F599" s="5" t="s">
        <v>50</v>
      </c>
      <c r="G599" s="5" t="s">
        <v>27</v>
      </c>
      <c r="H599" s="5">
        <v>44361.0</v>
      </c>
      <c r="I599" s="5">
        <v>166.0</v>
      </c>
      <c r="J599" s="5">
        <v>36040.0</v>
      </c>
      <c r="K599" s="5">
        <v>40684.0</v>
      </c>
      <c r="L599" s="5">
        <v>17.0</v>
      </c>
      <c r="M599" s="5">
        <v>5048.852553</v>
      </c>
    </row>
    <row r="600">
      <c r="A600" s="4" t="s">
        <v>881</v>
      </c>
      <c r="B600" s="5" t="s">
        <v>15</v>
      </c>
      <c r="C600" s="5" t="s">
        <v>42</v>
      </c>
      <c r="D600" s="5" t="s">
        <v>39</v>
      </c>
      <c r="E600" s="6" t="s">
        <v>880</v>
      </c>
      <c r="F600" s="5" t="s">
        <v>19</v>
      </c>
      <c r="G600" s="5" t="s">
        <v>27</v>
      </c>
      <c r="H600" s="5">
        <v>12280.0</v>
      </c>
      <c r="I600" s="5">
        <v>40.0</v>
      </c>
      <c r="J600" s="5">
        <v>9613.0</v>
      </c>
      <c r="K600" s="5">
        <v>11247.0</v>
      </c>
      <c r="L600" s="5">
        <v>4.0</v>
      </c>
      <c r="M600" s="5">
        <v>1765.39871</v>
      </c>
    </row>
    <row r="601">
      <c r="A601" s="4" t="s">
        <v>882</v>
      </c>
      <c r="B601" s="5" t="s">
        <v>15</v>
      </c>
      <c r="C601" s="5" t="s">
        <v>16</v>
      </c>
      <c r="D601" s="5" t="s">
        <v>17</v>
      </c>
      <c r="E601" s="6" t="s">
        <v>880</v>
      </c>
      <c r="F601" s="5" t="s">
        <v>36</v>
      </c>
      <c r="G601" s="5" t="s">
        <v>52</v>
      </c>
      <c r="H601" s="5">
        <v>22934.0</v>
      </c>
      <c r="I601" s="5">
        <v>81.0</v>
      </c>
      <c r="J601" s="5">
        <v>18536.0</v>
      </c>
      <c r="K601" s="5">
        <v>21019.0</v>
      </c>
      <c r="L601" s="5">
        <v>5.0</v>
      </c>
      <c r="M601" s="5">
        <v>1711.106338</v>
      </c>
    </row>
    <row r="602">
      <c r="A602" s="4" t="s">
        <v>883</v>
      </c>
      <c r="B602" s="5" t="s">
        <v>22</v>
      </c>
      <c r="C602" s="5" t="s">
        <v>42</v>
      </c>
      <c r="D602" s="5" t="s">
        <v>35</v>
      </c>
      <c r="E602" s="6" t="s">
        <v>884</v>
      </c>
      <c r="F602" s="5" t="s">
        <v>19</v>
      </c>
      <c r="G602" s="5" t="s">
        <v>27</v>
      </c>
      <c r="H602" s="5">
        <v>17317.0</v>
      </c>
      <c r="I602" s="5">
        <v>68.0</v>
      </c>
      <c r="J602" s="5">
        <v>8055.0</v>
      </c>
      <c r="K602" s="5">
        <v>12724.0</v>
      </c>
      <c r="L602" s="5">
        <v>12.0</v>
      </c>
      <c r="M602" s="5">
        <v>5668.857079</v>
      </c>
    </row>
    <row r="603">
      <c r="A603" s="4" t="s">
        <v>885</v>
      </c>
      <c r="B603" s="5" t="s">
        <v>15</v>
      </c>
      <c r="C603" s="5" t="s">
        <v>23</v>
      </c>
      <c r="D603" s="5" t="s">
        <v>78</v>
      </c>
      <c r="E603" s="6" t="s">
        <v>886</v>
      </c>
      <c r="F603" s="5" t="s">
        <v>36</v>
      </c>
      <c r="G603" s="5" t="s">
        <v>27</v>
      </c>
      <c r="H603" s="5">
        <v>11343.0</v>
      </c>
      <c r="I603" s="5">
        <v>69.0</v>
      </c>
      <c r="J603" s="5">
        <v>5900.0</v>
      </c>
      <c r="K603" s="5">
        <v>10175.0</v>
      </c>
      <c r="L603" s="5">
        <v>3.0</v>
      </c>
      <c r="M603" s="5">
        <v>2178.153775</v>
      </c>
    </row>
    <row r="604">
      <c r="A604" s="4" t="s">
        <v>887</v>
      </c>
      <c r="B604" s="5" t="s">
        <v>15</v>
      </c>
      <c r="C604" s="5" t="s">
        <v>42</v>
      </c>
      <c r="D604" s="5" t="s">
        <v>356</v>
      </c>
      <c r="E604" s="6" t="s">
        <v>886</v>
      </c>
      <c r="F604" s="5" t="s">
        <v>19</v>
      </c>
      <c r="G604" s="5" t="s">
        <v>20</v>
      </c>
      <c r="H604" s="5">
        <v>11043.0</v>
      </c>
      <c r="I604" s="5">
        <v>125.0</v>
      </c>
      <c r="J604" s="5">
        <v>4547.0</v>
      </c>
      <c r="K604" s="5">
        <v>9666.0</v>
      </c>
      <c r="L604" s="5">
        <v>13.0</v>
      </c>
      <c r="M604" s="5">
        <v>1858.132171</v>
      </c>
    </row>
    <row r="605">
      <c r="A605" s="4" t="s">
        <v>888</v>
      </c>
      <c r="B605" s="5" t="s">
        <v>22</v>
      </c>
      <c r="C605" s="5" t="s">
        <v>31</v>
      </c>
      <c r="D605" s="5" t="s">
        <v>17</v>
      </c>
      <c r="E605" s="6" t="s">
        <v>886</v>
      </c>
      <c r="F605" s="5" t="s">
        <v>48</v>
      </c>
      <c r="G605" s="5" t="s">
        <v>27</v>
      </c>
      <c r="H605" s="5">
        <v>21737.0</v>
      </c>
      <c r="I605" s="5">
        <v>80.0</v>
      </c>
      <c r="J605" s="5">
        <v>11206.0</v>
      </c>
      <c r="K605" s="5">
        <v>19459.0</v>
      </c>
      <c r="L605" s="5">
        <v>4.0</v>
      </c>
      <c r="M605" s="5">
        <v>1521.576648</v>
      </c>
    </row>
    <row r="606">
      <c r="A606" s="4" t="s">
        <v>889</v>
      </c>
      <c r="B606" s="5" t="s">
        <v>15</v>
      </c>
      <c r="C606" s="5" t="s">
        <v>16</v>
      </c>
      <c r="D606" s="5" t="s">
        <v>78</v>
      </c>
      <c r="E606" s="6" t="s">
        <v>890</v>
      </c>
      <c r="F606" s="5" t="s">
        <v>26</v>
      </c>
      <c r="G606" s="5" t="s">
        <v>27</v>
      </c>
      <c r="H606" s="5">
        <v>9362.0</v>
      </c>
      <c r="I606" s="5">
        <v>39.0</v>
      </c>
      <c r="J606" s="5">
        <v>5202.0</v>
      </c>
      <c r="K606" s="5">
        <v>8928.0</v>
      </c>
      <c r="L606" s="5">
        <v>6.0</v>
      </c>
      <c r="M606" s="5">
        <v>7312.492757</v>
      </c>
    </row>
    <row r="607">
      <c r="A607" s="4" t="s">
        <v>891</v>
      </c>
      <c r="B607" s="5" t="s">
        <v>15</v>
      </c>
      <c r="C607" s="5" t="s">
        <v>31</v>
      </c>
      <c r="D607" s="5" t="s">
        <v>183</v>
      </c>
      <c r="E607" s="6" t="s">
        <v>890</v>
      </c>
      <c r="F607" s="5" t="s">
        <v>117</v>
      </c>
      <c r="G607" s="5" t="s">
        <v>52</v>
      </c>
      <c r="H607" s="5">
        <v>16628.0</v>
      </c>
      <c r="I607" s="5">
        <v>70.0</v>
      </c>
      <c r="J607" s="5">
        <v>7974.0</v>
      </c>
      <c r="K607" s="5">
        <v>15969.0</v>
      </c>
      <c r="L607" s="5">
        <v>13.0</v>
      </c>
      <c r="M607" s="5">
        <v>1665.965851</v>
      </c>
    </row>
    <row r="608">
      <c r="A608" s="4" t="s">
        <v>892</v>
      </c>
      <c r="B608" s="5" t="s">
        <v>15</v>
      </c>
      <c r="C608" s="5" t="s">
        <v>31</v>
      </c>
      <c r="D608" s="5" t="s">
        <v>66</v>
      </c>
      <c r="E608" s="6" t="s">
        <v>893</v>
      </c>
      <c r="F608" s="5" t="s">
        <v>19</v>
      </c>
      <c r="G608" s="5" t="s">
        <v>52</v>
      </c>
      <c r="H608" s="5">
        <v>24875.0</v>
      </c>
      <c r="I608" s="5">
        <v>67.0</v>
      </c>
      <c r="J608" s="5">
        <v>14213.0</v>
      </c>
      <c r="K608" s="5">
        <v>23455.0</v>
      </c>
      <c r="L608" s="5">
        <v>8.0</v>
      </c>
      <c r="M608" s="5">
        <v>4652.242051</v>
      </c>
    </row>
    <row r="609">
      <c r="A609" s="4" t="s">
        <v>894</v>
      </c>
      <c r="B609" s="5" t="s">
        <v>22</v>
      </c>
      <c r="C609" s="5" t="s">
        <v>31</v>
      </c>
      <c r="D609" s="5" t="s">
        <v>32</v>
      </c>
      <c r="E609" s="6" t="s">
        <v>893</v>
      </c>
      <c r="F609" s="5" t="s">
        <v>46</v>
      </c>
      <c r="G609" s="5" t="s">
        <v>27</v>
      </c>
      <c r="H609" s="5">
        <v>10707.0</v>
      </c>
      <c r="I609" s="5">
        <v>57.0</v>
      </c>
      <c r="J609" s="5">
        <v>6300.0</v>
      </c>
      <c r="K609" s="5">
        <v>10089.0</v>
      </c>
      <c r="L609" s="5">
        <v>3.0</v>
      </c>
      <c r="M609" s="5">
        <v>1603.859264</v>
      </c>
    </row>
    <row r="610">
      <c r="A610" s="4" t="s">
        <v>895</v>
      </c>
      <c r="B610" s="5" t="s">
        <v>22</v>
      </c>
      <c r="C610" s="5" t="s">
        <v>42</v>
      </c>
      <c r="D610" s="5" t="s">
        <v>39</v>
      </c>
      <c r="E610" s="6" t="s">
        <v>896</v>
      </c>
      <c r="F610" s="5" t="s">
        <v>167</v>
      </c>
      <c r="G610" s="5" t="s">
        <v>27</v>
      </c>
      <c r="H610" s="5">
        <v>10386.0</v>
      </c>
      <c r="I610" s="5">
        <v>65.0</v>
      </c>
      <c r="J610" s="5">
        <v>5876.0</v>
      </c>
      <c r="K610" s="5">
        <v>10048.0</v>
      </c>
      <c r="L610" s="5">
        <v>15.0</v>
      </c>
      <c r="M610" s="5">
        <v>4439.838064</v>
      </c>
    </row>
    <row r="611">
      <c r="A611" s="4" t="s">
        <v>897</v>
      </c>
      <c r="B611" s="5" t="s">
        <v>22</v>
      </c>
      <c r="C611" s="5" t="s">
        <v>31</v>
      </c>
      <c r="D611" s="5" t="s">
        <v>78</v>
      </c>
      <c r="E611" s="6" t="s">
        <v>898</v>
      </c>
      <c r="F611" s="5" t="s">
        <v>26</v>
      </c>
      <c r="G611" s="5" t="s">
        <v>27</v>
      </c>
      <c r="H611" s="5">
        <v>16137.0</v>
      </c>
      <c r="I611" s="5">
        <v>40.0</v>
      </c>
      <c r="J611" s="5">
        <v>7938.0</v>
      </c>
      <c r="K611" s="5">
        <v>14030.0</v>
      </c>
      <c r="L611" s="5">
        <v>4.0</v>
      </c>
      <c r="M611" s="5">
        <v>1835.048738</v>
      </c>
    </row>
    <row r="612">
      <c r="A612" s="4" t="s">
        <v>899</v>
      </c>
      <c r="B612" s="5" t="s">
        <v>61</v>
      </c>
      <c r="C612" s="5" t="s">
        <v>16</v>
      </c>
      <c r="D612" s="5" t="s">
        <v>78</v>
      </c>
      <c r="E612" s="6" t="s">
        <v>900</v>
      </c>
      <c r="F612" s="5" t="s">
        <v>19</v>
      </c>
      <c r="G612" s="5" t="s">
        <v>27</v>
      </c>
      <c r="H612" s="5">
        <v>39373.0</v>
      </c>
      <c r="I612" s="5">
        <v>99.0</v>
      </c>
      <c r="J612" s="5">
        <v>23152.0</v>
      </c>
      <c r="K612" s="5">
        <v>35857.0</v>
      </c>
      <c r="L612" s="5">
        <v>17.0</v>
      </c>
      <c r="M612" s="5">
        <v>6342.885786</v>
      </c>
    </row>
    <row r="613">
      <c r="A613" s="4" t="s">
        <v>901</v>
      </c>
      <c r="B613" s="5" t="s">
        <v>22</v>
      </c>
      <c r="C613" s="5" t="s">
        <v>16</v>
      </c>
      <c r="D613" s="5" t="s">
        <v>35</v>
      </c>
      <c r="E613" s="6" t="s">
        <v>900</v>
      </c>
      <c r="F613" s="5" t="s">
        <v>48</v>
      </c>
      <c r="G613" s="5" t="s">
        <v>27</v>
      </c>
      <c r="H613" s="5">
        <v>47016.0</v>
      </c>
      <c r="I613" s="5">
        <v>199.0</v>
      </c>
      <c r="J613" s="5">
        <v>12210.0</v>
      </c>
      <c r="K613" s="5">
        <v>38039.0</v>
      </c>
      <c r="L613" s="5">
        <v>13.0</v>
      </c>
      <c r="M613" s="5">
        <v>5974.87508</v>
      </c>
    </row>
    <row r="614">
      <c r="A614" s="4" t="s">
        <v>902</v>
      </c>
      <c r="B614" s="5" t="s">
        <v>22</v>
      </c>
      <c r="C614" s="5" t="s">
        <v>31</v>
      </c>
      <c r="D614" s="5" t="s">
        <v>35</v>
      </c>
      <c r="E614" s="6" t="s">
        <v>900</v>
      </c>
      <c r="F614" s="5" t="s">
        <v>19</v>
      </c>
      <c r="G614" s="5" t="s">
        <v>27</v>
      </c>
      <c r="H614" s="5">
        <v>25539.0</v>
      </c>
      <c r="I614" s="5">
        <v>78.0</v>
      </c>
      <c r="J614" s="5">
        <v>12130.0</v>
      </c>
      <c r="K614" s="5">
        <v>24129.0</v>
      </c>
      <c r="L614" s="5">
        <v>15.0</v>
      </c>
      <c r="M614" s="5">
        <v>4804.493233</v>
      </c>
    </row>
    <row r="615">
      <c r="A615" s="4" t="s">
        <v>903</v>
      </c>
      <c r="B615" s="5" t="s">
        <v>15</v>
      </c>
      <c r="C615" s="5" t="s">
        <v>23</v>
      </c>
      <c r="D615" s="5" t="s">
        <v>78</v>
      </c>
      <c r="E615" s="6" t="s">
        <v>900</v>
      </c>
      <c r="F615" s="5" t="s">
        <v>19</v>
      </c>
      <c r="G615" s="5" t="s">
        <v>27</v>
      </c>
      <c r="H615" s="5">
        <v>186404.0</v>
      </c>
      <c r="I615" s="5">
        <v>940.0</v>
      </c>
      <c r="J615" s="5">
        <v>30885.0</v>
      </c>
      <c r="K615" s="5">
        <v>151358.0</v>
      </c>
      <c r="L615" s="5">
        <v>3.0</v>
      </c>
      <c r="M615" s="5">
        <v>4702.027505</v>
      </c>
    </row>
    <row r="616">
      <c r="A616" s="4" t="s">
        <v>904</v>
      </c>
      <c r="B616" s="5" t="s">
        <v>22</v>
      </c>
      <c r="C616" s="5" t="s">
        <v>16</v>
      </c>
      <c r="D616" s="5" t="s">
        <v>433</v>
      </c>
      <c r="E616" s="6" t="s">
        <v>900</v>
      </c>
      <c r="F616" s="5" t="s">
        <v>46</v>
      </c>
      <c r="G616" s="5" t="s">
        <v>27</v>
      </c>
      <c r="H616" s="5">
        <v>19549.0</v>
      </c>
      <c r="I616" s="5">
        <v>84.0</v>
      </c>
      <c r="J616" s="5">
        <v>6187.0</v>
      </c>
      <c r="K616" s="5">
        <v>17166.0</v>
      </c>
      <c r="L616" s="5">
        <v>2.0</v>
      </c>
      <c r="M616" s="5">
        <v>1844.986921</v>
      </c>
    </row>
    <row r="617">
      <c r="A617" s="4" t="s">
        <v>905</v>
      </c>
      <c r="B617" s="5" t="s">
        <v>22</v>
      </c>
      <c r="C617" s="5" t="s">
        <v>42</v>
      </c>
      <c r="D617" s="5" t="s">
        <v>39</v>
      </c>
      <c r="E617" s="6" t="s">
        <v>906</v>
      </c>
      <c r="F617" s="5" t="s">
        <v>46</v>
      </c>
      <c r="G617" s="5" t="s">
        <v>27</v>
      </c>
      <c r="H617" s="5">
        <v>17561.0</v>
      </c>
      <c r="I617" s="5">
        <v>50.0</v>
      </c>
      <c r="J617" s="5">
        <v>2960.0</v>
      </c>
      <c r="K617" s="5">
        <v>9953.0</v>
      </c>
      <c r="L617" s="5">
        <v>10.0</v>
      </c>
      <c r="M617" s="5">
        <v>1519.90401</v>
      </c>
    </row>
    <row r="618">
      <c r="A618" s="4" t="s">
        <v>907</v>
      </c>
      <c r="B618" s="5" t="s">
        <v>61</v>
      </c>
      <c r="C618" s="5" t="s">
        <v>42</v>
      </c>
      <c r="D618" s="5" t="s">
        <v>32</v>
      </c>
      <c r="E618" s="6" t="s">
        <v>908</v>
      </c>
      <c r="F618" s="5" t="s">
        <v>26</v>
      </c>
      <c r="G618" s="5" t="s">
        <v>27</v>
      </c>
      <c r="H618" s="5">
        <v>13608.0</v>
      </c>
      <c r="I618" s="5">
        <v>66.0</v>
      </c>
      <c r="J618" s="5">
        <v>2714.0</v>
      </c>
      <c r="K618" s="5">
        <v>9332.0</v>
      </c>
      <c r="L618" s="5">
        <v>1.0</v>
      </c>
      <c r="M618" s="5">
        <v>1762.663235</v>
      </c>
    </row>
    <row r="619">
      <c r="A619" s="4" t="s">
        <v>909</v>
      </c>
      <c r="B619" s="5" t="s">
        <v>61</v>
      </c>
      <c r="C619" s="5" t="s">
        <v>23</v>
      </c>
      <c r="D619" s="5" t="s">
        <v>35</v>
      </c>
      <c r="E619" s="6" t="s">
        <v>910</v>
      </c>
      <c r="F619" s="5" t="s">
        <v>19</v>
      </c>
      <c r="G619" s="5" t="s">
        <v>27</v>
      </c>
      <c r="H619" s="7">
        <v>446774.0</v>
      </c>
      <c r="I619" s="5">
        <v>951.0</v>
      </c>
      <c r="J619" s="7">
        <v>196581.0</v>
      </c>
      <c r="K619" s="7">
        <v>379758.0</v>
      </c>
      <c r="L619" s="5">
        <v>33.0</v>
      </c>
      <c r="M619" s="5">
        <v>6956.627366</v>
      </c>
    </row>
    <row r="620">
      <c r="A620" s="4" t="s">
        <v>911</v>
      </c>
      <c r="B620" s="5" t="s">
        <v>15</v>
      </c>
      <c r="C620" s="5" t="s">
        <v>16</v>
      </c>
      <c r="D620" s="5" t="s">
        <v>17</v>
      </c>
      <c r="E620" s="6" t="s">
        <v>912</v>
      </c>
      <c r="F620" s="5" t="s">
        <v>117</v>
      </c>
      <c r="G620" s="5" t="s">
        <v>27</v>
      </c>
      <c r="H620" s="5">
        <v>11607.0</v>
      </c>
      <c r="I620" s="5">
        <v>184.0</v>
      </c>
      <c r="J620" s="5">
        <v>5218.0</v>
      </c>
      <c r="K620" s="5">
        <v>10763.0</v>
      </c>
      <c r="L620" s="5">
        <v>12.0</v>
      </c>
      <c r="M620" s="5">
        <v>6909.732318</v>
      </c>
    </row>
    <row r="621">
      <c r="A621" s="4" t="s">
        <v>913</v>
      </c>
      <c r="B621" s="5" t="s">
        <v>61</v>
      </c>
      <c r="C621" s="5" t="s">
        <v>16</v>
      </c>
      <c r="D621" s="5" t="s">
        <v>78</v>
      </c>
      <c r="E621" s="6" t="s">
        <v>912</v>
      </c>
      <c r="F621" s="5" t="s">
        <v>117</v>
      </c>
      <c r="G621" s="5" t="s">
        <v>27</v>
      </c>
      <c r="H621" s="5">
        <v>72117.0</v>
      </c>
      <c r="I621" s="5">
        <v>187.0</v>
      </c>
      <c r="J621" s="5">
        <v>9807.0</v>
      </c>
      <c r="K621" s="5">
        <v>68568.0</v>
      </c>
      <c r="L621" s="5">
        <v>16.0</v>
      </c>
      <c r="M621" s="5">
        <v>1702.317206</v>
      </c>
    </row>
    <row r="622">
      <c r="A622" s="4" t="s">
        <v>914</v>
      </c>
      <c r="B622" s="5" t="s">
        <v>15</v>
      </c>
      <c r="C622" s="5" t="s">
        <v>42</v>
      </c>
      <c r="D622" s="5" t="s">
        <v>126</v>
      </c>
      <c r="E622" s="6" t="s">
        <v>912</v>
      </c>
      <c r="F622" s="5" t="s">
        <v>19</v>
      </c>
      <c r="G622" s="5" t="s">
        <v>52</v>
      </c>
      <c r="H622" s="5">
        <v>38070.0</v>
      </c>
      <c r="I622" s="5">
        <v>146.0</v>
      </c>
      <c r="J622" s="5">
        <v>15253.0</v>
      </c>
      <c r="K622" s="5">
        <v>35453.0</v>
      </c>
      <c r="L622" s="5">
        <v>8.0</v>
      </c>
      <c r="M622" s="5">
        <v>1653.510777</v>
      </c>
    </row>
    <row r="623">
      <c r="A623" s="4" t="s">
        <v>915</v>
      </c>
      <c r="B623" s="5" t="s">
        <v>61</v>
      </c>
      <c r="C623" s="5" t="s">
        <v>16</v>
      </c>
      <c r="D623" s="5" t="s">
        <v>78</v>
      </c>
      <c r="E623" s="6" t="s">
        <v>912</v>
      </c>
      <c r="F623" s="5" t="s">
        <v>46</v>
      </c>
      <c r="G623" s="5" t="s">
        <v>27</v>
      </c>
      <c r="H623" s="5">
        <v>32400.0</v>
      </c>
      <c r="I623" s="5">
        <v>87.0</v>
      </c>
      <c r="J623" s="5">
        <v>5152.0</v>
      </c>
      <c r="K623" s="5">
        <v>30383.0</v>
      </c>
      <c r="L623" s="5">
        <v>9.0</v>
      </c>
      <c r="M623" s="5">
        <v>1522.352623</v>
      </c>
    </row>
    <row r="624">
      <c r="A624" s="4" t="s">
        <v>916</v>
      </c>
      <c r="B624" s="5" t="s">
        <v>22</v>
      </c>
      <c r="C624" s="5" t="s">
        <v>42</v>
      </c>
      <c r="D624" s="5" t="s">
        <v>35</v>
      </c>
      <c r="E624" s="6" t="s">
        <v>917</v>
      </c>
      <c r="F624" s="5" t="s">
        <v>33</v>
      </c>
      <c r="G624" s="5" t="s">
        <v>27</v>
      </c>
      <c r="H624" s="5">
        <v>9867.0</v>
      </c>
      <c r="I624" s="5">
        <v>30.0</v>
      </c>
      <c r="J624" s="5">
        <v>6867.0</v>
      </c>
      <c r="K624" s="5">
        <v>9347.0</v>
      </c>
      <c r="L624" s="5">
        <v>12.0</v>
      </c>
      <c r="M624" s="5">
        <v>6839.569086</v>
      </c>
    </row>
    <row r="625">
      <c r="A625" s="4" t="s">
        <v>918</v>
      </c>
      <c r="B625" s="5" t="s">
        <v>15</v>
      </c>
      <c r="C625" s="5" t="s">
        <v>31</v>
      </c>
      <c r="D625" s="5" t="s">
        <v>17</v>
      </c>
      <c r="E625" s="6" t="s">
        <v>919</v>
      </c>
      <c r="F625" s="5" t="s">
        <v>36</v>
      </c>
      <c r="G625" s="5" t="s">
        <v>27</v>
      </c>
      <c r="H625" s="5">
        <v>1109184.0</v>
      </c>
      <c r="I625" s="5">
        <v>3142.0</v>
      </c>
      <c r="J625" s="5">
        <v>83035.0</v>
      </c>
      <c r="K625" s="5">
        <v>782482.0</v>
      </c>
      <c r="L625" s="5">
        <v>25.0</v>
      </c>
      <c r="M625" s="5">
        <v>7490.860779</v>
      </c>
    </row>
    <row r="626">
      <c r="A626" s="4" t="s">
        <v>920</v>
      </c>
      <c r="B626" s="5" t="s">
        <v>22</v>
      </c>
      <c r="C626" s="5" t="s">
        <v>42</v>
      </c>
      <c r="D626" s="5" t="s">
        <v>29</v>
      </c>
      <c r="E626" s="6" t="s">
        <v>919</v>
      </c>
      <c r="F626" s="5" t="s">
        <v>26</v>
      </c>
      <c r="G626" s="5" t="s">
        <v>27</v>
      </c>
      <c r="H626" s="5">
        <v>686858.0</v>
      </c>
      <c r="I626" s="5">
        <v>2085.0</v>
      </c>
      <c r="J626" s="5">
        <v>81956.0</v>
      </c>
      <c r="K626" s="5">
        <v>624118.0</v>
      </c>
      <c r="L626" s="5">
        <v>19.0</v>
      </c>
      <c r="M626" s="5">
        <v>7467.081487</v>
      </c>
    </row>
    <row r="627">
      <c r="A627" s="4" t="s">
        <v>921</v>
      </c>
      <c r="B627" s="5" t="s">
        <v>61</v>
      </c>
      <c r="C627" s="5" t="s">
        <v>23</v>
      </c>
      <c r="D627" s="5" t="s">
        <v>35</v>
      </c>
      <c r="E627" s="6" t="s">
        <v>919</v>
      </c>
      <c r="F627" s="5" t="s">
        <v>46</v>
      </c>
      <c r="G627" s="5" t="s">
        <v>27</v>
      </c>
      <c r="H627" s="5">
        <v>40929.0</v>
      </c>
      <c r="I627" s="5">
        <v>142.0</v>
      </c>
      <c r="J627" s="5">
        <v>9249.0</v>
      </c>
      <c r="K627" s="5">
        <v>31564.0</v>
      </c>
      <c r="L627" s="5">
        <v>8.0</v>
      </c>
      <c r="M627" s="5">
        <v>6764.520637</v>
      </c>
    </row>
    <row r="628">
      <c r="A628" s="4" t="s">
        <v>922</v>
      </c>
      <c r="B628" s="5" t="s">
        <v>22</v>
      </c>
      <c r="C628" s="5" t="s">
        <v>23</v>
      </c>
      <c r="D628" s="5" t="s">
        <v>39</v>
      </c>
      <c r="E628" s="6" t="s">
        <v>919</v>
      </c>
      <c r="F628" s="5" t="s">
        <v>19</v>
      </c>
      <c r="G628" s="5" t="s">
        <v>27</v>
      </c>
      <c r="H628" s="5">
        <v>39844.0</v>
      </c>
      <c r="I628" s="5">
        <v>99.0</v>
      </c>
      <c r="J628" s="5">
        <v>11077.0</v>
      </c>
      <c r="K628" s="5">
        <v>30190.0</v>
      </c>
      <c r="L628" s="5">
        <v>9.0</v>
      </c>
      <c r="M628" s="5">
        <v>6367.869929</v>
      </c>
    </row>
    <row r="629">
      <c r="A629" s="4" t="s">
        <v>923</v>
      </c>
      <c r="B629" s="5" t="s">
        <v>22</v>
      </c>
      <c r="C629" s="5" t="s">
        <v>16</v>
      </c>
      <c r="D629" s="5" t="s">
        <v>66</v>
      </c>
      <c r="E629" s="6" t="s">
        <v>919</v>
      </c>
      <c r="F629" s="5" t="s">
        <v>19</v>
      </c>
      <c r="G629" s="5" t="s">
        <v>27</v>
      </c>
      <c r="H629" s="5">
        <v>210700.0</v>
      </c>
      <c r="I629" s="5">
        <v>704.0</v>
      </c>
      <c r="J629" s="5">
        <v>94625.0</v>
      </c>
      <c r="K629" s="5">
        <v>180681.0</v>
      </c>
      <c r="L629" s="5">
        <v>3.0</v>
      </c>
      <c r="M629" s="5">
        <v>6341.879301</v>
      </c>
    </row>
    <row r="630">
      <c r="A630" s="4" t="s">
        <v>924</v>
      </c>
      <c r="B630" s="5" t="s">
        <v>22</v>
      </c>
      <c r="C630" s="5" t="s">
        <v>23</v>
      </c>
      <c r="D630" s="5" t="s">
        <v>142</v>
      </c>
      <c r="E630" s="6" t="s">
        <v>919</v>
      </c>
      <c r="F630" s="5" t="s">
        <v>26</v>
      </c>
      <c r="G630" s="5" t="s">
        <v>27</v>
      </c>
      <c r="H630" s="5">
        <v>42884.0</v>
      </c>
      <c r="I630" s="5">
        <v>104.0</v>
      </c>
      <c r="J630" s="5">
        <v>4345.0</v>
      </c>
      <c r="K630" s="5">
        <v>25153.0</v>
      </c>
      <c r="L630" s="5">
        <v>9.0</v>
      </c>
      <c r="M630" s="5">
        <v>6322.152655</v>
      </c>
    </row>
    <row r="631">
      <c r="A631" s="4" t="s">
        <v>925</v>
      </c>
      <c r="B631" s="5" t="s">
        <v>15</v>
      </c>
      <c r="C631" s="5" t="s">
        <v>23</v>
      </c>
      <c r="D631" s="5" t="s">
        <v>78</v>
      </c>
      <c r="E631" s="6" t="s">
        <v>919</v>
      </c>
      <c r="F631" s="5" t="s">
        <v>136</v>
      </c>
      <c r="G631" s="5" t="s">
        <v>52</v>
      </c>
      <c r="H631" s="5">
        <v>96779.0</v>
      </c>
      <c r="I631" s="5">
        <v>299.0</v>
      </c>
      <c r="J631" s="5">
        <v>9831.0</v>
      </c>
      <c r="K631" s="5">
        <v>63640.0</v>
      </c>
      <c r="L631" s="5">
        <v>12.0</v>
      </c>
      <c r="M631" s="5">
        <v>6317.510754</v>
      </c>
    </row>
    <row r="632">
      <c r="A632" s="4" t="s">
        <v>926</v>
      </c>
      <c r="B632" s="5" t="s">
        <v>15</v>
      </c>
      <c r="C632" s="5" t="s">
        <v>23</v>
      </c>
      <c r="D632" s="5" t="s">
        <v>35</v>
      </c>
      <c r="E632" s="6" t="s">
        <v>919</v>
      </c>
      <c r="F632" s="5" t="s">
        <v>19</v>
      </c>
      <c r="G632" s="5" t="s">
        <v>27</v>
      </c>
      <c r="H632" s="5">
        <v>182114.0</v>
      </c>
      <c r="I632" s="5">
        <v>500.0</v>
      </c>
      <c r="J632" s="5">
        <v>14477.0</v>
      </c>
      <c r="K632" s="5">
        <v>139167.0</v>
      </c>
      <c r="L632" s="5">
        <v>29.0</v>
      </c>
      <c r="M632" s="5">
        <v>6307.900751</v>
      </c>
    </row>
    <row r="633">
      <c r="A633" s="4" t="s">
        <v>927</v>
      </c>
      <c r="B633" s="5" t="s">
        <v>61</v>
      </c>
      <c r="C633" s="5" t="s">
        <v>16</v>
      </c>
      <c r="D633" s="5" t="s">
        <v>35</v>
      </c>
      <c r="E633" s="6" t="s">
        <v>919</v>
      </c>
      <c r="F633" s="5" t="s">
        <v>19</v>
      </c>
      <c r="G633" s="5" t="s">
        <v>27</v>
      </c>
      <c r="H633" s="5">
        <v>207823.0</v>
      </c>
      <c r="I633" s="5">
        <v>600.0</v>
      </c>
      <c r="J633" s="5">
        <v>33602.0</v>
      </c>
      <c r="K633" s="5">
        <v>167814.0</v>
      </c>
      <c r="L633" s="5">
        <v>13.0</v>
      </c>
      <c r="M633" s="5">
        <v>6048.955611</v>
      </c>
    </row>
    <row r="634">
      <c r="A634" s="4" t="s">
        <v>928</v>
      </c>
      <c r="B634" s="5" t="s">
        <v>61</v>
      </c>
      <c r="C634" s="5" t="s">
        <v>16</v>
      </c>
      <c r="D634" s="5" t="s">
        <v>29</v>
      </c>
      <c r="E634" s="6" t="s">
        <v>919</v>
      </c>
      <c r="F634" s="5" t="s">
        <v>19</v>
      </c>
      <c r="G634" s="5" t="s">
        <v>27</v>
      </c>
      <c r="H634" s="5">
        <v>257862.0</v>
      </c>
      <c r="I634" s="5">
        <v>700.0</v>
      </c>
      <c r="J634" s="5">
        <v>105048.0</v>
      </c>
      <c r="K634" s="5">
        <v>238629.0</v>
      </c>
      <c r="L634" s="5">
        <v>21.0</v>
      </c>
      <c r="M634" s="5">
        <v>5899.429483</v>
      </c>
    </row>
    <row r="635">
      <c r="A635" s="4" t="s">
        <v>929</v>
      </c>
      <c r="B635" s="5" t="s">
        <v>15</v>
      </c>
      <c r="C635" s="5" t="s">
        <v>42</v>
      </c>
      <c r="D635" s="5" t="s">
        <v>35</v>
      </c>
      <c r="E635" s="6" t="s">
        <v>919</v>
      </c>
      <c r="F635" s="5" t="s">
        <v>26</v>
      </c>
      <c r="G635" s="5" t="s">
        <v>52</v>
      </c>
      <c r="H635" s="5">
        <v>26439.0</v>
      </c>
      <c r="I635" s="5">
        <v>95.0</v>
      </c>
      <c r="J635" s="5">
        <v>7093.0</v>
      </c>
      <c r="K635" s="5">
        <v>19681.0</v>
      </c>
      <c r="L635" s="5">
        <v>7.0</v>
      </c>
      <c r="M635" s="5">
        <v>5330.781969</v>
      </c>
    </row>
    <row r="636">
      <c r="A636" s="4" t="s">
        <v>930</v>
      </c>
      <c r="B636" s="5" t="s">
        <v>22</v>
      </c>
      <c r="C636" s="5" t="s">
        <v>42</v>
      </c>
      <c r="D636" s="5" t="s">
        <v>204</v>
      </c>
      <c r="E636" s="6" t="s">
        <v>919</v>
      </c>
      <c r="F636" s="5" t="s">
        <v>19</v>
      </c>
      <c r="G636" s="5" t="s">
        <v>27</v>
      </c>
      <c r="H636" s="5">
        <v>96508.0</v>
      </c>
      <c r="I636" s="5">
        <v>351.0</v>
      </c>
      <c r="J636" s="5">
        <v>47065.0</v>
      </c>
      <c r="K636" s="5">
        <v>73640.0</v>
      </c>
      <c r="L636" s="5">
        <v>15.0</v>
      </c>
      <c r="M636" s="5">
        <v>5310.769572</v>
      </c>
    </row>
    <row r="637">
      <c r="A637" s="4" t="s">
        <v>931</v>
      </c>
      <c r="B637" s="5" t="s">
        <v>15</v>
      </c>
      <c r="C637" s="5" t="s">
        <v>16</v>
      </c>
      <c r="D637" s="5" t="s">
        <v>78</v>
      </c>
      <c r="E637" s="6" t="s">
        <v>919</v>
      </c>
      <c r="F637" s="5" t="s">
        <v>19</v>
      </c>
      <c r="G637" s="5" t="s">
        <v>27</v>
      </c>
      <c r="H637" s="5">
        <v>198163.0</v>
      </c>
      <c r="I637" s="5">
        <v>469.0</v>
      </c>
      <c r="J637" s="5">
        <v>76695.0</v>
      </c>
      <c r="K637" s="5">
        <v>183585.0</v>
      </c>
      <c r="L637" s="5">
        <v>31.0</v>
      </c>
      <c r="M637" s="5">
        <v>5204.313768</v>
      </c>
    </row>
    <row r="638">
      <c r="A638" s="4" t="s">
        <v>932</v>
      </c>
      <c r="B638" s="5" t="s">
        <v>22</v>
      </c>
      <c r="C638" s="5" t="s">
        <v>31</v>
      </c>
      <c r="D638" s="5" t="s">
        <v>214</v>
      </c>
      <c r="E638" s="6" t="s">
        <v>919</v>
      </c>
      <c r="F638" s="5" t="s">
        <v>19</v>
      </c>
      <c r="G638" s="5" t="s">
        <v>27</v>
      </c>
      <c r="H638" s="5">
        <v>156427.0</v>
      </c>
      <c r="I638" s="5">
        <v>512.0</v>
      </c>
      <c r="J638" s="5">
        <v>61821.0</v>
      </c>
      <c r="K638" s="5">
        <v>145505.0</v>
      </c>
      <c r="L638" s="5">
        <v>3.0</v>
      </c>
      <c r="M638" s="5">
        <v>5159.747494</v>
      </c>
    </row>
    <row r="639">
      <c r="A639" s="4" t="s">
        <v>933</v>
      </c>
      <c r="B639" s="5" t="s">
        <v>15</v>
      </c>
      <c r="C639" s="5" t="s">
        <v>42</v>
      </c>
      <c r="D639" s="5" t="s">
        <v>39</v>
      </c>
      <c r="E639" s="6" t="s">
        <v>919</v>
      </c>
      <c r="F639" s="5" t="s">
        <v>36</v>
      </c>
      <c r="G639" s="5" t="s">
        <v>27</v>
      </c>
      <c r="H639" s="5">
        <v>61574.0</v>
      </c>
      <c r="I639" s="5">
        <v>280.0</v>
      </c>
      <c r="J639" s="5">
        <v>18717.0</v>
      </c>
      <c r="K639" s="5">
        <v>46367.0</v>
      </c>
      <c r="L639" s="5">
        <v>8.0</v>
      </c>
      <c r="M639" s="5">
        <v>4999.665205</v>
      </c>
    </row>
    <row r="640">
      <c r="A640" s="4" t="s">
        <v>934</v>
      </c>
      <c r="B640" s="5" t="s">
        <v>15</v>
      </c>
      <c r="C640" s="5" t="s">
        <v>31</v>
      </c>
      <c r="D640" s="5" t="s">
        <v>29</v>
      </c>
      <c r="E640" s="6" t="s">
        <v>919</v>
      </c>
      <c r="F640" s="5" t="s">
        <v>19</v>
      </c>
      <c r="G640" s="5" t="s">
        <v>20</v>
      </c>
      <c r="H640" s="5">
        <v>29856.0</v>
      </c>
      <c r="I640" s="5">
        <v>111.0</v>
      </c>
      <c r="J640" s="5">
        <v>7664.0</v>
      </c>
      <c r="K640" s="5">
        <v>21698.0</v>
      </c>
      <c r="L640" s="5">
        <v>9.0</v>
      </c>
      <c r="M640" s="5">
        <v>4851.394446</v>
      </c>
    </row>
    <row r="641">
      <c r="A641" s="4" t="s">
        <v>935</v>
      </c>
      <c r="B641" s="5" t="s">
        <v>15</v>
      </c>
      <c r="C641" s="5" t="s">
        <v>31</v>
      </c>
      <c r="D641" s="5" t="s">
        <v>35</v>
      </c>
      <c r="E641" s="6" t="s">
        <v>919</v>
      </c>
      <c r="F641" s="5" t="s">
        <v>19</v>
      </c>
      <c r="G641" s="5" t="s">
        <v>27</v>
      </c>
      <c r="H641" s="5">
        <v>100991.0</v>
      </c>
      <c r="I641" s="5">
        <v>286.0</v>
      </c>
      <c r="J641" s="5">
        <v>56138.0</v>
      </c>
      <c r="K641" s="5">
        <v>88836.0</v>
      </c>
      <c r="L641" s="5">
        <v>9.0</v>
      </c>
      <c r="M641" s="5">
        <v>4652.367629</v>
      </c>
    </row>
    <row r="642">
      <c r="A642" s="4" t="s">
        <v>936</v>
      </c>
      <c r="B642" s="5" t="s">
        <v>22</v>
      </c>
      <c r="C642" s="5" t="s">
        <v>16</v>
      </c>
      <c r="D642" s="5" t="s">
        <v>35</v>
      </c>
      <c r="E642" s="6" t="s">
        <v>919</v>
      </c>
      <c r="F642" s="5" t="s">
        <v>19</v>
      </c>
      <c r="G642" s="5" t="s">
        <v>27</v>
      </c>
      <c r="H642" s="5">
        <v>43327.0</v>
      </c>
      <c r="I642" s="5">
        <v>140.0</v>
      </c>
      <c r="J642" s="5">
        <v>4689.0</v>
      </c>
      <c r="K642" s="5">
        <v>31363.0</v>
      </c>
      <c r="L642" s="5">
        <v>14.0</v>
      </c>
      <c r="M642" s="5">
        <v>4554.876884</v>
      </c>
    </row>
    <row r="643">
      <c r="A643" s="4" t="s">
        <v>937</v>
      </c>
      <c r="B643" s="5" t="s">
        <v>22</v>
      </c>
      <c r="C643" s="5" t="s">
        <v>16</v>
      </c>
      <c r="D643" s="5" t="s">
        <v>29</v>
      </c>
      <c r="E643" s="6" t="s">
        <v>919</v>
      </c>
      <c r="F643" s="5" t="s">
        <v>19</v>
      </c>
      <c r="G643" s="5" t="s">
        <v>27</v>
      </c>
      <c r="H643" s="5">
        <v>212009.0</v>
      </c>
      <c r="I643" s="5">
        <v>555.0</v>
      </c>
      <c r="J643" s="5">
        <v>16903.0</v>
      </c>
      <c r="K643" s="5">
        <v>149653.0</v>
      </c>
      <c r="L643" s="5">
        <v>15.0</v>
      </c>
      <c r="M643" s="5">
        <v>3983.621797</v>
      </c>
    </row>
    <row r="644">
      <c r="A644" s="4" t="s">
        <v>938</v>
      </c>
      <c r="B644" s="5" t="s">
        <v>15</v>
      </c>
      <c r="C644" s="5" t="s">
        <v>16</v>
      </c>
      <c r="D644" s="5" t="s">
        <v>66</v>
      </c>
      <c r="E644" s="6" t="s">
        <v>919</v>
      </c>
      <c r="F644" s="5" t="s">
        <v>19</v>
      </c>
      <c r="G644" s="5" t="s">
        <v>20</v>
      </c>
      <c r="H644" s="5">
        <v>45668.0</v>
      </c>
      <c r="I644" s="5">
        <v>130.0</v>
      </c>
      <c r="J644" s="5">
        <v>16872.0</v>
      </c>
      <c r="K644" s="5">
        <v>32085.0</v>
      </c>
      <c r="L644" s="5">
        <v>9.0</v>
      </c>
      <c r="M644" s="5">
        <v>3444.202946</v>
      </c>
    </row>
    <row r="645">
      <c r="A645" s="4" t="s">
        <v>939</v>
      </c>
      <c r="B645" s="5" t="s">
        <v>22</v>
      </c>
      <c r="C645" s="5" t="s">
        <v>42</v>
      </c>
      <c r="D645" s="5" t="s">
        <v>78</v>
      </c>
      <c r="E645" s="6" t="s">
        <v>919</v>
      </c>
      <c r="F645" s="5" t="s">
        <v>19</v>
      </c>
      <c r="G645" s="5" t="s">
        <v>27</v>
      </c>
      <c r="H645" s="5">
        <v>654902.0</v>
      </c>
      <c r="I645" s="5">
        <v>1874.0</v>
      </c>
      <c r="J645" s="5">
        <v>40733.0</v>
      </c>
      <c r="K645" s="5">
        <v>477114.0</v>
      </c>
      <c r="L645" s="5">
        <v>14.0</v>
      </c>
      <c r="M645" s="5">
        <v>3178.610315</v>
      </c>
    </row>
    <row r="646">
      <c r="A646" s="4" t="s">
        <v>940</v>
      </c>
      <c r="B646" s="5" t="s">
        <v>22</v>
      </c>
      <c r="C646" s="5" t="s">
        <v>23</v>
      </c>
      <c r="D646" s="5" t="s">
        <v>150</v>
      </c>
      <c r="E646" s="6" t="s">
        <v>919</v>
      </c>
      <c r="F646" s="5" t="s">
        <v>26</v>
      </c>
      <c r="G646" s="5" t="s">
        <v>27</v>
      </c>
      <c r="H646" s="5">
        <v>239164.0</v>
      </c>
      <c r="I646" s="5">
        <v>699.0</v>
      </c>
      <c r="J646" s="5">
        <v>86250.0</v>
      </c>
      <c r="K646" s="5">
        <v>198209.0</v>
      </c>
      <c r="L646" s="5">
        <v>41.0</v>
      </c>
      <c r="M646" s="5">
        <v>2819.935266</v>
      </c>
    </row>
    <row r="647">
      <c r="A647" s="4" t="s">
        <v>941</v>
      </c>
      <c r="B647" s="5" t="s">
        <v>15</v>
      </c>
      <c r="C647" s="5" t="s">
        <v>16</v>
      </c>
      <c r="D647" s="5" t="s">
        <v>35</v>
      </c>
      <c r="E647" s="6" t="s">
        <v>919</v>
      </c>
      <c r="F647" s="5" t="s">
        <v>36</v>
      </c>
      <c r="G647" s="5" t="s">
        <v>27</v>
      </c>
      <c r="H647" s="5">
        <v>564387.0</v>
      </c>
      <c r="I647" s="5">
        <v>1984.0</v>
      </c>
      <c r="J647" s="5">
        <v>78234.0</v>
      </c>
      <c r="K647" s="5">
        <v>438695.0</v>
      </c>
      <c r="L647" s="5">
        <v>6.0</v>
      </c>
      <c r="M647" s="5">
        <v>2712.379678</v>
      </c>
    </row>
    <row r="648">
      <c r="A648" s="4" t="s">
        <v>942</v>
      </c>
      <c r="B648" s="5" t="s">
        <v>22</v>
      </c>
      <c r="C648" s="5" t="s">
        <v>42</v>
      </c>
      <c r="D648" s="5" t="s">
        <v>78</v>
      </c>
      <c r="E648" s="6" t="s">
        <v>919</v>
      </c>
      <c r="F648" s="5" t="s">
        <v>19</v>
      </c>
      <c r="G648" s="5" t="s">
        <v>27</v>
      </c>
      <c r="H648" s="5">
        <v>12512.0</v>
      </c>
      <c r="I648" s="5">
        <v>69.0</v>
      </c>
      <c r="J648" s="5">
        <v>6240.0</v>
      </c>
      <c r="K648" s="5">
        <v>9672.0</v>
      </c>
      <c r="L648" s="5">
        <v>1.0</v>
      </c>
      <c r="M648" s="5">
        <v>2298.888965</v>
      </c>
    </row>
    <row r="649">
      <c r="A649" s="4" t="s">
        <v>943</v>
      </c>
      <c r="B649" s="5" t="s">
        <v>22</v>
      </c>
      <c r="C649" s="5" t="s">
        <v>16</v>
      </c>
      <c r="D649" s="5" t="s">
        <v>17</v>
      </c>
      <c r="E649" s="6" t="s">
        <v>919</v>
      </c>
      <c r="F649" s="5" t="s">
        <v>19</v>
      </c>
      <c r="G649" s="5" t="s">
        <v>27</v>
      </c>
      <c r="H649" s="5">
        <v>68008.0</v>
      </c>
      <c r="I649" s="5">
        <v>204.0</v>
      </c>
      <c r="J649" s="5">
        <v>2996.0</v>
      </c>
      <c r="K649" s="5">
        <v>49686.0</v>
      </c>
      <c r="L649" s="5">
        <v>9.0</v>
      </c>
      <c r="M649" s="5">
        <v>1923.808141</v>
      </c>
    </row>
    <row r="650">
      <c r="A650" s="4" t="s">
        <v>944</v>
      </c>
      <c r="B650" s="5" t="s">
        <v>22</v>
      </c>
      <c r="C650" s="5" t="s">
        <v>23</v>
      </c>
      <c r="D650" s="5" t="s">
        <v>78</v>
      </c>
      <c r="E650" s="6" t="s">
        <v>919</v>
      </c>
      <c r="F650" s="5" t="s">
        <v>26</v>
      </c>
      <c r="G650" s="5" t="s">
        <v>27</v>
      </c>
      <c r="H650" s="5">
        <v>61848.0</v>
      </c>
      <c r="I650" s="5">
        <v>213.0</v>
      </c>
      <c r="J650" s="5">
        <v>6581.0</v>
      </c>
      <c r="K650" s="5">
        <v>44917.0</v>
      </c>
      <c r="L650" s="5">
        <v>15.0</v>
      </c>
      <c r="M650" s="5">
        <v>1819.893602</v>
      </c>
    </row>
    <row r="651">
      <c r="A651" s="4" t="s">
        <v>945</v>
      </c>
      <c r="B651" s="5" t="s">
        <v>15</v>
      </c>
      <c r="C651" s="5" t="s">
        <v>31</v>
      </c>
      <c r="D651" s="5" t="s">
        <v>78</v>
      </c>
      <c r="E651" s="6" t="s">
        <v>919</v>
      </c>
      <c r="F651" s="5" t="s">
        <v>36</v>
      </c>
      <c r="G651" s="5" t="s">
        <v>27</v>
      </c>
      <c r="H651" s="5">
        <v>232635.0</v>
      </c>
      <c r="I651" s="5">
        <v>666.0</v>
      </c>
      <c r="J651" s="5">
        <v>34008.0</v>
      </c>
      <c r="K651" s="5">
        <v>195803.0</v>
      </c>
      <c r="L651" s="5">
        <v>39.0</v>
      </c>
      <c r="M651" s="5">
        <v>1773.991882</v>
      </c>
    </row>
    <row r="652">
      <c r="A652" s="4" t="s">
        <v>946</v>
      </c>
      <c r="B652" s="5" t="s">
        <v>15</v>
      </c>
      <c r="C652" s="5" t="s">
        <v>16</v>
      </c>
      <c r="D652" s="5" t="s">
        <v>35</v>
      </c>
      <c r="E652" s="6" t="s">
        <v>919</v>
      </c>
      <c r="F652" s="5" t="s">
        <v>26</v>
      </c>
      <c r="G652" s="5" t="s">
        <v>27</v>
      </c>
      <c r="H652" s="5">
        <v>180353.0</v>
      </c>
      <c r="I652" s="5">
        <v>471.0</v>
      </c>
      <c r="J652" s="5">
        <v>67637.0</v>
      </c>
      <c r="K652" s="5">
        <v>145416.0</v>
      </c>
      <c r="L652" s="5">
        <v>8.0</v>
      </c>
      <c r="M652" s="5">
        <v>1720.881985</v>
      </c>
    </row>
    <row r="653">
      <c r="A653" s="4" t="s">
        <v>947</v>
      </c>
      <c r="B653" s="5" t="s">
        <v>22</v>
      </c>
      <c r="C653" s="5" t="s">
        <v>16</v>
      </c>
      <c r="D653" s="5" t="s">
        <v>78</v>
      </c>
      <c r="E653" s="6" t="s">
        <v>919</v>
      </c>
      <c r="F653" s="5" t="s">
        <v>19</v>
      </c>
      <c r="G653" s="5" t="s">
        <v>27</v>
      </c>
      <c r="H653" s="5">
        <v>78433.0</v>
      </c>
      <c r="I653" s="5">
        <v>204.0</v>
      </c>
      <c r="J653" s="5">
        <v>24067.0</v>
      </c>
      <c r="K653" s="5">
        <v>58308.0</v>
      </c>
      <c r="L653" s="5">
        <v>16.0</v>
      </c>
      <c r="M653" s="5">
        <v>1612.549327</v>
      </c>
    </row>
    <row r="654">
      <c r="A654" s="4" t="s">
        <v>948</v>
      </c>
      <c r="B654" s="5" t="s">
        <v>22</v>
      </c>
      <c r="C654" s="5" t="s">
        <v>23</v>
      </c>
      <c r="D654" s="5" t="s">
        <v>35</v>
      </c>
      <c r="E654" s="6" t="s">
        <v>919</v>
      </c>
      <c r="F654" s="5" t="s">
        <v>117</v>
      </c>
      <c r="G654" s="5" t="s">
        <v>27</v>
      </c>
      <c r="H654" s="5">
        <v>194833.0</v>
      </c>
      <c r="I654" s="5">
        <v>499.0</v>
      </c>
      <c r="J654" s="5">
        <v>29091.0</v>
      </c>
      <c r="K654" s="5">
        <v>143813.0</v>
      </c>
      <c r="L654" s="5">
        <v>4.0</v>
      </c>
      <c r="M654" s="5">
        <v>1586.314519</v>
      </c>
    </row>
    <row r="655">
      <c r="A655" s="4" t="s">
        <v>949</v>
      </c>
      <c r="B655" s="5" t="s">
        <v>15</v>
      </c>
      <c r="C655" s="5" t="s">
        <v>31</v>
      </c>
      <c r="D655" s="5" t="s">
        <v>142</v>
      </c>
      <c r="E655" s="6" t="s">
        <v>919</v>
      </c>
      <c r="F655" s="5" t="s">
        <v>117</v>
      </c>
      <c r="G655" s="5" t="s">
        <v>27</v>
      </c>
      <c r="H655" s="5">
        <v>197192.0</v>
      </c>
      <c r="I655" s="5">
        <v>519.0</v>
      </c>
      <c r="J655" s="5">
        <v>80623.0</v>
      </c>
      <c r="K655" s="5">
        <v>181763.0</v>
      </c>
      <c r="L655" s="5">
        <v>5.0</v>
      </c>
      <c r="M655" s="5">
        <v>1584.731757</v>
      </c>
    </row>
    <row r="656">
      <c r="A656" s="4" t="s">
        <v>950</v>
      </c>
      <c r="B656" s="5" t="s">
        <v>15</v>
      </c>
      <c r="C656" s="5" t="s">
        <v>42</v>
      </c>
      <c r="D656" s="5" t="s">
        <v>55</v>
      </c>
      <c r="E656" s="6" t="s">
        <v>919</v>
      </c>
      <c r="F656" s="5" t="s">
        <v>26</v>
      </c>
      <c r="G656" s="5" t="s">
        <v>27</v>
      </c>
      <c r="H656" s="5">
        <v>40519.0</v>
      </c>
      <c r="I656" s="5">
        <v>111.0</v>
      </c>
      <c r="J656" s="5">
        <v>6105.0</v>
      </c>
      <c r="K656" s="5">
        <v>26283.0</v>
      </c>
      <c r="L656" s="5">
        <v>10.0</v>
      </c>
      <c r="M656" s="5">
        <v>1582.410977</v>
      </c>
    </row>
    <row r="657">
      <c r="A657" s="4" t="s">
        <v>951</v>
      </c>
      <c r="B657" s="5" t="s">
        <v>22</v>
      </c>
      <c r="C657" s="5" t="s">
        <v>23</v>
      </c>
      <c r="D657" s="5" t="s">
        <v>173</v>
      </c>
      <c r="E657" s="6" t="s">
        <v>919</v>
      </c>
      <c r="F657" s="5" t="s">
        <v>19</v>
      </c>
      <c r="G657" s="5" t="s">
        <v>27</v>
      </c>
      <c r="H657" s="5">
        <v>254780.0</v>
      </c>
      <c r="I657" s="5">
        <v>699.0</v>
      </c>
      <c r="J657" s="5">
        <v>19169.0</v>
      </c>
      <c r="K657" s="5">
        <v>182583.0</v>
      </c>
      <c r="L657" s="5">
        <v>4.0</v>
      </c>
      <c r="M657" s="5">
        <v>1561.021915</v>
      </c>
    </row>
    <row r="658">
      <c r="A658" s="4" t="s">
        <v>952</v>
      </c>
      <c r="B658" s="5" t="s">
        <v>22</v>
      </c>
      <c r="C658" s="5" t="s">
        <v>31</v>
      </c>
      <c r="D658" s="5" t="s">
        <v>953</v>
      </c>
      <c r="E658" s="6" t="s">
        <v>919</v>
      </c>
      <c r="F658" s="5" t="s">
        <v>19</v>
      </c>
      <c r="G658" s="5" t="s">
        <v>27</v>
      </c>
      <c r="H658" s="5">
        <v>36543.0</v>
      </c>
      <c r="I658" s="5">
        <v>147.0</v>
      </c>
      <c r="J658" s="5">
        <v>18046.0</v>
      </c>
      <c r="K658" s="5">
        <v>27358.0</v>
      </c>
      <c r="L658" s="5">
        <v>6.0</v>
      </c>
      <c r="M658" s="5">
        <v>1513.088728</v>
      </c>
    </row>
    <row r="659">
      <c r="A659" s="4" t="s">
        <v>954</v>
      </c>
      <c r="B659" s="5" t="s">
        <v>22</v>
      </c>
      <c r="C659" s="5" t="s">
        <v>23</v>
      </c>
      <c r="D659" s="5" t="s">
        <v>29</v>
      </c>
      <c r="E659" s="6" t="s">
        <v>919</v>
      </c>
      <c r="F659" s="5" t="s">
        <v>19</v>
      </c>
      <c r="G659" s="5" t="s">
        <v>27</v>
      </c>
      <c r="H659" s="5">
        <v>292885.0</v>
      </c>
      <c r="I659" s="5">
        <v>796.0</v>
      </c>
      <c r="J659" s="5">
        <v>12733.0</v>
      </c>
      <c r="K659" s="5">
        <v>203986.0</v>
      </c>
      <c r="L659" s="5">
        <v>4.0</v>
      </c>
      <c r="M659" s="5">
        <v>1503.913054</v>
      </c>
    </row>
    <row r="660">
      <c r="A660" s="4" t="s">
        <v>955</v>
      </c>
      <c r="B660" s="5" t="s">
        <v>15</v>
      </c>
      <c r="C660" s="5" t="s">
        <v>16</v>
      </c>
      <c r="D660" s="5" t="s">
        <v>55</v>
      </c>
      <c r="E660" s="6" t="s">
        <v>919</v>
      </c>
      <c r="F660" s="5" t="s">
        <v>136</v>
      </c>
      <c r="G660" s="5" t="s">
        <v>27</v>
      </c>
      <c r="H660" s="5">
        <v>253577.0</v>
      </c>
      <c r="I660" s="5">
        <v>890.0</v>
      </c>
      <c r="J660" s="5">
        <v>66972.0</v>
      </c>
      <c r="K660" s="5">
        <v>191183.0</v>
      </c>
      <c r="L660" s="5">
        <v>44.0</v>
      </c>
      <c r="M660" s="5">
        <v>1493.074494</v>
      </c>
    </row>
    <row r="661">
      <c r="A661" s="4" t="s">
        <v>956</v>
      </c>
      <c r="B661" s="5" t="s">
        <v>15</v>
      </c>
      <c r="C661" s="5" t="s">
        <v>16</v>
      </c>
      <c r="D661" s="5" t="s">
        <v>35</v>
      </c>
      <c r="E661" s="6" t="s">
        <v>919</v>
      </c>
      <c r="F661" s="5" t="s">
        <v>184</v>
      </c>
      <c r="G661" s="5" t="s">
        <v>27</v>
      </c>
      <c r="H661" s="5">
        <v>12280.0</v>
      </c>
      <c r="I661" s="5">
        <v>90.0</v>
      </c>
      <c r="J661" s="5">
        <v>7633.0</v>
      </c>
      <c r="K661" s="5">
        <v>11053.0</v>
      </c>
      <c r="L661" s="5">
        <v>5.0</v>
      </c>
      <c r="M661" s="5">
        <v>1452.207361</v>
      </c>
    </row>
    <row r="662">
      <c r="A662" s="4" t="s">
        <v>957</v>
      </c>
      <c r="B662" s="5" t="s">
        <v>15</v>
      </c>
      <c r="C662" s="5" t="s">
        <v>16</v>
      </c>
      <c r="D662" s="5" t="s">
        <v>55</v>
      </c>
      <c r="E662" s="6" t="s">
        <v>958</v>
      </c>
      <c r="F662" s="5" t="s">
        <v>50</v>
      </c>
      <c r="G662" s="5" t="s">
        <v>27</v>
      </c>
      <c r="H662" s="5">
        <v>14599.0</v>
      </c>
      <c r="I662" s="5">
        <v>33.0</v>
      </c>
      <c r="J662" s="5">
        <v>1779.0</v>
      </c>
      <c r="K662" s="5">
        <v>12458.0</v>
      </c>
      <c r="L662" s="5">
        <v>4.0</v>
      </c>
      <c r="M662" s="5">
        <v>5092.559215</v>
      </c>
    </row>
    <row r="663">
      <c r="A663" s="4" t="s">
        <v>959</v>
      </c>
      <c r="B663" s="5" t="s">
        <v>15</v>
      </c>
      <c r="C663" s="5" t="s">
        <v>16</v>
      </c>
      <c r="D663" s="5" t="s">
        <v>78</v>
      </c>
      <c r="E663" s="6" t="s">
        <v>958</v>
      </c>
      <c r="F663" s="5" t="s">
        <v>19</v>
      </c>
      <c r="G663" s="5" t="s">
        <v>52</v>
      </c>
      <c r="H663" s="5">
        <v>16175.0</v>
      </c>
      <c r="I663" s="5">
        <v>35.0</v>
      </c>
      <c r="J663" s="5">
        <v>1923.0</v>
      </c>
      <c r="K663" s="5">
        <v>15085.0</v>
      </c>
      <c r="L663" s="5">
        <v>2.0</v>
      </c>
      <c r="M663" s="5">
        <v>1649.069475</v>
      </c>
    </row>
    <row r="664">
      <c r="A664" s="4" t="s">
        <v>960</v>
      </c>
      <c r="B664" s="5" t="s">
        <v>22</v>
      </c>
      <c r="C664" s="5" t="s">
        <v>31</v>
      </c>
      <c r="D664" s="5" t="s">
        <v>17</v>
      </c>
      <c r="E664" s="6" t="s">
        <v>961</v>
      </c>
      <c r="F664" s="5" t="s">
        <v>19</v>
      </c>
      <c r="G664" s="5" t="s">
        <v>27</v>
      </c>
      <c r="H664" s="5">
        <v>42830.0</v>
      </c>
      <c r="I664" s="5">
        <v>160.0</v>
      </c>
      <c r="J664" s="5">
        <v>24499.0</v>
      </c>
      <c r="K664" s="5">
        <v>34496.0</v>
      </c>
      <c r="L664" s="5">
        <v>5.0</v>
      </c>
      <c r="M664" s="5">
        <v>6261.575724</v>
      </c>
    </row>
    <row r="665">
      <c r="A665" s="4" t="s">
        <v>962</v>
      </c>
      <c r="B665" s="5" t="s">
        <v>22</v>
      </c>
      <c r="C665" s="5" t="s">
        <v>31</v>
      </c>
      <c r="D665" s="5" t="s">
        <v>35</v>
      </c>
      <c r="E665" s="6" t="s">
        <v>961</v>
      </c>
      <c r="F665" s="5" t="s">
        <v>19</v>
      </c>
      <c r="G665" s="5" t="s">
        <v>27</v>
      </c>
      <c r="H665" s="5">
        <v>12209.0</v>
      </c>
      <c r="I665" s="5">
        <v>147.0</v>
      </c>
      <c r="J665" s="5">
        <v>3976.0</v>
      </c>
      <c r="K665" s="5">
        <v>5219.0</v>
      </c>
      <c r="L665" s="5">
        <v>4.0</v>
      </c>
      <c r="M665" s="5">
        <v>3818.955182</v>
      </c>
    </row>
    <row r="666">
      <c r="A666" s="4" t="s">
        <v>963</v>
      </c>
      <c r="B666" s="5" t="s">
        <v>15</v>
      </c>
      <c r="C666" s="5" t="s">
        <v>42</v>
      </c>
      <c r="D666" s="5" t="s">
        <v>35</v>
      </c>
      <c r="E666" s="6" t="s">
        <v>961</v>
      </c>
      <c r="F666" s="5" t="s">
        <v>19</v>
      </c>
      <c r="G666" s="5" t="s">
        <v>20</v>
      </c>
      <c r="H666" s="5">
        <v>7447.0</v>
      </c>
      <c r="I666" s="5">
        <v>10.0</v>
      </c>
      <c r="J666" s="5">
        <v>4163.0</v>
      </c>
      <c r="K666" s="5">
        <v>5586.0</v>
      </c>
      <c r="L666" s="5">
        <v>19.0</v>
      </c>
      <c r="M666" s="5">
        <v>3311.941246</v>
      </c>
    </row>
    <row r="667">
      <c r="A667" s="4" t="s">
        <v>964</v>
      </c>
      <c r="B667" s="5" t="s">
        <v>15</v>
      </c>
      <c r="C667" s="5" t="s">
        <v>42</v>
      </c>
      <c r="D667" s="5" t="s">
        <v>84</v>
      </c>
      <c r="E667" s="6" t="s">
        <v>961</v>
      </c>
      <c r="F667" s="5" t="s">
        <v>36</v>
      </c>
      <c r="G667" s="5" t="s">
        <v>27</v>
      </c>
      <c r="H667" s="5">
        <v>8545.0</v>
      </c>
      <c r="I667" s="5">
        <v>20.0</v>
      </c>
      <c r="J667" s="5">
        <v>3454.0</v>
      </c>
      <c r="K667" s="5">
        <v>5510.0</v>
      </c>
      <c r="L667" s="5">
        <v>2.0</v>
      </c>
      <c r="M667" s="5">
        <v>2181.247949</v>
      </c>
    </row>
    <row r="668">
      <c r="A668" s="4" t="s">
        <v>965</v>
      </c>
      <c r="B668" s="5" t="s">
        <v>15</v>
      </c>
      <c r="C668" s="5" t="s">
        <v>23</v>
      </c>
      <c r="D668" s="5" t="s">
        <v>55</v>
      </c>
      <c r="E668" s="6" t="s">
        <v>961</v>
      </c>
      <c r="F668" s="5" t="s">
        <v>46</v>
      </c>
      <c r="G668" s="5" t="s">
        <v>27</v>
      </c>
      <c r="H668" s="5">
        <v>12319.0</v>
      </c>
      <c r="I668" s="5">
        <v>40.0</v>
      </c>
      <c r="J668" s="5">
        <v>7028.0</v>
      </c>
      <c r="K668" s="5">
        <v>10191.0</v>
      </c>
      <c r="L668" s="5">
        <v>7.0</v>
      </c>
      <c r="M668" s="5">
        <v>1668.016</v>
      </c>
    </row>
    <row r="669">
      <c r="A669" s="4" t="s">
        <v>966</v>
      </c>
      <c r="B669" s="5" t="s">
        <v>22</v>
      </c>
      <c r="C669" s="5" t="s">
        <v>16</v>
      </c>
      <c r="D669" s="5" t="s">
        <v>32</v>
      </c>
      <c r="E669" s="6" t="s">
        <v>961</v>
      </c>
      <c r="F669" s="5" t="s">
        <v>117</v>
      </c>
      <c r="G669" s="5" t="s">
        <v>27</v>
      </c>
      <c r="H669" s="5">
        <v>31359.0</v>
      </c>
      <c r="I669" s="5">
        <v>66.0</v>
      </c>
      <c r="J669" s="5">
        <v>18348.0</v>
      </c>
      <c r="K669" s="5">
        <v>25950.0</v>
      </c>
      <c r="L669" s="5">
        <v>24.0</v>
      </c>
      <c r="M669" s="5">
        <v>1623.614838</v>
      </c>
    </row>
    <row r="670">
      <c r="A670" s="4" t="s">
        <v>967</v>
      </c>
      <c r="B670" s="5" t="s">
        <v>22</v>
      </c>
      <c r="C670" s="5" t="s">
        <v>16</v>
      </c>
      <c r="D670" s="5" t="s">
        <v>29</v>
      </c>
      <c r="E670" s="6" t="s">
        <v>961</v>
      </c>
      <c r="F670" s="5" t="s">
        <v>36</v>
      </c>
      <c r="G670" s="5" t="s">
        <v>27</v>
      </c>
      <c r="H670" s="5">
        <v>15311.0</v>
      </c>
      <c r="I670" s="5">
        <v>10.0</v>
      </c>
      <c r="J670" s="5">
        <v>7757.0</v>
      </c>
      <c r="K670" s="5">
        <v>12630.0</v>
      </c>
      <c r="L670" s="5">
        <v>19.0</v>
      </c>
      <c r="M670" s="5">
        <v>1471.187144</v>
      </c>
    </row>
    <row r="671">
      <c r="A671" s="4" t="s">
        <v>968</v>
      </c>
      <c r="B671" s="5" t="s">
        <v>61</v>
      </c>
      <c r="C671" s="5" t="s">
        <v>23</v>
      </c>
      <c r="D671" s="5" t="s">
        <v>39</v>
      </c>
      <c r="E671" s="6" t="s">
        <v>969</v>
      </c>
      <c r="F671" s="5" t="s">
        <v>36</v>
      </c>
      <c r="G671" s="5" t="s">
        <v>27</v>
      </c>
      <c r="H671" s="5">
        <v>23488.0</v>
      </c>
      <c r="I671" s="5">
        <v>75.0</v>
      </c>
      <c r="J671" s="5">
        <v>4620.0</v>
      </c>
      <c r="K671" s="5">
        <v>22254.0</v>
      </c>
      <c r="L671" s="5">
        <v>9.0</v>
      </c>
      <c r="M671" s="5">
        <v>6667.727715</v>
      </c>
    </row>
    <row r="672">
      <c r="A672" s="4" t="s">
        <v>970</v>
      </c>
      <c r="B672" s="5" t="s">
        <v>61</v>
      </c>
      <c r="C672" s="5" t="s">
        <v>16</v>
      </c>
      <c r="D672" s="5" t="s">
        <v>78</v>
      </c>
      <c r="E672" s="6" t="s">
        <v>969</v>
      </c>
      <c r="F672" s="5" t="s">
        <v>26</v>
      </c>
      <c r="G672" s="5" t="s">
        <v>27</v>
      </c>
      <c r="H672" s="5">
        <v>11789.0</v>
      </c>
      <c r="I672" s="5">
        <v>20.0</v>
      </c>
      <c r="J672" s="5">
        <v>6187.0</v>
      </c>
      <c r="K672" s="5">
        <v>10028.0</v>
      </c>
      <c r="L672" s="5">
        <v>3.0</v>
      </c>
      <c r="M672" s="5">
        <v>6505.526456</v>
      </c>
    </row>
    <row r="673">
      <c r="A673" s="4" t="s">
        <v>971</v>
      </c>
      <c r="B673" s="5" t="s">
        <v>15</v>
      </c>
      <c r="C673" s="5" t="s">
        <v>42</v>
      </c>
      <c r="D673" s="5" t="s">
        <v>39</v>
      </c>
      <c r="E673" s="6" t="s">
        <v>969</v>
      </c>
      <c r="F673" s="5" t="s">
        <v>19</v>
      </c>
      <c r="G673" s="5" t="s">
        <v>52</v>
      </c>
      <c r="H673" s="5">
        <v>16142.0</v>
      </c>
      <c r="I673" s="5">
        <v>30.0</v>
      </c>
      <c r="J673" s="5">
        <v>7064.0</v>
      </c>
      <c r="K673" s="5">
        <v>15433.0</v>
      </c>
      <c r="L673" s="5">
        <v>5.0</v>
      </c>
      <c r="M673" s="5">
        <v>2209.650957</v>
      </c>
    </row>
    <row r="674">
      <c r="A674" s="4" t="s">
        <v>972</v>
      </c>
      <c r="B674" s="5" t="s">
        <v>15</v>
      </c>
      <c r="C674" s="5" t="s">
        <v>16</v>
      </c>
      <c r="D674" s="5" t="s">
        <v>39</v>
      </c>
      <c r="E674" s="6" t="s">
        <v>969</v>
      </c>
      <c r="F674" s="5" t="s">
        <v>46</v>
      </c>
      <c r="G674" s="5" t="s">
        <v>27</v>
      </c>
      <c r="H674" s="5">
        <v>37355.0</v>
      </c>
      <c r="I674" s="5">
        <v>145.0</v>
      </c>
      <c r="J674" s="5">
        <v>17138.0</v>
      </c>
      <c r="K674" s="5">
        <v>35689.0</v>
      </c>
      <c r="L674" s="5">
        <v>3.0</v>
      </c>
      <c r="M674" s="5">
        <v>1577.366086</v>
      </c>
    </row>
    <row r="675">
      <c r="A675" s="4" t="s">
        <v>973</v>
      </c>
      <c r="B675" s="5" t="s">
        <v>15</v>
      </c>
      <c r="C675" s="5" t="s">
        <v>31</v>
      </c>
      <c r="D675" s="5" t="s">
        <v>78</v>
      </c>
      <c r="E675" s="6" t="s">
        <v>969</v>
      </c>
      <c r="F675" s="5" t="s">
        <v>19</v>
      </c>
      <c r="G675" s="5" t="s">
        <v>27</v>
      </c>
      <c r="H675" s="5">
        <v>9404.0</v>
      </c>
      <c r="I675" s="5">
        <v>30.0</v>
      </c>
      <c r="J675" s="5">
        <v>4781.0</v>
      </c>
      <c r="K675" s="5">
        <v>7943.0</v>
      </c>
      <c r="L675" s="5">
        <v>4.0</v>
      </c>
      <c r="M675" s="5">
        <v>1345.369</v>
      </c>
    </row>
    <row r="676">
      <c r="A676" s="4" t="s">
        <v>974</v>
      </c>
      <c r="B676" s="5" t="s">
        <v>15</v>
      </c>
      <c r="C676" s="5" t="s">
        <v>16</v>
      </c>
      <c r="D676" s="5" t="s">
        <v>78</v>
      </c>
      <c r="E676" s="6" t="s">
        <v>975</v>
      </c>
      <c r="F676" s="5" t="s">
        <v>36</v>
      </c>
      <c r="G676" s="5" t="s">
        <v>27</v>
      </c>
      <c r="H676" s="5">
        <v>13642.0</v>
      </c>
      <c r="I676" s="5">
        <v>40.0</v>
      </c>
      <c r="J676" s="5">
        <v>9830.0</v>
      </c>
      <c r="K676" s="5">
        <v>11658.0</v>
      </c>
      <c r="L676" s="5">
        <v>3.0</v>
      </c>
      <c r="M676" s="5">
        <v>1731.271848</v>
      </c>
    </row>
    <row r="677">
      <c r="A677" s="4" t="s">
        <v>976</v>
      </c>
      <c r="B677" s="5" t="s">
        <v>15</v>
      </c>
      <c r="C677" s="5" t="s">
        <v>23</v>
      </c>
      <c r="D677" s="5" t="s">
        <v>78</v>
      </c>
      <c r="E677" s="6" t="s">
        <v>977</v>
      </c>
      <c r="F677" s="5" t="s">
        <v>46</v>
      </c>
      <c r="G677" s="5" t="s">
        <v>27</v>
      </c>
      <c r="H677" s="5">
        <v>14693.0</v>
      </c>
      <c r="I677" s="5">
        <v>70.0</v>
      </c>
      <c r="J677" s="5">
        <v>6597.0</v>
      </c>
      <c r="K677" s="5">
        <v>13508.0</v>
      </c>
      <c r="L677" s="5">
        <v>4.0</v>
      </c>
      <c r="M677" s="5">
        <v>2047.348924</v>
      </c>
    </row>
    <row r="678">
      <c r="A678" s="4" t="s">
        <v>978</v>
      </c>
      <c r="B678" s="5" t="s">
        <v>22</v>
      </c>
      <c r="C678" s="5" t="s">
        <v>16</v>
      </c>
      <c r="D678" s="5" t="s">
        <v>24</v>
      </c>
      <c r="E678" s="6" t="s">
        <v>979</v>
      </c>
      <c r="F678" s="5" t="s">
        <v>19</v>
      </c>
      <c r="G678" s="5" t="s">
        <v>27</v>
      </c>
      <c r="H678" s="5">
        <v>9357.0</v>
      </c>
      <c r="I678" s="5">
        <v>60.0</v>
      </c>
      <c r="J678" s="5">
        <v>1754.0</v>
      </c>
      <c r="K678" s="5">
        <v>8343.0</v>
      </c>
      <c r="L678" s="5">
        <v>10.0</v>
      </c>
      <c r="M678" s="5">
        <v>6559.477756</v>
      </c>
    </row>
    <row r="679">
      <c r="A679" s="4" t="s">
        <v>980</v>
      </c>
      <c r="B679" s="5" t="s">
        <v>15</v>
      </c>
      <c r="C679" s="5" t="s">
        <v>16</v>
      </c>
      <c r="D679" s="5" t="s">
        <v>78</v>
      </c>
      <c r="E679" s="6" t="s">
        <v>981</v>
      </c>
      <c r="F679" s="5" t="s">
        <v>19</v>
      </c>
      <c r="G679" s="5" t="s">
        <v>52</v>
      </c>
      <c r="H679" s="5">
        <v>20459.0</v>
      </c>
      <c r="I679" s="5">
        <v>40.0</v>
      </c>
      <c r="J679" s="5">
        <v>12668.0</v>
      </c>
      <c r="K679" s="5">
        <v>18613.0</v>
      </c>
      <c r="L679" s="5">
        <v>4.0</v>
      </c>
      <c r="M679" s="5">
        <v>1842.606513</v>
      </c>
    </row>
    <row r="680">
      <c r="A680" s="4" t="s">
        <v>982</v>
      </c>
      <c r="B680" s="5" t="s">
        <v>61</v>
      </c>
      <c r="C680" s="5" t="s">
        <v>23</v>
      </c>
      <c r="D680" s="5" t="s">
        <v>17</v>
      </c>
      <c r="E680" s="6" t="s">
        <v>983</v>
      </c>
      <c r="F680" s="5" t="s">
        <v>19</v>
      </c>
      <c r="G680" s="5" t="s">
        <v>27</v>
      </c>
      <c r="H680" s="5">
        <v>17382.0</v>
      </c>
      <c r="I680" s="5">
        <v>100.0</v>
      </c>
      <c r="J680" s="5">
        <v>7411.0</v>
      </c>
      <c r="K680" s="5">
        <v>16576.0</v>
      </c>
      <c r="L680" s="5">
        <v>8.0</v>
      </c>
      <c r="M680" s="5">
        <v>5797.219977</v>
      </c>
    </row>
    <row r="681">
      <c r="A681" s="4" t="s">
        <v>984</v>
      </c>
      <c r="B681" s="5" t="s">
        <v>22</v>
      </c>
      <c r="C681" s="5" t="s">
        <v>16</v>
      </c>
      <c r="D681" s="5" t="s">
        <v>84</v>
      </c>
      <c r="E681" s="6" t="s">
        <v>985</v>
      </c>
      <c r="F681" s="5" t="s">
        <v>46</v>
      </c>
      <c r="G681" s="5" t="s">
        <v>27</v>
      </c>
      <c r="H681" s="5">
        <v>13466.0</v>
      </c>
      <c r="I681" s="5">
        <v>150.0</v>
      </c>
      <c r="J681" s="5">
        <v>8684.0</v>
      </c>
      <c r="K681" s="5">
        <v>11766.0</v>
      </c>
      <c r="L681" s="5">
        <v>1.0</v>
      </c>
      <c r="M681" s="5">
        <v>1527.176274</v>
      </c>
    </row>
    <row r="682">
      <c r="A682" s="4" t="s">
        <v>986</v>
      </c>
      <c r="B682" s="5" t="s">
        <v>61</v>
      </c>
      <c r="C682" s="5" t="s">
        <v>42</v>
      </c>
      <c r="D682" s="5" t="s">
        <v>131</v>
      </c>
      <c r="E682" s="6" t="s">
        <v>987</v>
      </c>
      <c r="F682" s="5" t="s">
        <v>26</v>
      </c>
      <c r="G682" s="5" t="s">
        <v>27</v>
      </c>
      <c r="H682" s="5">
        <v>23410.0</v>
      </c>
      <c r="I682" s="5">
        <v>66.0</v>
      </c>
      <c r="J682" s="5">
        <v>13626.0</v>
      </c>
      <c r="K682" s="5">
        <v>22109.0</v>
      </c>
      <c r="L682" s="5">
        <v>6.0</v>
      </c>
      <c r="M682" s="5">
        <v>1930.180523</v>
      </c>
    </row>
    <row r="683">
      <c r="A683" s="4" t="s">
        <v>988</v>
      </c>
      <c r="B683" s="5" t="s">
        <v>22</v>
      </c>
      <c r="C683" s="5" t="s">
        <v>16</v>
      </c>
      <c r="D683" s="5" t="s">
        <v>32</v>
      </c>
      <c r="E683" s="6" t="s">
        <v>987</v>
      </c>
      <c r="F683" s="5" t="s">
        <v>48</v>
      </c>
      <c r="G683" s="5" t="s">
        <v>27</v>
      </c>
      <c r="H683" s="5">
        <v>13713.0</v>
      </c>
      <c r="I683" s="5">
        <v>151.0</v>
      </c>
      <c r="J683" s="5">
        <v>8339.0</v>
      </c>
      <c r="K683" s="5">
        <v>13051.0</v>
      </c>
      <c r="L683" s="5">
        <v>5.0</v>
      </c>
      <c r="M683" s="5">
        <v>1490.006197</v>
      </c>
    </row>
    <row r="684">
      <c r="A684" s="4" t="s">
        <v>989</v>
      </c>
      <c r="B684" s="5" t="s">
        <v>61</v>
      </c>
      <c r="C684" s="5" t="s">
        <v>16</v>
      </c>
      <c r="D684" s="5" t="s">
        <v>17</v>
      </c>
      <c r="E684" s="6" t="s">
        <v>990</v>
      </c>
      <c r="F684" s="5" t="s">
        <v>26</v>
      </c>
      <c r="G684" s="5" t="s">
        <v>27</v>
      </c>
      <c r="H684" s="5">
        <v>10565.0</v>
      </c>
      <c r="I684" s="5">
        <v>66.0</v>
      </c>
      <c r="J684" s="5">
        <v>6248.0</v>
      </c>
      <c r="K684" s="5">
        <v>10141.0</v>
      </c>
      <c r="L684" s="5">
        <v>9.0</v>
      </c>
      <c r="M684" s="5">
        <v>6236.113094</v>
      </c>
    </row>
    <row r="685">
      <c r="A685" s="4" t="s">
        <v>991</v>
      </c>
      <c r="B685" s="5" t="s">
        <v>22</v>
      </c>
      <c r="C685" s="5" t="s">
        <v>23</v>
      </c>
      <c r="D685" s="5" t="s">
        <v>35</v>
      </c>
      <c r="E685" s="6" t="s">
        <v>992</v>
      </c>
      <c r="F685" s="5" t="s">
        <v>26</v>
      </c>
      <c r="G685" s="5" t="s">
        <v>27</v>
      </c>
      <c r="H685" s="5">
        <v>888037.0</v>
      </c>
      <c r="I685" s="5">
        <v>2841.0</v>
      </c>
      <c r="J685" s="5">
        <v>370429.0</v>
      </c>
      <c r="K685" s="5">
        <v>820340.0</v>
      </c>
      <c r="L685" s="5">
        <v>42.0</v>
      </c>
      <c r="M685" s="5">
        <v>8134.350524</v>
      </c>
    </row>
    <row r="686">
      <c r="A686" s="4" t="s">
        <v>993</v>
      </c>
      <c r="B686" s="5" t="s">
        <v>15</v>
      </c>
      <c r="C686" s="5" t="s">
        <v>16</v>
      </c>
      <c r="D686" s="5" t="s">
        <v>35</v>
      </c>
      <c r="E686" s="6" t="s">
        <v>992</v>
      </c>
      <c r="F686" s="5" t="s">
        <v>50</v>
      </c>
      <c r="G686" s="5" t="s">
        <v>27</v>
      </c>
      <c r="H686" s="5">
        <v>1767940.0</v>
      </c>
      <c r="I686" s="5">
        <v>4852.0</v>
      </c>
      <c r="J686" s="5">
        <v>881525.0</v>
      </c>
      <c r="K686" s="5">
        <v>1550866.0</v>
      </c>
      <c r="L686" s="5">
        <v>78.0</v>
      </c>
      <c r="M686" s="5">
        <v>7511.656191</v>
      </c>
    </row>
    <row r="687">
      <c r="A687" s="4" t="s">
        <v>994</v>
      </c>
      <c r="B687" s="5" t="s">
        <v>15</v>
      </c>
      <c r="C687" s="5" t="s">
        <v>23</v>
      </c>
      <c r="D687" s="5" t="s">
        <v>78</v>
      </c>
      <c r="E687" s="6" t="s">
        <v>992</v>
      </c>
      <c r="F687" s="5" t="s">
        <v>19</v>
      </c>
      <c r="G687" s="5" t="s">
        <v>27</v>
      </c>
      <c r="H687" s="5">
        <v>1221746.0</v>
      </c>
      <c r="I687" s="5">
        <v>3874.0</v>
      </c>
      <c r="J687" s="5">
        <v>512107.0</v>
      </c>
      <c r="K687" s="5">
        <v>1088748.0</v>
      </c>
      <c r="L687" s="5">
        <v>19.0</v>
      </c>
      <c r="M687" s="5">
        <v>7483.887187</v>
      </c>
    </row>
    <row r="688">
      <c r="A688" s="4" t="s">
        <v>995</v>
      </c>
      <c r="B688" s="5" t="s">
        <v>22</v>
      </c>
      <c r="C688" s="5" t="s">
        <v>16</v>
      </c>
      <c r="D688" s="5" t="s">
        <v>35</v>
      </c>
      <c r="E688" s="6" t="s">
        <v>992</v>
      </c>
      <c r="F688" s="5" t="s">
        <v>33</v>
      </c>
      <c r="G688" s="5" t="s">
        <v>27</v>
      </c>
      <c r="H688" s="5">
        <v>446774.0</v>
      </c>
      <c r="I688" s="5">
        <v>1245.0</v>
      </c>
      <c r="J688" s="5">
        <v>163786.0</v>
      </c>
      <c r="K688" s="5">
        <v>374116.0</v>
      </c>
      <c r="L688" s="5">
        <v>12.0</v>
      </c>
      <c r="M688" s="5">
        <v>7248.231612</v>
      </c>
    </row>
    <row r="689">
      <c r="A689" s="4" t="s">
        <v>996</v>
      </c>
      <c r="B689" s="5" t="s">
        <v>22</v>
      </c>
      <c r="C689" s="5" t="s">
        <v>23</v>
      </c>
      <c r="D689" s="5" t="s">
        <v>45</v>
      </c>
      <c r="E689" s="6" t="s">
        <v>992</v>
      </c>
      <c r="F689" s="5" t="s">
        <v>46</v>
      </c>
      <c r="G689" s="5" t="s">
        <v>27</v>
      </c>
      <c r="H689" s="5">
        <v>120603.0</v>
      </c>
      <c r="I689" s="5">
        <v>298.0</v>
      </c>
      <c r="J689" s="5">
        <v>47405.0</v>
      </c>
      <c r="K689" s="5">
        <v>100881.0</v>
      </c>
      <c r="L689" s="5">
        <v>10.0</v>
      </c>
      <c r="M689" s="5">
        <v>6633.532635</v>
      </c>
    </row>
    <row r="690">
      <c r="A690" s="4" t="s">
        <v>997</v>
      </c>
      <c r="B690" s="5" t="s">
        <v>15</v>
      </c>
      <c r="C690" s="5" t="s">
        <v>16</v>
      </c>
      <c r="D690" s="5" t="s">
        <v>32</v>
      </c>
      <c r="E690" s="6" t="s">
        <v>992</v>
      </c>
      <c r="F690" s="5" t="s">
        <v>19</v>
      </c>
      <c r="G690" s="5" t="s">
        <v>27</v>
      </c>
      <c r="H690" s="5">
        <v>310255.0</v>
      </c>
      <c r="I690" s="5">
        <v>970.0</v>
      </c>
      <c r="J690" s="5">
        <v>105054.0</v>
      </c>
      <c r="K690" s="5">
        <v>260998.0</v>
      </c>
      <c r="L690" s="5">
        <v>14.0</v>
      </c>
      <c r="M690" s="5">
        <v>6057.856722</v>
      </c>
    </row>
    <row r="691">
      <c r="A691" s="4" t="s">
        <v>998</v>
      </c>
      <c r="B691" s="5" t="s">
        <v>15</v>
      </c>
      <c r="C691" s="5" t="s">
        <v>31</v>
      </c>
      <c r="D691" s="5" t="s">
        <v>183</v>
      </c>
      <c r="E691" s="6" t="s">
        <v>992</v>
      </c>
      <c r="F691" s="5" t="s">
        <v>36</v>
      </c>
      <c r="G691" s="5" t="s">
        <v>27</v>
      </c>
      <c r="H691" s="5">
        <v>818919.0</v>
      </c>
      <c r="I691" s="5">
        <v>1987.0</v>
      </c>
      <c r="J691" s="5">
        <v>395852.0</v>
      </c>
      <c r="K691" s="5">
        <v>699064.0</v>
      </c>
      <c r="L691" s="5">
        <v>22.0</v>
      </c>
      <c r="M691" s="5">
        <v>6012.102465</v>
      </c>
    </row>
    <row r="692">
      <c r="A692" s="4" t="s">
        <v>999</v>
      </c>
      <c r="B692" s="5" t="s">
        <v>22</v>
      </c>
      <c r="C692" s="5" t="s">
        <v>16</v>
      </c>
      <c r="D692" s="5" t="s">
        <v>78</v>
      </c>
      <c r="E692" s="6" t="s">
        <v>992</v>
      </c>
      <c r="F692" s="5" t="s">
        <v>327</v>
      </c>
      <c r="G692" s="5" t="s">
        <v>27</v>
      </c>
      <c r="H692" s="5">
        <v>760502.0</v>
      </c>
      <c r="I692" s="5">
        <v>2140.0</v>
      </c>
      <c r="J692" s="5">
        <v>326721.0</v>
      </c>
      <c r="K692" s="5">
        <v>700814.0</v>
      </c>
      <c r="L692" s="5">
        <v>17.0</v>
      </c>
      <c r="M692" s="5">
        <v>5179.041532</v>
      </c>
    </row>
    <row r="693">
      <c r="A693" s="4" t="s">
        <v>1000</v>
      </c>
      <c r="B693" s="5" t="s">
        <v>22</v>
      </c>
      <c r="C693" s="5" t="s">
        <v>42</v>
      </c>
      <c r="D693" s="5" t="s">
        <v>55</v>
      </c>
      <c r="E693" s="6" t="s">
        <v>992</v>
      </c>
      <c r="F693" s="5" t="s">
        <v>19</v>
      </c>
      <c r="G693" s="5" t="s">
        <v>27</v>
      </c>
      <c r="H693" s="5">
        <v>571090.0</v>
      </c>
      <c r="I693" s="5">
        <v>1541.0</v>
      </c>
      <c r="J693" s="5">
        <v>246243.0</v>
      </c>
      <c r="K693" s="5">
        <v>532325.0</v>
      </c>
      <c r="L693" s="5">
        <v>11.0</v>
      </c>
      <c r="M693" s="5">
        <v>4733.618783</v>
      </c>
    </row>
    <row r="694">
      <c r="A694" s="4" t="s">
        <v>1001</v>
      </c>
      <c r="B694" s="5" t="s">
        <v>15</v>
      </c>
      <c r="C694" s="5" t="s">
        <v>23</v>
      </c>
      <c r="D694" s="5" t="s">
        <v>35</v>
      </c>
      <c r="E694" s="6" t="s">
        <v>992</v>
      </c>
      <c r="F694" s="5" t="s">
        <v>46</v>
      </c>
      <c r="G694" s="5" t="s">
        <v>20</v>
      </c>
      <c r="H694" s="5">
        <v>7584.0</v>
      </c>
      <c r="I694" s="5">
        <v>40.0</v>
      </c>
      <c r="J694" s="5">
        <v>3093.0</v>
      </c>
      <c r="K694" s="5">
        <v>6897.0</v>
      </c>
      <c r="L694" s="5">
        <v>2.0</v>
      </c>
      <c r="M694" s="5">
        <v>4467.080758</v>
      </c>
    </row>
    <row r="695">
      <c r="A695" s="4" t="s">
        <v>1002</v>
      </c>
      <c r="B695" s="5" t="s">
        <v>15</v>
      </c>
      <c r="C695" s="5" t="s">
        <v>16</v>
      </c>
      <c r="D695" s="5" t="s">
        <v>24</v>
      </c>
      <c r="E695" s="6" t="s">
        <v>992</v>
      </c>
      <c r="F695" s="5" t="s">
        <v>19</v>
      </c>
      <c r="G695" s="5" t="s">
        <v>52</v>
      </c>
      <c r="H695" s="5">
        <v>84460.0</v>
      </c>
      <c r="I695" s="5">
        <v>209.0</v>
      </c>
      <c r="J695" s="5">
        <v>13169.0</v>
      </c>
      <c r="K695" s="5">
        <v>26688.0</v>
      </c>
      <c r="L695" s="5">
        <v>1.0</v>
      </c>
      <c r="M695" s="5">
        <v>4279.230955</v>
      </c>
    </row>
    <row r="696">
      <c r="A696" s="4" t="s">
        <v>1003</v>
      </c>
      <c r="B696" s="5" t="s">
        <v>15</v>
      </c>
      <c r="C696" s="5" t="s">
        <v>42</v>
      </c>
      <c r="D696" s="5" t="s">
        <v>214</v>
      </c>
      <c r="E696" s="6" t="s">
        <v>992</v>
      </c>
      <c r="F696" s="5" t="s">
        <v>36</v>
      </c>
      <c r="G696" s="5" t="s">
        <v>27</v>
      </c>
      <c r="H696" s="5">
        <v>90123.0</v>
      </c>
      <c r="I696" s="5">
        <v>60.0</v>
      </c>
      <c r="J696" s="5">
        <v>33421.0</v>
      </c>
      <c r="K696" s="5">
        <v>66729.0</v>
      </c>
      <c r="L696" s="5">
        <v>9.0</v>
      </c>
      <c r="M696" s="5">
        <v>3433.914287</v>
      </c>
    </row>
    <row r="697">
      <c r="A697" s="4" t="s">
        <v>1004</v>
      </c>
      <c r="B697" s="5" t="s">
        <v>15</v>
      </c>
      <c r="C697" s="5" t="s">
        <v>16</v>
      </c>
      <c r="D697" s="5" t="s">
        <v>78</v>
      </c>
      <c r="E697" s="6" t="s">
        <v>992</v>
      </c>
      <c r="F697" s="5" t="s">
        <v>19</v>
      </c>
      <c r="G697" s="5" t="s">
        <v>27</v>
      </c>
      <c r="H697" s="5">
        <v>1116343.0</v>
      </c>
      <c r="I697" s="5">
        <v>3104.0</v>
      </c>
      <c r="J697" s="5">
        <v>550519.0</v>
      </c>
      <c r="K697" s="5">
        <v>977978.0</v>
      </c>
      <c r="L697" s="5">
        <v>9.0</v>
      </c>
      <c r="M697" s="5">
        <v>2494.217596</v>
      </c>
    </row>
    <row r="698">
      <c r="A698" s="4" t="s">
        <v>1005</v>
      </c>
      <c r="B698" s="5" t="s">
        <v>15</v>
      </c>
      <c r="C698" s="5" t="s">
        <v>16</v>
      </c>
      <c r="D698" s="5" t="s">
        <v>273</v>
      </c>
      <c r="E698" s="6" t="s">
        <v>992</v>
      </c>
      <c r="F698" s="5" t="s">
        <v>26</v>
      </c>
      <c r="G698" s="5" t="s">
        <v>27</v>
      </c>
      <c r="H698" s="5">
        <v>276716.0</v>
      </c>
      <c r="I698" s="5">
        <v>799.0</v>
      </c>
      <c r="J698" s="5">
        <v>114927.0</v>
      </c>
      <c r="K698" s="5">
        <v>255481.0</v>
      </c>
      <c r="L698" s="5">
        <v>49.0</v>
      </c>
      <c r="M698" s="5">
        <v>2276.277471</v>
      </c>
    </row>
    <row r="699">
      <c r="A699" s="4" t="s">
        <v>1006</v>
      </c>
      <c r="B699" s="5" t="s">
        <v>15</v>
      </c>
      <c r="C699" s="5" t="s">
        <v>23</v>
      </c>
      <c r="D699" s="5" t="s">
        <v>24</v>
      </c>
      <c r="E699" s="6" t="s">
        <v>992</v>
      </c>
      <c r="F699" s="5" t="s">
        <v>19</v>
      </c>
      <c r="G699" s="5" t="s">
        <v>20</v>
      </c>
      <c r="H699" s="5">
        <v>17049.0</v>
      </c>
      <c r="I699" s="5">
        <v>84.0</v>
      </c>
      <c r="J699" s="5">
        <v>191.0</v>
      </c>
      <c r="K699" s="5">
        <v>15564.0</v>
      </c>
      <c r="L699" s="5">
        <v>15.0</v>
      </c>
      <c r="M699" s="5">
        <v>2144.489587</v>
      </c>
    </row>
    <row r="700">
      <c r="A700" s="4" t="s">
        <v>1007</v>
      </c>
      <c r="B700" s="5" t="s">
        <v>15</v>
      </c>
      <c r="C700" s="5" t="s">
        <v>23</v>
      </c>
      <c r="D700" s="5" t="s">
        <v>17</v>
      </c>
      <c r="E700" s="6" t="s">
        <v>992</v>
      </c>
      <c r="F700" s="5" t="s">
        <v>19</v>
      </c>
      <c r="G700" s="5" t="s">
        <v>52</v>
      </c>
      <c r="H700" s="5">
        <v>74164.0</v>
      </c>
      <c r="I700" s="5">
        <v>241.0</v>
      </c>
      <c r="J700" s="5">
        <v>25104.0</v>
      </c>
      <c r="K700" s="5">
        <v>61242.0</v>
      </c>
      <c r="L700" s="5">
        <v>19.0</v>
      </c>
      <c r="M700" s="5">
        <v>1902.301443</v>
      </c>
    </row>
    <row r="701">
      <c r="A701" s="4" t="s">
        <v>1008</v>
      </c>
      <c r="B701" s="5" t="s">
        <v>22</v>
      </c>
      <c r="C701" s="5" t="s">
        <v>16</v>
      </c>
      <c r="D701" s="5" t="s">
        <v>35</v>
      </c>
      <c r="E701" s="6" t="s">
        <v>992</v>
      </c>
      <c r="F701" s="5" t="s">
        <v>161</v>
      </c>
      <c r="G701" s="5" t="s">
        <v>27</v>
      </c>
      <c r="H701" s="5">
        <v>37227.0</v>
      </c>
      <c r="I701" s="5">
        <v>130.0</v>
      </c>
      <c r="J701" s="5">
        <v>13542.0</v>
      </c>
      <c r="K701" s="5">
        <v>32456.0</v>
      </c>
      <c r="L701" s="5">
        <v>4.0</v>
      </c>
      <c r="M701" s="5">
        <v>1901.094691</v>
      </c>
    </row>
    <row r="702">
      <c r="A702" s="4" t="s">
        <v>1009</v>
      </c>
      <c r="B702" s="5" t="s">
        <v>15</v>
      </c>
      <c r="C702" s="5" t="s">
        <v>42</v>
      </c>
      <c r="D702" s="5" t="s">
        <v>17</v>
      </c>
      <c r="E702" s="6" t="s">
        <v>992</v>
      </c>
      <c r="F702" s="5" t="s">
        <v>26</v>
      </c>
      <c r="G702" s="5" t="s">
        <v>27</v>
      </c>
      <c r="H702" s="5">
        <v>556152.0</v>
      </c>
      <c r="I702" s="5">
        <v>1867.0</v>
      </c>
      <c r="J702" s="5">
        <v>221833.0</v>
      </c>
      <c r="K702" s="5">
        <v>480882.0</v>
      </c>
      <c r="L702" s="5">
        <v>7.0</v>
      </c>
      <c r="M702" s="5">
        <v>1818.100044</v>
      </c>
    </row>
    <row r="703">
      <c r="A703" s="4" t="s">
        <v>1010</v>
      </c>
      <c r="B703" s="5" t="s">
        <v>15</v>
      </c>
      <c r="C703" s="5" t="s">
        <v>31</v>
      </c>
      <c r="D703" s="5" t="s">
        <v>35</v>
      </c>
      <c r="E703" s="6" t="s">
        <v>992</v>
      </c>
      <c r="F703" s="5" t="s">
        <v>19</v>
      </c>
      <c r="G703" s="5" t="s">
        <v>20</v>
      </c>
      <c r="H703" s="5">
        <v>598460.0</v>
      </c>
      <c r="I703" s="5">
        <v>1654.0</v>
      </c>
      <c r="J703" s="5">
        <v>201153.0</v>
      </c>
      <c r="K703" s="5">
        <v>557263.0</v>
      </c>
      <c r="L703" s="5">
        <v>13.0</v>
      </c>
      <c r="M703" s="5">
        <v>1689.744507</v>
      </c>
    </row>
    <row r="704">
      <c r="A704" s="4" t="s">
        <v>1011</v>
      </c>
      <c r="B704" s="5" t="s">
        <v>15</v>
      </c>
      <c r="C704" s="5" t="s">
        <v>16</v>
      </c>
      <c r="D704" s="5" t="s">
        <v>35</v>
      </c>
      <c r="E704" s="6" t="s">
        <v>992</v>
      </c>
      <c r="F704" s="5" t="s">
        <v>19</v>
      </c>
      <c r="G704" s="5" t="s">
        <v>27</v>
      </c>
      <c r="H704" s="5">
        <v>421110.0</v>
      </c>
      <c r="I704" s="5">
        <v>984.0</v>
      </c>
      <c r="J704" s="5">
        <v>212140.0</v>
      </c>
      <c r="K704" s="5">
        <v>389474.0</v>
      </c>
      <c r="L704" s="5">
        <v>4.0</v>
      </c>
      <c r="M704" s="5">
        <v>1635.920216</v>
      </c>
    </row>
    <row r="705">
      <c r="A705" s="4" t="s">
        <v>1012</v>
      </c>
      <c r="B705" s="5" t="s">
        <v>15</v>
      </c>
      <c r="C705" s="5" t="s">
        <v>31</v>
      </c>
      <c r="D705" s="5" t="s">
        <v>45</v>
      </c>
      <c r="E705" s="6" t="s">
        <v>992</v>
      </c>
      <c r="F705" s="5" t="s">
        <v>46</v>
      </c>
      <c r="G705" s="5" t="s">
        <v>52</v>
      </c>
      <c r="H705" s="5">
        <v>59296.0</v>
      </c>
      <c r="I705" s="5">
        <v>170.0</v>
      </c>
      <c r="J705" s="5">
        <v>25482.0</v>
      </c>
      <c r="K705" s="5">
        <v>54149.0</v>
      </c>
      <c r="L705" s="5">
        <v>4.0</v>
      </c>
      <c r="M705" s="5">
        <v>1568.715259</v>
      </c>
    </row>
    <row r="706">
      <c r="A706" s="4" t="s">
        <v>1013</v>
      </c>
      <c r="B706" s="5" t="s">
        <v>15</v>
      </c>
      <c r="C706" s="5" t="s">
        <v>42</v>
      </c>
      <c r="D706" s="5" t="s">
        <v>398</v>
      </c>
      <c r="E706" s="6" t="s">
        <v>992</v>
      </c>
      <c r="F706" s="5" t="s">
        <v>46</v>
      </c>
      <c r="G706" s="5" t="s">
        <v>52</v>
      </c>
      <c r="H706" s="5">
        <v>307888.0</v>
      </c>
      <c r="I706" s="5">
        <v>863.0</v>
      </c>
      <c r="J706" s="5">
        <v>134959.0</v>
      </c>
      <c r="K706" s="5">
        <v>274790.0</v>
      </c>
      <c r="L706" s="5">
        <v>11.0</v>
      </c>
      <c r="M706" s="5">
        <v>1559.643865</v>
      </c>
    </row>
    <row r="707">
      <c r="A707" s="4" t="s">
        <v>1014</v>
      </c>
      <c r="B707" s="5" t="s">
        <v>15</v>
      </c>
      <c r="C707" s="5" t="s">
        <v>23</v>
      </c>
      <c r="D707" s="5" t="s">
        <v>24</v>
      </c>
      <c r="E707" s="6" t="s">
        <v>992</v>
      </c>
      <c r="F707" s="5" t="s">
        <v>46</v>
      </c>
      <c r="G707" s="5" t="s">
        <v>27</v>
      </c>
      <c r="H707" s="5">
        <v>85965.0</v>
      </c>
      <c r="I707" s="5">
        <v>233.0</v>
      </c>
      <c r="J707" s="5">
        <v>33865.0</v>
      </c>
      <c r="K707" s="5">
        <v>78662.0</v>
      </c>
      <c r="L707" s="5">
        <v>3.0</v>
      </c>
      <c r="M707" s="5">
        <v>1555.534812</v>
      </c>
    </row>
    <row r="708">
      <c r="A708" s="4" t="s">
        <v>1015</v>
      </c>
      <c r="B708" s="5" t="s">
        <v>15</v>
      </c>
      <c r="C708" s="5" t="s">
        <v>31</v>
      </c>
      <c r="D708" s="5" t="s">
        <v>55</v>
      </c>
      <c r="E708" s="6" t="s">
        <v>992</v>
      </c>
      <c r="F708" s="5" t="s">
        <v>46</v>
      </c>
      <c r="G708" s="5" t="s">
        <v>27</v>
      </c>
      <c r="H708" s="5">
        <v>335664.0</v>
      </c>
      <c r="I708" s="5">
        <v>852.0</v>
      </c>
      <c r="J708" s="5">
        <v>148742.0</v>
      </c>
      <c r="K708" s="5">
        <v>313071.0</v>
      </c>
      <c r="L708" s="5">
        <v>25.0</v>
      </c>
      <c r="M708" s="5">
        <v>1542.500216</v>
      </c>
    </row>
    <row r="709">
      <c r="A709" s="4" t="s">
        <v>1016</v>
      </c>
      <c r="B709" s="5" t="s">
        <v>22</v>
      </c>
      <c r="C709" s="5" t="s">
        <v>31</v>
      </c>
      <c r="D709" s="5" t="s">
        <v>273</v>
      </c>
      <c r="E709" s="6" t="s">
        <v>992</v>
      </c>
      <c r="F709" s="5" t="s">
        <v>19</v>
      </c>
      <c r="G709" s="5" t="s">
        <v>27</v>
      </c>
      <c r="H709" s="5">
        <v>74516.0</v>
      </c>
      <c r="I709" s="5">
        <v>200.0</v>
      </c>
      <c r="J709" s="5">
        <v>23985.0</v>
      </c>
      <c r="K709" s="5">
        <v>63853.0</v>
      </c>
      <c r="L709" s="5">
        <v>24.0</v>
      </c>
      <c r="M709" s="5">
        <v>1523.783909</v>
      </c>
    </row>
    <row r="710">
      <c r="A710" s="4" t="s">
        <v>1017</v>
      </c>
      <c r="B710" s="5" t="s">
        <v>22</v>
      </c>
      <c r="C710" s="5" t="s">
        <v>42</v>
      </c>
      <c r="D710" s="5" t="s">
        <v>55</v>
      </c>
      <c r="E710" s="6" t="s">
        <v>992</v>
      </c>
      <c r="F710" s="5" t="s">
        <v>19</v>
      </c>
      <c r="G710" s="5" t="s">
        <v>27</v>
      </c>
      <c r="H710" s="5">
        <v>263752.0</v>
      </c>
      <c r="I710" s="5">
        <v>702.0</v>
      </c>
      <c r="J710" s="5">
        <v>127042.0</v>
      </c>
      <c r="K710" s="5">
        <v>225121.0</v>
      </c>
      <c r="L710" s="5">
        <v>4.0</v>
      </c>
      <c r="M710" s="5">
        <v>1465.51471</v>
      </c>
    </row>
    <row r="711">
      <c r="A711" s="4" t="s">
        <v>1018</v>
      </c>
      <c r="B711" s="5" t="s">
        <v>22</v>
      </c>
      <c r="C711" s="5" t="s">
        <v>42</v>
      </c>
      <c r="D711" s="5" t="s">
        <v>398</v>
      </c>
      <c r="E711" s="6" t="s">
        <v>992</v>
      </c>
      <c r="F711" s="5" t="s">
        <v>46</v>
      </c>
      <c r="G711" s="5" t="s">
        <v>27</v>
      </c>
      <c r="H711" s="5">
        <v>507889.0</v>
      </c>
      <c r="I711" s="5">
        <v>823.0</v>
      </c>
      <c r="J711" s="5">
        <v>176329.0</v>
      </c>
      <c r="K711" s="5">
        <v>450103.0</v>
      </c>
      <c r="L711" s="5">
        <v>78.0</v>
      </c>
      <c r="M711" s="5">
        <v>1440.745362</v>
      </c>
    </row>
    <row r="712">
      <c r="A712" s="4" t="s">
        <v>1019</v>
      </c>
      <c r="B712" s="5" t="s">
        <v>22</v>
      </c>
      <c r="C712" s="5" t="s">
        <v>23</v>
      </c>
      <c r="D712" s="5" t="s">
        <v>84</v>
      </c>
      <c r="E712" s="6" t="s">
        <v>1020</v>
      </c>
      <c r="F712" s="5" t="s">
        <v>19</v>
      </c>
      <c r="G712" s="5" t="s">
        <v>27</v>
      </c>
      <c r="H712" s="5">
        <v>61474.0</v>
      </c>
      <c r="I712" s="5">
        <v>250.0</v>
      </c>
      <c r="J712" s="5">
        <v>31245.0</v>
      </c>
      <c r="K712" s="5">
        <v>49089.0</v>
      </c>
      <c r="L712" s="5">
        <v>15.0</v>
      </c>
      <c r="M712" s="5">
        <v>2189.341349</v>
      </c>
    </row>
    <row r="713">
      <c r="A713" s="4" t="s">
        <v>1021</v>
      </c>
      <c r="B713" s="5" t="s">
        <v>22</v>
      </c>
      <c r="C713" s="5" t="s">
        <v>16</v>
      </c>
      <c r="D713" s="5" t="s">
        <v>29</v>
      </c>
      <c r="E713" s="6" t="s">
        <v>1020</v>
      </c>
      <c r="F713" s="5" t="s">
        <v>19</v>
      </c>
      <c r="G713" s="5" t="s">
        <v>27</v>
      </c>
      <c r="H713" s="5">
        <v>14890.0</v>
      </c>
      <c r="I713" s="5">
        <v>60.0</v>
      </c>
      <c r="J713" s="5">
        <v>6248.0</v>
      </c>
      <c r="K713" s="5">
        <v>11493.0</v>
      </c>
      <c r="L713" s="5">
        <v>6.0</v>
      </c>
      <c r="M713" s="5">
        <v>1982.416484</v>
      </c>
    </row>
    <row r="714">
      <c r="A714" s="4" t="s">
        <v>1022</v>
      </c>
      <c r="B714" s="5" t="s">
        <v>15</v>
      </c>
      <c r="C714" s="5" t="s">
        <v>42</v>
      </c>
      <c r="D714" s="5" t="s">
        <v>35</v>
      </c>
      <c r="E714" s="6" t="s">
        <v>1020</v>
      </c>
      <c r="F714" s="5" t="s">
        <v>117</v>
      </c>
      <c r="G714" s="5" t="s">
        <v>27</v>
      </c>
      <c r="H714" s="5">
        <v>61227.0</v>
      </c>
      <c r="I714" s="5">
        <v>174.0</v>
      </c>
      <c r="J714" s="5">
        <v>10434.0</v>
      </c>
      <c r="K714" s="5">
        <v>53104.0</v>
      </c>
      <c r="L714" s="5">
        <v>8.0</v>
      </c>
      <c r="M714" s="5">
        <v>1919.553678</v>
      </c>
    </row>
    <row r="715">
      <c r="A715" s="4" t="s">
        <v>1023</v>
      </c>
      <c r="B715" s="5" t="s">
        <v>22</v>
      </c>
      <c r="C715" s="5" t="s">
        <v>16</v>
      </c>
      <c r="D715" s="5" t="s">
        <v>35</v>
      </c>
      <c r="E715" s="6" t="s">
        <v>1024</v>
      </c>
      <c r="F715" s="5" t="s">
        <v>19</v>
      </c>
      <c r="G715" s="5" t="s">
        <v>27</v>
      </c>
      <c r="H715" s="5">
        <v>18516.0</v>
      </c>
      <c r="I715" s="5">
        <v>68.0</v>
      </c>
      <c r="J715" s="5">
        <v>8191.0</v>
      </c>
      <c r="K715" s="5">
        <v>13641.0</v>
      </c>
      <c r="L715" s="5">
        <v>13.0</v>
      </c>
      <c r="M715" s="5">
        <v>5087.561715</v>
      </c>
    </row>
    <row r="716">
      <c r="A716" s="4" t="s">
        <v>1025</v>
      </c>
      <c r="B716" s="5" t="s">
        <v>15</v>
      </c>
      <c r="C716" s="5" t="s">
        <v>16</v>
      </c>
      <c r="D716" s="5" t="s">
        <v>55</v>
      </c>
      <c r="E716" s="6" t="s">
        <v>1024</v>
      </c>
      <c r="F716" s="5" t="s">
        <v>19</v>
      </c>
      <c r="G716" s="5" t="s">
        <v>27</v>
      </c>
      <c r="H716" s="5">
        <v>11420.0</v>
      </c>
      <c r="I716" s="5">
        <v>67.0</v>
      </c>
      <c r="J716" s="5">
        <v>4647.0</v>
      </c>
      <c r="K716" s="5">
        <v>9909.0</v>
      </c>
      <c r="L716" s="5">
        <v>9.0</v>
      </c>
      <c r="M716" s="5">
        <v>3804.64417</v>
      </c>
    </row>
    <row r="717">
      <c r="A717" s="4" t="s">
        <v>1026</v>
      </c>
      <c r="B717" s="5" t="s">
        <v>61</v>
      </c>
      <c r="C717" s="5" t="s">
        <v>16</v>
      </c>
      <c r="D717" s="5" t="s">
        <v>55</v>
      </c>
      <c r="E717" s="6" t="s">
        <v>1027</v>
      </c>
      <c r="F717" s="5" t="s">
        <v>19</v>
      </c>
      <c r="G717" s="5" t="s">
        <v>27</v>
      </c>
      <c r="H717" s="5">
        <v>10906.0</v>
      </c>
      <c r="I717" s="5">
        <v>46.0</v>
      </c>
      <c r="J717" s="5">
        <v>4735.0</v>
      </c>
      <c r="K717" s="5">
        <v>6390.0</v>
      </c>
      <c r="L717" s="5">
        <v>3.0</v>
      </c>
      <c r="M717" s="5">
        <v>5694.27094</v>
      </c>
    </row>
    <row r="718">
      <c r="A718" s="4" t="s">
        <v>1028</v>
      </c>
      <c r="B718" s="5" t="s">
        <v>15</v>
      </c>
      <c r="C718" s="5" t="s">
        <v>42</v>
      </c>
      <c r="D718" s="5" t="s">
        <v>29</v>
      </c>
      <c r="E718" s="6" t="s">
        <v>1029</v>
      </c>
      <c r="F718" s="5" t="s">
        <v>46</v>
      </c>
      <c r="G718" s="5" t="s">
        <v>20</v>
      </c>
      <c r="H718" s="5">
        <v>7585.0</v>
      </c>
      <c r="I718" s="5">
        <v>13.0</v>
      </c>
      <c r="J718" s="5">
        <v>5396.0</v>
      </c>
      <c r="K718" s="5">
        <v>7417.0</v>
      </c>
      <c r="L718" s="5">
        <v>24.0</v>
      </c>
      <c r="M718" s="5">
        <v>7082.653802</v>
      </c>
    </row>
    <row r="719">
      <c r="A719" s="4" t="s">
        <v>1030</v>
      </c>
      <c r="B719" s="5" t="s">
        <v>22</v>
      </c>
      <c r="C719" s="5" t="s">
        <v>16</v>
      </c>
      <c r="D719" s="5" t="s">
        <v>55</v>
      </c>
      <c r="E719" s="6" t="s">
        <v>1029</v>
      </c>
      <c r="F719" s="5" t="s">
        <v>117</v>
      </c>
      <c r="G719" s="5" t="s">
        <v>27</v>
      </c>
      <c r="H719" s="5">
        <v>12692.0</v>
      </c>
      <c r="I719" s="5">
        <v>105.0</v>
      </c>
      <c r="J719" s="5">
        <v>9048.0</v>
      </c>
      <c r="K719" s="5">
        <v>12326.0</v>
      </c>
      <c r="L719" s="5">
        <v>14.0</v>
      </c>
      <c r="M719" s="5">
        <v>1541.719598</v>
      </c>
    </row>
    <row r="720">
      <c r="A720" s="4" t="s">
        <v>1031</v>
      </c>
      <c r="B720" s="5" t="s">
        <v>22</v>
      </c>
      <c r="C720" s="5" t="s">
        <v>31</v>
      </c>
      <c r="D720" s="5" t="s">
        <v>17</v>
      </c>
      <c r="E720" s="6" t="s">
        <v>1032</v>
      </c>
      <c r="F720" s="5" t="s">
        <v>19</v>
      </c>
      <c r="G720" s="5" t="s">
        <v>27</v>
      </c>
      <c r="H720" s="5">
        <v>318269.0</v>
      </c>
      <c r="I720" s="5">
        <v>914.0</v>
      </c>
      <c r="J720" s="5">
        <v>33355.0</v>
      </c>
      <c r="K720" s="5">
        <v>295405.0</v>
      </c>
      <c r="L720" s="5">
        <v>44.0</v>
      </c>
      <c r="M720" s="5">
        <v>7854.731991</v>
      </c>
    </row>
    <row r="721">
      <c r="A721" s="4" t="s">
        <v>1033</v>
      </c>
      <c r="B721" s="5" t="s">
        <v>15</v>
      </c>
      <c r="C721" s="5" t="s">
        <v>42</v>
      </c>
      <c r="D721" s="5" t="s">
        <v>35</v>
      </c>
      <c r="E721" s="6" t="s">
        <v>1032</v>
      </c>
      <c r="F721" s="5" t="s">
        <v>117</v>
      </c>
      <c r="G721" s="5" t="s">
        <v>20</v>
      </c>
      <c r="H721" s="5">
        <v>26212.0</v>
      </c>
      <c r="I721" s="5">
        <v>77.0</v>
      </c>
      <c r="J721" s="5">
        <v>12726.0</v>
      </c>
      <c r="K721" s="5">
        <v>24442.0</v>
      </c>
      <c r="L721" s="5">
        <v>15.0</v>
      </c>
      <c r="M721" s="5">
        <v>6452.93501</v>
      </c>
    </row>
    <row r="722">
      <c r="A722" s="4" t="s">
        <v>1034</v>
      </c>
      <c r="B722" s="5" t="s">
        <v>15</v>
      </c>
      <c r="C722" s="5" t="s">
        <v>16</v>
      </c>
      <c r="D722" s="5" t="s">
        <v>17</v>
      </c>
      <c r="E722" s="6" t="s">
        <v>1032</v>
      </c>
      <c r="F722" s="5" t="s">
        <v>19</v>
      </c>
      <c r="G722" s="5" t="s">
        <v>20</v>
      </c>
      <c r="H722" s="5">
        <v>20833.0</v>
      </c>
      <c r="I722" s="5">
        <v>87.0</v>
      </c>
      <c r="J722" s="5">
        <v>1777.0</v>
      </c>
      <c r="K722" s="5">
        <v>17211.0</v>
      </c>
      <c r="L722" s="5">
        <v>9.0</v>
      </c>
      <c r="M722" s="5">
        <v>5542.512181</v>
      </c>
    </row>
    <row r="723">
      <c r="A723" s="4" t="s">
        <v>1035</v>
      </c>
      <c r="B723" s="5" t="s">
        <v>22</v>
      </c>
      <c r="C723" s="5" t="s">
        <v>31</v>
      </c>
      <c r="D723" s="5" t="s">
        <v>150</v>
      </c>
      <c r="E723" s="6" t="s">
        <v>1032</v>
      </c>
      <c r="F723" s="5" t="s">
        <v>26</v>
      </c>
      <c r="G723" s="5" t="s">
        <v>27</v>
      </c>
      <c r="H723" s="5">
        <v>14181.0</v>
      </c>
      <c r="I723" s="5">
        <v>65.0</v>
      </c>
      <c r="J723" s="5">
        <v>7106.0</v>
      </c>
      <c r="K723" s="5">
        <v>13189.0</v>
      </c>
      <c r="L723" s="5">
        <v>17.0</v>
      </c>
      <c r="M723" s="5">
        <v>2912.467156</v>
      </c>
    </row>
    <row r="724">
      <c r="A724" s="4" t="s">
        <v>1036</v>
      </c>
      <c r="B724" s="5" t="s">
        <v>22</v>
      </c>
      <c r="C724" s="5" t="s">
        <v>16</v>
      </c>
      <c r="D724" s="5" t="s">
        <v>84</v>
      </c>
      <c r="E724" s="6" t="s">
        <v>1032</v>
      </c>
      <c r="F724" s="5" t="s">
        <v>19</v>
      </c>
      <c r="G724" s="5" t="s">
        <v>27</v>
      </c>
      <c r="H724" s="5">
        <v>304377.0</v>
      </c>
      <c r="I724" s="5">
        <v>801.0</v>
      </c>
      <c r="J724" s="5">
        <v>27519.0</v>
      </c>
      <c r="K724" s="5">
        <v>270098.0</v>
      </c>
      <c r="L724" s="5">
        <v>63.0</v>
      </c>
      <c r="M724" s="5">
        <v>1595.48714</v>
      </c>
    </row>
    <row r="725">
      <c r="A725" s="4" t="s">
        <v>1037</v>
      </c>
      <c r="B725" s="5" t="s">
        <v>15</v>
      </c>
      <c r="C725" s="5" t="s">
        <v>42</v>
      </c>
      <c r="D725" s="5" t="s">
        <v>78</v>
      </c>
      <c r="E725" s="6" t="s">
        <v>1032</v>
      </c>
      <c r="F725" s="5" t="s">
        <v>19</v>
      </c>
      <c r="G725" s="5" t="s">
        <v>27</v>
      </c>
      <c r="H725" s="5">
        <v>312206.0</v>
      </c>
      <c r="I725" s="5">
        <v>841.0</v>
      </c>
      <c r="J725" s="5">
        <v>35661.0</v>
      </c>
      <c r="K725" s="5">
        <v>292992.0</v>
      </c>
      <c r="L725" s="5">
        <v>5.0</v>
      </c>
      <c r="M725" s="5">
        <v>1550.938318</v>
      </c>
    </row>
    <row r="726">
      <c r="A726" s="4" t="s">
        <v>1038</v>
      </c>
      <c r="B726" s="5" t="s">
        <v>15</v>
      </c>
      <c r="C726" s="5" t="s">
        <v>42</v>
      </c>
      <c r="D726" s="5" t="s">
        <v>84</v>
      </c>
      <c r="E726" s="6" t="s">
        <v>1032</v>
      </c>
      <c r="F726" s="5" t="s">
        <v>46</v>
      </c>
      <c r="G726" s="5" t="s">
        <v>27</v>
      </c>
      <c r="H726" s="5">
        <v>9790.0</v>
      </c>
      <c r="I726" s="5">
        <v>24.0</v>
      </c>
      <c r="J726" s="5">
        <v>1295.0</v>
      </c>
      <c r="K726" s="5">
        <v>9196.0</v>
      </c>
      <c r="L726" s="5">
        <v>2.0</v>
      </c>
      <c r="M726" s="5">
        <v>1532.148881</v>
      </c>
    </row>
    <row r="727">
      <c r="A727" s="4" t="s">
        <v>1039</v>
      </c>
      <c r="B727" s="5" t="s">
        <v>61</v>
      </c>
      <c r="C727" s="5" t="s">
        <v>23</v>
      </c>
      <c r="D727" s="5" t="s">
        <v>131</v>
      </c>
      <c r="E727" s="6" t="s">
        <v>1032</v>
      </c>
      <c r="F727" s="5" t="s">
        <v>80</v>
      </c>
      <c r="G727" s="5" t="s">
        <v>27</v>
      </c>
      <c r="H727" s="5">
        <v>130602.0</v>
      </c>
      <c r="I727" s="5">
        <v>269.0</v>
      </c>
      <c r="J727" s="5">
        <v>11736.0</v>
      </c>
      <c r="K727" s="5">
        <v>113735.0</v>
      </c>
      <c r="L727" s="5">
        <v>4.0</v>
      </c>
      <c r="M727" s="5">
        <v>1507.84712</v>
      </c>
    </row>
    <row r="728">
      <c r="A728" s="4" t="s">
        <v>1040</v>
      </c>
      <c r="B728" s="5" t="s">
        <v>22</v>
      </c>
      <c r="C728" s="5" t="s">
        <v>23</v>
      </c>
      <c r="D728" s="5" t="s">
        <v>35</v>
      </c>
      <c r="E728" s="6" t="s">
        <v>1041</v>
      </c>
      <c r="F728" s="5" t="s">
        <v>26</v>
      </c>
      <c r="G728" s="5" t="s">
        <v>27</v>
      </c>
      <c r="H728" s="5">
        <v>10903.0</v>
      </c>
      <c r="I728" s="5">
        <v>35.0</v>
      </c>
      <c r="J728" s="5">
        <v>3776.0</v>
      </c>
      <c r="K728" s="5">
        <v>9581.0</v>
      </c>
      <c r="L728" s="5">
        <v>2.0</v>
      </c>
      <c r="M728" s="5">
        <v>1460.009754</v>
      </c>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sheetData>
  <customSheetViews>
    <customSheetView guid="{0D7CBAA6-B848-444E-9951-EB2B0D1C0C59}" filter="1" showAutoFilter="1">
      <autoFilter ref="$A$1:$M$728"/>
    </customSheetView>
  </customSheetView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s>
  <drawing r:id="rId728"/>
  <tableParts count="1">
    <tablePart r:id="rId730"/>
  </tableParts>
  <extLst>
    <ext uri="{3A4CF648-6AED-40f4-86FF-DC5316D8AED3}">
      <x14:slicerList>
        <x14:slicer r:id="rId731"/>
      </x14:slicerList>
    </ext>
  </extLst>
</worksheet>
</file>